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40\Finanšu un grāmatvedības daļa\3 atskaites\Grāmatvedības_atskaites\NEPLP\2024\2024.gada atskaites\precizejumi\"/>
    </mc:Choice>
  </mc:AlternateContent>
  <xr:revisionPtr revIDLastSave="0" documentId="8_{F008C3F6-2415-47D6-8E86-8BD884F87223}" xr6:coauthVersionLast="47" xr6:coauthVersionMax="47" xr10:uidLastSave="{00000000-0000-0000-0000-000000000000}"/>
  <bookViews>
    <workbookView xWindow="-120" yWindow="-120" windowWidth="29040" windowHeight="17640" xr2:uid="{C7D15A87-FEEF-4C9F-880C-E004A585199D}"/>
  </bookViews>
  <sheets>
    <sheet name="Pielikums nr. 1." sheetId="1" r:id="rId1"/>
  </sheets>
  <externalReferences>
    <externalReference r:id="rId2"/>
    <externalReference r:id="rId3"/>
  </externalReferences>
  <definedNames>
    <definedName name="_xlnm._FilterDatabase" localSheetId="0" hidden="1">'Pielikums nr. 1.'!$A$12:$GW$118</definedName>
    <definedName name="KAN" localSheetId="0">#REF!</definedName>
    <definedName name="KAN">#REF!</definedName>
    <definedName name="P_KAT" localSheetId="0">#REF!</definedName>
    <definedName name="P_KAT">#REF!</definedName>
    <definedName name="P_STAT" localSheetId="0">#REF!</definedName>
    <definedName name="P_STAT">#REF!</definedName>
    <definedName name="P_VERS" localSheetId="0">#REF!</definedName>
    <definedName name="P_VERS">#REF!</definedName>
    <definedName name="PRODUC" localSheetId="0">#REF!</definedName>
    <definedName name="PRODUC">#REF!</definedName>
    <definedName name="RED" localSheetId="0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145" i="1" l="1"/>
  <c r="BI145" i="1"/>
  <c r="CS134" i="1"/>
  <c r="CC134" i="1"/>
  <c r="BI134" i="1"/>
  <c r="AS134" i="1"/>
  <c r="I134" i="1"/>
  <c r="CS133" i="1"/>
  <c r="CC133" i="1"/>
  <c r="BI133" i="1"/>
  <c r="AS133" i="1"/>
  <c r="I133" i="1"/>
  <c r="CS132" i="1"/>
  <c r="CC132" i="1"/>
  <c r="BI132" i="1"/>
  <c r="AS132" i="1"/>
  <c r="I132" i="1"/>
  <c r="CS131" i="1"/>
  <c r="CC131" i="1"/>
  <c r="BI131" i="1"/>
  <c r="AS131" i="1"/>
  <c r="I131" i="1"/>
  <c r="CS130" i="1"/>
  <c r="CC130" i="1"/>
  <c r="BI130" i="1"/>
  <c r="AS130" i="1"/>
  <c r="I130" i="1"/>
  <c r="CS129" i="1"/>
  <c r="CC129" i="1"/>
  <c r="BI129" i="1"/>
  <c r="AS129" i="1"/>
  <c r="I129" i="1"/>
  <c r="BS86" i="1"/>
  <c r="BO86" i="1"/>
  <c r="BK86" i="1"/>
  <c r="BG86" i="1"/>
  <c r="BC86" i="1"/>
  <c r="AY86" i="1"/>
  <c r="AU86" i="1"/>
  <c r="AQ86" i="1"/>
  <c r="G86" i="1"/>
  <c r="BS85" i="1"/>
  <c r="BO85" i="1"/>
  <c r="BK85" i="1"/>
  <c r="BC85" i="1"/>
  <c r="AY85" i="1"/>
  <c r="AU85" i="1"/>
  <c r="AQ85" i="1"/>
  <c r="AQ83" i="1" s="1"/>
  <c r="G85" i="1"/>
  <c r="DB82" i="1"/>
  <c r="DA82" i="1"/>
  <c r="CP82" i="1"/>
  <c r="CO82" i="1"/>
  <c r="CN82" i="1"/>
  <c r="CM82" i="1"/>
  <c r="CL82" i="1"/>
  <c r="CK82" i="1"/>
  <c r="CF82" i="1"/>
  <c r="CD82" i="1"/>
  <c r="BZ82" i="1"/>
  <c r="BY82" i="1"/>
  <c r="BX82" i="1"/>
  <c r="BW82" i="1"/>
  <c r="BR82" i="1"/>
  <c r="BQ82" i="1"/>
  <c r="BF82" i="1"/>
  <c r="BE82" i="1"/>
  <c r="BD82" i="1"/>
  <c r="BC82" i="1"/>
  <c r="BB82" i="1"/>
  <c r="BA82" i="1"/>
  <c r="AV82" i="1"/>
  <c r="AT82" i="1"/>
  <c r="AP82" i="1"/>
  <c r="AO82" i="1"/>
  <c r="AN82" i="1"/>
  <c r="AH82" i="1"/>
  <c r="AG82" i="1"/>
  <c r="V82" i="1"/>
  <c r="U82" i="1"/>
  <c r="T82" i="1"/>
  <c r="S82" i="1"/>
  <c r="R82" i="1"/>
  <c r="Q82" i="1"/>
  <c r="L82" i="1"/>
  <c r="J82" i="1"/>
  <c r="DD81" i="1"/>
  <c r="DC81" i="1"/>
  <c r="DB81" i="1"/>
  <c r="DA81" i="1"/>
  <c r="CP81" i="1"/>
  <c r="CO81" i="1"/>
  <c r="CN81" i="1"/>
  <c r="CM81" i="1"/>
  <c r="CL81" i="1"/>
  <c r="CK81" i="1"/>
  <c r="CF81" i="1"/>
  <c r="CD81" i="1"/>
  <c r="BZ81" i="1"/>
  <c r="BY81" i="1"/>
  <c r="BX81" i="1"/>
  <c r="BW81" i="1"/>
  <c r="BT81" i="1"/>
  <c r="BS81" i="1"/>
  <c r="BR81" i="1"/>
  <c r="BQ81" i="1"/>
  <c r="BF81" i="1"/>
  <c r="BE81" i="1"/>
  <c r="BD81" i="1"/>
  <c r="BC81" i="1"/>
  <c r="BB81" i="1"/>
  <c r="BA81" i="1"/>
  <c r="AV81" i="1"/>
  <c r="AT81" i="1"/>
  <c r="AP81" i="1"/>
  <c r="AO81" i="1"/>
  <c r="AN81" i="1"/>
  <c r="AJ81" i="1"/>
  <c r="AI81" i="1"/>
  <c r="AH81" i="1"/>
  <c r="AG81" i="1"/>
  <c r="V81" i="1"/>
  <c r="U81" i="1"/>
  <c r="T81" i="1"/>
  <c r="S81" i="1"/>
  <c r="R81" i="1"/>
  <c r="Q81" i="1"/>
  <c r="L81" i="1"/>
  <c r="J81" i="1"/>
  <c r="DB80" i="1"/>
  <c r="DA80" i="1"/>
  <c r="CL80" i="1"/>
  <c r="CK80" i="1"/>
  <c r="CD80" i="1"/>
  <c r="BR80" i="1"/>
  <c r="BQ80" i="1"/>
  <c r="BB80" i="1"/>
  <c r="BA80" i="1"/>
  <c r="AT80" i="1"/>
  <c r="AH80" i="1"/>
  <c r="AG80" i="1"/>
  <c r="R80" i="1"/>
  <c r="Q80" i="1"/>
  <c r="J80" i="1"/>
  <c r="DD79" i="1"/>
  <c r="DC79" i="1"/>
  <c r="CP79" i="1"/>
  <c r="CO79" i="1"/>
  <c r="CF79" i="1"/>
  <c r="BZ79" i="1"/>
  <c r="BY79" i="1"/>
  <c r="BX79" i="1"/>
  <c r="BW79" i="1"/>
  <c r="BT79" i="1"/>
  <c r="BS79" i="1"/>
  <c r="BF79" i="1"/>
  <c r="BE79" i="1"/>
  <c r="AV79" i="1"/>
  <c r="AP79" i="1"/>
  <c r="AO79" i="1"/>
  <c r="AN79" i="1"/>
  <c r="AJ79" i="1"/>
  <c r="AI79" i="1"/>
  <c r="V79" i="1"/>
  <c r="U79" i="1"/>
  <c r="L79" i="1"/>
  <c r="DB78" i="1"/>
  <c r="CL78" i="1"/>
  <c r="CK78" i="1"/>
  <c r="BR78" i="1"/>
  <c r="BB78" i="1"/>
  <c r="BA78" i="1"/>
  <c r="AH78" i="1"/>
  <c r="R78" i="1"/>
  <c r="Q78" i="1"/>
  <c r="DB77" i="1"/>
  <c r="CK77" i="1"/>
  <c r="BR77" i="1"/>
  <c r="BB77" i="1"/>
  <c r="AH77" i="1"/>
  <c r="DB75" i="1"/>
  <c r="DB79" i="1" s="1"/>
  <c r="DA75" i="1"/>
  <c r="DA79" i="1" s="1"/>
  <c r="CZ75" i="1"/>
  <c r="CV75" i="1" s="1"/>
  <c r="CY75" i="1"/>
  <c r="CK75" i="1"/>
  <c r="CK79" i="1" s="1"/>
  <c r="BR75" i="1"/>
  <c r="BR79" i="1" s="1"/>
  <c r="BP75" i="1"/>
  <c r="BP79" i="1" s="1"/>
  <c r="BB75" i="1"/>
  <c r="BB79" i="1" s="1"/>
  <c r="AU75" i="1"/>
  <c r="AH75" i="1"/>
  <c r="AH79" i="1" s="1"/>
  <c r="AF75" i="1"/>
  <c r="AB75" i="1" s="1"/>
  <c r="AB79" i="1" s="1"/>
  <c r="R75" i="1"/>
  <c r="R79" i="1" s="1"/>
  <c r="K75" i="1"/>
  <c r="DF74" i="1"/>
  <c r="DE74" i="1"/>
  <c r="CG74" i="1"/>
  <c r="CC145" i="1" s="1"/>
  <c r="BV74" i="1"/>
  <c r="BU74" i="1"/>
  <c r="AX74" i="1"/>
  <c r="AW74" i="1"/>
  <c r="AS145" i="1" s="1"/>
  <c r="AL74" i="1"/>
  <c r="AK74" i="1"/>
  <c r="N74" i="1"/>
  <c r="M74" i="1"/>
  <c r="I145" i="1" s="1"/>
  <c r="BJ73" i="1"/>
  <c r="BV73" i="1" s="1"/>
  <c r="AP73" i="1"/>
  <c r="AM73" i="1"/>
  <c r="Z73" i="1"/>
  <c r="AL73" i="1" s="1"/>
  <c r="F73" i="1"/>
  <c r="C73" i="1"/>
  <c r="BQ72" i="1"/>
  <c r="BJ72" i="1"/>
  <c r="BN72" i="1" s="1"/>
  <c r="BF72" i="1"/>
  <c r="BA72" i="1"/>
  <c r="AX72" i="1"/>
  <c r="AS72" i="1"/>
  <c r="AW72" i="1" s="1"/>
  <c r="AP72" i="1"/>
  <c r="AM72" i="1"/>
  <c r="Z72" i="1"/>
  <c r="AL72" i="1" s="1"/>
  <c r="V72" i="1"/>
  <c r="N72" i="1"/>
  <c r="I72" i="1"/>
  <c r="F72" i="1"/>
  <c r="C72" i="1"/>
  <c r="BQ71" i="1"/>
  <c r="BJ71" i="1"/>
  <c r="BN71" i="1" s="1"/>
  <c r="BA71" i="1"/>
  <c r="AP71" i="1"/>
  <c r="AM71" i="1"/>
  <c r="AG71" i="1"/>
  <c r="Z71" i="1"/>
  <c r="Y71" i="1"/>
  <c r="Q71" i="1"/>
  <c r="Q75" i="1" s="1"/>
  <c r="Q79" i="1" s="1"/>
  <c r="F71" i="1"/>
  <c r="C71" i="1"/>
  <c r="CT70" i="1"/>
  <c r="CS70" i="1"/>
  <c r="CC70" i="1" s="1"/>
  <c r="CH70" i="1"/>
  <c r="BJ70" i="1"/>
  <c r="BV70" i="1" s="1"/>
  <c r="AX70" i="1"/>
  <c r="AS70" i="1"/>
  <c r="AW70" i="1" s="1"/>
  <c r="Z70" i="1"/>
  <c r="AD70" i="1" s="1"/>
  <c r="N70" i="1"/>
  <c r="I70" i="1"/>
  <c r="DB69" i="1"/>
  <c r="DA69" i="1"/>
  <c r="CN69" i="1"/>
  <c r="CM69" i="1"/>
  <c r="CL69" i="1"/>
  <c r="CK69" i="1"/>
  <c r="CF69" i="1"/>
  <c r="CD69" i="1"/>
  <c r="BR69" i="1"/>
  <c r="BQ69" i="1"/>
  <c r="BD69" i="1"/>
  <c r="BC69" i="1"/>
  <c r="BB69" i="1"/>
  <c r="BA69" i="1"/>
  <c r="AV69" i="1"/>
  <c r="AV76" i="1" s="1"/>
  <c r="AT69" i="1"/>
  <c r="BF69" i="1" s="1"/>
  <c r="AJ69" i="1"/>
  <c r="AI69" i="1"/>
  <c r="AH69" i="1"/>
  <c r="AG69" i="1"/>
  <c r="T69" i="1"/>
  <c r="S69" i="1"/>
  <c r="R69" i="1"/>
  <c r="Q69" i="1"/>
  <c r="L69" i="1"/>
  <c r="L76" i="1" s="1"/>
  <c r="J69" i="1"/>
  <c r="CZ68" i="1"/>
  <c r="CV68" i="1" s="1"/>
  <c r="CY68" i="1"/>
  <c r="CU68" i="1" s="1"/>
  <c r="CT68" i="1"/>
  <c r="CX68" i="1" s="1"/>
  <c r="CX82" i="1" s="1"/>
  <c r="CS68" i="1"/>
  <c r="CC68" i="1" s="1"/>
  <c r="CJ68" i="1"/>
  <c r="CJ82" i="1" s="1"/>
  <c r="CH68" i="1"/>
  <c r="CB68" i="1"/>
  <c r="CB82" i="1" s="1"/>
  <c r="BP68" i="1"/>
  <c r="BL68" i="1" s="1"/>
  <c r="BJ68" i="1"/>
  <c r="BI68" i="1" s="1"/>
  <c r="AZ68" i="1"/>
  <c r="AZ82" i="1" s="1"/>
  <c r="AX68" i="1"/>
  <c r="AU68" i="1"/>
  <c r="AU82" i="1" s="1"/>
  <c r="AS68" i="1"/>
  <c r="AR68" i="1"/>
  <c r="AR82" i="1" s="1"/>
  <c r="AF68" i="1"/>
  <c r="AB68" i="1" s="1"/>
  <c r="Z68" i="1"/>
  <c r="AD68" i="1" s="1"/>
  <c r="AD82" i="1" s="1"/>
  <c r="P68" i="1"/>
  <c r="P82" i="1" s="1"/>
  <c r="N68" i="1"/>
  <c r="N82" i="1" s="1"/>
  <c r="K68" i="1"/>
  <c r="K82" i="1" s="1"/>
  <c r="I68" i="1"/>
  <c r="H68" i="1"/>
  <c r="H82" i="1" s="1"/>
  <c r="CZ67" i="1"/>
  <c r="CV67" i="1" s="1"/>
  <c r="CV81" i="1" s="1"/>
  <c r="CY67" i="1"/>
  <c r="CT67" i="1"/>
  <c r="CT81" i="1" s="1"/>
  <c r="CS67" i="1"/>
  <c r="CW67" i="1" s="1"/>
  <c r="CW81" i="1" s="1"/>
  <c r="CJ67" i="1"/>
  <c r="CH67" i="1"/>
  <c r="CH81" i="1" s="1"/>
  <c r="CB67" i="1"/>
  <c r="CB81" i="1" s="1"/>
  <c r="BP67" i="1"/>
  <c r="BP81" i="1" s="1"/>
  <c r="BJ67" i="1"/>
  <c r="BI67" i="1" s="1"/>
  <c r="AZ67" i="1"/>
  <c r="AZ81" i="1" s="1"/>
  <c r="AX67" i="1"/>
  <c r="AX81" i="1" s="1"/>
  <c r="AU67" i="1"/>
  <c r="AU81" i="1" s="1"/>
  <c r="AS67" i="1"/>
  <c r="AW67" i="1" s="1"/>
  <c r="AW81" i="1" s="1"/>
  <c r="AR67" i="1"/>
  <c r="AR81" i="1" s="1"/>
  <c r="AF67" i="1"/>
  <c r="AF81" i="1" s="1"/>
  <c r="Z67" i="1"/>
  <c r="AD67" i="1" s="1"/>
  <c r="P67" i="1"/>
  <c r="O67" i="1" s="1"/>
  <c r="O81" i="1" s="1"/>
  <c r="N67" i="1"/>
  <c r="N81" i="1" s="1"/>
  <c r="K67" i="1"/>
  <c r="G67" i="1" s="1"/>
  <c r="I67" i="1"/>
  <c r="I81" i="1" s="1"/>
  <c r="H67" i="1"/>
  <c r="H81" i="1" s="1"/>
  <c r="DD64" i="1"/>
  <c r="DD76" i="1" s="1"/>
  <c r="DC64" i="1"/>
  <c r="DC76" i="1" s="1"/>
  <c r="CZ64" i="1"/>
  <c r="CY64" i="1"/>
  <c r="CU64" i="1" s="1"/>
  <c r="CF64" i="1"/>
  <c r="BT64" i="1"/>
  <c r="BT76" i="1" s="1"/>
  <c r="BP64" i="1"/>
  <c r="BO64" i="1" s="1"/>
  <c r="AU64" i="1"/>
  <c r="AJ64" i="1"/>
  <c r="AI64" i="1" s="1"/>
  <c r="AF64" i="1"/>
  <c r="AE64" i="1" s="1"/>
  <c r="AA64" i="1" s="1"/>
  <c r="K64" i="1"/>
  <c r="CT63" i="1"/>
  <c r="CT80" i="1" s="1"/>
  <c r="DF80" i="1" s="1"/>
  <c r="CS63" i="1"/>
  <c r="CS80" i="1" s="1"/>
  <c r="CH63" i="1"/>
  <c r="CH80" i="1" s="1"/>
  <c r="BJ63" i="1"/>
  <c r="BJ80" i="1" s="1"/>
  <c r="BV80" i="1" s="1"/>
  <c r="AX63" i="1"/>
  <c r="AX80" i="1" s="1"/>
  <c r="AS63" i="1"/>
  <c r="AW63" i="1" s="1"/>
  <c r="AW80" i="1" s="1"/>
  <c r="Z63" i="1"/>
  <c r="AL63" i="1" s="1"/>
  <c r="N63" i="1"/>
  <c r="N80" i="1" s="1"/>
  <c r="I63" i="1"/>
  <c r="M63" i="1" s="1"/>
  <c r="M80" i="1" s="1"/>
  <c r="BX62" i="1"/>
  <c r="BW62" i="1"/>
  <c r="AN62" i="1"/>
  <c r="D62" i="1"/>
  <c r="BX61" i="1"/>
  <c r="BW61" i="1"/>
  <c r="AN61" i="1"/>
  <c r="D61" i="1"/>
  <c r="BX59" i="1"/>
  <c r="BW59" i="1"/>
  <c r="AN59" i="1"/>
  <c r="AM59" i="1" s="1"/>
  <c r="D59" i="1"/>
  <c r="C59" i="1" s="1"/>
  <c r="BX58" i="1"/>
  <c r="BW58" i="1"/>
  <c r="AN58" i="1"/>
  <c r="AM58" i="1" s="1"/>
  <c r="D58" i="1"/>
  <c r="C58" i="1" s="1"/>
  <c r="DA56" i="1"/>
  <c r="CT56" i="1"/>
  <c r="CS56" i="1"/>
  <c r="BX56" i="1"/>
  <c r="BW56" i="1"/>
  <c r="BQ56" i="1"/>
  <c r="BJ56" i="1"/>
  <c r="AN56" i="1"/>
  <c r="AM56" i="1" s="1"/>
  <c r="AG56" i="1"/>
  <c r="Z56" i="1"/>
  <c r="Y56" i="1" s="1"/>
  <c r="D56" i="1"/>
  <c r="C56" i="1" s="1"/>
  <c r="DA55" i="1"/>
  <c r="CT55" i="1"/>
  <c r="CX55" i="1" s="1"/>
  <c r="CS55" i="1"/>
  <c r="CW55" i="1" s="1"/>
  <c r="CL55" i="1"/>
  <c r="CL77" i="1" s="1"/>
  <c r="BX55" i="1"/>
  <c r="BW55" i="1"/>
  <c r="BQ55" i="1"/>
  <c r="BJ55" i="1"/>
  <c r="AN55" i="1"/>
  <c r="AM55" i="1" s="1"/>
  <c r="AG55" i="1"/>
  <c r="Z55" i="1"/>
  <c r="D55" i="1"/>
  <c r="D54" i="1" s="1"/>
  <c r="J55" i="1" s="1"/>
  <c r="DB54" i="1"/>
  <c r="CL54" i="1"/>
  <c r="CK54" i="1"/>
  <c r="BR54" i="1"/>
  <c r="BB54" i="1"/>
  <c r="BA54" i="1"/>
  <c r="AH54" i="1"/>
  <c r="R54" i="1"/>
  <c r="Q54" i="1"/>
  <c r="DA53" i="1"/>
  <c r="CT53" i="1"/>
  <c r="CS53" i="1"/>
  <c r="CC53" i="1" s="1"/>
  <c r="CH53" i="1"/>
  <c r="BX53" i="1"/>
  <c r="CP53" i="1" s="1"/>
  <c r="BW53" i="1"/>
  <c r="BQ53" i="1"/>
  <c r="BJ53" i="1"/>
  <c r="BI53" i="1" s="1"/>
  <c r="AX53" i="1"/>
  <c r="AS53" i="1"/>
  <c r="AW53" i="1" s="1"/>
  <c r="AN53" i="1"/>
  <c r="AM53" i="1" s="1"/>
  <c r="AG53" i="1"/>
  <c r="Z53" i="1"/>
  <c r="Y53" i="1" s="1"/>
  <c r="N53" i="1"/>
  <c r="I53" i="1"/>
  <c r="M53" i="1" s="1"/>
  <c r="D53" i="1"/>
  <c r="C53" i="1" s="1"/>
  <c r="DA52" i="1"/>
  <c r="CT52" i="1"/>
  <c r="CS52" i="1"/>
  <c r="CH52" i="1"/>
  <c r="BX52" i="1"/>
  <c r="BW52" i="1"/>
  <c r="BQ52" i="1"/>
  <c r="BJ52" i="1"/>
  <c r="BN52" i="1" s="1"/>
  <c r="AX52" i="1"/>
  <c r="AS52" i="1"/>
  <c r="AN52" i="1"/>
  <c r="AG52" i="1"/>
  <c r="Z52" i="1"/>
  <c r="N52" i="1"/>
  <c r="I52" i="1"/>
  <c r="D52" i="1"/>
  <c r="V52" i="1" s="1"/>
  <c r="DB51" i="1"/>
  <c r="CL51" i="1"/>
  <c r="CK51" i="1"/>
  <c r="CD51" i="1"/>
  <c r="BB51" i="1"/>
  <c r="BA51" i="1"/>
  <c r="AT51" i="1"/>
  <c r="R51" i="1"/>
  <c r="Q51" i="1"/>
  <c r="J51" i="1"/>
  <c r="I51" i="1" s="1"/>
  <c r="DA47" i="1"/>
  <c r="DA46" i="1" s="1"/>
  <c r="CT47" i="1"/>
  <c r="CX47" i="1" s="1"/>
  <c r="CX46" i="1" s="1"/>
  <c r="CS47" i="1"/>
  <c r="CH47" i="1"/>
  <c r="CH46" i="1" s="1"/>
  <c r="BQ47" i="1"/>
  <c r="BJ47" i="1"/>
  <c r="BV47" i="1" s="1"/>
  <c r="AX47" i="1"/>
  <c r="AX46" i="1" s="1"/>
  <c r="AS47" i="1"/>
  <c r="AW47" i="1" s="1"/>
  <c r="AW46" i="1" s="1"/>
  <c r="AM47" i="1"/>
  <c r="AL47" i="1"/>
  <c r="AG47" i="1"/>
  <c r="Z47" i="1"/>
  <c r="AD47" i="1" s="1"/>
  <c r="AD46" i="1" s="1"/>
  <c r="N47" i="1"/>
  <c r="I47" i="1"/>
  <c r="C47" i="1"/>
  <c r="CL46" i="1"/>
  <c r="CK46" i="1"/>
  <c r="CD46" i="1"/>
  <c r="BB46" i="1"/>
  <c r="BA46" i="1"/>
  <c r="AT46" i="1"/>
  <c r="R46" i="1"/>
  <c r="Q46" i="1"/>
  <c r="N46" i="1"/>
  <c r="J46" i="1"/>
  <c r="I46" i="1" s="1"/>
  <c r="DA45" i="1"/>
  <c r="CT45" i="1"/>
  <c r="CS45" i="1"/>
  <c r="CC45" i="1" s="1"/>
  <c r="CC43" i="1" s="1"/>
  <c r="BX45" i="1"/>
  <c r="BW45" i="1"/>
  <c r="BQ45" i="1"/>
  <c r="BJ45" i="1"/>
  <c r="BI45" i="1" s="1"/>
  <c r="AN45" i="1"/>
  <c r="AG45" i="1"/>
  <c r="Z45" i="1"/>
  <c r="AD45" i="1" s="1"/>
  <c r="Y45" i="1"/>
  <c r="D45" i="1"/>
  <c r="C45" i="1" s="1"/>
  <c r="DA44" i="1"/>
  <c r="CT44" i="1"/>
  <c r="DF44" i="1" s="1"/>
  <c r="CS44" i="1"/>
  <c r="CC44" i="1" s="1"/>
  <c r="CG44" i="1" s="1"/>
  <c r="BX44" i="1"/>
  <c r="BW44" i="1"/>
  <c r="BQ44" i="1"/>
  <c r="BJ44" i="1"/>
  <c r="BI44" i="1" s="1"/>
  <c r="AN44" i="1"/>
  <c r="AM44" i="1" s="1"/>
  <c r="AG44" i="1"/>
  <c r="Z44" i="1"/>
  <c r="Z43" i="1" s="1"/>
  <c r="R44" i="1"/>
  <c r="Q44" i="1" s="1"/>
  <c r="D44" i="1"/>
  <c r="C44" i="1" s="1"/>
  <c r="CL43" i="1"/>
  <c r="CK43" i="1"/>
  <c r="BB43" i="1"/>
  <c r="BA43" i="1"/>
  <c r="AH43" i="1"/>
  <c r="DB42" i="1"/>
  <c r="CL42" i="1"/>
  <c r="CL50" i="1" s="1"/>
  <c r="CL66" i="1" s="1"/>
  <c r="CK42" i="1"/>
  <c r="CD42" i="1"/>
  <c r="BR42" i="1"/>
  <c r="BB42" i="1"/>
  <c r="BB50" i="1" s="1"/>
  <c r="BB66" i="1" s="1"/>
  <c r="BA42" i="1"/>
  <c r="BA50" i="1" s="1"/>
  <c r="BA66" i="1" s="1"/>
  <c r="AT42" i="1"/>
  <c r="AH42" i="1"/>
  <c r="AH50" i="1" s="1"/>
  <c r="AH66" i="1" s="1"/>
  <c r="R42" i="1"/>
  <c r="R50" i="1" s="1"/>
  <c r="R66" i="1" s="1"/>
  <c r="Q42" i="1"/>
  <c r="Q50" i="1" s="1"/>
  <c r="Q66" i="1" s="1"/>
  <c r="J42" i="1"/>
  <c r="DB41" i="1"/>
  <c r="DB49" i="1" s="1"/>
  <c r="DB65" i="1" s="1"/>
  <c r="CL41" i="1"/>
  <c r="CL49" i="1" s="1"/>
  <c r="CK41" i="1"/>
  <c r="CK49" i="1" s="1"/>
  <c r="CD41" i="1"/>
  <c r="BR41" i="1"/>
  <c r="BR49" i="1" s="1"/>
  <c r="BB41" i="1"/>
  <c r="BB49" i="1" s="1"/>
  <c r="BB65" i="1" s="1"/>
  <c r="AT41" i="1"/>
  <c r="AH41" i="1"/>
  <c r="AH49" i="1" s="1"/>
  <c r="AH65" i="1" s="1"/>
  <c r="J41" i="1"/>
  <c r="DA39" i="1"/>
  <c r="CX39" i="1"/>
  <c r="CS39" i="1"/>
  <c r="CC39" i="1" s="1"/>
  <c r="CH39" i="1"/>
  <c r="BX39" i="1"/>
  <c r="DF39" i="1" s="1"/>
  <c r="BW39" i="1"/>
  <c r="BQ39" i="1"/>
  <c r="BN39" i="1"/>
  <c r="BI39" i="1"/>
  <c r="AX39" i="1"/>
  <c r="AS39" i="1"/>
  <c r="AN39" i="1"/>
  <c r="BV39" i="1" s="1"/>
  <c r="AG39" i="1"/>
  <c r="AD39" i="1"/>
  <c r="Y39" i="1"/>
  <c r="N39" i="1"/>
  <c r="I39" i="1"/>
  <c r="M39" i="1" s="1"/>
  <c r="D39" i="1"/>
  <c r="V39" i="1" s="1"/>
  <c r="DA38" i="1"/>
  <c r="CT38" i="1"/>
  <c r="CT37" i="1" s="1"/>
  <c r="CS38" i="1"/>
  <c r="CH38" i="1"/>
  <c r="BX38" i="1"/>
  <c r="CP38" i="1" s="1"/>
  <c r="BW38" i="1"/>
  <c r="BQ38" i="1"/>
  <c r="BJ38" i="1"/>
  <c r="BI38" i="1" s="1"/>
  <c r="AX38" i="1"/>
  <c r="AX37" i="1" s="1"/>
  <c r="AW38" i="1"/>
  <c r="AS38" i="1"/>
  <c r="AN38" i="1"/>
  <c r="AM38" i="1" s="1"/>
  <c r="AG38" i="1"/>
  <c r="Z38" i="1"/>
  <c r="AD38" i="1" s="1"/>
  <c r="N38" i="1"/>
  <c r="I38" i="1"/>
  <c r="D38" i="1"/>
  <c r="V38" i="1" s="1"/>
  <c r="CL37" i="1"/>
  <c r="CK37" i="1"/>
  <c r="CD37" i="1"/>
  <c r="BB37" i="1"/>
  <c r="BA37" i="1"/>
  <c r="AT37" i="1"/>
  <c r="AN37" i="1"/>
  <c r="R37" i="1"/>
  <c r="Q37" i="1"/>
  <c r="J37" i="1"/>
  <c r="I37" i="1" s="1"/>
  <c r="DA36" i="1"/>
  <c r="CX36" i="1"/>
  <c r="CS36" i="1"/>
  <c r="CC36" i="1" s="1"/>
  <c r="CH36" i="1"/>
  <c r="BX36" i="1"/>
  <c r="DF36" i="1" s="1"/>
  <c r="BW36" i="1"/>
  <c r="BQ36" i="1"/>
  <c r="BN36" i="1"/>
  <c r="BI36" i="1"/>
  <c r="AX36" i="1"/>
  <c r="AS36" i="1"/>
  <c r="AW36" i="1" s="1"/>
  <c r="AN36" i="1"/>
  <c r="BF36" i="1" s="1"/>
  <c r="AG36" i="1"/>
  <c r="AD36" i="1"/>
  <c r="Y36" i="1"/>
  <c r="N36" i="1"/>
  <c r="I36" i="1"/>
  <c r="M36" i="1" s="1"/>
  <c r="D36" i="1"/>
  <c r="AL36" i="1" s="1"/>
  <c r="DA35" i="1"/>
  <c r="CT35" i="1"/>
  <c r="CS35" i="1"/>
  <c r="CH35" i="1"/>
  <c r="CH34" i="1" s="1"/>
  <c r="BX35" i="1"/>
  <c r="CP35" i="1" s="1"/>
  <c r="BW35" i="1"/>
  <c r="BQ35" i="1"/>
  <c r="BJ35" i="1"/>
  <c r="BN35" i="1" s="1"/>
  <c r="BA35" i="1"/>
  <c r="BA34" i="1" s="1"/>
  <c r="AX35" i="1"/>
  <c r="AS35" i="1"/>
  <c r="AW35" i="1" s="1"/>
  <c r="AN35" i="1"/>
  <c r="AM35" i="1"/>
  <c r="AG35" i="1"/>
  <c r="Z35" i="1"/>
  <c r="R35" i="1"/>
  <c r="I35" i="1"/>
  <c r="D35" i="1"/>
  <c r="C35" i="1" s="1"/>
  <c r="CL34" i="1"/>
  <c r="CK34" i="1"/>
  <c r="CD34" i="1"/>
  <c r="BR34" i="1"/>
  <c r="BB34" i="1"/>
  <c r="AT34" i="1"/>
  <c r="AH34" i="1"/>
  <c r="J34" i="1"/>
  <c r="DA33" i="1"/>
  <c r="DA31" i="1" s="1"/>
  <c r="CT33" i="1"/>
  <c r="CX33" i="1" s="1"/>
  <c r="CS33" i="1"/>
  <c r="CH33" i="1"/>
  <c r="BX33" i="1"/>
  <c r="DF33" i="1" s="1"/>
  <c r="BW33" i="1"/>
  <c r="BJ33" i="1"/>
  <c r="BN33" i="1" s="1"/>
  <c r="AX33" i="1"/>
  <c r="AS33" i="1"/>
  <c r="AN33" i="1"/>
  <c r="BF33" i="1" s="1"/>
  <c r="AG33" i="1"/>
  <c r="Z33" i="1"/>
  <c r="AD33" i="1" s="1"/>
  <c r="N33" i="1"/>
  <c r="I33" i="1"/>
  <c r="M33" i="1" s="1"/>
  <c r="D33" i="1"/>
  <c r="C33" i="1" s="1"/>
  <c r="CT32" i="1"/>
  <c r="CS32" i="1"/>
  <c r="CW32" i="1" s="1"/>
  <c r="CH32" i="1"/>
  <c r="CC32" i="1"/>
  <c r="BX32" i="1"/>
  <c r="CP32" i="1" s="1"/>
  <c r="BW32" i="1"/>
  <c r="BQ32" i="1"/>
  <c r="BQ31" i="1" s="1"/>
  <c r="BJ32" i="1"/>
  <c r="BA32" i="1"/>
  <c r="AX32" i="1"/>
  <c r="AS32" i="1"/>
  <c r="AN32" i="1"/>
  <c r="BF32" i="1" s="1"/>
  <c r="AG32" i="1"/>
  <c r="Z32" i="1"/>
  <c r="AD32" i="1" s="1"/>
  <c r="N32" i="1"/>
  <c r="N31" i="1" s="1"/>
  <c r="I32" i="1"/>
  <c r="M32" i="1" s="1"/>
  <c r="D32" i="1"/>
  <c r="DB31" i="1"/>
  <c r="CL31" i="1"/>
  <c r="CK31" i="1"/>
  <c r="CD31" i="1"/>
  <c r="BR31" i="1"/>
  <c r="BB31" i="1"/>
  <c r="AT31" i="1"/>
  <c r="R31" i="1"/>
  <c r="Q31" i="1"/>
  <c r="J31" i="1"/>
  <c r="I31" i="1" s="1"/>
  <c r="DA30" i="1"/>
  <c r="CT30" i="1"/>
  <c r="CS30" i="1"/>
  <c r="CH30" i="1"/>
  <c r="BX30" i="1"/>
  <c r="BW30" i="1"/>
  <c r="BQ30" i="1"/>
  <c r="BJ30" i="1"/>
  <c r="BN30" i="1" s="1"/>
  <c r="AX30" i="1"/>
  <c r="AS30" i="1"/>
  <c r="AW30" i="1" s="1"/>
  <c r="AN30" i="1"/>
  <c r="BF30" i="1" s="1"/>
  <c r="AG30" i="1"/>
  <c r="AG28" i="1" s="1"/>
  <c r="Z30" i="1"/>
  <c r="N30" i="1"/>
  <c r="I30" i="1"/>
  <c r="M30" i="1" s="1"/>
  <c r="D30" i="1"/>
  <c r="C30" i="1" s="1"/>
  <c r="DA29" i="1"/>
  <c r="CT29" i="1"/>
  <c r="CS29" i="1"/>
  <c r="CH29" i="1"/>
  <c r="BX29" i="1"/>
  <c r="CP29" i="1" s="1"/>
  <c r="BW29" i="1"/>
  <c r="BQ29" i="1"/>
  <c r="BJ29" i="1"/>
  <c r="BN29" i="1" s="1"/>
  <c r="BI29" i="1"/>
  <c r="AX29" i="1"/>
  <c r="AS29" i="1"/>
  <c r="AW29" i="1" s="1"/>
  <c r="AN29" i="1"/>
  <c r="BF29" i="1" s="1"/>
  <c r="AG29" i="1"/>
  <c r="Z29" i="1"/>
  <c r="AD29" i="1" s="1"/>
  <c r="Y29" i="1"/>
  <c r="AC29" i="1" s="1"/>
  <c r="N29" i="1"/>
  <c r="I29" i="1"/>
  <c r="D29" i="1"/>
  <c r="V29" i="1" s="1"/>
  <c r="CL28" i="1"/>
  <c r="CK28" i="1"/>
  <c r="CD28" i="1"/>
  <c r="BB28" i="1"/>
  <c r="BA28" i="1"/>
  <c r="AT28" i="1"/>
  <c r="R28" i="1"/>
  <c r="Q28" i="1"/>
  <c r="J28" i="1"/>
  <c r="I28" i="1" s="1"/>
  <c r="DA27" i="1"/>
  <c r="CT27" i="1"/>
  <c r="CS27" i="1"/>
  <c r="CW27" i="1" s="1"/>
  <c r="CH27" i="1"/>
  <c r="BX27" i="1"/>
  <c r="CP27" i="1" s="1"/>
  <c r="BW27" i="1"/>
  <c r="BQ27" i="1"/>
  <c r="BJ27" i="1"/>
  <c r="AX27" i="1"/>
  <c r="AS27" i="1"/>
  <c r="AW27" i="1" s="1"/>
  <c r="AN27" i="1"/>
  <c r="BF27" i="1" s="1"/>
  <c r="AG27" i="1"/>
  <c r="Z27" i="1"/>
  <c r="N27" i="1"/>
  <c r="I27" i="1"/>
  <c r="M27" i="1" s="1"/>
  <c r="D27" i="1"/>
  <c r="C27" i="1" s="1"/>
  <c r="DA26" i="1"/>
  <c r="CT26" i="1"/>
  <c r="CS26" i="1"/>
  <c r="CC26" i="1" s="1"/>
  <c r="CH26" i="1"/>
  <c r="BX26" i="1"/>
  <c r="CP26" i="1" s="1"/>
  <c r="BW26" i="1"/>
  <c r="BQ26" i="1"/>
  <c r="BJ26" i="1"/>
  <c r="BN26" i="1" s="1"/>
  <c r="AX26" i="1"/>
  <c r="AS26" i="1"/>
  <c r="AN26" i="1"/>
  <c r="BF26" i="1" s="1"/>
  <c r="AG26" i="1"/>
  <c r="Z26" i="1"/>
  <c r="Y26" i="1" s="1"/>
  <c r="N26" i="1"/>
  <c r="N25" i="1" s="1"/>
  <c r="I26" i="1"/>
  <c r="M26" i="1" s="1"/>
  <c r="D26" i="1"/>
  <c r="C26" i="1" s="1"/>
  <c r="CL25" i="1"/>
  <c r="CK25" i="1"/>
  <c r="CD25" i="1"/>
  <c r="BB25" i="1"/>
  <c r="BA25" i="1"/>
  <c r="AT25" i="1"/>
  <c r="R25" i="1"/>
  <c r="Q25" i="1"/>
  <c r="J25" i="1"/>
  <c r="I25" i="1" s="1"/>
  <c r="DA24" i="1"/>
  <c r="CX24" i="1"/>
  <c r="CS24" i="1"/>
  <c r="CC24" i="1" s="1"/>
  <c r="CH24" i="1"/>
  <c r="CH22" i="1" s="1"/>
  <c r="BX24" i="1"/>
  <c r="CP24" i="1" s="1"/>
  <c r="BW24" i="1"/>
  <c r="BQ24" i="1"/>
  <c r="BN24" i="1"/>
  <c r="BI24" i="1"/>
  <c r="AX24" i="1"/>
  <c r="AS24" i="1"/>
  <c r="AN24" i="1"/>
  <c r="AM24" i="1" s="1"/>
  <c r="AG24" i="1"/>
  <c r="AD24" i="1"/>
  <c r="Y24" i="1"/>
  <c r="N24" i="1"/>
  <c r="I24" i="1"/>
  <c r="M24" i="1" s="1"/>
  <c r="D24" i="1"/>
  <c r="AL24" i="1" s="1"/>
  <c r="DA23" i="1"/>
  <c r="CT23" i="1"/>
  <c r="CS23" i="1"/>
  <c r="CH23" i="1"/>
  <c r="BX23" i="1"/>
  <c r="CP23" i="1" s="1"/>
  <c r="BW23" i="1"/>
  <c r="BQ23" i="1"/>
  <c r="BJ23" i="1"/>
  <c r="BI23" i="1" s="1"/>
  <c r="BA23" i="1"/>
  <c r="BA22" i="1" s="1"/>
  <c r="AX23" i="1"/>
  <c r="AX22" i="1" s="1"/>
  <c r="AS23" i="1"/>
  <c r="AN23" i="1"/>
  <c r="AG23" i="1"/>
  <c r="Z23" i="1"/>
  <c r="Y23" i="1" s="1"/>
  <c r="R23" i="1"/>
  <c r="Q23" i="1" s="1"/>
  <c r="Q22" i="1" s="1"/>
  <c r="I23" i="1"/>
  <c r="D23" i="1"/>
  <c r="C23" i="1" s="1"/>
  <c r="DB22" i="1"/>
  <c r="CL22" i="1"/>
  <c r="CK22" i="1"/>
  <c r="CD22" i="1"/>
  <c r="BR22" i="1"/>
  <c r="BB22" i="1"/>
  <c r="AT22" i="1"/>
  <c r="AH22" i="1"/>
  <c r="J22" i="1"/>
  <c r="I22" i="1" s="1"/>
  <c r="DA21" i="1"/>
  <c r="CT21" i="1"/>
  <c r="CS21" i="1"/>
  <c r="CH21" i="1"/>
  <c r="BX21" i="1"/>
  <c r="BW21" i="1"/>
  <c r="BQ21" i="1"/>
  <c r="BJ21" i="1"/>
  <c r="AX21" i="1"/>
  <c r="AS21" i="1"/>
  <c r="AN21" i="1"/>
  <c r="AG21" i="1"/>
  <c r="Z21" i="1"/>
  <c r="Y21" i="1"/>
  <c r="N21" i="1"/>
  <c r="I21" i="1"/>
  <c r="D21" i="1"/>
  <c r="C21" i="1" s="1"/>
  <c r="DA20" i="1"/>
  <c r="CT20" i="1"/>
  <c r="CX20" i="1" s="1"/>
  <c r="CS20" i="1"/>
  <c r="CH20" i="1"/>
  <c r="CH19" i="1" s="1"/>
  <c r="BX20" i="1"/>
  <c r="CP20" i="1" s="1"/>
  <c r="BW20" i="1"/>
  <c r="BQ20" i="1"/>
  <c r="BJ20" i="1"/>
  <c r="AX20" i="1"/>
  <c r="AS20" i="1"/>
  <c r="AN20" i="1"/>
  <c r="AG20" i="1"/>
  <c r="Z20" i="1"/>
  <c r="Y20" i="1" s="1"/>
  <c r="N20" i="1"/>
  <c r="I20" i="1"/>
  <c r="D20" i="1"/>
  <c r="CL19" i="1"/>
  <c r="CK19" i="1"/>
  <c r="CD19" i="1"/>
  <c r="BB19" i="1"/>
  <c r="BA19" i="1"/>
  <c r="AX19" i="1"/>
  <c r="AT19" i="1"/>
  <c r="R19" i="1"/>
  <c r="Q19" i="1"/>
  <c r="J19" i="1"/>
  <c r="I19" i="1" s="1"/>
  <c r="DA18" i="1"/>
  <c r="CX18" i="1"/>
  <c r="CS18" i="1"/>
  <c r="CH18" i="1"/>
  <c r="BX18" i="1"/>
  <c r="CP18" i="1" s="1"/>
  <c r="BW18" i="1"/>
  <c r="BQ18" i="1"/>
  <c r="BN18" i="1"/>
  <c r="BI18" i="1"/>
  <c r="AX18" i="1"/>
  <c r="AS18" i="1"/>
  <c r="AW18" i="1" s="1"/>
  <c r="AN18" i="1"/>
  <c r="AM18" i="1" s="1"/>
  <c r="AG18" i="1"/>
  <c r="AD18" i="1"/>
  <c r="Y18" i="1"/>
  <c r="N18" i="1"/>
  <c r="I18" i="1"/>
  <c r="M18" i="1" s="1"/>
  <c r="D18" i="1"/>
  <c r="C18" i="1" s="1"/>
  <c r="DA17" i="1"/>
  <c r="CT17" i="1"/>
  <c r="CX17" i="1" s="1"/>
  <c r="CS17" i="1"/>
  <c r="CC17" i="1" s="1"/>
  <c r="CH17" i="1"/>
  <c r="CH16" i="1" s="1"/>
  <c r="BX17" i="1"/>
  <c r="BW17" i="1"/>
  <c r="BQ17" i="1"/>
  <c r="BJ17" i="1"/>
  <c r="BN17" i="1" s="1"/>
  <c r="AX17" i="1"/>
  <c r="AS17" i="1"/>
  <c r="AW17" i="1" s="1"/>
  <c r="AN17" i="1"/>
  <c r="BF17" i="1" s="1"/>
  <c r="AG17" i="1"/>
  <c r="Z17" i="1"/>
  <c r="N17" i="1"/>
  <c r="I17" i="1"/>
  <c r="M17" i="1" s="1"/>
  <c r="D17" i="1"/>
  <c r="C17" i="1" s="1"/>
  <c r="CL16" i="1"/>
  <c r="CK16" i="1"/>
  <c r="CD16" i="1"/>
  <c r="BB16" i="1"/>
  <c r="BA16" i="1"/>
  <c r="AT16" i="1"/>
  <c r="R16" i="1"/>
  <c r="Q16" i="1"/>
  <c r="J16" i="1"/>
  <c r="I16" i="1" s="1"/>
  <c r="DA15" i="1"/>
  <c r="CT15" i="1"/>
  <c r="CX15" i="1" s="1"/>
  <c r="CS15" i="1"/>
  <c r="CH15" i="1"/>
  <c r="BX15" i="1"/>
  <c r="CP15" i="1" s="1"/>
  <c r="BW15" i="1"/>
  <c r="BQ15" i="1"/>
  <c r="BJ15" i="1"/>
  <c r="AX15" i="1"/>
  <c r="AS15" i="1"/>
  <c r="AN15" i="1"/>
  <c r="AG15" i="1"/>
  <c r="Z15" i="1"/>
  <c r="AD15" i="1" s="1"/>
  <c r="Y15" i="1"/>
  <c r="N15" i="1"/>
  <c r="I15" i="1"/>
  <c r="M15" i="1" s="1"/>
  <c r="D15" i="1"/>
  <c r="C15" i="1" s="1"/>
  <c r="DA14" i="1"/>
  <c r="CT14" i="1"/>
  <c r="CX14" i="1" s="1"/>
  <c r="CS14" i="1"/>
  <c r="CC14" i="1" s="1"/>
  <c r="CH14" i="1"/>
  <c r="BX14" i="1"/>
  <c r="BW14" i="1"/>
  <c r="BQ14" i="1"/>
  <c r="BJ14" i="1"/>
  <c r="BI14" i="1"/>
  <c r="BM14" i="1" s="1"/>
  <c r="AX14" i="1"/>
  <c r="AS14" i="1"/>
  <c r="AW14" i="1" s="1"/>
  <c r="AN14" i="1"/>
  <c r="AM14" i="1" s="1"/>
  <c r="AG14" i="1"/>
  <c r="Z14" i="1"/>
  <c r="AD14" i="1" s="1"/>
  <c r="N14" i="1"/>
  <c r="I14" i="1"/>
  <c r="M14" i="1" s="1"/>
  <c r="D14" i="1"/>
  <c r="CL13" i="1"/>
  <c r="CK13" i="1"/>
  <c r="CD13" i="1"/>
  <c r="BR13" i="1"/>
  <c r="BB13" i="1"/>
  <c r="BA13" i="1"/>
  <c r="AT13" i="1"/>
  <c r="R13" i="1"/>
  <c r="Q13" i="1"/>
  <c r="J13" i="1"/>
  <c r="CS144" i="1" l="1"/>
  <c r="CS37" i="1"/>
  <c r="V35" i="1"/>
  <c r="DA25" i="1"/>
  <c r="AL35" i="1"/>
  <c r="AD35" i="1"/>
  <c r="C25" i="1"/>
  <c r="AN19" i="1"/>
  <c r="V23" i="1"/>
  <c r="CX13" i="1"/>
  <c r="AG43" i="1"/>
  <c r="AG54" i="1"/>
  <c r="CW21" i="1"/>
  <c r="CS93" i="1" s="1"/>
  <c r="D37" i="1"/>
  <c r="V37" i="1" s="1"/>
  <c r="BX57" i="1"/>
  <c r="AE68" i="1"/>
  <c r="AA68" i="1" s="1"/>
  <c r="DA34" i="1"/>
  <c r="Z46" i="1"/>
  <c r="AL46" i="1" s="1"/>
  <c r="Z34" i="1"/>
  <c r="AL34" i="1" s="1"/>
  <c r="BN34" i="1"/>
  <c r="BW51" i="1"/>
  <c r="BW57" i="1"/>
  <c r="CC63" i="1"/>
  <c r="CG63" i="1" s="1"/>
  <c r="CG80" i="1" s="1"/>
  <c r="G68" i="1"/>
  <c r="AL21" i="1"/>
  <c r="Y32" i="1"/>
  <c r="AC32" i="1" s="1"/>
  <c r="BV36" i="1"/>
  <c r="J71" i="1"/>
  <c r="V21" i="1"/>
  <c r="AM20" i="1"/>
  <c r="BE20" i="1" s="1"/>
  <c r="M23" i="1"/>
  <c r="M22" i="1" s="1"/>
  <c r="AC24" i="1"/>
  <c r="BN28" i="1"/>
  <c r="BX28" i="1"/>
  <c r="CP28" i="1" s="1"/>
  <c r="Y38" i="1"/>
  <c r="AC38" i="1" s="1"/>
  <c r="CH51" i="1"/>
  <c r="DA51" i="1"/>
  <c r="AQ67" i="1"/>
  <c r="AE75" i="1"/>
  <c r="AE79" i="1" s="1"/>
  <c r="AX34" i="1"/>
  <c r="AX28" i="1"/>
  <c r="DA16" i="1"/>
  <c r="BF19" i="1"/>
  <c r="AS28" i="1"/>
  <c r="BW25" i="1"/>
  <c r="N19" i="1"/>
  <c r="CW14" i="1"/>
  <c r="BV18" i="1"/>
  <c r="AN34" i="1"/>
  <c r="AL39" i="1"/>
  <c r="DF18" i="1"/>
  <c r="BI33" i="1"/>
  <c r="BM33" i="1" s="1"/>
  <c r="BI105" i="1" s="1"/>
  <c r="AM39" i="1"/>
  <c r="AM37" i="1" s="1"/>
  <c r="BE37" i="1" s="1"/>
  <c r="CZ81" i="1"/>
  <c r="DA19" i="1"/>
  <c r="BF18" i="1"/>
  <c r="AN13" i="1"/>
  <c r="BF13" i="1" s="1"/>
  <c r="M25" i="1"/>
  <c r="AS37" i="1"/>
  <c r="AN60" i="1"/>
  <c r="AF69" i="1"/>
  <c r="BO75" i="1"/>
  <c r="BO79" i="1" s="1"/>
  <c r="AM27" i="1"/>
  <c r="BE27" i="1" s="1"/>
  <c r="C36" i="1"/>
  <c r="U36" i="1" s="1"/>
  <c r="C52" i="1"/>
  <c r="C51" i="1" s="1"/>
  <c r="U51" i="1" s="1"/>
  <c r="AC53" i="1"/>
  <c r="Y35" i="1"/>
  <c r="AC35" i="1" s="1"/>
  <c r="AM54" i="1"/>
  <c r="AL53" i="1"/>
  <c r="DF81" i="1"/>
  <c r="BI70" i="1"/>
  <c r="BU70" i="1" s="1"/>
  <c r="CT31" i="1"/>
  <c r="DF31" i="1" s="1"/>
  <c r="D34" i="1"/>
  <c r="BX43" i="1"/>
  <c r="CD44" i="1" s="1"/>
  <c r="CD49" i="1" s="1"/>
  <c r="CH69" i="1"/>
  <c r="BQ22" i="1"/>
  <c r="CT19" i="1"/>
  <c r="CS22" i="1"/>
  <c r="DA22" i="1"/>
  <c r="BQ25" i="1"/>
  <c r="AX51" i="1"/>
  <c r="CX67" i="1"/>
  <c r="CX81" i="1" s="1"/>
  <c r="AK21" i="1"/>
  <c r="BI17" i="1"/>
  <c r="BM17" i="1" s="1"/>
  <c r="BX31" i="1"/>
  <c r="CP31" i="1" s="1"/>
  <c r="CO32" i="1"/>
  <c r="CP33" i="1"/>
  <c r="AT40" i="1"/>
  <c r="CH82" i="1"/>
  <c r="CH31" i="1"/>
  <c r="CP39" i="1"/>
  <c r="CS13" i="1"/>
  <c r="DE32" i="1"/>
  <c r="BN70" i="1"/>
  <c r="AD34" i="1"/>
  <c r="V36" i="1"/>
  <c r="CS54" i="1"/>
  <c r="X68" i="1"/>
  <c r="CX38" i="1"/>
  <c r="CX37" i="1" s="1"/>
  <c r="AW23" i="1"/>
  <c r="BX25" i="1"/>
  <c r="CP25" i="1" s="1"/>
  <c r="BJ28" i="1"/>
  <c r="AG34" i="1"/>
  <c r="CD40" i="1"/>
  <c r="Y47" i="1"/>
  <c r="Y46" i="1" s="1"/>
  <c r="AK46" i="1" s="1"/>
  <c r="BQ51" i="1"/>
  <c r="CT54" i="1"/>
  <c r="Y68" i="1"/>
  <c r="CB69" i="1"/>
  <c r="N13" i="1"/>
  <c r="Z22" i="1"/>
  <c r="BJ54" i="1"/>
  <c r="D31" i="1"/>
  <c r="V31" i="1" s="1"/>
  <c r="AH40" i="1"/>
  <c r="BW43" i="1"/>
  <c r="BX51" i="1"/>
  <c r="CP51" i="1" s="1"/>
  <c r="BQ54" i="1"/>
  <c r="AN57" i="1"/>
  <c r="BL67" i="1"/>
  <c r="BL81" i="1" s="1"/>
  <c r="BV35" i="1"/>
  <c r="DB40" i="1"/>
  <c r="BO67" i="1"/>
  <c r="BO81" i="1" s="1"/>
  <c r="AW34" i="1"/>
  <c r="AM36" i="1"/>
  <c r="CX44" i="1"/>
  <c r="BI63" i="1"/>
  <c r="BU63" i="1" s="1"/>
  <c r="BX22" i="1"/>
  <c r="CP22" i="1" s="1"/>
  <c r="AL33" i="1"/>
  <c r="BJ34" i="1"/>
  <c r="BI47" i="1"/>
  <c r="BV63" i="1"/>
  <c r="M67" i="1"/>
  <c r="M81" i="1" s="1"/>
  <c r="I152" i="1" s="1"/>
  <c r="Y72" i="1"/>
  <c r="AK72" i="1" s="1"/>
  <c r="E73" i="1"/>
  <c r="AC20" i="1"/>
  <c r="CS28" i="1"/>
  <c r="DE28" i="1" s="1"/>
  <c r="AS31" i="1"/>
  <c r="BF39" i="1"/>
  <c r="AC71" i="1"/>
  <c r="AX31" i="1"/>
  <c r="BN47" i="1"/>
  <c r="BN46" i="1" s="1"/>
  <c r="V53" i="1"/>
  <c r="BN68" i="1"/>
  <c r="BN82" i="1" s="1"/>
  <c r="AD72" i="1"/>
  <c r="Y73" i="1"/>
  <c r="AC73" i="1" s="1"/>
  <c r="BF15" i="1"/>
  <c r="N16" i="1"/>
  <c r="BX13" i="1"/>
  <c r="CP13" i="1" s="1"/>
  <c r="DF24" i="1"/>
  <c r="BJ37" i="1"/>
  <c r="BV37" i="1" s="1"/>
  <c r="CS43" i="1"/>
  <c r="CC23" i="1"/>
  <c r="CC22" i="1" s="1"/>
  <c r="BV15" i="1"/>
  <c r="AG25" i="1"/>
  <c r="BF20" i="1"/>
  <c r="AS25" i="1"/>
  <c r="AM17" i="1"/>
  <c r="AM16" i="1" s="1"/>
  <c r="Z19" i="1"/>
  <c r="BV21" i="1"/>
  <c r="Z31" i="1"/>
  <c r="BX37" i="1"/>
  <c r="DF37" i="1" s="1"/>
  <c r="BM39" i="1"/>
  <c r="BJ46" i="1"/>
  <c r="BV46" i="1" s="1"/>
  <c r="N51" i="1"/>
  <c r="AD53" i="1"/>
  <c r="CY69" i="1"/>
  <c r="CU69" i="1" s="1"/>
  <c r="AD73" i="1"/>
  <c r="DE14" i="1"/>
  <c r="BQ19" i="1"/>
  <c r="N28" i="1"/>
  <c r="AN43" i="1"/>
  <c r="AT44" i="1" s="1"/>
  <c r="BF44" i="1" s="1"/>
  <c r="AL52" i="1"/>
  <c r="CX63" i="1"/>
  <c r="CX80" i="1" s="1"/>
  <c r="AK18" i="1"/>
  <c r="U18" i="1"/>
  <c r="AD69" i="1"/>
  <c r="BI37" i="1"/>
  <c r="BM38" i="1"/>
  <c r="V24" i="1"/>
  <c r="DA43" i="1"/>
  <c r="AL20" i="1"/>
  <c r="DF20" i="1"/>
  <c r="AW26" i="1"/>
  <c r="AW25" i="1" s="1"/>
  <c r="AS97" i="1" s="1"/>
  <c r="AS13" i="1"/>
  <c r="BF14" i="1"/>
  <c r="V15" i="1"/>
  <c r="BF24" i="1"/>
  <c r="BI26" i="1"/>
  <c r="BM26" i="1" s="1"/>
  <c r="BI98" i="1" s="1"/>
  <c r="BB64" i="1"/>
  <c r="BB76" i="1" s="1"/>
  <c r="AD44" i="1"/>
  <c r="AD43" i="1" s="1"/>
  <c r="AM45" i="1"/>
  <c r="AM43" i="1" s="1"/>
  <c r="AS46" i="1"/>
  <c r="AS118" i="1" s="1"/>
  <c r="C55" i="1"/>
  <c r="C54" i="1" s="1"/>
  <c r="BS64" i="1"/>
  <c r="BS87" i="1" s="1"/>
  <c r="AE67" i="1"/>
  <c r="AE81" i="1" s="1"/>
  <c r="AQ68" i="1"/>
  <c r="AQ82" i="1" s="1"/>
  <c r="BJ75" i="1"/>
  <c r="BJ79" i="1" s="1"/>
  <c r="BV79" i="1" s="1"/>
  <c r="BM18" i="1"/>
  <c r="BI90" i="1" s="1"/>
  <c r="DF38" i="1"/>
  <c r="AL67" i="1"/>
  <c r="BQ75" i="1"/>
  <c r="BQ79" i="1" s="1"/>
  <c r="BL75" i="1"/>
  <c r="BL79" i="1" s="1"/>
  <c r="BN15" i="1"/>
  <c r="BW28" i="1"/>
  <c r="AD37" i="1"/>
  <c r="C39" i="1"/>
  <c r="U39" i="1" s="1"/>
  <c r="BV45" i="1"/>
  <c r="AK56" i="1"/>
  <c r="CV64" i="1"/>
  <c r="AY68" i="1"/>
  <c r="AY82" i="1" s="1"/>
  <c r="U35" i="1"/>
  <c r="AG37" i="1"/>
  <c r="AD52" i="1"/>
  <c r="AD51" i="1" s="1"/>
  <c r="DE53" i="1"/>
  <c r="AC56" i="1"/>
  <c r="D22" i="1"/>
  <c r="V22" i="1" s="1"/>
  <c r="BU18" i="1"/>
  <c r="N23" i="1"/>
  <c r="N22" i="1" s="1"/>
  <c r="CH28" i="1"/>
  <c r="V33" i="1"/>
  <c r="Z51" i="1"/>
  <c r="AD56" i="1"/>
  <c r="BN63" i="1"/>
  <c r="BN80" i="1" s="1"/>
  <c r="CZ69" i="1"/>
  <c r="CV69" i="1" s="1"/>
  <c r="BH68" i="1"/>
  <c r="BI72" i="1"/>
  <c r="BU72" i="1" s="1"/>
  <c r="DE30" i="1"/>
  <c r="CG32" i="1"/>
  <c r="CC104" i="1" s="1"/>
  <c r="CP36" i="1"/>
  <c r="BN38" i="1"/>
  <c r="BN37" i="1" s="1"/>
  <c r="DA37" i="1"/>
  <c r="AW16" i="1"/>
  <c r="BJ13" i="1"/>
  <c r="BV13" i="1" s="1"/>
  <c r="AC15" i="1"/>
  <c r="AX16" i="1"/>
  <c r="BW13" i="1"/>
  <c r="BN16" i="1"/>
  <c r="AD21" i="1"/>
  <c r="R22" i="1"/>
  <c r="BV30" i="1"/>
  <c r="BQ43" i="1"/>
  <c r="BI55" i="1"/>
  <c r="Z69" i="1"/>
  <c r="AL69" i="1" s="1"/>
  <c r="BI73" i="1"/>
  <c r="CT75" i="1"/>
  <c r="CT79" i="1" s="1"/>
  <c r="DF79" i="1" s="1"/>
  <c r="BI15" i="1"/>
  <c r="BI13" i="1" s="1"/>
  <c r="BX16" i="1"/>
  <c r="CP16" i="1" s="1"/>
  <c r="DA28" i="1"/>
  <c r="CC30" i="1"/>
  <c r="CO30" i="1" s="1"/>
  <c r="AS34" i="1"/>
  <c r="CW39" i="1"/>
  <c r="CS111" i="1" s="1"/>
  <c r="DF45" i="1"/>
  <c r="BN55" i="1"/>
  <c r="AY67" i="1"/>
  <c r="AY81" i="1" s="1"/>
  <c r="BO68" i="1"/>
  <c r="BK68" i="1" s="1"/>
  <c r="BG68" i="1" s="1"/>
  <c r="E71" i="1"/>
  <c r="BV72" i="1"/>
  <c r="BN73" i="1"/>
  <c r="CH74" i="1"/>
  <c r="CT46" i="1"/>
  <c r="DF46" i="1" s="1"/>
  <c r="AN54" i="1"/>
  <c r="O68" i="1"/>
  <c r="O82" i="1" s="1"/>
  <c r="AB69" i="1"/>
  <c r="BV55" i="1"/>
  <c r="U30" i="1"/>
  <c r="CW30" i="1"/>
  <c r="BX34" i="1"/>
  <c r="CP34" i="1" s="1"/>
  <c r="BX54" i="1"/>
  <c r="CD56" i="1" s="1"/>
  <c r="DA54" i="1"/>
  <c r="AB64" i="1"/>
  <c r="AA87" i="1" s="1"/>
  <c r="CT43" i="1"/>
  <c r="DF43" i="1" s="1"/>
  <c r="DF14" i="1"/>
  <c r="DF17" i="1"/>
  <c r="V30" i="1"/>
  <c r="BB40" i="1"/>
  <c r="AC45" i="1"/>
  <c r="DF47" i="1"/>
  <c r="BI35" i="1"/>
  <c r="BU35" i="1" s="1"/>
  <c r="DE36" i="1"/>
  <c r="CP52" i="1"/>
  <c r="BN53" i="1"/>
  <c r="BN51" i="1" s="1"/>
  <c r="CS127" i="1"/>
  <c r="AF76" i="1"/>
  <c r="Y67" i="1"/>
  <c r="AK67" i="1" s="1"/>
  <c r="CR68" i="1"/>
  <c r="AS141" i="1"/>
  <c r="AW28" i="1"/>
  <c r="AS100" i="1" s="1"/>
  <c r="Y44" i="1"/>
  <c r="U25" i="1"/>
  <c r="BW42" i="1"/>
  <c r="BW50" i="1" s="1"/>
  <c r="CT16" i="1"/>
  <c r="DF16" i="1" s="1"/>
  <c r="AB67" i="1"/>
  <c r="AB81" i="1" s="1"/>
  <c r="CR67" i="1"/>
  <c r="CR81" i="1" s="1"/>
  <c r="D42" i="1"/>
  <c r="D50" i="1" s="1"/>
  <c r="M16" i="1"/>
  <c r="AL32" i="1"/>
  <c r="CX32" i="1"/>
  <c r="CX31" i="1" s="1"/>
  <c r="AL45" i="1"/>
  <c r="D51" i="1"/>
  <c r="BA75" i="1"/>
  <c r="BA79" i="1" s="1"/>
  <c r="J73" i="1"/>
  <c r="N73" i="1" s="1"/>
  <c r="AD13" i="1"/>
  <c r="BM23" i="1"/>
  <c r="BI22" i="1"/>
  <c r="C16" i="1"/>
  <c r="U17" i="1"/>
  <c r="M13" i="1"/>
  <c r="BE14" i="1"/>
  <c r="CT77" i="1"/>
  <c r="CT41" i="1"/>
  <c r="CT13" i="1"/>
  <c r="DF13" i="1" s="1"/>
  <c r="DE17" i="1"/>
  <c r="BJ22" i="1"/>
  <c r="CX23" i="1"/>
  <c r="CX22" i="1" s="1"/>
  <c r="CT22" i="1"/>
  <c r="DE20" i="1"/>
  <c r="CW20" i="1"/>
  <c r="CS19" i="1"/>
  <c r="AX41" i="1"/>
  <c r="AX13" i="1"/>
  <c r="DA77" i="1"/>
  <c r="DA41" i="1"/>
  <c r="DA13" i="1"/>
  <c r="AC18" i="1"/>
  <c r="AK23" i="1"/>
  <c r="Y22" i="1"/>
  <c r="AC23" i="1"/>
  <c r="DF23" i="1"/>
  <c r="AD31" i="1"/>
  <c r="BW16" i="1"/>
  <c r="BE17" i="1"/>
  <c r="AS16" i="1"/>
  <c r="BM29" i="1"/>
  <c r="BI101" i="1" s="1"/>
  <c r="CC18" i="1"/>
  <c r="CC16" i="1" s="1"/>
  <c r="AW21" i="1"/>
  <c r="AS93" i="1" s="1"/>
  <c r="BQ78" i="1"/>
  <c r="BQ42" i="1"/>
  <c r="BQ50" i="1" s="1"/>
  <c r="BQ66" i="1" s="1"/>
  <c r="BQ13" i="1"/>
  <c r="AG16" i="1"/>
  <c r="CW18" i="1"/>
  <c r="CS90" i="1" s="1"/>
  <c r="BF23" i="1"/>
  <c r="AN22" i="1"/>
  <c r="AM23" i="1"/>
  <c r="BJ77" i="1"/>
  <c r="BJ41" i="1"/>
  <c r="AS19" i="1"/>
  <c r="AW20" i="1"/>
  <c r="AS95" i="1"/>
  <c r="CS99" i="1"/>
  <c r="I13" i="1"/>
  <c r="CO26" i="1"/>
  <c r="CG26" i="1"/>
  <c r="BN14" i="1"/>
  <c r="DE18" i="1"/>
  <c r="U15" i="1"/>
  <c r="V17" i="1"/>
  <c r="Z13" i="1"/>
  <c r="Z78" i="1"/>
  <c r="Z42" i="1"/>
  <c r="AL15" i="1"/>
  <c r="BX42" i="1"/>
  <c r="CP42" i="1" s="1"/>
  <c r="CS16" i="1"/>
  <c r="BV17" i="1"/>
  <c r="BE18" i="1"/>
  <c r="BV20" i="1"/>
  <c r="BN20" i="1"/>
  <c r="BI20" i="1"/>
  <c r="CH37" i="1"/>
  <c r="BV23" i="1"/>
  <c r="BN23" i="1"/>
  <c r="BN22" i="1" s="1"/>
  <c r="AK26" i="1"/>
  <c r="AL27" i="1"/>
  <c r="AD27" i="1"/>
  <c r="Y27" i="1"/>
  <c r="Y25" i="1" s="1"/>
  <c r="AK25" i="1" s="1"/>
  <c r="BX19" i="1"/>
  <c r="CP19" i="1" s="1"/>
  <c r="CP21" i="1"/>
  <c r="BU24" i="1"/>
  <c r="AK15" i="1"/>
  <c r="AL17" i="1"/>
  <c r="Y17" i="1"/>
  <c r="Z16" i="1"/>
  <c r="CG17" i="1"/>
  <c r="CC89" i="1" s="1"/>
  <c r="C20" i="1"/>
  <c r="U20" i="1" s="1"/>
  <c r="BW19" i="1"/>
  <c r="AG22" i="1"/>
  <c r="AC26" i="1"/>
  <c r="AG78" i="1"/>
  <c r="AG42" i="1"/>
  <c r="AG50" i="1" s="1"/>
  <c r="AG66" i="1" s="1"/>
  <c r="CH42" i="1"/>
  <c r="BX41" i="1"/>
  <c r="CP14" i="1"/>
  <c r="AN42" i="1"/>
  <c r="AM15" i="1"/>
  <c r="AM13" i="1" s="1"/>
  <c r="D16" i="1"/>
  <c r="V16" i="1" s="1"/>
  <c r="M21" i="1"/>
  <c r="U21" i="1"/>
  <c r="U23" i="1"/>
  <c r="M31" i="1"/>
  <c r="AG13" i="1"/>
  <c r="BW41" i="1"/>
  <c r="AG77" i="1"/>
  <c r="AG41" i="1"/>
  <c r="CO14" i="1"/>
  <c r="M20" i="1"/>
  <c r="CG14" i="1"/>
  <c r="BI16" i="1"/>
  <c r="BU16" i="1" s="1"/>
  <c r="CP17" i="1"/>
  <c r="V18" i="1"/>
  <c r="AL18" i="1"/>
  <c r="CC20" i="1"/>
  <c r="DF21" i="1"/>
  <c r="CX21" i="1"/>
  <c r="CX19" i="1" s="1"/>
  <c r="AS22" i="1"/>
  <c r="CO24" i="1"/>
  <c r="CG24" i="1"/>
  <c r="CC96" i="1" s="1"/>
  <c r="D41" i="1"/>
  <c r="D13" i="1"/>
  <c r="C14" i="1"/>
  <c r="U14" i="1" s="1"/>
  <c r="BU14" i="1"/>
  <c r="V14" i="1"/>
  <c r="CS78" i="1"/>
  <c r="CS42" i="1"/>
  <c r="CC15" i="1"/>
  <c r="DE15" i="1"/>
  <c r="AD17" i="1"/>
  <c r="CO17" i="1"/>
  <c r="CH41" i="1"/>
  <c r="CH13" i="1"/>
  <c r="AS42" i="1"/>
  <c r="CW15" i="1"/>
  <c r="BJ16" i="1"/>
  <c r="AC21" i="1"/>
  <c r="Y19" i="1"/>
  <c r="BV14" i="1"/>
  <c r="Z77" i="1"/>
  <c r="Z41" i="1"/>
  <c r="AL14" i="1"/>
  <c r="Y14" i="1"/>
  <c r="AN41" i="1"/>
  <c r="CS86" i="1"/>
  <c r="CS77" i="1"/>
  <c r="CS41" i="1"/>
  <c r="AW15" i="1"/>
  <c r="AW13" i="1" s="1"/>
  <c r="BQ16" i="1"/>
  <c r="CX16" i="1"/>
  <c r="D19" i="1"/>
  <c r="BJ19" i="1"/>
  <c r="BV19" i="1" s="1"/>
  <c r="V20" i="1"/>
  <c r="BN21" i="1"/>
  <c r="BI21" i="1"/>
  <c r="DA78" i="1"/>
  <c r="DA42" i="1"/>
  <c r="DA50" i="1" s="1"/>
  <c r="DA66" i="1" s="1"/>
  <c r="N42" i="1"/>
  <c r="BJ78" i="1"/>
  <c r="BJ42" i="1"/>
  <c r="AS41" i="1"/>
  <c r="DF15" i="1"/>
  <c r="AG19" i="1"/>
  <c r="CC27" i="1"/>
  <c r="CC25" i="1" s="1"/>
  <c r="C29" i="1"/>
  <c r="D28" i="1"/>
  <c r="BV24" i="1"/>
  <c r="AL23" i="1"/>
  <c r="AD23" i="1"/>
  <c r="AG31" i="1"/>
  <c r="R34" i="1"/>
  <c r="Q35" i="1"/>
  <c r="Q41" i="1" s="1"/>
  <c r="N35" i="1"/>
  <c r="Z25" i="1"/>
  <c r="V26" i="1"/>
  <c r="BV26" i="1"/>
  <c r="M29" i="1"/>
  <c r="BQ28" i="1"/>
  <c r="AN16" i="1"/>
  <c r="DF27" i="1"/>
  <c r="CX27" i="1"/>
  <c r="DE33" i="1"/>
  <c r="CW33" i="1"/>
  <c r="CW31" i="1" s="1"/>
  <c r="CC33" i="1"/>
  <c r="CX35" i="1"/>
  <c r="CX34" i="1" s="1"/>
  <c r="DF35" i="1"/>
  <c r="CT34" i="1"/>
  <c r="DF34" i="1" s="1"/>
  <c r="AD26" i="1"/>
  <c r="CP30" i="1"/>
  <c r="BQ77" i="1"/>
  <c r="BQ41" i="1"/>
  <c r="AM21" i="1"/>
  <c r="CC21" i="1"/>
  <c r="AS99" i="1"/>
  <c r="DE27" i="1"/>
  <c r="Z28" i="1"/>
  <c r="AN31" i="1"/>
  <c r="BF31" i="1" s="1"/>
  <c r="AM32" i="1"/>
  <c r="DF32" i="1"/>
  <c r="V34" i="1"/>
  <c r="I34" i="1"/>
  <c r="CO36" i="1"/>
  <c r="CG36" i="1"/>
  <c r="CC108" i="1" s="1"/>
  <c r="BU38" i="1"/>
  <c r="CW24" i="1"/>
  <c r="CS96" i="1" s="1"/>
  <c r="AN25" i="1"/>
  <c r="AL26" i="1"/>
  <c r="CH25" i="1"/>
  <c r="AL30" i="1"/>
  <c r="Y30" i="1"/>
  <c r="BW22" i="1"/>
  <c r="CW23" i="1"/>
  <c r="CS95" i="1" s="1"/>
  <c r="AM26" i="1"/>
  <c r="U27" i="1"/>
  <c r="DE29" i="1"/>
  <c r="CC29" i="1"/>
  <c r="BA31" i="1"/>
  <c r="BA77" i="1"/>
  <c r="BA41" i="1"/>
  <c r="AW24" i="1"/>
  <c r="AW22" i="1" s="1"/>
  <c r="DE26" i="1"/>
  <c r="BI27" i="1"/>
  <c r="BJ25" i="1"/>
  <c r="BV27" i="1"/>
  <c r="AM29" i="1"/>
  <c r="BU29" i="1" s="1"/>
  <c r="AN28" i="1"/>
  <c r="BV29" i="1"/>
  <c r="DF29" i="1"/>
  <c r="CT28" i="1"/>
  <c r="AD30" i="1"/>
  <c r="AD28" i="1" s="1"/>
  <c r="DF30" i="1"/>
  <c r="CW17" i="1"/>
  <c r="BF21" i="1"/>
  <c r="DE21" i="1"/>
  <c r="DE24" i="1"/>
  <c r="D25" i="1"/>
  <c r="V25" i="1" s="1"/>
  <c r="DF26" i="1"/>
  <c r="CT25" i="1"/>
  <c r="DF25" i="1" s="1"/>
  <c r="CX26" i="1"/>
  <c r="BN27" i="1"/>
  <c r="BN25" i="1" s="1"/>
  <c r="CW29" i="1"/>
  <c r="BV32" i="1"/>
  <c r="BJ31" i="1"/>
  <c r="BI32" i="1"/>
  <c r="AX42" i="1"/>
  <c r="CT78" i="1"/>
  <c r="CT42" i="1"/>
  <c r="DE23" i="1"/>
  <c r="BE24" i="1"/>
  <c r="CS25" i="1"/>
  <c r="CW26" i="1"/>
  <c r="CW25" i="1" s="1"/>
  <c r="CX29" i="1"/>
  <c r="BN32" i="1"/>
  <c r="BN31" i="1" s="1"/>
  <c r="AX25" i="1"/>
  <c r="BF34" i="1"/>
  <c r="Q77" i="1"/>
  <c r="BM24" i="1"/>
  <c r="U26" i="1"/>
  <c r="BQ46" i="1"/>
  <c r="AD20" i="1"/>
  <c r="R77" i="1"/>
  <c r="R41" i="1"/>
  <c r="V27" i="1"/>
  <c r="V32" i="1"/>
  <c r="C32" i="1"/>
  <c r="BM44" i="1"/>
  <c r="BU44" i="1"/>
  <c r="BI43" i="1"/>
  <c r="U33" i="1"/>
  <c r="DE35" i="1"/>
  <c r="CX30" i="1"/>
  <c r="BW31" i="1"/>
  <c r="Y33" i="1"/>
  <c r="BV33" i="1"/>
  <c r="CW35" i="1"/>
  <c r="BR65" i="1"/>
  <c r="CO43" i="1"/>
  <c r="C43" i="1"/>
  <c r="BV34" i="1"/>
  <c r="DE38" i="1"/>
  <c r="CW38" i="1"/>
  <c r="BR40" i="1"/>
  <c r="BR50" i="1"/>
  <c r="BR66" i="1" s="1"/>
  <c r="C24" i="1"/>
  <c r="AL29" i="1"/>
  <c r="BI30" i="1"/>
  <c r="BI28" i="1" s="1"/>
  <c r="AW32" i="1"/>
  <c r="AS104" i="1" s="1"/>
  <c r="BE35" i="1"/>
  <c r="Q43" i="1"/>
  <c r="CC116" i="1"/>
  <c r="CO44" i="1"/>
  <c r="CS104" i="1"/>
  <c r="BE39" i="1"/>
  <c r="AW39" i="1"/>
  <c r="AS111" i="1" s="1"/>
  <c r="R43" i="1"/>
  <c r="CO45" i="1"/>
  <c r="CG45" i="1"/>
  <c r="CG43" i="1" s="1"/>
  <c r="CC115" i="1" s="1"/>
  <c r="BM36" i="1"/>
  <c r="BQ34" i="1"/>
  <c r="BV38" i="1"/>
  <c r="CK50" i="1"/>
  <c r="CK66" i="1" s="1"/>
  <c r="CK40" i="1"/>
  <c r="BB48" i="1"/>
  <c r="CO53" i="1"/>
  <c r="CG53" i="1"/>
  <c r="CC125" i="1" s="1"/>
  <c r="BW34" i="1"/>
  <c r="CX53" i="1"/>
  <c r="DF53" i="1"/>
  <c r="CK65" i="1"/>
  <c r="AS101" i="1"/>
  <c r="AM33" i="1"/>
  <c r="CL65" i="1"/>
  <c r="CL64" i="1" s="1"/>
  <c r="CL48" i="1"/>
  <c r="I42" i="1"/>
  <c r="CW52" i="1"/>
  <c r="CC52" i="1"/>
  <c r="DE52" i="1"/>
  <c r="CS51" i="1"/>
  <c r="DF52" i="1"/>
  <c r="CT51" i="1"/>
  <c r="CX52" i="1"/>
  <c r="AM34" i="1"/>
  <c r="AC36" i="1"/>
  <c r="BF38" i="1"/>
  <c r="I41" i="1"/>
  <c r="J40" i="1"/>
  <c r="AL55" i="1"/>
  <c r="Z54" i="1"/>
  <c r="AL54" i="1" s="1"/>
  <c r="Y55" i="1"/>
  <c r="AD55" i="1"/>
  <c r="CS31" i="1"/>
  <c r="AW33" i="1"/>
  <c r="AS105" i="1" s="1"/>
  <c r="AX44" i="1"/>
  <c r="AS44" i="1"/>
  <c r="AK45" i="1"/>
  <c r="AM30" i="1"/>
  <c r="BF37" i="1"/>
  <c r="DB50" i="1"/>
  <c r="CC35" i="1"/>
  <c r="C38" i="1"/>
  <c r="U38" i="1" s="1"/>
  <c r="BQ37" i="1"/>
  <c r="N37" i="1"/>
  <c r="M38" i="1"/>
  <c r="CO39" i="1"/>
  <c r="CG39" i="1"/>
  <c r="CC111" i="1" s="1"/>
  <c r="BV44" i="1"/>
  <c r="BJ43" i="1"/>
  <c r="AG51" i="1"/>
  <c r="BF35" i="1"/>
  <c r="CW36" i="1"/>
  <c r="CS108" i="1" s="1"/>
  <c r="BN44" i="1"/>
  <c r="BM45" i="1"/>
  <c r="AT49" i="1"/>
  <c r="AS102" i="1"/>
  <c r="CS102" i="1"/>
  <c r="CS34" i="1"/>
  <c r="AS108" i="1"/>
  <c r="BW37" i="1"/>
  <c r="CC38" i="1"/>
  <c r="V51" i="1"/>
  <c r="AM52" i="1"/>
  <c r="BE52" i="1" s="1"/>
  <c r="BF52" i="1"/>
  <c r="AS110" i="1"/>
  <c r="AC39" i="1"/>
  <c r="M47" i="1"/>
  <c r="I119" i="1" s="1"/>
  <c r="CC47" i="1"/>
  <c r="BF53" i="1"/>
  <c r="CL40" i="1"/>
  <c r="AG46" i="1"/>
  <c r="CS46" i="1"/>
  <c r="BE38" i="1"/>
  <c r="AT45" i="1"/>
  <c r="AT43" i="1" s="1"/>
  <c r="BF43" i="1" s="1"/>
  <c r="CW47" i="1"/>
  <c r="CW46" i="1" s="1"/>
  <c r="AW52" i="1"/>
  <c r="AW51" i="1" s="1"/>
  <c r="AS125" i="1"/>
  <c r="BE53" i="1"/>
  <c r="N55" i="1"/>
  <c r="I55" i="1"/>
  <c r="C57" i="1"/>
  <c r="AC47" i="1"/>
  <c r="AL44" i="1"/>
  <c r="AN51" i="1"/>
  <c r="BI52" i="1"/>
  <c r="BJ51" i="1"/>
  <c r="BV52" i="1"/>
  <c r="AM57" i="1"/>
  <c r="CW45" i="1"/>
  <c r="CS117" i="1" s="1"/>
  <c r="DE47" i="1"/>
  <c r="BU53" i="1"/>
  <c r="D43" i="1"/>
  <c r="CX45" i="1"/>
  <c r="AH48" i="1"/>
  <c r="AS51" i="1"/>
  <c r="BM53" i="1"/>
  <c r="BI125" i="1" s="1"/>
  <c r="DE45" i="1"/>
  <c r="U53" i="1"/>
  <c r="AS119" i="1"/>
  <c r="M52" i="1"/>
  <c r="Z37" i="1"/>
  <c r="DE39" i="1"/>
  <c r="BN45" i="1"/>
  <c r="DE44" i="1"/>
  <c r="DF55" i="1"/>
  <c r="BI111" i="1"/>
  <c r="CW44" i="1"/>
  <c r="Y52" i="1"/>
  <c r="AK53" i="1"/>
  <c r="V55" i="1"/>
  <c r="AS107" i="1"/>
  <c r="AL38" i="1"/>
  <c r="AH64" i="1"/>
  <c r="AH76" i="1" s="1"/>
  <c r="CW53" i="1"/>
  <c r="CS125" i="1" s="1"/>
  <c r="CX56" i="1"/>
  <c r="CX54" i="1" s="1"/>
  <c r="DF56" i="1"/>
  <c r="DE80" i="1"/>
  <c r="CV79" i="1"/>
  <c r="BV53" i="1"/>
  <c r="DE55" i="1"/>
  <c r="AL56" i="1"/>
  <c r="BI56" i="1"/>
  <c r="BN56" i="1"/>
  <c r="BV56" i="1"/>
  <c r="BX60" i="1"/>
  <c r="BI82" i="1"/>
  <c r="BU82" i="1" s="1"/>
  <c r="BU68" i="1"/>
  <c r="BM68" i="1"/>
  <c r="BM82" i="1" s="1"/>
  <c r="D57" i="1"/>
  <c r="G82" i="1"/>
  <c r="G140" i="1"/>
  <c r="G139" i="1"/>
  <c r="G81" i="1"/>
  <c r="G69" i="1"/>
  <c r="J56" i="1"/>
  <c r="J54" i="1" s="1"/>
  <c r="AI87" i="1"/>
  <c r="AI76" i="1"/>
  <c r="BI81" i="1"/>
  <c r="BU67" i="1"/>
  <c r="BI69" i="1"/>
  <c r="BM67" i="1"/>
  <c r="BW54" i="1"/>
  <c r="DE56" i="1"/>
  <c r="CW56" i="1"/>
  <c r="CS128" i="1" s="1"/>
  <c r="CC56" i="1"/>
  <c r="BO87" i="1"/>
  <c r="CF76" i="1"/>
  <c r="CF84" i="1" s="1"/>
  <c r="BV67" i="1"/>
  <c r="I69" i="1"/>
  <c r="CS75" i="1"/>
  <c r="CW70" i="1"/>
  <c r="BS76" i="1"/>
  <c r="BS88" i="1" s="1"/>
  <c r="C61" i="1"/>
  <c r="BL64" i="1"/>
  <c r="AS82" i="1"/>
  <c r="M70" i="1"/>
  <c r="I141" i="1" s="1"/>
  <c r="CX70" i="1"/>
  <c r="AQ139" i="1"/>
  <c r="AQ81" i="1"/>
  <c r="AQ69" i="1"/>
  <c r="AR69" i="1"/>
  <c r="CX69" i="1"/>
  <c r="DE70" i="1"/>
  <c r="BI71" i="1"/>
  <c r="AT71" i="1"/>
  <c r="BV71" i="1"/>
  <c r="AW68" i="1"/>
  <c r="AW82" i="1" s="1"/>
  <c r="CS82" i="1"/>
  <c r="DE82" i="1" s="1"/>
  <c r="CQ68" i="1"/>
  <c r="DE68" i="1"/>
  <c r="CW68" i="1"/>
  <c r="CW82" i="1" s="1"/>
  <c r="N69" i="1"/>
  <c r="AS69" i="1"/>
  <c r="BE69" i="1" s="1"/>
  <c r="Z75" i="1"/>
  <c r="Y70" i="1"/>
  <c r="AL70" i="1"/>
  <c r="DF70" i="1"/>
  <c r="CT82" i="1"/>
  <c r="DF82" i="1" s="1"/>
  <c r="DF68" i="1"/>
  <c r="BW60" i="1"/>
  <c r="AM61" i="1"/>
  <c r="C62" i="1"/>
  <c r="CJ81" i="1"/>
  <c r="CJ69" i="1"/>
  <c r="AU79" i="1"/>
  <c r="AJ76" i="1"/>
  <c r="Z80" i="1"/>
  <c r="AX82" i="1"/>
  <c r="I82" i="1"/>
  <c r="AU87" i="1"/>
  <c r="K81" i="1"/>
  <c r="K69" i="1"/>
  <c r="K76" i="1" s="1"/>
  <c r="AX69" i="1"/>
  <c r="U72" i="1"/>
  <c r="M72" i="1"/>
  <c r="CC55" i="1"/>
  <c r="CS139" i="1"/>
  <c r="CS81" i="1"/>
  <c r="CC67" i="1"/>
  <c r="DE67" i="1"/>
  <c r="M68" i="1"/>
  <c r="CL75" i="1"/>
  <c r="CZ79" i="1"/>
  <c r="AM62" i="1"/>
  <c r="I80" i="1"/>
  <c r="I151" i="1" s="1"/>
  <c r="I135" i="1"/>
  <c r="BJ82" i="1"/>
  <c r="BV82" i="1" s="1"/>
  <c r="BV68" i="1"/>
  <c r="AZ69" i="1"/>
  <c r="K79" i="1"/>
  <c r="CC75" i="1"/>
  <c r="AE87" i="1"/>
  <c r="P81" i="1"/>
  <c r="P69" i="1"/>
  <c r="AL71" i="1"/>
  <c r="AD71" i="1"/>
  <c r="CC143" i="1"/>
  <c r="CY76" i="1"/>
  <c r="I125" i="1"/>
  <c r="Y63" i="1"/>
  <c r="CW63" i="1"/>
  <c r="CW80" i="1" s="1"/>
  <c r="CS151" i="1" s="1"/>
  <c r="CS142" i="1"/>
  <c r="AC72" i="1"/>
  <c r="CY79" i="1"/>
  <c r="CU75" i="1"/>
  <c r="CU79" i="1" s="1"/>
  <c r="BJ81" i="1"/>
  <c r="BV81" i="1" s="1"/>
  <c r="BJ69" i="1"/>
  <c r="CY81" i="1"/>
  <c r="CU67" i="1"/>
  <c r="AK71" i="1"/>
  <c r="DE63" i="1"/>
  <c r="Z82" i="1"/>
  <c r="AL82" i="1" s="1"/>
  <c r="AL68" i="1"/>
  <c r="AD63" i="1"/>
  <c r="DF63" i="1"/>
  <c r="Z81" i="1"/>
  <c r="DF67" i="1"/>
  <c r="AO73" i="1"/>
  <c r="CC80" i="1"/>
  <c r="BN67" i="1"/>
  <c r="CC82" i="1"/>
  <c r="AO72" i="1"/>
  <c r="AO71" i="1"/>
  <c r="CS143" i="1"/>
  <c r="CE68" i="1"/>
  <c r="CS69" i="1"/>
  <c r="CG70" i="1"/>
  <c r="CC141" i="1" s="1"/>
  <c r="AT73" i="1"/>
  <c r="D60" i="1"/>
  <c r="AS135" i="1"/>
  <c r="AS80" i="1"/>
  <c r="AS151" i="1" s="1"/>
  <c r="AD81" i="1"/>
  <c r="CG68" i="1"/>
  <c r="CG82" i="1" s="1"/>
  <c r="H69" i="1"/>
  <c r="CT69" i="1"/>
  <c r="AS143" i="1"/>
  <c r="BE72" i="1"/>
  <c r="E72" i="1"/>
  <c r="AF79" i="1"/>
  <c r="AG75" i="1"/>
  <c r="AG79" i="1" s="1"/>
  <c r="AS139" i="1"/>
  <c r="AS81" i="1"/>
  <c r="AS152" i="1" s="1"/>
  <c r="AU69" i="1"/>
  <c r="AU76" i="1" s="1"/>
  <c r="AU88" i="1" s="1"/>
  <c r="BP69" i="1"/>
  <c r="BL69" i="1" s="1"/>
  <c r="CC144" i="1" l="1"/>
  <c r="CG30" i="1"/>
  <c r="CC102" i="1" s="1"/>
  <c r="BV43" i="1"/>
  <c r="W68" i="1"/>
  <c r="DF54" i="1"/>
  <c r="Y37" i="1"/>
  <c r="BK64" i="1"/>
  <c r="CH44" i="1"/>
  <c r="BH67" i="1"/>
  <c r="BH81" i="1" s="1"/>
  <c r="DE22" i="1"/>
  <c r="CG23" i="1"/>
  <c r="CG22" i="1" s="1"/>
  <c r="CC94" i="1" s="1"/>
  <c r="AC67" i="1"/>
  <c r="Y81" i="1"/>
  <c r="AK81" i="1" s="1"/>
  <c r="CO23" i="1"/>
  <c r="CW19" i="1"/>
  <c r="AA75" i="1"/>
  <c r="AA79" i="1" s="1"/>
  <c r="AK39" i="1"/>
  <c r="AL37" i="1"/>
  <c r="AL31" i="1"/>
  <c r="BU39" i="1"/>
  <c r="CD45" i="1"/>
  <c r="CP45" i="1" s="1"/>
  <c r="DF22" i="1"/>
  <c r="AA67" i="1"/>
  <c r="DE43" i="1"/>
  <c r="CP44" i="1"/>
  <c r="DF51" i="1"/>
  <c r="BE16" i="1"/>
  <c r="Y82" i="1"/>
  <c r="AK82" i="1" s="1"/>
  <c r="CP37" i="1"/>
  <c r="BN75" i="1"/>
  <c r="BN79" i="1" s="1"/>
  <c r="Y34" i="1"/>
  <c r="BK67" i="1"/>
  <c r="BK81" i="1" s="1"/>
  <c r="U52" i="1"/>
  <c r="V42" i="1"/>
  <c r="BV54" i="1"/>
  <c r="BM70" i="1"/>
  <c r="BI141" i="1" s="1"/>
  <c r="BI75" i="1"/>
  <c r="BI79" i="1" s="1"/>
  <c r="AK35" i="1"/>
  <c r="CC135" i="1"/>
  <c r="CR75" i="1"/>
  <c r="CR79" i="1" s="1"/>
  <c r="AQ140" i="1"/>
  <c r="BV51" i="1"/>
  <c r="CV76" i="1"/>
  <c r="AK47" i="1"/>
  <c r="CW51" i="1"/>
  <c r="BK75" i="1"/>
  <c r="BK79" i="1" s="1"/>
  <c r="DF75" i="1"/>
  <c r="BU17" i="1"/>
  <c r="AK73" i="1"/>
  <c r="AS96" i="1"/>
  <c r="AY69" i="1"/>
  <c r="AC68" i="1"/>
  <c r="AC82" i="1" s="1"/>
  <c r="I71" i="1"/>
  <c r="N71" i="1"/>
  <c r="N75" i="1" s="1"/>
  <c r="N79" i="1" s="1"/>
  <c r="AK38" i="1"/>
  <c r="C34" i="1"/>
  <c r="CW16" i="1"/>
  <c r="CS88" i="1" s="1"/>
  <c r="AK68" i="1"/>
  <c r="V71" i="1"/>
  <c r="AK36" i="1"/>
  <c r="C42" i="1"/>
  <c r="C50" i="1" s="1"/>
  <c r="AK32" i="1"/>
  <c r="DF28" i="1"/>
  <c r="Y78" i="1"/>
  <c r="Y69" i="1"/>
  <c r="I139" i="1"/>
  <c r="BI80" i="1"/>
  <c r="CW34" i="1"/>
  <c r="BO69" i="1"/>
  <c r="BK69" i="1" s="1"/>
  <c r="BK76" i="1" s="1"/>
  <c r="X69" i="1"/>
  <c r="CH75" i="1"/>
  <c r="CH79" i="1" s="1"/>
  <c r="CZ76" i="1"/>
  <c r="CD75" i="1"/>
  <c r="CN75" i="1" s="1"/>
  <c r="X67" i="1"/>
  <c r="X81" i="1" s="1"/>
  <c r="BU47" i="1"/>
  <c r="BI46" i="1"/>
  <c r="BU46" i="1" s="1"/>
  <c r="CC140" i="1"/>
  <c r="BV75" i="1"/>
  <c r="AL51" i="1"/>
  <c r="I73" i="1"/>
  <c r="I75" i="1" s="1"/>
  <c r="S75" i="1" s="1"/>
  <c r="CX43" i="1"/>
  <c r="BR48" i="1"/>
  <c r="BR64" i="1"/>
  <c r="BR76" i="1" s="1"/>
  <c r="DE13" i="1"/>
  <c r="BE36" i="1"/>
  <c r="BU36" i="1"/>
  <c r="AS124" i="1"/>
  <c r="CS89" i="1"/>
  <c r="AB76" i="1"/>
  <c r="BM37" i="1"/>
  <c r="BI109" i="1" s="1"/>
  <c r="N41" i="1"/>
  <c r="N40" i="1" s="1"/>
  <c r="AS106" i="1"/>
  <c r="BU37" i="1"/>
  <c r="BM63" i="1"/>
  <c r="BM80" i="1" s="1"/>
  <c r="BI151" i="1" s="1"/>
  <c r="AT55" i="1"/>
  <c r="AT77" i="1" s="1"/>
  <c r="CW28" i="1"/>
  <c r="CS100" i="1" s="1"/>
  <c r="BI25" i="1"/>
  <c r="BM47" i="1"/>
  <c r="BM46" i="1" s="1"/>
  <c r="BI118" i="1" s="1"/>
  <c r="BU45" i="1"/>
  <c r="BI110" i="1"/>
  <c r="CK48" i="1"/>
  <c r="J75" i="1"/>
  <c r="H75" i="1" s="1"/>
  <c r="H79" i="1" s="1"/>
  <c r="BN54" i="1"/>
  <c r="AS98" i="1"/>
  <c r="CC117" i="1"/>
  <c r="BV16" i="1"/>
  <c r="CX41" i="1"/>
  <c r="CX49" i="1" s="1"/>
  <c r="BV22" i="1"/>
  <c r="BN78" i="1"/>
  <c r="O69" i="1"/>
  <c r="BM16" i="1"/>
  <c r="BU55" i="1"/>
  <c r="BM55" i="1"/>
  <c r="BI127" i="1" s="1"/>
  <c r="AW19" i="1"/>
  <c r="AS91" i="1" s="1"/>
  <c r="BU73" i="1"/>
  <c r="BM73" i="1"/>
  <c r="BI144" i="1" s="1"/>
  <c r="BI34" i="1"/>
  <c r="BU34" i="1" s="1"/>
  <c r="BM35" i="1"/>
  <c r="BI107" i="1" s="1"/>
  <c r="AL22" i="1"/>
  <c r="CW37" i="1"/>
  <c r="CS109" i="1" s="1"/>
  <c r="BM72" i="1"/>
  <c r="BI143" i="1" s="1"/>
  <c r="AM41" i="1"/>
  <c r="BE41" i="1" s="1"/>
  <c r="CW43" i="1"/>
  <c r="CS115" i="1" s="1"/>
  <c r="AE69" i="1"/>
  <c r="AA69" i="1" s="1"/>
  <c r="AT56" i="1"/>
  <c r="BF56" i="1" s="1"/>
  <c r="AT50" i="1"/>
  <c r="AT66" i="1" s="1"/>
  <c r="CW54" i="1"/>
  <c r="CS126" i="1" s="1"/>
  <c r="DF19" i="1"/>
  <c r="BM15" i="1"/>
  <c r="BM13" i="1" s="1"/>
  <c r="AC44" i="1"/>
  <c r="AC43" i="1" s="1"/>
  <c r="Y43" i="1"/>
  <c r="AK43" i="1" s="1"/>
  <c r="AK44" i="1"/>
  <c r="CS124" i="1"/>
  <c r="CX78" i="1"/>
  <c r="Y42" i="1"/>
  <c r="Y50" i="1" s="1"/>
  <c r="BH75" i="1"/>
  <c r="BH79" i="1" s="1"/>
  <c r="CS135" i="1"/>
  <c r="AK34" i="1"/>
  <c r="BV25" i="1"/>
  <c r="BI140" i="1"/>
  <c r="CD55" i="1"/>
  <c r="CX25" i="1"/>
  <c r="V73" i="1"/>
  <c r="CS92" i="1"/>
  <c r="CO25" i="1"/>
  <c r="AM60" i="1"/>
  <c r="J45" i="1"/>
  <c r="CO35" i="1"/>
  <c r="CG35" i="1"/>
  <c r="CG34" i="1" s="1"/>
  <c r="CC34" i="1"/>
  <c r="CD65" i="1"/>
  <c r="CX28" i="1"/>
  <c r="CO33" i="1"/>
  <c r="CG33" i="1"/>
  <c r="CC105" i="1" s="1"/>
  <c r="AL25" i="1"/>
  <c r="AD16" i="1"/>
  <c r="V13" i="1"/>
  <c r="BE21" i="1"/>
  <c r="D66" i="1"/>
  <c r="F50" i="1" s="1"/>
  <c r="CL79" i="1"/>
  <c r="Y77" i="1"/>
  <c r="Y41" i="1"/>
  <c r="AK14" i="1"/>
  <c r="AC14" i="1"/>
  <c r="Y13" i="1"/>
  <c r="D49" i="1"/>
  <c r="D40" i="1"/>
  <c r="V40" i="1" s="1"/>
  <c r="CU81" i="1"/>
  <c r="CQ67" i="1"/>
  <c r="CQ81" i="1" s="1"/>
  <c r="I143" i="1"/>
  <c r="Y75" i="1"/>
  <c r="AK70" i="1"/>
  <c r="AC70" i="1"/>
  <c r="CX75" i="1"/>
  <c r="CX79" i="1" s="1"/>
  <c r="BI108" i="1"/>
  <c r="AT78" i="1"/>
  <c r="BF45" i="1"/>
  <c r="AX45" i="1"/>
  <c r="AX43" i="1" s="1"/>
  <c r="AS45" i="1"/>
  <c r="AS43" i="1" s="1"/>
  <c r="BI117" i="1"/>
  <c r="M37" i="1"/>
  <c r="BE44" i="1"/>
  <c r="AW44" i="1"/>
  <c r="AS116" i="1" s="1"/>
  <c r="CS123" i="1"/>
  <c r="DE51" i="1"/>
  <c r="AW37" i="1"/>
  <c r="AS109" i="1" s="1"/>
  <c r="AL28" i="1"/>
  <c r="V19" i="1"/>
  <c r="Y28" i="1"/>
  <c r="CX77" i="1"/>
  <c r="M42" i="1"/>
  <c r="I114" i="1" s="1"/>
  <c r="AK52" i="1"/>
  <c r="AC52" i="1"/>
  <c r="Y51" i="1"/>
  <c r="AK51" i="1" s="1"/>
  <c r="BI51" i="1"/>
  <c r="BU52" i="1"/>
  <c r="BM52" i="1"/>
  <c r="BM51" i="1" s="1"/>
  <c r="CD78" i="1"/>
  <c r="BA40" i="1"/>
  <c r="BA85" i="1" s="1"/>
  <c r="BA49" i="1"/>
  <c r="AC19" i="1"/>
  <c r="AW69" i="1"/>
  <c r="CG47" i="1"/>
  <c r="CG46" i="1" s="1"/>
  <c r="CC46" i="1"/>
  <c r="BN43" i="1"/>
  <c r="CS105" i="1"/>
  <c r="Z49" i="1"/>
  <c r="AL41" i="1"/>
  <c r="Z40" i="1"/>
  <c r="CO16" i="1"/>
  <c r="AL13" i="1"/>
  <c r="BN77" i="1"/>
  <c r="BN41" i="1"/>
  <c r="BN13" i="1"/>
  <c r="AS92" i="1"/>
  <c r="DA40" i="1"/>
  <c r="DA49" i="1"/>
  <c r="BE30" i="1"/>
  <c r="BW49" i="1"/>
  <c r="BW40" i="1"/>
  <c r="BF73" i="1"/>
  <c r="AX73" i="1"/>
  <c r="AS73" i="1"/>
  <c r="BH69" i="1"/>
  <c r="BV69" i="1"/>
  <c r="Y80" i="1"/>
  <c r="AK63" i="1"/>
  <c r="AC63" i="1"/>
  <c r="CC142" i="1"/>
  <c r="Z79" i="1"/>
  <c r="AL75" i="1"/>
  <c r="X75" i="1"/>
  <c r="X79" i="1" s="1"/>
  <c r="CW69" i="1"/>
  <c r="G152" i="1"/>
  <c r="CS119" i="1"/>
  <c r="CC51" i="1"/>
  <c r="CG52" i="1"/>
  <c r="CG51" i="1" s="1"/>
  <c r="CO52" i="1"/>
  <c r="BI96" i="1"/>
  <c r="BN42" i="1"/>
  <c r="BN50" i="1" s="1"/>
  <c r="BN66" i="1" s="1"/>
  <c r="BM20" i="1"/>
  <c r="BI92" i="1" s="1"/>
  <c r="BI19" i="1"/>
  <c r="BU20" i="1"/>
  <c r="AL19" i="1"/>
  <c r="AW41" i="1"/>
  <c r="AS113" i="1" s="1"/>
  <c r="AK69" i="1"/>
  <c r="BK87" i="1"/>
  <c r="DE54" i="1"/>
  <c r="CS97" i="1"/>
  <c r="DE25" i="1"/>
  <c r="BX40" i="1"/>
  <c r="BX49" i="1"/>
  <c r="CP41" i="1"/>
  <c r="BN19" i="1"/>
  <c r="BW66" i="1"/>
  <c r="M82" i="1"/>
  <c r="M69" i="1"/>
  <c r="I140" i="1"/>
  <c r="AS140" i="1"/>
  <c r="DB66" i="1"/>
  <c r="DB64" i="1" s="1"/>
  <c r="DB76" i="1" s="1"/>
  <c r="DB48" i="1"/>
  <c r="I40" i="1"/>
  <c r="BU33" i="1"/>
  <c r="CS107" i="1"/>
  <c r="AK30" i="1"/>
  <c r="AC30" i="1"/>
  <c r="C28" i="1"/>
  <c r="AK29" i="1"/>
  <c r="AL16" i="1"/>
  <c r="AX49" i="1"/>
  <c r="AX40" i="1"/>
  <c r="CW75" i="1"/>
  <c r="CW79" i="1" s="1"/>
  <c r="CR69" i="1"/>
  <c r="DF69" i="1"/>
  <c r="AC37" i="1"/>
  <c r="CO27" i="1"/>
  <c r="CG27" i="1"/>
  <c r="AK17" i="1"/>
  <c r="AC17" i="1"/>
  <c r="Y16" i="1"/>
  <c r="AK16" i="1" s="1"/>
  <c r="AT75" i="1"/>
  <c r="AX71" i="1"/>
  <c r="AS71" i="1"/>
  <c r="BF71" i="1"/>
  <c r="CC79" i="1"/>
  <c r="CE75" i="1"/>
  <c r="CA75" i="1" s="1"/>
  <c r="CC37" i="1"/>
  <c r="CO38" i="1"/>
  <c r="CG38" i="1"/>
  <c r="CG37" i="1" s="1"/>
  <c r="BE34" i="1"/>
  <c r="CC78" i="1"/>
  <c r="CC42" i="1"/>
  <c r="CO15" i="1"/>
  <c r="CG15" i="1"/>
  <c r="CC87" i="1" s="1"/>
  <c r="CO22" i="1"/>
  <c r="BE13" i="1"/>
  <c r="BU23" i="1"/>
  <c r="CS141" i="1"/>
  <c r="BM81" i="1"/>
  <c r="BI152" i="1" s="1"/>
  <c r="BM69" i="1"/>
  <c r="CC81" i="1"/>
  <c r="CE67" i="1"/>
  <c r="CC69" i="1"/>
  <c r="CO69" i="1" s="1"/>
  <c r="CG67" i="1"/>
  <c r="CC139" i="1" s="1"/>
  <c r="AL80" i="1"/>
  <c r="BU71" i="1"/>
  <c r="BM71" i="1"/>
  <c r="BL76" i="1"/>
  <c r="CS79" i="1"/>
  <c r="CQ75" i="1"/>
  <c r="CQ79" i="1" s="1"/>
  <c r="DE75" i="1"/>
  <c r="BG69" i="1"/>
  <c r="BU69" i="1"/>
  <c r="AC46" i="1"/>
  <c r="M46" i="1"/>
  <c r="I118" i="1" s="1"/>
  <c r="V41" i="1"/>
  <c r="CX51" i="1"/>
  <c r="AW31" i="1"/>
  <c r="AS103" i="1" s="1"/>
  <c r="CS110" i="1"/>
  <c r="Q34" i="1"/>
  <c r="M35" i="1"/>
  <c r="CS50" i="1"/>
  <c r="DE42" i="1"/>
  <c r="CC95" i="1"/>
  <c r="BF22" i="1"/>
  <c r="BN69" i="1"/>
  <c r="BN81" i="1"/>
  <c r="Z152" i="1"/>
  <c r="AL81" i="1"/>
  <c r="CS152" i="1"/>
  <c r="DE81" i="1"/>
  <c r="CS140" i="1"/>
  <c r="CO56" i="1"/>
  <c r="CG56" i="1"/>
  <c r="CC128" i="1" s="1"/>
  <c r="M51" i="1"/>
  <c r="I123" i="1" s="1"/>
  <c r="R49" i="1"/>
  <c r="R40" i="1"/>
  <c r="CT50" i="1"/>
  <c r="DF42" i="1"/>
  <c r="BV28" i="1"/>
  <c r="CO29" i="1"/>
  <c r="CG29" i="1"/>
  <c r="CG28" i="1" s="1"/>
  <c r="CC28" i="1"/>
  <c r="U34" i="1"/>
  <c r="CO21" i="1"/>
  <c r="CG21" i="1"/>
  <c r="CC93" i="1" s="1"/>
  <c r="BU21" i="1"/>
  <c r="BM21" i="1"/>
  <c r="CX42" i="1"/>
  <c r="CX50" i="1" s="1"/>
  <c r="CX66" i="1" s="1"/>
  <c r="CW78" i="1"/>
  <c r="CS149" i="1" s="1"/>
  <c r="CW42" i="1"/>
  <c r="CW50" i="1" s="1"/>
  <c r="CW66" i="1" s="1"/>
  <c r="CW13" i="1"/>
  <c r="CS85" i="1" s="1"/>
  <c r="CC98" i="1"/>
  <c r="BM22" i="1"/>
  <c r="BI94" i="1" s="1"/>
  <c r="CQ69" i="1"/>
  <c r="DE69" i="1"/>
  <c r="AD75" i="1"/>
  <c r="AD79" i="1" s="1"/>
  <c r="BU81" i="1"/>
  <c r="BF51" i="1"/>
  <c r="BU30" i="1"/>
  <c r="BM30" i="1"/>
  <c r="BM28" i="1" s="1"/>
  <c r="BI100" i="1" s="1"/>
  <c r="BU43" i="1"/>
  <c r="BE29" i="1"/>
  <c r="AM28" i="1"/>
  <c r="BU28" i="1" s="1"/>
  <c r="CS87" i="1"/>
  <c r="M19" i="1"/>
  <c r="AC22" i="1"/>
  <c r="BI95" i="1"/>
  <c r="BU80" i="1"/>
  <c r="BI139" i="1"/>
  <c r="BM56" i="1"/>
  <c r="BI128" i="1" s="1"/>
  <c r="BU56" i="1"/>
  <c r="BI54" i="1"/>
  <c r="AK33" i="1"/>
  <c r="AC33" i="1"/>
  <c r="Y31" i="1"/>
  <c r="CS101" i="1"/>
  <c r="U29" i="1"/>
  <c r="AW42" i="1"/>
  <c r="AS114" i="1" s="1"/>
  <c r="AD42" i="1"/>
  <c r="AD50" i="1" s="1"/>
  <c r="AD66" i="1" s="1"/>
  <c r="CG18" i="1"/>
  <c r="CO18" i="1"/>
  <c r="AM22" i="1"/>
  <c r="BE22" i="1" s="1"/>
  <c r="CE82" i="1"/>
  <c r="CI68" i="1"/>
  <c r="AD80" i="1"/>
  <c r="Z151" i="1" s="1"/>
  <c r="C60" i="1"/>
  <c r="U55" i="1"/>
  <c r="M55" i="1"/>
  <c r="CS118" i="1"/>
  <c r="DE46" i="1"/>
  <c r="CS106" i="1"/>
  <c r="DE34" i="1"/>
  <c r="AD19" i="1"/>
  <c r="BE32" i="1"/>
  <c r="AM31" i="1"/>
  <c r="AD25" i="1"/>
  <c r="AD78" i="1"/>
  <c r="Z149" i="1" s="1"/>
  <c r="AS94" i="1"/>
  <c r="U16" i="1"/>
  <c r="AI88" i="1"/>
  <c r="AL43" i="1"/>
  <c r="CH55" i="1"/>
  <c r="CH77" i="1" s="1"/>
  <c r="CD54" i="1"/>
  <c r="CP54" i="1" s="1"/>
  <c r="CP55" i="1"/>
  <c r="AK24" i="1"/>
  <c r="U24" i="1"/>
  <c r="BM43" i="1"/>
  <c r="BI115" i="1" s="1"/>
  <c r="Q49" i="1"/>
  <c r="Q40" i="1"/>
  <c r="Q85" i="1" s="1"/>
  <c r="CD77" i="1"/>
  <c r="V28" i="1"/>
  <c r="CS49" i="1"/>
  <c r="DE41" i="1"/>
  <c r="CS40" i="1"/>
  <c r="CC41" i="1"/>
  <c r="BI89" i="1"/>
  <c r="CW41" i="1"/>
  <c r="CS113" i="1" s="1"/>
  <c r="BU13" i="1"/>
  <c r="V54" i="1"/>
  <c r="I54" i="1"/>
  <c r="CS103" i="1"/>
  <c r="DE31" i="1"/>
  <c r="U42" i="1"/>
  <c r="CP56" i="1"/>
  <c r="CH56" i="1"/>
  <c r="BI116" i="1"/>
  <c r="BM27" i="1"/>
  <c r="BM25" i="1" s="1"/>
  <c r="BU27" i="1"/>
  <c r="CH49" i="1"/>
  <c r="CH40" i="1"/>
  <c r="CC77" i="1"/>
  <c r="DE16" i="1"/>
  <c r="BF25" i="1"/>
  <c r="BJ40" i="1"/>
  <c r="BJ49" i="1"/>
  <c r="BV41" i="1"/>
  <c r="CW77" i="1"/>
  <c r="CS148" i="1" s="1"/>
  <c r="CC151" i="1"/>
  <c r="CO55" i="1"/>
  <c r="CC54" i="1"/>
  <c r="CG55" i="1"/>
  <c r="CG54" i="1" s="1"/>
  <c r="AA81" i="1"/>
  <c r="W67" i="1"/>
  <c r="W81" i="1" s="1"/>
  <c r="CS116" i="1"/>
  <c r="AS123" i="1"/>
  <c r="C37" i="1"/>
  <c r="AK37" i="1" s="1"/>
  <c r="DE37" i="1"/>
  <c r="CK64" i="1"/>
  <c r="CC31" i="1"/>
  <c r="C31" i="1"/>
  <c r="U32" i="1"/>
  <c r="BE26" i="1"/>
  <c r="AM25" i="1"/>
  <c r="BU26" i="1"/>
  <c r="AD22" i="1"/>
  <c r="CC86" i="1"/>
  <c r="BX50" i="1"/>
  <c r="AM19" i="1"/>
  <c r="BP76" i="1"/>
  <c r="V56" i="1"/>
  <c r="N56" i="1"/>
  <c r="I56" i="1"/>
  <c r="CU76" i="1"/>
  <c r="CA68" i="1"/>
  <c r="AD54" i="1"/>
  <c r="AC34" i="1"/>
  <c r="M28" i="1"/>
  <c r="AS40" i="1"/>
  <c r="AS49" i="1"/>
  <c r="AM42" i="1"/>
  <c r="BU15" i="1"/>
  <c r="BE15" i="1"/>
  <c r="C19" i="1"/>
  <c r="AK20" i="1"/>
  <c r="BF28" i="1"/>
  <c r="CS91" i="1"/>
  <c r="DE19" i="1"/>
  <c r="C22" i="1"/>
  <c r="N34" i="1"/>
  <c r="AQ152" i="1"/>
  <c r="AC81" i="1"/>
  <c r="Y152" i="1" s="1"/>
  <c r="AC69" i="1"/>
  <c r="AM51" i="1"/>
  <c r="AK55" i="1"/>
  <c r="Y54" i="1"/>
  <c r="AK54" i="1" s="1"/>
  <c r="AC55" i="1"/>
  <c r="CL76" i="1"/>
  <c r="BU32" i="1"/>
  <c r="BI31" i="1"/>
  <c r="BM32" i="1"/>
  <c r="BM31" i="1" s="1"/>
  <c r="CS98" i="1"/>
  <c r="CW22" i="1"/>
  <c r="CS94" i="1" s="1"/>
  <c r="AN49" i="1"/>
  <c r="BF49" i="1" s="1"/>
  <c r="BF41" i="1"/>
  <c r="AN40" i="1"/>
  <c r="CC19" i="1"/>
  <c r="CO20" i="1"/>
  <c r="CG20" i="1"/>
  <c r="CC92" i="1" s="1"/>
  <c r="AG40" i="1"/>
  <c r="AG85" i="1" s="1"/>
  <c r="AG49" i="1"/>
  <c r="BF42" i="1"/>
  <c r="AN50" i="1"/>
  <c r="AK27" i="1"/>
  <c r="AC27" i="1"/>
  <c r="Z50" i="1"/>
  <c r="AL42" i="1"/>
  <c r="BE23" i="1"/>
  <c r="BI41" i="1"/>
  <c r="BI42" i="1"/>
  <c r="BF16" i="1"/>
  <c r="CC13" i="1"/>
  <c r="AD41" i="1"/>
  <c r="J44" i="1"/>
  <c r="I124" i="1"/>
  <c r="BE33" i="1"/>
  <c r="BV31" i="1"/>
  <c r="BQ40" i="1"/>
  <c r="BQ85" i="1" s="1"/>
  <c r="BQ49" i="1"/>
  <c r="BV42" i="1"/>
  <c r="BJ50" i="1"/>
  <c r="C41" i="1"/>
  <c r="U41" i="1" s="1"/>
  <c r="C13" i="1"/>
  <c r="BI77" i="1"/>
  <c r="BI78" i="1"/>
  <c r="DF41" i="1"/>
  <c r="CT40" i="1"/>
  <c r="CT49" i="1"/>
  <c r="AD77" i="1"/>
  <c r="Z148" i="1" s="1"/>
  <c r="AX50" i="1" l="1"/>
  <c r="BU75" i="1"/>
  <c r="BG75" i="1"/>
  <c r="BG79" i="1" s="1"/>
  <c r="CB75" i="1"/>
  <c r="CB79" i="1" s="1"/>
  <c r="CD43" i="1"/>
  <c r="CP43" i="1" s="1"/>
  <c r="BI102" i="1"/>
  <c r="AA76" i="1"/>
  <c r="CD50" i="1"/>
  <c r="CD48" i="1" s="1"/>
  <c r="CH45" i="1"/>
  <c r="CS146" i="1"/>
  <c r="BI104" i="1"/>
  <c r="CD79" i="1"/>
  <c r="CS114" i="1"/>
  <c r="BO76" i="1"/>
  <c r="BO88" i="1" s="1"/>
  <c r="AM49" i="1"/>
  <c r="BE49" i="1" s="1"/>
  <c r="U71" i="1"/>
  <c r="M71" i="1"/>
  <c r="I142" i="1" s="1"/>
  <c r="BU22" i="1"/>
  <c r="BG67" i="1"/>
  <c r="BG81" i="1" s="1"/>
  <c r="AX55" i="1"/>
  <c r="AX77" i="1" s="1"/>
  <c r="AS55" i="1"/>
  <c r="AS77" i="1" s="1"/>
  <c r="BU25" i="1"/>
  <c r="BF55" i="1"/>
  <c r="BI135" i="1"/>
  <c r="AC42" i="1"/>
  <c r="AC50" i="1" s="1"/>
  <c r="AC66" i="1" s="1"/>
  <c r="CL84" i="1"/>
  <c r="AS50" i="1"/>
  <c r="AS48" i="1" s="1"/>
  <c r="AK42" i="1"/>
  <c r="I79" i="1"/>
  <c r="BI119" i="1"/>
  <c r="M73" i="1"/>
  <c r="AT65" i="1"/>
  <c r="AT64" i="1" s="1"/>
  <c r="G75" i="1"/>
  <c r="G146" i="1" s="1"/>
  <c r="AL40" i="1"/>
  <c r="BI97" i="1"/>
  <c r="U73" i="1"/>
  <c r="DF40" i="1"/>
  <c r="AA88" i="1"/>
  <c r="W69" i="1"/>
  <c r="J79" i="1"/>
  <c r="AC78" i="1"/>
  <c r="Y149" i="1" s="1"/>
  <c r="T75" i="1"/>
  <c r="P75" i="1" s="1"/>
  <c r="BM34" i="1"/>
  <c r="BI106" i="1" s="1"/>
  <c r="BM78" i="1"/>
  <c r="AC25" i="1"/>
  <c r="CC127" i="1"/>
  <c r="BV40" i="1"/>
  <c r="AT54" i="1"/>
  <c r="BF54" i="1" s="1"/>
  <c r="CH54" i="1"/>
  <c r="CM75" i="1"/>
  <c r="CM79" i="1" s="1"/>
  <c r="AT48" i="1"/>
  <c r="AX56" i="1"/>
  <c r="CC124" i="1"/>
  <c r="AS56" i="1"/>
  <c r="BE56" i="1" s="1"/>
  <c r="CG19" i="1"/>
  <c r="CC91" i="1" s="1"/>
  <c r="AE76" i="1"/>
  <c r="AE88" i="1" s="1"/>
  <c r="Y40" i="1"/>
  <c r="Y49" i="1"/>
  <c r="AK41" i="1"/>
  <c r="CT65" i="1"/>
  <c r="DF49" i="1"/>
  <c r="CT48" i="1"/>
  <c r="CO13" i="1"/>
  <c r="U22" i="1"/>
  <c r="CA82" i="1"/>
  <c r="CA140" i="1"/>
  <c r="BJ66" i="1"/>
  <c r="BV50" i="1"/>
  <c r="CH65" i="1"/>
  <c r="N54" i="1"/>
  <c r="AK22" i="1"/>
  <c r="CG81" i="1"/>
  <c r="CC152" i="1" s="1"/>
  <c r="CG69" i="1"/>
  <c r="BW78" i="1"/>
  <c r="BY66" i="1" s="1"/>
  <c r="BU19" i="1"/>
  <c r="Z150" i="1"/>
  <c r="AL79" i="1"/>
  <c r="BE43" i="1"/>
  <c r="BE31" i="1"/>
  <c r="CT66" i="1"/>
  <c r="DF50" i="1"/>
  <c r="CE81" i="1"/>
  <c r="CE69" i="1"/>
  <c r="CI67" i="1"/>
  <c r="CG13" i="1"/>
  <c r="CC85" i="1" s="1"/>
  <c r="I85" i="1"/>
  <c r="BN40" i="1"/>
  <c r="BN49" i="1"/>
  <c r="CC90" i="1"/>
  <c r="CG41" i="1"/>
  <c r="CC113" i="1" s="1"/>
  <c r="CE79" i="1"/>
  <c r="CC99" i="1"/>
  <c r="CH78" i="1"/>
  <c r="AC75" i="1"/>
  <c r="AC79" i="1" s="1"/>
  <c r="AK13" i="1"/>
  <c r="U19" i="1"/>
  <c r="BM19" i="1"/>
  <c r="BI91" i="1" s="1"/>
  <c r="BA65" i="1"/>
  <c r="BA64" i="1" s="1"/>
  <c r="BA48" i="1"/>
  <c r="BA86" i="1" s="1"/>
  <c r="D65" i="1"/>
  <c r="F49" i="1" s="1"/>
  <c r="D48" i="1"/>
  <c r="CG31" i="1"/>
  <c r="CC103" i="1" s="1"/>
  <c r="BI149" i="1"/>
  <c r="BQ65" i="1"/>
  <c r="BQ64" i="1" s="1"/>
  <c r="BQ48" i="1"/>
  <c r="BQ86" i="1" s="1"/>
  <c r="AC54" i="1"/>
  <c r="M56" i="1"/>
  <c r="U56" i="1"/>
  <c r="Q65" i="1"/>
  <c r="Q64" i="1" s="1"/>
  <c r="Q48" i="1"/>
  <c r="I127" i="1"/>
  <c r="R65" i="1"/>
  <c r="R64" i="1" s="1"/>
  <c r="R48" i="1"/>
  <c r="CG77" i="1"/>
  <c r="CC148" i="1" s="1"/>
  <c r="CG16" i="1"/>
  <c r="CC88" i="1" s="1"/>
  <c r="CC123" i="1"/>
  <c r="CO51" i="1"/>
  <c r="AK28" i="1"/>
  <c r="AN66" i="1"/>
  <c r="AP50" i="1" s="1"/>
  <c r="AM50" i="1"/>
  <c r="U54" i="1"/>
  <c r="AK31" i="1"/>
  <c r="CA146" i="1"/>
  <c r="CA79" i="1"/>
  <c r="BX65" i="1"/>
  <c r="BZ49" i="1" s="1"/>
  <c r="BX48" i="1"/>
  <c r="CP48" i="1" s="1"/>
  <c r="AC77" i="1"/>
  <c r="Y148" i="1" s="1"/>
  <c r="AC41" i="1"/>
  <c r="AC13" i="1"/>
  <c r="J77" i="1"/>
  <c r="V44" i="1"/>
  <c r="N44" i="1"/>
  <c r="I44" i="1"/>
  <c r="J43" i="1"/>
  <c r="J49" i="1"/>
  <c r="BM42" i="1"/>
  <c r="BM50" i="1" s="1"/>
  <c r="BM66" i="1" s="1"/>
  <c r="BX66" i="1"/>
  <c r="BZ50" i="1" s="1"/>
  <c r="CC126" i="1"/>
  <c r="CO54" i="1"/>
  <c r="BJ65" i="1"/>
  <c r="BV49" i="1"/>
  <c r="BJ48" i="1"/>
  <c r="CS122" i="1"/>
  <c r="DE50" i="1"/>
  <c r="CS66" i="1"/>
  <c r="U28" i="1"/>
  <c r="CP40" i="1"/>
  <c r="BK88" i="1"/>
  <c r="Y79" i="1"/>
  <c r="AK75" i="1"/>
  <c r="W75" i="1"/>
  <c r="W79" i="1" s="1"/>
  <c r="CP49" i="1"/>
  <c r="J78" i="1"/>
  <c r="V45" i="1"/>
  <c r="N45" i="1"/>
  <c r="I45" i="1"/>
  <c r="J50" i="1"/>
  <c r="BI123" i="1"/>
  <c r="BU51" i="1"/>
  <c r="S79" i="1"/>
  <c r="O75" i="1"/>
  <c r="BM77" i="1"/>
  <c r="BI148" i="1" s="1"/>
  <c r="DE40" i="1"/>
  <c r="BI93" i="1"/>
  <c r="CG75" i="1"/>
  <c r="CO42" i="1"/>
  <c r="CC50" i="1"/>
  <c r="BI124" i="1"/>
  <c r="BI103" i="1"/>
  <c r="BU31" i="1"/>
  <c r="BE45" i="1"/>
  <c r="AW45" i="1"/>
  <c r="AS78" i="1"/>
  <c r="AM40" i="1"/>
  <c r="BE40" i="1" s="1"/>
  <c r="AG65" i="1"/>
  <c r="AG64" i="1" s="1"/>
  <c r="AG48" i="1"/>
  <c r="AG86" i="1" s="1"/>
  <c r="BU41" i="1"/>
  <c r="BI40" i="1"/>
  <c r="BI49" i="1"/>
  <c r="CO19" i="1"/>
  <c r="CO31" i="1"/>
  <c r="CS65" i="1"/>
  <c r="CS48" i="1"/>
  <c r="DE49" i="1"/>
  <c r="BE42" i="1"/>
  <c r="BU79" i="1"/>
  <c r="AW71" i="1"/>
  <c r="AS142" i="1" s="1"/>
  <c r="AS75" i="1"/>
  <c r="BE71" i="1"/>
  <c r="AC80" i="1"/>
  <c r="Y151" i="1" s="1"/>
  <c r="AC51" i="1"/>
  <c r="CK76" i="1"/>
  <c r="CK84" i="1" s="1"/>
  <c r="BI99" i="1"/>
  <c r="AS66" i="1"/>
  <c r="CS150" i="1"/>
  <c r="DE79" i="1"/>
  <c r="AX75" i="1"/>
  <c r="AX79" i="1" s="1"/>
  <c r="BF50" i="1"/>
  <c r="C66" i="1"/>
  <c r="BU42" i="1"/>
  <c r="BI50" i="1"/>
  <c r="AR75" i="1"/>
  <c r="AR79" i="1" s="1"/>
  <c r="BD75" i="1"/>
  <c r="AT79" i="1"/>
  <c r="AK80" i="1"/>
  <c r="CC118" i="1"/>
  <c r="CC40" i="1"/>
  <c r="CC49" i="1"/>
  <c r="CO41" i="1"/>
  <c r="AC28" i="1"/>
  <c r="U37" i="1"/>
  <c r="CI82" i="1"/>
  <c r="BM75" i="1"/>
  <c r="CC109" i="1"/>
  <c r="CO37" i="1"/>
  <c r="CG25" i="1"/>
  <c r="CC97" i="1" s="1"/>
  <c r="AX48" i="1"/>
  <c r="CN79" i="1"/>
  <c r="CJ75" i="1"/>
  <c r="CJ79" i="1" s="1"/>
  <c r="Z66" i="1"/>
  <c r="AL66" i="1" s="1"/>
  <c r="AL50" i="1"/>
  <c r="BM41" i="1"/>
  <c r="BI113" i="1" s="1"/>
  <c r="AS85" i="1"/>
  <c r="AS112" i="1"/>
  <c r="CW40" i="1"/>
  <c r="CS112" i="1" s="1"/>
  <c r="CW49" i="1"/>
  <c r="CC100" i="1"/>
  <c r="CO28" i="1"/>
  <c r="CC110" i="1"/>
  <c r="DA65" i="1"/>
  <c r="DA64" i="1" s="1"/>
  <c r="DA76" i="1" s="1"/>
  <c r="DA84" i="1" s="1"/>
  <c r="DA48" i="1"/>
  <c r="CC119" i="1"/>
  <c r="CC106" i="1"/>
  <c r="CO34" i="1"/>
  <c r="M34" i="1"/>
  <c r="BI142" i="1"/>
  <c r="BE73" i="1"/>
  <c r="AW73" i="1"/>
  <c r="AS144" i="1" s="1"/>
  <c r="Z65" i="1"/>
  <c r="AL49" i="1"/>
  <c r="Z48" i="1"/>
  <c r="M41" i="1"/>
  <c r="CX40" i="1"/>
  <c r="BF40" i="1"/>
  <c r="C49" i="1"/>
  <c r="C40" i="1"/>
  <c r="U40" i="1" s="1"/>
  <c r="AN65" i="1"/>
  <c r="AP49" i="1" s="1"/>
  <c r="AN48" i="1"/>
  <c r="CD66" i="1"/>
  <c r="CP50" i="1"/>
  <c r="BU54" i="1"/>
  <c r="AC16" i="1"/>
  <c r="AW40" i="1"/>
  <c r="AW85" i="1" s="1"/>
  <c r="AW49" i="1"/>
  <c r="CX65" i="1"/>
  <c r="CX64" i="1" s="1"/>
  <c r="CX48" i="1"/>
  <c r="AD40" i="1"/>
  <c r="AD49" i="1"/>
  <c r="BE25" i="1"/>
  <c r="BE51" i="1"/>
  <c r="BE28" i="1"/>
  <c r="CC101" i="1"/>
  <c r="AK19" i="1"/>
  <c r="CC107" i="1"/>
  <c r="CG78" i="1"/>
  <c r="CC149" i="1" s="1"/>
  <c r="CG42" i="1"/>
  <c r="CG50" i="1" s="1"/>
  <c r="CG66" i="1" s="1"/>
  <c r="BW65" i="1"/>
  <c r="BW48" i="1"/>
  <c r="U31" i="1"/>
  <c r="AC31" i="1"/>
  <c r="BM54" i="1"/>
  <c r="BI126" i="1" s="1"/>
  <c r="U13" i="1"/>
  <c r="CA67" i="1"/>
  <c r="BE19" i="1"/>
  <c r="AK50" i="1"/>
  <c r="Y66" i="1"/>
  <c r="AK66" i="1" s="1"/>
  <c r="D78" i="1"/>
  <c r="F66" i="1"/>
  <c r="F45" i="1"/>
  <c r="F33" i="1"/>
  <c r="F36" i="1"/>
  <c r="F24" i="1"/>
  <c r="F30" i="1"/>
  <c r="F18" i="1"/>
  <c r="F21" i="1"/>
  <c r="F15" i="1"/>
  <c r="F53" i="1"/>
  <c r="F39" i="1"/>
  <c r="F56" i="1"/>
  <c r="F62" i="1"/>
  <c r="F59" i="1"/>
  <c r="F42" i="1"/>
  <c r="F27" i="1"/>
  <c r="AW56" i="1" l="1"/>
  <c r="AS128" i="1" s="1"/>
  <c r="CH50" i="1"/>
  <c r="CH43" i="1"/>
  <c r="AM65" i="1"/>
  <c r="AO49" i="1" s="1"/>
  <c r="AL48" i="1"/>
  <c r="AX65" i="1"/>
  <c r="AW55" i="1"/>
  <c r="T79" i="1"/>
  <c r="BE55" i="1"/>
  <c r="BV65" i="1"/>
  <c r="AM48" i="1"/>
  <c r="AM86" i="1" s="1"/>
  <c r="BF66" i="1"/>
  <c r="AS65" i="1"/>
  <c r="AS137" i="1" s="1"/>
  <c r="M75" i="1"/>
  <c r="M79" i="1" s="1"/>
  <c r="I150" i="1" s="1"/>
  <c r="AX54" i="1"/>
  <c r="AW50" i="1"/>
  <c r="AW48" i="1" s="1"/>
  <c r="AW86" i="1" s="1"/>
  <c r="I144" i="1"/>
  <c r="AX78" i="1"/>
  <c r="G87" i="1"/>
  <c r="AX66" i="1"/>
  <c r="AX64" i="1" s="1"/>
  <c r="AX76" i="1" s="1"/>
  <c r="BI114" i="1"/>
  <c r="BF65" i="1"/>
  <c r="G79" i="1"/>
  <c r="G150" i="1" s="1"/>
  <c r="CP66" i="1"/>
  <c r="DF65" i="1"/>
  <c r="BF48" i="1"/>
  <c r="CI75" i="1"/>
  <c r="CI79" i="1" s="1"/>
  <c r="AS117" i="1"/>
  <c r="AS54" i="1"/>
  <c r="AS127" i="1"/>
  <c r="AW77" i="1"/>
  <c r="AS148" i="1" s="1"/>
  <c r="CO78" i="1"/>
  <c r="BW64" i="1"/>
  <c r="BW77" i="1"/>
  <c r="BY56" i="1"/>
  <c r="BY52" i="1"/>
  <c r="BY39" i="1"/>
  <c r="BY33" i="1"/>
  <c r="BY45" i="1"/>
  <c r="BY44" i="1"/>
  <c r="BY24" i="1"/>
  <c r="BY15" i="1"/>
  <c r="BY29" i="1"/>
  <c r="BY18" i="1"/>
  <c r="BY32" i="1"/>
  <c r="BY58" i="1"/>
  <c r="BY55" i="1"/>
  <c r="BY61" i="1"/>
  <c r="BY20" i="1"/>
  <c r="BY30" i="1"/>
  <c r="BY17" i="1"/>
  <c r="BY21" i="1"/>
  <c r="BY62" i="1"/>
  <c r="BY53" i="1"/>
  <c r="BY23" i="1"/>
  <c r="BY35" i="1"/>
  <c r="BY26" i="1"/>
  <c r="BY36" i="1"/>
  <c r="BY42" i="1"/>
  <c r="BY27" i="1"/>
  <c r="BY14" i="1"/>
  <c r="BY38" i="1"/>
  <c r="BY59" i="1"/>
  <c r="BY50" i="1"/>
  <c r="BY41" i="1"/>
  <c r="AW65" i="1"/>
  <c r="C65" i="1"/>
  <c r="C48" i="1"/>
  <c r="C78" i="1"/>
  <c r="E66" i="1" s="1"/>
  <c r="E39" i="1"/>
  <c r="E45" i="1"/>
  <c r="E15" i="1"/>
  <c r="E18" i="1"/>
  <c r="E56" i="1"/>
  <c r="E53" i="1"/>
  <c r="E30" i="1"/>
  <c r="E21" i="1"/>
  <c r="E36" i="1"/>
  <c r="E33" i="1"/>
  <c r="E59" i="1"/>
  <c r="E27" i="1"/>
  <c r="E24" i="1"/>
  <c r="E62" i="1"/>
  <c r="AQ75" i="1"/>
  <c r="AS79" i="1"/>
  <c r="BC75" i="1"/>
  <c r="AS86" i="1"/>
  <c r="BE48" i="1"/>
  <c r="AM77" i="1"/>
  <c r="AO55" i="1"/>
  <c r="AO36" i="1"/>
  <c r="AO44" i="1"/>
  <c r="AO27" i="1"/>
  <c r="AO18" i="1"/>
  <c r="AO38" i="1"/>
  <c r="AO58" i="1"/>
  <c r="AO20" i="1"/>
  <c r="AO53" i="1"/>
  <c r="AO59" i="1"/>
  <c r="AO33" i="1"/>
  <c r="AO29" i="1"/>
  <c r="AO21" i="1"/>
  <c r="AO61" i="1"/>
  <c r="AO23" i="1"/>
  <c r="AO62" i="1"/>
  <c r="AO30" i="1"/>
  <c r="AO52" i="1"/>
  <c r="AO41" i="1"/>
  <c r="AO15" i="1"/>
  <c r="AO32" i="1"/>
  <c r="CG49" i="1"/>
  <c r="CC121" i="1" s="1"/>
  <c r="CG40" i="1"/>
  <c r="CC112" i="1" s="1"/>
  <c r="AW75" i="1"/>
  <c r="AW79" i="1" s="1"/>
  <c r="P79" i="1"/>
  <c r="AL65" i="1"/>
  <c r="Z64" i="1"/>
  <c r="AD65" i="1"/>
  <c r="AD64" i="1" s="1"/>
  <c r="AD76" i="1" s="1"/>
  <c r="AD48" i="1"/>
  <c r="CW65" i="1"/>
  <c r="CW64" i="1" s="1"/>
  <c r="CW76" i="1" s="1"/>
  <c r="CW84" i="1" s="1"/>
  <c r="CW48" i="1"/>
  <c r="CS120" i="1" s="1"/>
  <c r="AS121" i="1"/>
  <c r="BX78" i="1"/>
  <c r="BZ66" i="1"/>
  <c r="BZ53" i="1"/>
  <c r="BZ36" i="1"/>
  <c r="BZ45" i="1"/>
  <c r="BZ27" i="1"/>
  <c r="BZ24" i="1"/>
  <c r="BZ33" i="1"/>
  <c r="BZ18" i="1"/>
  <c r="BZ59" i="1"/>
  <c r="BZ62" i="1"/>
  <c r="BZ21" i="1"/>
  <c r="BZ39" i="1"/>
  <c r="BZ30" i="1"/>
  <c r="BZ15" i="1"/>
  <c r="BZ56" i="1"/>
  <c r="BZ42" i="1"/>
  <c r="R76" i="1"/>
  <c r="I128" i="1"/>
  <c r="M54" i="1"/>
  <c r="I126" i="1" s="1"/>
  <c r="BI65" i="1"/>
  <c r="BU49" i="1"/>
  <c r="BI48" i="1"/>
  <c r="V50" i="1"/>
  <c r="J66" i="1"/>
  <c r="V66" i="1" s="1"/>
  <c r="I50" i="1"/>
  <c r="BI85" i="1"/>
  <c r="BU40" i="1"/>
  <c r="O79" i="1"/>
  <c r="U45" i="1"/>
  <c r="M45" i="1"/>
  <c r="I117" i="1" s="1"/>
  <c r="I78" i="1"/>
  <c r="AC40" i="1"/>
  <c r="AC85" i="1" s="1"/>
  <c r="AC49" i="1"/>
  <c r="BY78" i="1"/>
  <c r="DE78" i="1"/>
  <c r="DF48" i="1"/>
  <c r="CS138" i="1"/>
  <c r="DE66" i="1"/>
  <c r="CP65" i="1"/>
  <c r="AO42" i="1"/>
  <c r="AT76" i="1"/>
  <c r="AR64" i="1"/>
  <c r="AR76" i="1" s="1"/>
  <c r="BD64" i="1"/>
  <c r="AG87" i="1"/>
  <c r="AG76" i="1"/>
  <c r="AG88" i="1" s="1"/>
  <c r="CD64" i="1"/>
  <c r="V78" i="1"/>
  <c r="AM66" i="1"/>
  <c r="BE66" i="1" s="1"/>
  <c r="AN78" i="1"/>
  <c r="AP66" i="1"/>
  <c r="AP56" i="1"/>
  <c r="AP39" i="1"/>
  <c r="AP53" i="1"/>
  <c r="AP45" i="1"/>
  <c r="AP36" i="1"/>
  <c r="AP33" i="1"/>
  <c r="AP18" i="1"/>
  <c r="AP24" i="1"/>
  <c r="AP21" i="1"/>
  <c r="AP27" i="1"/>
  <c r="AP59" i="1"/>
  <c r="AP30" i="1"/>
  <c r="AP15" i="1"/>
  <c r="AP62" i="1"/>
  <c r="AP42" i="1"/>
  <c r="BV66" i="1"/>
  <c r="Y65" i="1"/>
  <c r="AK49" i="1"/>
  <c r="Y48" i="1"/>
  <c r="AM85" i="1"/>
  <c r="BQ87" i="1"/>
  <c r="BQ76" i="1"/>
  <c r="D77" i="1"/>
  <c r="V77" i="1" s="1"/>
  <c r="D64" i="1"/>
  <c r="F48" i="1" s="1"/>
  <c r="F65" i="1"/>
  <c r="F55" i="1"/>
  <c r="F35" i="1"/>
  <c r="F29" i="1"/>
  <c r="F32" i="1"/>
  <c r="F20" i="1"/>
  <c r="F38" i="1"/>
  <c r="F61" i="1"/>
  <c r="F17" i="1"/>
  <c r="F23" i="1"/>
  <c r="F26" i="1"/>
  <c r="F44" i="1"/>
  <c r="F14" i="1"/>
  <c r="F58" i="1"/>
  <c r="F52" i="1"/>
  <c r="F41" i="1"/>
  <c r="CI81" i="1"/>
  <c r="CI69" i="1"/>
  <c r="Y85" i="1"/>
  <c r="AK40" i="1"/>
  <c r="AW43" i="1"/>
  <c r="AS115" i="1" s="1"/>
  <c r="CC65" i="1"/>
  <c r="CC48" i="1"/>
  <c r="CO49" i="1"/>
  <c r="BE54" i="1"/>
  <c r="CO40" i="1"/>
  <c r="CC122" i="1"/>
  <c r="CC66" i="1"/>
  <c r="CO50" i="1"/>
  <c r="J65" i="1"/>
  <c r="V49" i="1"/>
  <c r="I49" i="1"/>
  <c r="J48" i="1"/>
  <c r="BX64" i="1"/>
  <c r="BZ65" i="1"/>
  <c r="BX77" i="1"/>
  <c r="BZ38" i="1"/>
  <c r="BZ44" i="1"/>
  <c r="BZ32" i="1"/>
  <c r="BZ23" i="1"/>
  <c r="BZ20" i="1"/>
  <c r="BZ17" i="1"/>
  <c r="BZ29" i="1"/>
  <c r="BZ35" i="1"/>
  <c r="BZ26" i="1"/>
  <c r="BZ55" i="1"/>
  <c r="BZ52" i="1"/>
  <c r="BZ61" i="1"/>
  <c r="BZ58" i="1"/>
  <c r="BZ14" i="1"/>
  <c r="BZ41" i="1"/>
  <c r="BA87" i="1"/>
  <c r="BA76" i="1"/>
  <c r="BA88" i="1" s="1"/>
  <c r="CA139" i="1"/>
  <c r="CA81" i="1"/>
  <c r="CA152" i="1" s="1"/>
  <c r="CA69" i="1"/>
  <c r="Y150" i="1"/>
  <c r="AK79" i="1"/>
  <c r="CA150" i="1"/>
  <c r="CX76" i="1"/>
  <c r="CT64" i="1"/>
  <c r="AP65" i="1"/>
  <c r="AN77" i="1"/>
  <c r="AN64" i="1"/>
  <c r="AP48" i="1" s="1"/>
  <c r="AP44" i="1"/>
  <c r="AP55" i="1"/>
  <c r="AP52" i="1"/>
  <c r="AP17" i="1"/>
  <c r="AP14" i="1"/>
  <c r="AP58" i="1"/>
  <c r="AP32" i="1"/>
  <c r="AP20" i="1"/>
  <c r="AP26" i="1"/>
  <c r="AP23" i="1"/>
  <c r="AP35" i="1"/>
  <c r="AP29" i="1"/>
  <c r="AP38" i="1"/>
  <c r="AP61" i="1"/>
  <c r="AP41" i="1"/>
  <c r="BM49" i="1"/>
  <c r="BI121" i="1" s="1"/>
  <c r="BM40" i="1"/>
  <c r="BM85" i="1" s="1"/>
  <c r="BI122" i="1"/>
  <c r="BU50" i="1"/>
  <c r="BI66" i="1"/>
  <c r="DE48" i="1"/>
  <c r="CC114" i="1"/>
  <c r="I43" i="1"/>
  <c r="V43" i="1"/>
  <c r="Q86" i="1"/>
  <c r="BM79" i="1"/>
  <c r="BI150" i="1" s="1"/>
  <c r="BI146" i="1"/>
  <c r="BE50" i="1"/>
  <c r="CS64" i="1"/>
  <c r="DE65" i="1"/>
  <c r="CG79" i="1"/>
  <c r="CC150" i="1" s="1"/>
  <c r="CC146" i="1"/>
  <c r="M44" i="1"/>
  <c r="I116" i="1" s="1"/>
  <c r="U44" i="1"/>
  <c r="I77" i="1"/>
  <c r="Q87" i="1"/>
  <c r="Q76" i="1"/>
  <c r="DF66" i="1"/>
  <c r="AZ75" i="1"/>
  <c r="AZ79" i="1" s="1"/>
  <c r="BD79" i="1"/>
  <c r="N78" i="1"/>
  <c r="N50" i="1"/>
  <c r="F78" i="1"/>
  <c r="AL78" i="1"/>
  <c r="BY48" i="1"/>
  <c r="M40" i="1"/>
  <c r="I113" i="1"/>
  <c r="CS121" i="1"/>
  <c r="BV48" i="1"/>
  <c r="N43" i="1"/>
  <c r="N49" i="1"/>
  <c r="N77" i="1"/>
  <c r="BN65" i="1"/>
  <c r="BN64" i="1" s="1"/>
  <c r="BN48" i="1"/>
  <c r="BY49" i="1"/>
  <c r="C85" i="1"/>
  <c r="AW54" i="1" l="1"/>
  <c r="AS126" i="1" s="1"/>
  <c r="AO35" i="1"/>
  <c r="AO17" i="1"/>
  <c r="AW66" i="1"/>
  <c r="AS138" i="1" s="1"/>
  <c r="AO39" i="1"/>
  <c r="AS122" i="1"/>
  <c r="AS64" i="1"/>
  <c r="BC64" i="1" s="1"/>
  <c r="BC87" i="1" s="1"/>
  <c r="AO24" i="1"/>
  <c r="AO14" i="1"/>
  <c r="AO50" i="1"/>
  <c r="AO45" i="1"/>
  <c r="AO26" i="1"/>
  <c r="AO56" i="1"/>
  <c r="CH66" i="1"/>
  <c r="CH64" i="1" s="1"/>
  <c r="CH76" i="1" s="1"/>
  <c r="CH84" i="1" s="1"/>
  <c r="CH48" i="1"/>
  <c r="AW78" i="1"/>
  <c r="AS149" i="1" s="1"/>
  <c r="I146" i="1"/>
  <c r="BE65" i="1"/>
  <c r="AW64" i="1"/>
  <c r="AW76" i="1" s="1"/>
  <c r="AW88" i="1" s="1"/>
  <c r="AS120" i="1"/>
  <c r="Q88" i="1"/>
  <c r="N65" i="1"/>
  <c r="N48" i="1"/>
  <c r="CS137" i="1"/>
  <c r="CO65" i="1"/>
  <c r="CC64" i="1"/>
  <c r="BQ88" i="1"/>
  <c r="BQ84" i="1"/>
  <c r="AP78" i="1"/>
  <c r="BV78" i="1"/>
  <c r="BF78" i="1"/>
  <c r="AS87" i="1"/>
  <c r="AS76" i="1"/>
  <c r="AQ64" i="1"/>
  <c r="BI112" i="1"/>
  <c r="AM78" i="1"/>
  <c r="AM76" i="1" s="1"/>
  <c r="BD76" i="1"/>
  <c r="AZ64" i="1"/>
  <c r="AZ76" i="1" s="1"/>
  <c r="M85" i="1"/>
  <c r="I112" i="1"/>
  <c r="M49" i="1"/>
  <c r="BI138" i="1"/>
  <c r="BU66" i="1"/>
  <c r="AY64" i="1"/>
  <c r="BX76" i="1"/>
  <c r="BZ76" i="1" s="1"/>
  <c r="BZ77" i="1"/>
  <c r="DF77" i="1"/>
  <c r="CP77" i="1"/>
  <c r="CD76" i="1"/>
  <c r="CB64" i="1"/>
  <c r="CB76" i="1" s="1"/>
  <c r="CP64" i="1"/>
  <c r="CN64" i="1"/>
  <c r="BF64" i="1"/>
  <c r="AN76" i="1"/>
  <c r="AP76" i="1" s="1"/>
  <c r="AP64" i="1"/>
  <c r="AP54" i="1"/>
  <c r="AP43" i="1"/>
  <c r="AP19" i="1"/>
  <c r="AP13" i="1"/>
  <c r="AP57" i="1"/>
  <c r="AP60" i="1"/>
  <c r="AP37" i="1"/>
  <c r="AP34" i="1"/>
  <c r="AP25" i="1"/>
  <c r="AP51" i="1"/>
  <c r="AP22" i="1"/>
  <c r="AP16" i="1"/>
  <c r="AP28" i="1"/>
  <c r="AP31" i="1"/>
  <c r="AP40" i="1"/>
  <c r="BZ64" i="1"/>
  <c r="BZ43" i="1"/>
  <c r="BZ37" i="1"/>
  <c r="BZ31" i="1"/>
  <c r="BZ54" i="1"/>
  <c r="BZ57" i="1"/>
  <c r="BZ51" i="1"/>
  <c r="BZ25" i="1"/>
  <c r="BZ13" i="1"/>
  <c r="BZ22" i="1"/>
  <c r="BZ34" i="1"/>
  <c r="BZ16" i="1"/>
  <c r="BZ28" i="1"/>
  <c r="BZ60" i="1"/>
  <c r="BZ19" i="1"/>
  <c r="BZ40" i="1"/>
  <c r="V48" i="1"/>
  <c r="I48" i="1"/>
  <c r="BY77" i="1"/>
  <c r="BW76" i="1"/>
  <c r="BY76" i="1" s="1"/>
  <c r="DE77" i="1"/>
  <c r="CO77" i="1"/>
  <c r="DF64" i="1"/>
  <c r="CT76" i="1"/>
  <c r="CR64" i="1"/>
  <c r="CR76" i="1" s="1"/>
  <c r="CR85" i="1" s="1"/>
  <c r="BY43" i="1"/>
  <c r="BY51" i="1"/>
  <c r="BY28" i="1"/>
  <c r="BY57" i="1"/>
  <c r="BY25" i="1"/>
  <c r="BY13" i="1"/>
  <c r="BY60" i="1"/>
  <c r="BY54" i="1"/>
  <c r="BY37" i="1"/>
  <c r="BY19" i="1"/>
  <c r="BY31" i="1"/>
  <c r="BY22" i="1"/>
  <c r="BY16" i="1"/>
  <c r="BY34" i="1"/>
  <c r="BY40" i="1"/>
  <c r="J64" i="1"/>
  <c r="V65" i="1"/>
  <c r="AM64" i="1"/>
  <c r="BY65" i="1"/>
  <c r="BM65" i="1"/>
  <c r="BM64" i="1" s="1"/>
  <c r="BM48" i="1"/>
  <c r="BM86" i="1" s="1"/>
  <c r="Y86" i="1"/>
  <c r="AK48" i="1"/>
  <c r="U78" i="1"/>
  <c r="AO77" i="1"/>
  <c r="BU77" i="1"/>
  <c r="BE77" i="1"/>
  <c r="E78" i="1"/>
  <c r="E42" i="1"/>
  <c r="AK78" i="1"/>
  <c r="E50" i="1"/>
  <c r="AP77" i="1"/>
  <c r="BF77" i="1"/>
  <c r="BV77" i="1"/>
  <c r="I121" i="1"/>
  <c r="I65" i="1"/>
  <c r="U49" i="1"/>
  <c r="N66" i="1"/>
  <c r="BZ48" i="1"/>
  <c r="M78" i="1"/>
  <c r="I149" i="1" s="1"/>
  <c r="M50" i="1"/>
  <c r="I66" i="1"/>
  <c r="U50" i="1"/>
  <c r="AO65" i="1"/>
  <c r="BC79" i="1"/>
  <c r="AY75" i="1"/>
  <c r="U43" i="1"/>
  <c r="AK65" i="1"/>
  <c r="Y64" i="1"/>
  <c r="AS150" i="1"/>
  <c r="C86" i="1"/>
  <c r="CC138" i="1"/>
  <c r="CO66" i="1"/>
  <c r="CG65" i="1"/>
  <c r="CG64" i="1" s="1"/>
  <c r="CG76" i="1" s="1"/>
  <c r="CG84" i="1" s="1"/>
  <c r="CG48" i="1"/>
  <c r="CC120" i="1" s="1"/>
  <c r="AQ146" i="1"/>
  <c r="AQ79" i="1"/>
  <c r="AQ150" i="1" s="1"/>
  <c r="C77" i="1"/>
  <c r="U77" i="1" s="1"/>
  <c r="C64" i="1"/>
  <c r="E65" i="1"/>
  <c r="E52" i="1"/>
  <c r="E44" i="1"/>
  <c r="E55" i="1"/>
  <c r="E58" i="1"/>
  <c r="E35" i="1"/>
  <c r="E23" i="1"/>
  <c r="E26" i="1"/>
  <c r="E17" i="1"/>
  <c r="E14" i="1"/>
  <c r="E38" i="1"/>
  <c r="E61" i="1"/>
  <c r="E32" i="1"/>
  <c r="E29" i="1"/>
  <c r="E20" i="1"/>
  <c r="Z76" i="1"/>
  <c r="AL64" i="1"/>
  <c r="X64" i="1"/>
  <c r="X76" i="1" s="1"/>
  <c r="BZ78" i="1"/>
  <c r="DF78" i="1"/>
  <c r="CP78" i="1"/>
  <c r="AS146" i="1"/>
  <c r="AW87" i="1"/>
  <c r="BN76" i="1"/>
  <c r="BJ64" i="1"/>
  <c r="BI86" i="1"/>
  <c r="BU48" i="1"/>
  <c r="D76" i="1"/>
  <c r="F64" i="1"/>
  <c r="F31" i="1"/>
  <c r="F54" i="1"/>
  <c r="F22" i="1"/>
  <c r="F51" i="1"/>
  <c r="F37" i="1"/>
  <c r="F34" i="1"/>
  <c r="F16" i="1"/>
  <c r="F60" i="1"/>
  <c r="F13" i="1"/>
  <c r="F28" i="1"/>
  <c r="F19" i="1"/>
  <c r="F43" i="1"/>
  <c r="F25" i="1"/>
  <c r="F57" i="1"/>
  <c r="F40" i="1"/>
  <c r="M43" i="1"/>
  <c r="I115" i="1" s="1"/>
  <c r="M77" i="1"/>
  <c r="I148" i="1" s="1"/>
  <c r="AC65" i="1"/>
  <c r="AC64" i="1" s="1"/>
  <c r="AC48" i="1"/>
  <c r="AC86" i="1" s="1"/>
  <c r="CS136" i="1"/>
  <c r="CS76" i="1"/>
  <c r="CQ64" i="1"/>
  <c r="CQ76" i="1" s="1"/>
  <c r="CQ85" i="1" s="1"/>
  <c r="DE64" i="1"/>
  <c r="CO48" i="1"/>
  <c r="AL77" i="1"/>
  <c r="BU65" i="1"/>
  <c r="BC76" i="1" l="1"/>
  <c r="AS136" i="1"/>
  <c r="F77" i="1"/>
  <c r="CC137" i="1"/>
  <c r="DF76" i="1"/>
  <c r="BC88" i="1"/>
  <c r="BY64" i="1"/>
  <c r="BM76" i="1"/>
  <c r="BM87" i="1"/>
  <c r="BI64" i="1"/>
  <c r="M66" i="1"/>
  <c r="I86" i="1"/>
  <c r="U48" i="1"/>
  <c r="AO78" i="1"/>
  <c r="BU78" i="1"/>
  <c r="BE78" i="1"/>
  <c r="CN76" i="1"/>
  <c r="CN84" i="1" s="1"/>
  <c r="CJ64" i="1"/>
  <c r="CJ76" i="1" s="1"/>
  <c r="CJ84" i="1" s="1"/>
  <c r="AM88" i="1"/>
  <c r="AO76" i="1"/>
  <c r="AO88" i="1" s="1"/>
  <c r="CD84" i="1"/>
  <c r="CP76" i="1"/>
  <c r="M65" i="1"/>
  <c r="M48" i="1"/>
  <c r="M86" i="1" s="1"/>
  <c r="CC136" i="1"/>
  <c r="CE64" i="1"/>
  <c r="CA64" i="1" s="1"/>
  <c r="CO64" i="1"/>
  <c r="CC76" i="1"/>
  <c r="H64" i="1"/>
  <c r="H76" i="1" s="1"/>
  <c r="J76" i="1"/>
  <c r="V76" i="1" s="1"/>
  <c r="V64" i="1"/>
  <c r="T64" i="1"/>
  <c r="BJ76" i="1"/>
  <c r="BH64" i="1"/>
  <c r="BH76" i="1" s="1"/>
  <c r="BH85" i="1" s="1"/>
  <c r="BV64" i="1"/>
  <c r="BF76" i="1"/>
  <c r="AY79" i="1"/>
  <c r="N64" i="1"/>
  <c r="N76" i="1" s="1"/>
  <c r="AY87" i="1"/>
  <c r="AY76" i="1"/>
  <c r="AY88" i="1" s="1"/>
  <c r="CS84" i="1"/>
  <c r="CS147" i="1"/>
  <c r="CS83" i="1" s="1"/>
  <c r="DE76" i="1"/>
  <c r="U65" i="1"/>
  <c r="I64" i="1"/>
  <c r="AM87" i="1"/>
  <c r="AO64" i="1"/>
  <c r="AO87" i="1" s="1"/>
  <c r="AO16" i="1"/>
  <c r="AO54" i="1"/>
  <c r="AO13" i="1"/>
  <c r="AO43" i="1"/>
  <c r="AO34" i="1"/>
  <c r="AO57" i="1"/>
  <c r="AO37" i="1"/>
  <c r="AO60" i="1"/>
  <c r="AO28" i="1"/>
  <c r="AO31" i="1"/>
  <c r="AO22" i="1"/>
  <c r="AO51" i="1"/>
  <c r="AO19" i="1"/>
  <c r="AO25" i="1"/>
  <c r="AO48" i="1"/>
  <c r="AO86" i="1" s="1"/>
  <c r="AO40" i="1"/>
  <c r="AO85" i="1" s="1"/>
  <c r="BE64" i="1"/>
  <c r="AB85" i="1"/>
  <c r="Z147" i="1"/>
  <c r="AL76" i="1"/>
  <c r="BI137" i="1"/>
  <c r="AQ87" i="1"/>
  <c r="AQ136" i="1"/>
  <c r="AQ76" i="1"/>
  <c r="AC87" i="1"/>
  <c r="AC76" i="1"/>
  <c r="AC88" i="1" s="1"/>
  <c r="C87" i="1"/>
  <c r="E25" i="1"/>
  <c r="E51" i="1"/>
  <c r="E57" i="1"/>
  <c r="E43" i="1"/>
  <c r="E34" i="1"/>
  <c r="E54" i="1"/>
  <c r="E16" i="1"/>
  <c r="E22" i="1"/>
  <c r="E31" i="1"/>
  <c r="E19" i="1"/>
  <c r="E28" i="1"/>
  <c r="E60" i="1"/>
  <c r="E37" i="1"/>
  <c r="E13" i="1"/>
  <c r="Y76" i="1"/>
  <c r="Y87" i="1"/>
  <c r="AK64" i="1"/>
  <c r="W64" i="1"/>
  <c r="I138" i="1"/>
  <c r="U66" i="1"/>
  <c r="AS88" i="1"/>
  <c r="AS147" i="1"/>
  <c r="BE76" i="1"/>
  <c r="BI120" i="1"/>
  <c r="E77" i="1"/>
  <c r="C76" i="1"/>
  <c r="AK77" i="1"/>
  <c r="E41" i="1"/>
  <c r="E49" i="1"/>
  <c r="I122" i="1"/>
  <c r="AO66" i="1"/>
  <c r="CM64" i="1" l="1"/>
  <c r="CM76" i="1" s="1"/>
  <c r="CM84" i="1" s="1"/>
  <c r="M64" i="1"/>
  <c r="M87" i="1"/>
  <c r="M76" i="1"/>
  <c r="M88" i="1" s="1"/>
  <c r="W87" i="1"/>
  <c r="W76" i="1"/>
  <c r="Y88" i="1"/>
  <c r="Y147" i="1"/>
  <c r="AK76" i="1"/>
  <c r="C88" i="1"/>
  <c r="E76" i="1"/>
  <c r="E40" i="1"/>
  <c r="E85" i="1" s="1"/>
  <c r="E48" i="1"/>
  <c r="E86" i="1" s="1"/>
  <c r="F76" i="1"/>
  <c r="T76" i="1"/>
  <c r="P64" i="1"/>
  <c r="I120" i="1"/>
  <c r="I87" i="1"/>
  <c r="I136" i="1"/>
  <c r="I76" i="1"/>
  <c r="G64" i="1"/>
  <c r="U64" i="1"/>
  <c r="S64" i="1"/>
  <c r="CC147" i="1"/>
  <c r="CC83" i="1" s="1"/>
  <c r="CO76" i="1"/>
  <c r="BI87" i="1"/>
  <c r="BI136" i="1"/>
  <c r="BI76" i="1"/>
  <c r="BG64" i="1"/>
  <c r="BU64" i="1"/>
  <c r="BL85" i="1"/>
  <c r="BV76" i="1"/>
  <c r="AQ88" i="1"/>
  <c r="AQ147" i="1"/>
  <c r="I137" i="1"/>
  <c r="CA136" i="1"/>
  <c r="CA76" i="1"/>
  <c r="BM84" i="1"/>
  <c r="BM88" i="1"/>
  <c r="E64" i="1"/>
  <c r="E87" i="1" s="1"/>
  <c r="CE76" i="1"/>
  <c r="CE84" i="1" s="1"/>
  <c r="CI64" i="1"/>
  <c r="CI76" i="1" s="1"/>
  <c r="CI84" i="1" s="1"/>
  <c r="E88" i="1" l="1"/>
  <c r="W88" i="1"/>
  <c r="W85" i="1"/>
  <c r="S76" i="1"/>
  <c r="O64" i="1"/>
  <c r="I147" i="1"/>
  <c r="U76" i="1"/>
  <c r="I88" i="1"/>
  <c r="G76" i="1"/>
  <c r="G136" i="1"/>
  <c r="P76" i="1"/>
  <c r="BG87" i="1"/>
  <c r="BG76" i="1"/>
  <c r="CA147" i="1"/>
  <c r="CA83" i="1" s="1"/>
  <c r="BI84" i="1"/>
  <c r="BI147" i="1"/>
  <c r="BU76" i="1"/>
  <c r="BI88" i="1"/>
  <c r="BI83" i="1" s="1"/>
  <c r="O76" i="1" l="1"/>
  <c r="BG88" i="1"/>
  <c r="BG85" i="1"/>
  <c r="G147" i="1"/>
  <c r="G8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Baiba Briņķe</author>
  </authors>
  <commentList>
    <comment ref="DN44" authorId="0" shapeId="0" xr:uid="{C08C6606-B88D-4041-9A30-D3BA2483D931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Pēc NPL proporcijas</t>
        </r>
      </text>
    </comment>
    <comment ref="DN55" authorId="0" shapeId="0" xr:uid="{BDC3D1C7-3E5A-40E5-AC30-23BE332E3BAB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Pēc NPL proporcijas</t>
        </r>
      </text>
    </comment>
    <comment ref="DN71" authorId="0" shapeId="0" xr:uid="{B7A5D0B8-A5D7-4059-A1A3-89F628A34ACD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Pēc NPL proporcijas</t>
        </r>
      </text>
    </comment>
    <comment ref="J73" authorId="0" shapeId="0" xr:uid="{CEEF398E-CDCB-4B09-8D5A-62FA80BD4CAB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NPL proporcija</t>
        </r>
      </text>
    </comment>
    <comment ref="AT73" authorId="0" shapeId="0" xr:uid="{CB4F57F0-26BD-4535-A5E0-F1E7759311FB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NPL proporcija</t>
        </r>
      </text>
    </comment>
    <comment ref="CD73" authorId="0" shapeId="0" xr:uid="{70606246-3ACF-4273-B970-96E220603425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NPL proporcija</t>
        </r>
      </text>
    </comment>
  </commentList>
</comments>
</file>

<file path=xl/sharedStrings.xml><?xml version="1.0" encoding="utf-8"?>
<sst xmlns="http://schemas.openxmlformats.org/spreadsheetml/2006/main" count="5924" uniqueCount="89">
  <si>
    <t xml:space="preserve">Nolikuma par sabiedriskā pasūtījuma finansējuma izlietojuma un atskaitīšanās principiem 
Pielikums Nr.1 "Sabiedriskā pasūtījuma plāns un izpilde"
</t>
  </si>
  <si>
    <t>Sabiedriskā pasūtījuma plāns un izpilde 2024. gadā VSIA "LATVIJAS TELEVĪZIJA"</t>
  </si>
  <si>
    <t>Programmas/nosaukums:</t>
  </si>
  <si>
    <t>N.p.k.</t>
  </si>
  <si>
    <t xml:space="preserve">Žanri u.c. </t>
  </si>
  <si>
    <r>
      <t xml:space="preserve">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</si>
  <si>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</si>
  <si>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</si>
  <si>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IV ceturksnis </t>
    </r>
    <r>
      <rPr>
        <b/>
        <vertAlign val="superscript"/>
        <sz val="10"/>
        <rFont val="Times New Roman"/>
        <family val="1"/>
        <charset val="186"/>
      </rPr>
      <t>1</t>
    </r>
  </si>
  <si>
    <t>2024. gada 12 mēneši</t>
  </si>
  <si>
    <t>Pārskata perioda (12 mēnešu) izmaiņas</t>
  </si>
  <si>
    <r>
      <t xml:space="preserve">Hronometrāža 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 xml:space="preserve"> / Satura vienības </t>
    </r>
    <r>
      <rPr>
        <b/>
        <vertAlign val="superscript"/>
        <sz val="10"/>
        <rFont val="Times New Roman"/>
        <family val="1"/>
      </rPr>
      <t>8</t>
    </r>
  </si>
  <si>
    <t>Kopējie izdevumi (pēc PZA)</t>
  </si>
  <si>
    <t>tajā skaitā</t>
  </si>
  <si>
    <t>1 stundas tiešās izmaksa</t>
  </si>
  <si>
    <t>Kopējie izdevumi (pēc naudas plūsmas)</t>
  </si>
  <si>
    <t>1 stundas tiešās izmaksa (pēc naudas plūsmas)</t>
  </si>
  <si>
    <r>
      <t xml:space="preserve">Hronometrāža / Satura vienības </t>
    </r>
    <r>
      <rPr>
        <b/>
        <vertAlign val="superscript"/>
        <sz val="10"/>
        <rFont val="Times New Roman"/>
        <family val="1"/>
      </rPr>
      <t>8</t>
    </r>
  </si>
  <si>
    <t>1 stundas tiešās izmaksa (pēc PZA)</t>
  </si>
  <si>
    <t>Ilgums</t>
  </si>
  <si>
    <t>Īpatsvars no programmas kopējā raidapjoma</t>
  </si>
  <si>
    <t>Kopā tiešās un netiešās</t>
  </si>
  <si>
    <t>Tiešās izmaksas</t>
  </si>
  <si>
    <t>Netiešās izmaksas</t>
  </si>
  <si>
    <t>Dotācija</t>
  </si>
  <si>
    <r>
      <t xml:space="preserve">Līdzfinansējumi </t>
    </r>
    <r>
      <rPr>
        <b/>
        <vertAlign val="superscript"/>
        <sz val="10"/>
        <rFont val="Times New Roman"/>
        <family val="1"/>
        <charset val="186"/>
      </rPr>
      <t>2</t>
    </r>
  </si>
  <si>
    <t>Plāns</t>
  </si>
  <si>
    <t>Izpilde</t>
  </si>
  <si>
    <t xml:space="preserve">Plāns </t>
  </si>
  <si>
    <t>Izpilde "-" Plāns</t>
  </si>
  <si>
    <t>Nr</t>
  </si>
  <si>
    <t>stundas / skaits</t>
  </si>
  <si>
    <t>%</t>
  </si>
  <si>
    <t>EUR</t>
  </si>
  <si>
    <t>I</t>
  </si>
  <si>
    <t>Ziņas</t>
  </si>
  <si>
    <t>x</t>
  </si>
  <si>
    <t>V</t>
  </si>
  <si>
    <t>LTV1</t>
  </si>
  <si>
    <t>LTV7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</si>
  <si>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</si>
  <si>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</si>
  <si>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</si>
  <si>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</si>
  <si>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</si>
  <si>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</si>
  <si>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</si>
  <si>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</si>
  <si>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>Kopā pa žanriem (I)</t>
  </si>
  <si>
    <t>II</t>
  </si>
  <si>
    <t>Iepirktās filmas, ekranizējumi, raidījumi</t>
  </si>
  <si>
    <r>
      <t>Raidījumu pieejamības nodrošināšana</t>
    </r>
    <r>
      <rPr>
        <sz val="10"/>
        <rFont val="Calibri"/>
        <family val="2"/>
        <charset val="186"/>
      </rPr>
      <t>³</t>
    </r>
  </si>
  <si>
    <t>LTV1/LTV7</t>
  </si>
  <si>
    <t>Kopā (I+II)</t>
  </si>
  <si>
    <t>III</t>
  </si>
  <si>
    <r>
      <t xml:space="preserve">Atkārtojumi </t>
    </r>
    <r>
      <rPr>
        <vertAlign val="superscript"/>
        <sz val="10"/>
        <rFont val="Times New Roman"/>
        <family val="1"/>
      </rPr>
      <t>4</t>
    </r>
  </si>
  <si>
    <t>IV</t>
  </si>
  <si>
    <t xml:space="preserve">Pašreklāma </t>
  </si>
  <si>
    <t xml:space="preserve">Kultūras paziņojumi  </t>
  </si>
  <si>
    <t>Sociālie un citi paziņojumi</t>
  </si>
  <si>
    <t xml:space="preserve">Apraides izmaksas  </t>
  </si>
  <si>
    <t>VI</t>
  </si>
  <si>
    <t>Kopā lineārais saturs (I-VI)</t>
  </si>
  <si>
    <t>Satura pētījuma izmaksas</t>
  </si>
  <si>
    <t>VII</t>
  </si>
  <si>
    <t>Ārpus ētera projekti</t>
  </si>
  <si>
    <t>Kopā (VII)</t>
  </si>
  <si>
    <t>VIII</t>
  </si>
  <si>
    <r>
      <t xml:space="preserve">Digitālā satura veidošana (sociālie mediji, platformas, tehnoloģijas u.c.) </t>
    </r>
    <r>
      <rPr>
        <vertAlign val="superscript"/>
        <sz val="10"/>
        <rFont val="Times New Roman"/>
        <family val="1"/>
      </rPr>
      <t>5</t>
    </r>
  </si>
  <si>
    <r>
      <t xml:space="preserve">Satura veidošana LSM.LV </t>
    </r>
    <r>
      <rPr>
        <vertAlign val="superscript"/>
        <sz val="10"/>
        <rFont val="Times New Roman"/>
        <family val="1"/>
      </rPr>
      <t>6</t>
    </r>
  </si>
  <si>
    <r>
      <t xml:space="preserve">Satura veidošana RUS.LSM.LV </t>
    </r>
    <r>
      <rPr>
        <vertAlign val="superscript"/>
        <sz val="10"/>
        <rFont val="Times New Roman"/>
        <family val="1"/>
      </rPr>
      <t>6</t>
    </r>
  </si>
  <si>
    <r>
      <t xml:space="preserve">Satura veidošana ENG.LSM.LV </t>
    </r>
    <r>
      <rPr>
        <vertAlign val="superscript"/>
        <sz val="10"/>
        <rFont val="Times New Roman"/>
        <family val="1"/>
      </rPr>
      <t>6</t>
    </r>
  </si>
  <si>
    <r>
      <t xml:space="preserve">Cits </t>
    </r>
    <r>
      <rPr>
        <vertAlign val="superscript"/>
        <sz val="10"/>
        <rFont val="Times New Roman"/>
        <family val="1"/>
      </rPr>
      <t>7</t>
    </r>
  </si>
  <si>
    <t>Kopā digitālais saturs (VIII)</t>
  </si>
  <si>
    <t>Kopā visas satura izmaksas(I-VIII)</t>
  </si>
  <si>
    <t>Digitālais saturs</t>
  </si>
  <si>
    <t>Uzņēmuma vadītājs_____________________</t>
  </si>
  <si>
    <t>Sagatavoja___________________________</t>
  </si>
  <si>
    <t>Piezīmes. 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</si>
  <si>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</si>
  <si>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</si>
  <si>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</si>
  <si>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</si>
  <si>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</si>
  <si>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</si>
  <si>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</rPr>
      <t>7</t>
    </r>
    <r>
      <rPr>
        <sz val="9"/>
        <rFont val="Times New Roman"/>
        <family val="1"/>
      </rPr>
      <t xml:space="preserve"> minēt digitālās platformas nosaukumu</t>
    </r>
  </si>
  <si>
    <r>
      <rPr>
        <vertAlign val="superscript"/>
        <sz val="9"/>
        <rFont val="Times New Roman"/>
        <family val="1"/>
      </rPr>
      <t>8</t>
    </r>
    <r>
      <rPr>
        <sz val="9"/>
        <rFont val="Times New Roman"/>
        <family val="1"/>
      </rPr>
      <t xml:space="preserve"> minēt LSM satura vienības</t>
    </r>
  </si>
  <si>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sadaļās I un II norādāms oriģinālsatura apjoms - pirmizrāde un viens atkārtojums gadā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</si>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</sst>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.0_ ;\-#,##0.0\ "/>
    <numFmt numFmtId="168" formatCode="_-* #,##0.0_-;\-* #,##0.0_-;_-* &quot;-&quot;??_-;_-@_-"/>
    <numFmt numFmtId="169" formatCode="_-* #,##0\ _€_-;\-* #,##0\ _€_-;_-* &quot;-&quot;??\ _€_-;_-@_-"/>
    <numFmt numFmtId="170" formatCode="_-* #,##0.00\ _€_-;\-* #,##0.00\ _€_-;_-* &quot;-&quot;??\ _€_-;_-@_-"/>
    <numFmt numFmtId="171" formatCode="_-* #,##0.0000_-;\-* #,##0.0000_-;_-* &quot;-&quot;??_-;_-@_-"/>
  </numFmts>
  <fonts count="30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1"/>
      <name val="Calibri"/>
      <family val="2"/>
      <scheme val="minor"/>
    </font>
    <font>
      <sz val="10"/>
      <name val="Calibri"/>
      <family val="2"/>
      <charset val="186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  <charset val="186"/>
    </font>
    <font>
      <sz val="10"/>
      <color theme="1"/>
      <name val="Calibri"/>
      <family val="2"/>
      <scheme val="minor"/>
    </font>
    <font>
      <sz val="10"/>
      <color indexed="8"/>
      <name val="MS Sans Serif"/>
    </font>
    <font>
      <b/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Calibri"/>
      <family val="2"/>
      <scheme val="minor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11"/>
      <color rgb="FF000000"/>
      <name val="Calibri"/>
      <family val="2"/>
      <charset val="186"/>
    </font>
    <font>
      <sz val="12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1"/>
        <bgColor theme="1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9" fillId="0" borderId="0"/>
  </cellStyleXfs>
  <cellXfs count="426">
    <xf numFmtId="0" fontId="0" fillId="0" borderId="0" xfId="0"/>
    <xf numFmtId="0" fontId="2" fillId="0" borderId="0" xfId="3" applyFont="1"/>
    <xf numFmtId="0" fontId="2" fillId="0" borderId="0" xfId="3" applyFont="1" applyAlignment="1">
      <alignment vertical="center"/>
    </xf>
    <xf numFmtId="0" fontId="3" fillId="0" borderId="0" xfId="3" applyFont="1"/>
    <xf numFmtId="3" fontId="2" fillId="0" borderId="0" xfId="3" applyNumberFormat="1" applyFont="1"/>
    <xf numFmtId="0" fontId="4" fillId="0" borderId="0" xfId="3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vertical="center"/>
    </xf>
    <xf numFmtId="0" fontId="6" fillId="0" borderId="0" xfId="3" applyFont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4" borderId="9" xfId="5" applyFont="1" applyFill="1" applyBorder="1" applyAlignment="1">
      <alignment horizontal="center" vertical="center" wrapText="1"/>
    </xf>
    <xf numFmtId="0" fontId="7" fillId="3" borderId="9" xfId="5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2" borderId="9" xfId="5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4" borderId="21" xfId="5" applyFont="1" applyFill="1" applyBorder="1" applyAlignment="1">
      <alignment horizontal="center" vertical="center" wrapText="1"/>
    </xf>
    <xf numFmtId="0" fontId="7" fillId="2" borderId="21" xfId="5" applyFont="1" applyFill="1" applyBorder="1" applyAlignment="1">
      <alignment horizontal="center" vertical="center" wrapText="1"/>
    </xf>
    <xf numFmtId="0" fontId="7" fillId="3" borderId="21" xfId="5" applyFont="1" applyFill="1" applyBorder="1" applyAlignment="1">
      <alignment horizontal="center" vertical="center" wrapText="1"/>
    </xf>
    <xf numFmtId="0" fontId="7" fillId="2" borderId="25" xfId="5" applyFont="1" applyFill="1" applyBorder="1" applyAlignment="1">
      <alignment horizontal="center" vertical="center" wrapText="1"/>
    </xf>
    <xf numFmtId="0" fontId="7" fillId="4" borderId="9" xfId="5" applyFont="1" applyFill="1" applyBorder="1" applyAlignment="1">
      <alignment vertical="center" wrapText="1"/>
    </xf>
    <xf numFmtId="0" fontId="7" fillId="4" borderId="15" xfId="5" applyFont="1" applyFill="1" applyBorder="1" applyAlignment="1">
      <alignment vertical="center" wrapText="1"/>
    </xf>
    <xf numFmtId="0" fontId="7" fillId="4" borderId="13" xfId="5" applyFont="1" applyFill="1" applyBorder="1" applyAlignment="1">
      <alignment vertical="center" wrapText="1"/>
    </xf>
    <xf numFmtId="0" fontId="7" fillId="4" borderId="25" xfId="5" applyFont="1" applyFill="1" applyBorder="1" applyAlignment="1">
      <alignment horizontal="center" vertical="center" wrapText="1"/>
    </xf>
    <xf numFmtId="0" fontId="7" fillId="3" borderId="25" xfId="5" applyFont="1" applyFill="1" applyBorder="1" applyAlignment="1">
      <alignment horizontal="center" vertical="center" wrapText="1"/>
    </xf>
    <xf numFmtId="0" fontId="7" fillId="0" borderId="26" xfId="3" applyFont="1" applyBorder="1" applyAlignment="1">
      <alignment vertical="center" wrapText="1"/>
    </xf>
    <xf numFmtId="0" fontId="7" fillId="0" borderId="25" xfId="4" applyFont="1" applyBorder="1" applyAlignment="1">
      <alignment vertical="center"/>
    </xf>
    <xf numFmtId="0" fontId="7" fillId="2" borderId="9" xfId="5" applyFont="1" applyFill="1" applyBorder="1" applyAlignment="1">
      <alignment vertical="center" wrapText="1"/>
    </xf>
    <xf numFmtId="0" fontId="7" fillId="3" borderId="9" xfId="5" applyFont="1" applyFill="1" applyBorder="1" applyAlignment="1">
      <alignment vertical="center" wrapText="1"/>
    </xf>
    <xf numFmtId="0" fontId="7" fillId="0" borderId="4" xfId="3" applyFont="1" applyBorder="1" applyAlignment="1">
      <alignment horizontal="center" vertical="center"/>
    </xf>
    <xf numFmtId="0" fontId="2" fillId="0" borderId="27" xfId="3" applyFont="1" applyBorder="1" applyAlignment="1" applyProtection="1">
      <alignment horizontal="left" vertical="center"/>
      <protection locked="0"/>
    </xf>
    <xf numFmtId="164" fontId="7" fillId="0" borderId="27" xfId="3" applyNumberFormat="1" applyFont="1" applyBorder="1" applyAlignment="1">
      <alignment horizontal="center"/>
    </xf>
    <xf numFmtId="3" fontId="11" fillId="0" borderId="5" xfId="3" applyNumberFormat="1" applyFont="1" applyBorder="1" applyAlignment="1">
      <alignment horizontal="center"/>
    </xf>
    <xf numFmtId="3" fontId="12" fillId="0" borderId="27" xfId="3" applyNumberFormat="1" applyFont="1" applyBorder="1"/>
    <xf numFmtId="3" fontId="12" fillId="0" borderId="27" xfId="3" applyNumberFormat="1" applyFont="1" applyBorder="1" applyAlignment="1">
      <alignment horizontal="right"/>
    </xf>
    <xf numFmtId="164" fontId="7" fillId="0" borderId="28" xfId="3" applyNumberFormat="1" applyFont="1" applyBorder="1" applyAlignment="1">
      <alignment horizontal="center"/>
    </xf>
    <xf numFmtId="165" fontId="7" fillId="0" borderId="27" xfId="3" applyNumberFormat="1" applyFont="1" applyBorder="1" applyAlignment="1">
      <alignment horizontal="center"/>
    </xf>
    <xf numFmtId="3" fontId="7" fillId="0" borderId="27" xfId="3" applyNumberFormat="1" applyFont="1" applyBorder="1" applyAlignment="1">
      <alignment horizontal="center"/>
    </xf>
    <xf numFmtId="164" fontId="11" fillId="0" borderId="5" xfId="3" applyNumberFormat="1" applyFont="1" applyBorder="1" applyAlignment="1">
      <alignment horizontal="center"/>
    </xf>
    <xf numFmtId="165" fontId="11" fillId="0" borderId="5" xfId="3" applyNumberFormat="1" applyFont="1" applyBorder="1" applyAlignment="1">
      <alignment horizontal="center"/>
    </xf>
    <xf numFmtId="165" fontId="2" fillId="0" borderId="0" xfId="3" applyNumberFormat="1" applyFont="1"/>
    <xf numFmtId="0" fontId="13" fillId="0" borderId="29" xfId="0" applyFont="1" applyBorder="1" applyAlignment="1">
      <alignment horizontal="left"/>
    </xf>
    <xf numFmtId="165" fontId="5" fillId="0" borderId="30" xfId="3" applyNumberFormat="1" applyFont="1" applyBorder="1" applyAlignment="1">
      <alignment horizontal="center"/>
    </xf>
    <xf numFmtId="3" fontId="11" fillId="0" borderId="31" xfId="3" applyNumberFormat="1" applyFont="1" applyBorder="1" applyAlignment="1">
      <alignment horizontal="center"/>
    </xf>
    <xf numFmtId="3" fontId="5" fillId="0" borderId="30" xfId="3" applyNumberFormat="1" applyFont="1" applyBorder="1"/>
    <xf numFmtId="3" fontId="11" fillId="0" borderId="30" xfId="3" applyNumberFormat="1" applyFont="1" applyBorder="1" applyAlignment="1">
      <alignment horizontal="right"/>
    </xf>
    <xf numFmtId="165" fontId="5" fillId="0" borderId="32" xfId="3" applyNumberFormat="1" applyFont="1" applyBorder="1" applyAlignment="1">
      <alignment horizontal="center"/>
    </xf>
    <xf numFmtId="3" fontId="5" fillId="0" borderId="30" xfId="3" applyNumberFormat="1" applyFont="1" applyBorder="1" applyAlignment="1">
      <alignment horizontal="center"/>
    </xf>
    <xf numFmtId="164" fontId="11" fillId="0" borderId="31" xfId="3" applyNumberFormat="1" applyFont="1" applyBorder="1" applyAlignment="1">
      <alignment horizontal="center"/>
    </xf>
    <xf numFmtId="165" fontId="11" fillId="0" borderId="31" xfId="3" applyNumberFormat="1" applyFont="1" applyBorder="1" applyAlignment="1">
      <alignment horizontal="center"/>
    </xf>
    <xf numFmtId="9" fontId="2" fillId="0" borderId="0" xfId="2" applyFont="1"/>
    <xf numFmtId="3" fontId="11" fillId="0" borderId="30" xfId="3" applyNumberFormat="1" applyFont="1" applyBorder="1" applyAlignment="1">
      <alignment horizontal="center"/>
    </xf>
    <xf numFmtId="165" fontId="5" fillId="0" borderId="12" xfId="3" applyNumberFormat="1" applyFont="1" applyBorder="1" applyAlignment="1">
      <alignment horizontal="center"/>
    </xf>
    <xf numFmtId="164" fontId="11" fillId="0" borderId="30" xfId="3" applyNumberFormat="1" applyFont="1" applyBorder="1" applyAlignment="1">
      <alignment horizontal="center"/>
    </xf>
    <xf numFmtId="165" fontId="11" fillId="0" borderId="30" xfId="3" applyNumberFormat="1" applyFont="1" applyBorder="1" applyAlignment="1">
      <alignment horizontal="center"/>
    </xf>
    <xf numFmtId="3" fontId="11" fillId="0" borderId="27" xfId="3" applyNumberFormat="1" applyFont="1" applyBorder="1" applyAlignment="1">
      <alignment horizontal="center"/>
    </xf>
    <xf numFmtId="3" fontId="11" fillId="0" borderId="27" xfId="3" applyNumberFormat="1" applyFont="1" applyBorder="1" applyAlignment="1">
      <alignment horizontal="right"/>
    </xf>
    <xf numFmtId="164" fontId="11" fillId="0" borderId="27" xfId="3" applyNumberFormat="1" applyFont="1" applyBorder="1" applyAlignment="1">
      <alignment horizontal="center"/>
    </xf>
    <xf numFmtId="165" fontId="11" fillId="0" borderId="27" xfId="3" applyNumberFormat="1" applyFont="1" applyBorder="1" applyAlignment="1">
      <alignment horizontal="center"/>
    </xf>
    <xf numFmtId="164" fontId="5" fillId="0" borderId="30" xfId="3" applyNumberFormat="1" applyFont="1" applyBorder="1" applyAlignment="1">
      <alignment horizontal="center"/>
    </xf>
    <xf numFmtId="165" fontId="5" fillId="0" borderId="25" xfId="3" applyNumberFormat="1" applyFont="1" applyBorder="1" applyAlignment="1">
      <alignment horizontal="center"/>
    </xf>
    <xf numFmtId="0" fontId="2" fillId="0" borderId="27" xfId="3" applyFont="1" applyBorder="1" applyAlignment="1">
      <alignment horizontal="left" vertical="center"/>
    </xf>
    <xf numFmtId="3" fontId="2" fillId="0" borderId="27" xfId="3" applyNumberFormat="1" applyFont="1" applyBorder="1" applyAlignment="1">
      <alignment horizontal="center"/>
    </xf>
    <xf numFmtId="3" fontId="7" fillId="0" borderId="27" xfId="3" applyNumberFormat="1" applyFont="1" applyBorder="1"/>
    <xf numFmtId="3" fontId="2" fillId="0" borderId="27" xfId="3" applyNumberFormat="1" applyFont="1" applyBorder="1" applyAlignment="1">
      <alignment horizontal="right"/>
    </xf>
    <xf numFmtId="164" fontId="7" fillId="0" borderId="30" xfId="3" applyNumberFormat="1" applyFont="1" applyBorder="1" applyAlignment="1">
      <alignment horizontal="center"/>
    </xf>
    <xf numFmtId="165" fontId="7" fillId="0" borderId="30" xfId="3" applyNumberFormat="1" applyFont="1" applyBorder="1" applyAlignment="1">
      <alignment horizontal="center"/>
    </xf>
    <xf numFmtId="164" fontId="2" fillId="0" borderId="27" xfId="3" applyNumberFormat="1" applyFont="1" applyBorder="1" applyAlignment="1">
      <alignment horizontal="center"/>
    </xf>
    <xf numFmtId="165" fontId="2" fillId="0" borderId="27" xfId="3" applyNumberFormat="1" applyFont="1" applyBorder="1" applyAlignment="1">
      <alignment horizontal="center"/>
    </xf>
    <xf numFmtId="0" fontId="7" fillId="3" borderId="9" xfId="3" applyFont="1" applyFill="1" applyBorder="1" applyAlignment="1">
      <alignment horizontal="center" vertical="center"/>
    </xf>
    <xf numFmtId="165" fontId="7" fillId="3" borderId="9" xfId="3" applyNumberFormat="1" applyFont="1" applyFill="1" applyBorder="1" applyAlignment="1">
      <alignment horizontal="center"/>
    </xf>
    <xf numFmtId="3" fontId="11" fillId="3" borderId="14" xfId="3" applyNumberFormat="1" applyFont="1" applyFill="1" applyBorder="1" applyAlignment="1">
      <alignment horizontal="center"/>
    </xf>
    <xf numFmtId="3" fontId="12" fillId="3" borderId="14" xfId="3" applyNumberFormat="1" applyFont="1" applyFill="1" applyBorder="1"/>
    <xf numFmtId="3" fontId="12" fillId="3" borderId="14" xfId="3" applyNumberFormat="1" applyFont="1" applyFill="1" applyBorder="1" applyAlignment="1">
      <alignment horizontal="right"/>
    </xf>
    <xf numFmtId="165" fontId="7" fillId="3" borderId="8" xfId="3" applyNumberFormat="1" applyFont="1" applyFill="1" applyBorder="1" applyAlignment="1">
      <alignment horizontal="center"/>
    </xf>
    <xf numFmtId="3" fontId="7" fillId="3" borderId="9" xfId="3" applyNumberFormat="1" applyFont="1" applyFill="1" applyBorder="1" applyAlignment="1">
      <alignment horizontal="center"/>
    </xf>
    <xf numFmtId="164" fontId="11" fillId="3" borderId="14" xfId="3" applyNumberFormat="1" applyFont="1" applyFill="1" applyBorder="1" applyAlignment="1">
      <alignment horizontal="center"/>
    </xf>
    <xf numFmtId="165" fontId="11" fillId="3" borderId="14" xfId="3" applyNumberFormat="1" applyFont="1" applyFill="1" applyBorder="1" applyAlignment="1">
      <alignment horizontal="center"/>
    </xf>
    <xf numFmtId="0" fontId="7" fillId="0" borderId="5" xfId="3" applyFont="1" applyBorder="1" applyAlignment="1">
      <alignment vertical="center"/>
    </xf>
    <xf numFmtId="0" fontId="7" fillId="3" borderId="5" xfId="3" applyFont="1" applyFill="1" applyBorder="1" applyAlignment="1">
      <alignment horizontal="center" vertical="center"/>
    </xf>
    <xf numFmtId="165" fontId="7" fillId="3" borderId="5" xfId="3" applyNumberFormat="1" applyFont="1" applyFill="1" applyBorder="1" applyAlignment="1">
      <alignment horizontal="center"/>
    </xf>
    <xf numFmtId="165" fontId="7" fillId="3" borderId="14" xfId="3" applyNumberFormat="1" applyFont="1" applyFill="1" applyBorder="1" applyAlignment="1">
      <alignment horizontal="center"/>
    </xf>
    <xf numFmtId="3" fontId="7" fillId="3" borderId="5" xfId="3" applyNumberFormat="1" applyFont="1" applyFill="1" applyBorder="1" applyAlignment="1">
      <alignment horizontal="center"/>
    </xf>
    <xf numFmtId="0" fontId="7" fillId="0" borderId="25" xfId="3" applyFont="1" applyBorder="1" applyAlignment="1">
      <alignment vertical="center"/>
    </xf>
    <xf numFmtId="0" fontId="7" fillId="3" borderId="25" xfId="3" applyFont="1" applyFill="1" applyBorder="1" applyAlignment="1">
      <alignment horizontal="center" vertical="center"/>
    </xf>
    <xf numFmtId="165" fontId="7" fillId="3" borderId="25" xfId="3" applyNumberFormat="1" applyFont="1" applyFill="1" applyBorder="1" applyAlignment="1">
      <alignment horizontal="center"/>
    </xf>
    <xf numFmtId="3" fontId="11" fillId="3" borderId="21" xfId="3" applyNumberFormat="1" applyFont="1" applyFill="1" applyBorder="1" applyAlignment="1">
      <alignment horizontal="center"/>
    </xf>
    <xf numFmtId="3" fontId="12" fillId="3" borderId="21" xfId="3" applyNumberFormat="1" applyFont="1" applyFill="1" applyBorder="1"/>
    <xf numFmtId="3" fontId="12" fillId="3" borderId="21" xfId="3" applyNumberFormat="1" applyFont="1" applyFill="1" applyBorder="1" applyAlignment="1">
      <alignment horizontal="right"/>
    </xf>
    <xf numFmtId="165" fontId="7" fillId="3" borderId="21" xfId="3" applyNumberFormat="1" applyFont="1" applyFill="1" applyBorder="1" applyAlignment="1">
      <alignment horizontal="center"/>
    </xf>
    <xf numFmtId="3" fontId="7" fillId="3" borderId="25" xfId="3" applyNumberFormat="1" applyFont="1" applyFill="1" applyBorder="1" applyAlignment="1">
      <alignment horizontal="center"/>
    </xf>
    <xf numFmtId="164" fontId="11" fillId="3" borderId="21" xfId="3" applyNumberFormat="1" applyFont="1" applyFill="1" applyBorder="1" applyAlignment="1">
      <alignment horizontal="center"/>
    </xf>
    <xf numFmtId="165" fontId="11" fillId="3" borderId="21" xfId="3" applyNumberFormat="1" applyFont="1" applyFill="1" applyBorder="1" applyAlignment="1">
      <alignment horizontal="center"/>
    </xf>
    <xf numFmtId="0" fontId="2" fillId="0" borderId="32" xfId="3" applyFont="1" applyBorder="1" applyAlignment="1">
      <alignment horizontal="left" vertical="center"/>
    </xf>
    <xf numFmtId="165" fontId="5" fillId="0" borderId="18" xfId="3" applyNumberFormat="1" applyFont="1" applyBorder="1" applyAlignment="1">
      <alignment horizontal="center"/>
    </xf>
    <xf numFmtId="3" fontId="5" fillId="0" borderId="12" xfId="3" applyNumberFormat="1" applyFont="1" applyBorder="1" applyAlignment="1">
      <alignment horizontal="center"/>
    </xf>
    <xf numFmtId="3" fontId="11" fillId="0" borderId="5" xfId="3" applyNumberFormat="1" applyFont="1" applyBorder="1" applyAlignment="1">
      <alignment horizontal="right"/>
    </xf>
    <xf numFmtId="3" fontId="11" fillId="0" borderId="14" xfId="3" applyNumberFormat="1" applyFont="1" applyBorder="1" applyAlignment="1">
      <alignment horizontal="center"/>
    </xf>
    <xf numFmtId="3" fontId="11" fillId="0" borderId="33" xfId="3" applyNumberFormat="1" applyFont="1" applyBorder="1" applyAlignment="1">
      <alignment horizontal="center"/>
    </xf>
    <xf numFmtId="3" fontId="11" fillId="0" borderId="12" xfId="3" applyNumberFormat="1" applyFont="1" applyBorder="1" applyAlignment="1">
      <alignment horizontal="right"/>
    </xf>
    <xf numFmtId="3" fontId="11" fillId="0" borderId="34" xfId="3" applyNumberFormat="1" applyFont="1" applyBorder="1" applyAlignment="1">
      <alignment horizontal="center"/>
    </xf>
    <xf numFmtId="165" fontId="11" fillId="0" borderId="33" xfId="3" applyNumberFormat="1" applyFont="1" applyBorder="1" applyAlignment="1">
      <alignment horizontal="center"/>
    </xf>
    <xf numFmtId="0" fontId="7" fillId="3" borderId="8" xfId="3" applyFont="1" applyFill="1" applyBorder="1" applyAlignment="1">
      <alignment horizontal="center" vertical="center"/>
    </xf>
    <xf numFmtId="3" fontId="11" fillId="3" borderId="9" xfId="3" applyNumberFormat="1" applyFont="1" applyFill="1" applyBorder="1" applyAlignment="1">
      <alignment horizontal="center"/>
    </xf>
    <xf numFmtId="3" fontId="12" fillId="3" borderId="9" xfId="3" applyNumberFormat="1" applyFont="1" applyFill="1" applyBorder="1"/>
    <xf numFmtId="164" fontId="11" fillId="3" borderId="9" xfId="3" applyNumberFormat="1" applyFont="1" applyFill="1" applyBorder="1" applyAlignment="1">
      <alignment horizontal="center"/>
    </xf>
    <xf numFmtId="165" fontId="11" fillId="3" borderId="9" xfId="3" applyNumberFormat="1" applyFont="1" applyFill="1" applyBorder="1" applyAlignment="1">
      <alignment horizontal="center"/>
    </xf>
    <xf numFmtId="3" fontId="11" fillId="0" borderId="12" xfId="3" applyNumberFormat="1" applyFont="1" applyBorder="1" applyAlignment="1">
      <alignment horizontal="center"/>
    </xf>
    <xf numFmtId="3" fontId="5" fillId="0" borderId="12" xfId="3" applyNumberFormat="1" applyFont="1" applyBorder="1"/>
    <xf numFmtId="164" fontId="11" fillId="0" borderId="12" xfId="3" applyNumberFormat="1" applyFont="1" applyBorder="1" applyAlignment="1">
      <alignment horizontal="center"/>
    </xf>
    <xf numFmtId="165" fontId="11" fillId="0" borderId="12" xfId="3" applyNumberFormat="1" applyFont="1" applyBorder="1" applyAlignment="1">
      <alignment horizontal="center"/>
    </xf>
    <xf numFmtId="0" fontId="2" fillId="0" borderId="5" xfId="3" applyFont="1" applyBorder="1" applyAlignment="1">
      <alignment horizontal="left" vertical="center"/>
    </xf>
    <xf numFmtId="0" fontId="11" fillId="5" borderId="5" xfId="3" applyFont="1" applyFill="1" applyBorder="1" applyAlignment="1">
      <alignment horizontal="center"/>
    </xf>
    <xf numFmtId="0" fontId="2" fillId="5" borderId="5" xfId="3" applyFont="1" applyFill="1" applyBorder="1"/>
    <xf numFmtId="0" fontId="2" fillId="5" borderId="5" xfId="3" applyFont="1" applyFill="1" applyBorder="1" applyAlignment="1">
      <alignment horizontal="right"/>
    </xf>
    <xf numFmtId="165" fontId="7" fillId="0" borderId="28" xfId="3" applyNumberFormat="1" applyFont="1" applyBorder="1" applyAlignment="1">
      <alignment horizontal="center"/>
    </xf>
    <xf numFmtId="3" fontId="2" fillId="5" borderId="5" xfId="3" applyNumberFormat="1" applyFont="1" applyFill="1" applyBorder="1" applyAlignment="1">
      <alignment horizontal="center"/>
    </xf>
    <xf numFmtId="165" fontId="2" fillId="5" borderId="5" xfId="3" applyNumberFormat="1" applyFont="1" applyFill="1" applyBorder="1" applyAlignment="1">
      <alignment horizontal="center"/>
    </xf>
    <xf numFmtId="164" fontId="11" fillId="5" borderId="5" xfId="3" applyNumberFormat="1" applyFont="1" applyFill="1" applyBorder="1" applyAlignment="1">
      <alignment horizontal="center"/>
    </xf>
    <xf numFmtId="165" fontId="11" fillId="5" borderId="5" xfId="3" applyNumberFormat="1" applyFont="1" applyFill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11" fillId="5" borderId="35" xfId="3" applyFont="1" applyFill="1" applyBorder="1" applyAlignment="1">
      <alignment horizontal="center"/>
    </xf>
    <xf numFmtId="0" fontId="2" fillId="5" borderId="35" xfId="3" applyFont="1" applyFill="1" applyBorder="1"/>
    <xf numFmtId="0" fontId="2" fillId="5" borderId="12" xfId="3" applyFont="1" applyFill="1" applyBorder="1" applyAlignment="1">
      <alignment horizontal="right"/>
    </xf>
    <xf numFmtId="3" fontId="2" fillId="5" borderId="12" xfId="3" applyNumberFormat="1" applyFont="1" applyFill="1" applyBorder="1" applyAlignment="1">
      <alignment horizontal="center"/>
    </xf>
    <xf numFmtId="165" fontId="2" fillId="5" borderId="12" xfId="3" applyNumberFormat="1" applyFont="1" applyFill="1" applyBorder="1" applyAlignment="1">
      <alignment horizontal="center"/>
    </xf>
    <xf numFmtId="164" fontId="11" fillId="5" borderId="35" xfId="3" applyNumberFormat="1" applyFont="1" applyFill="1" applyBorder="1" applyAlignment="1">
      <alignment horizontal="center"/>
    </xf>
    <xf numFmtId="165" fontId="11" fillId="5" borderId="35" xfId="3" applyNumberFormat="1" applyFont="1" applyFill="1" applyBorder="1" applyAlignment="1">
      <alignment horizontal="center"/>
    </xf>
    <xf numFmtId="0" fontId="2" fillId="0" borderId="9" xfId="3" applyFont="1" applyBorder="1" applyAlignment="1">
      <alignment horizontal="left" vertical="center" wrapText="1"/>
    </xf>
    <xf numFmtId="0" fontId="2" fillId="0" borderId="9" xfId="3" applyFont="1" applyBorder="1" applyAlignment="1">
      <alignment horizontal="center"/>
    </xf>
    <xf numFmtId="3" fontId="11" fillId="0" borderId="9" xfId="3" applyNumberFormat="1" applyFont="1" applyBorder="1" applyAlignment="1">
      <alignment horizontal="center"/>
    </xf>
    <xf numFmtId="3" fontId="5" fillId="0" borderId="9" xfId="3" applyNumberFormat="1" applyFont="1" applyBorder="1"/>
    <xf numFmtId="3" fontId="11" fillId="0" borderId="9" xfId="3" applyNumberFormat="1" applyFont="1" applyBorder="1" applyAlignment="1">
      <alignment horizontal="right"/>
    </xf>
    <xf numFmtId="0" fontId="2" fillId="0" borderId="9" xfId="3" applyFont="1" applyBorder="1"/>
    <xf numFmtId="166" fontId="5" fillId="0" borderId="9" xfId="1" applyNumberFormat="1" applyFont="1" applyBorder="1"/>
    <xf numFmtId="166" fontId="2" fillId="0" borderId="9" xfId="1" applyNumberFormat="1" applyFont="1" applyBorder="1" applyAlignment="1">
      <alignment horizontal="center"/>
    </xf>
    <xf numFmtId="0" fontId="2" fillId="0" borderId="8" xfId="3" applyFont="1" applyBorder="1" applyAlignment="1">
      <alignment horizontal="center"/>
    </xf>
    <xf numFmtId="165" fontId="2" fillId="0" borderId="9" xfId="3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4" fontId="11" fillId="0" borderId="9" xfId="3" applyNumberFormat="1" applyFont="1" applyBorder="1" applyAlignment="1">
      <alignment horizontal="center"/>
    </xf>
    <xf numFmtId="165" fontId="11" fillId="0" borderId="9" xfId="3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7" fillId="0" borderId="24" xfId="3" applyFont="1" applyBorder="1" applyAlignment="1">
      <alignment vertical="center"/>
    </xf>
    <xf numFmtId="0" fontId="7" fillId="3" borderId="5" xfId="3" applyFont="1" applyFill="1" applyBorder="1" applyAlignment="1">
      <alignment horizontal="center"/>
    </xf>
    <xf numFmtId="3" fontId="12" fillId="3" borderId="14" xfId="3" applyNumberFormat="1" applyFont="1" applyFill="1" applyBorder="1" applyAlignment="1">
      <alignment horizontal="center"/>
    </xf>
    <xf numFmtId="3" fontId="12" fillId="3" borderId="9" xfId="3" applyNumberFormat="1" applyFont="1" applyFill="1" applyBorder="1" applyAlignment="1">
      <alignment horizontal="center"/>
    </xf>
    <xf numFmtId="1" fontId="7" fillId="3" borderId="5" xfId="3" applyNumberFormat="1" applyFont="1" applyFill="1" applyBorder="1" applyAlignment="1">
      <alignment horizontal="center"/>
    </xf>
    <xf numFmtId="166" fontId="7" fillId="3" borderId="8" xfId="1" applyNumberFormat="1" applyFont="1" applyFill="1" applyBorder="1" applyAlignment="1">
      <alignment horizontal="center"/>
    </xf>
    <xf numFmtId="164" fontId="12" fillId="3" borderId="14" xfId="3" applyNumberFormat="1" applyFont="1" applyFill="1" applyBorder="1" applyAlignment="1">
      <alignment horizontal="center"/>
    </xf>
    <xf numFmtId="165" fontId="12" fillId="3" borderId="14" xfId="3" applyNumberFormat="1" applyFont="1" applyFill="1" applyBorder="1" applyAlignment="1">
      <alignment horizontal="center"/>
    </xf>
    <xf numFmtId="166" fontId="7" fillId="3" borderId="5" xfId="1" applyNumberFormat="1" applyFont="1" applyFill="1" applyBorder="1" applyAlignment="1">
      <alignment horizontal="center"/>
    </xf>
    <xf numFmtId="0" fontId="7" fillId="3" borderId="25" xfId="3" applyFont="1" applyFill="1" applyBorder="1" applyAlignment="1">
      <alignment horizontal="center"/>
    </xf>
    <xf numFmtId="1" fontId="7" fillId="3" borderId="25" xfId="3" applyNumberFormat="1" applyFont="1" applyFill="1" applyBorder="1" applyAlignment="1">
      <alignment horizontal="center"/>
    </xf>
    <xf numFmtId="166" fontId="7" fillId="3" borderId="25" xfId="1" applyNumberFormat="1" applyFont="1" applyFill="1" applyBorder="1" applyAlignment="1">
      <alignment horizontal="center"/>
    </xf>
    <xf numFmtId="0" fontId="2" fillId="0" borderId="36" xfId="0" applyFont="1" applyBorder="1" applyAlignment="1">
      <alignment wrapText="1"/>
    </xf>
    <xf numFmtId="0" fontId="2" fillId="6" borderId="9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3" fontId="12" fillId="0" borderId="14" xfId="3" applyNumberFormat="1" applyFont="1" applyBorder="1" applyAlignment="1">
      <alignment horizontal="right"/>
    </xf>
    <xf numFmtId="3" fontId="12" fillId="0" borderId="14" xfId="3" applyNumberFormat="1" applyFont="1" applyBorder="1"/>
    <xf numFmtId="166" fontId="12" fillId="0" borderId="12" xfId="1" applyNumberFormat="1" applyFont="1" applyFill="1" applyBorder="1"/>
    <xf numFmtId="166" fontId="12" fillId="0" borderId="37" xfId="1" applyNumberFormat="1" applyFont="1" applyFill="1" applyBorder="1" applyAlignment="1">
      <alignment horizontal="center"/>
    </xf>
    <xf numFmtId="3" fontId="12" fillId="6" borderId="5" xfId="5" applyNumberFormat="1" applyFont="1" applyFill="1" applyBorder="1"/>
    <xf numFmtId="166" fontId="12" fillId="6" borderId="12" xfId="1" applyNumberFormat="1" applyFont="1" applyFill="1" applyBorder="1" applyAlignment="1">
      <alignment horizontal="center"/>
    </xf>
    <xf numFmtId="0" fontId="12" fillId="6" borderId="12" xfId="0" applyFont="1" applyFill="1" applyBorder="1"/>
    <xf numFmtId="0" fontId="12" fillId="6" borderId="12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166" fontId="12" fillId="0" borderId="5" xfId="1" applyNumberFormat="1" applyFont="1" applyBorder="1"/>
    <xf numFmtId="0" fontId="12" fillId="6" borderId="14" xfId="0" applyFont="1" applyFill="1" applyBorder="1" applyAlignment="1">
      <alignment horizontal="center"/>
    </xf>
    <xf numFmtId="0" fontId="2" fillId="6" borderId="5" xfId="5" applyFont="1" applyFill="1" applyBorder="1" applyAlignment="1">
      <alignment horizontal="center"/>
    </xf>
    <xf numFmtId="0" fontId="2" fillId="6" borderId="12" xfId="5" applyFont="1" applyFill="1" applyBorder="1" applyAlignment="1">
      <alignment horizontal="center"/>
    </xf>
    <xf numFmtId="3" fontId="12" fillId="0" borderId="5" xfId="5" applyNumberFormat="1" applyFont="1" applyBorder="1"/>
    <xf numFmtId="166" fontId="12" fillId="0" borderId="15" xfId="1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8" xfId="0" applyFont="1" applyFill="1" applyBorder="1" applyAlignment="1">
      <alignment horizontal="center"/>
    </xf>
    <xf numFmtId="166" fontId="12" fillId="0" borderId="9" xfId="1" applyNumberFormat="1" applyFont="1" applyFill="1" applyBorder="1" applyAlignment="1">
      <alignment horizontal="center"/>
    </xf>
    <xf numFmtId="166" fontId="12" fillId="6" borderId="12" xfId="1" applyNumberFormat="1" applyFont="1" applyFill="1" applyBorder="1"/>
    <xf numFmtId="3" fontId="12" fillId="0" borderId="38" xfId="3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166" fontId="12" fillId="0" borderId="37" xfId="1" applyNumberFormat="1" applyFont="1" applyBorder="1" applyAlignment="1">
      <alignment horizontal="right"/>
    </xf>
    <xf numFmtId="0" fontId="2" fillId="0" borderId="37" xfId="0" applyFont="1" applyBorder="1" applyAlignment="1">
      <alignment horizontal="center"/>
    </xf>
    <xf numFmtId="166" fontId="7" fillId="0" borderId="12" xfId="1" applyNumberFormat="1" applyFont="1" applyFill="1" applyBorder="1" applyAlignment="1">
      <alignment horizontal="center"/>
    </xf>
    <xf numFmtId="166" fontId="7" fillId="0" borderId="5" xfId="1" applyNumberFormat="1" applyFont="1" applyFill="1" applyBorder="1" applyAlignment="1">
      <alignment horizontal="center"/>
    </xf>
    <xf numFmtId="3" fontId="12" fillId="0" borderId="18" xfId="3" applyNumberFormat="1" applyFont="1" applyBorder="1"/>
    <xf numFmtId="0" fontId="2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166" fontId="12" fillId="0" borderId="39" xfId="1" applyNumberFormat="1" applyFont="1" applyBorder="1" applyAlignment="1">
      <alignment horizontal="center"/>
    </xf>
    <xf numFmtId="165" fontId="12" fillId="0" borderId="27" xfId="0" applyNumberFormat="1" applyFont="1" applyBorder="1" applyAlignment="1">
      <alignment horizontal="center"/>
    </xf>
    <xf numFmtId="3" fontId="12" fillId="0" borderId="27" xfId="0" applyNumberFormat="1" applyFont="1" applyBorder="1" applyAlignment="1">
      <alignment horizontal="center"/>
    </xf>
    <xf numFmtId="164" fontId="12" fillId="0" borderId="39" xfId="1" applyNumberFormat="1" applyFont="1" applyBorder="1" applyAlignment="1">
      <alignment horizontal="center"/>
    </xf>
    <xf numFmtId="165" fontId="12" fillId="0" borderId="39" xfId="1" applyNumberFormat="1" applyFon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0" fontId="2" fillId="0" borderId="20" xfId="0" applyFont="1" applyBorder="1" applyAlignment="1">
      <alignment wrapText="1"/>
    </xf>
    <xf numFmtId="3" fontId="12" fillId="0" borderId="8" xfId="3" applyNumberFormat="1" applyFont="1" applyBorder="1" applyAlignment="1">
      <alignment horizontal="right"/>
    </xf>
    <xf numFmtId="3" fontId="12" fillId="0" borderId="8" xfId="3" applyNumberFormat="1" applyFont="1" applyBorder="1"/>
    <xf numFmtId="166" fontId="12" fillId="0" borderId="9" xfId="1" applyNumberFormat="1" applyFont="1" applyFill="1" applyBorder="1"/>
    <xf numFmtId="166" fontId="12" fillId="0" borderId="39" xfId="1" applyNumberFormat="1" applyFont="1" applyFill="1" applyBorder="1" applyAlignment="1">
      <alignment horizontal="center"/>
    </xf>
    <xf numFmtId="3" fontId="12" fillId="6" borderId="9" xfId="5" applyNumberFormat="1" applyFont="1" applyFill="1" applyBorder="1"/>
    <xf numFmtId="166" fontId="12" fillId="6" borderId="9" xfId="1" applyNumberFormat="1" applyFont="1" applyFill="1" applyBorder="1" applyAlignment="1">
      <alignment horizontal="center"/>
    </xf>
    <xf numFmtId="0" fontId="12" fillId="6" borderId="9" xfId="0" applyFont="1" applyFill="1" applyBorder="1"/>
    <xf numFmtId="0" fontId="12" fillId="6" borderId="9" xfId="0" applyFont="1" applyFill="1" applyBorder="1" applyAlignment="1">
      <alignment horizontal="center"/>
    </xf>
    <xf numFmtId="166" fontId="12" fillId="0" borderId="9" xfId="1" applyNumberFormat="1" applyFont="1" applyBorder="1"/>
    <xf numFmtId="0" fontId="2" fillId="6" borderId="9" xfId="5" applyFont="1" applyFill="1" applyBorder="1" applyAlignment="1">
      <alignment horizontal="center"/>
    </xf>
    <xf numFmtId="3" fontId="12" fillId="0" borderId="9" xfId="5" applyNumberFormat="1" applyFont="1" applyBorder="1"/>
    <xf numFmtId="166" fontId="12" fillId="0" borderId="7" xfId="1" applyNumberFormat="1" applyFont="1" applyFill="1" applyBorder="1" applyAlignment="1">
      <alignment horizontal="center"/>
    </xf>
    <xf numFmtId="0" fontId="2" fillId="6" borderId="40" xfId="0" applyFont="1" applyFill="1" applyBorder="1" applyAlignment="1">
      <alignment horizontal="center"/>
    </xf>
    <xf numFmtId="166" fontId="12" fillId="6" borderId="9" xfId="1" applyNumberFormat="1" applyFont="1" applyFill="1" applyBorder="1"/>
    <xf numFmtId="166" fontId="12" fillId="0" borderId="39" xfId="1" applyNumberFormat="1" applyFont="1" applyBorder="1" applyAlignment="1">
      <alignment horizontal="right"/>
    </xf>
    <xf numFmtId="0" fontId="2" fillId="0" borderId="39" xfId="0" applyFont="1" applyBorder="1" applyAlignment="1">
      <alignment horizontal="center"/>
    </xf>
    <xf numFmtId="166" fontId="7" fillId="0" borderId="9" xfId="1" applyNumberFormat="1" applyFont="1" applyFill="1" applyBorder="1" applyAlignment="1">
      <alignment horizontal="center"/>
    </xf>
    <xf numFmtId="0" fontId="7" fillId="0" borderId="8" xfId="5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right"/>
    </xf>
    <xf numFmtId="0" fontId="12" fillId="3" borderId="9" xfId="0" applyFont="1" applyFill="1" applyBorder="1" applyAlignment="1">
      <alignment horizontal="center"/>
    </xf>
    <xf numFmtId="0" fontId="2" fillId="3" borderId="9" xfId="5" applyFont="1" applyFill="1" applyBorder="1" applyAlignment="1">
      <alignment horizontal="center"/>
    </xf>
    <xf numFmtId="3" fontId="12" fillId="3" borderId="8" xfId="3" applyNumberFormat="1" applyFont="1" applyFill="1" applyBorder="1"/>
    <xf numFmtId="3" fontId="12" fillId="3" borderId="8" xfId="3" applyNumberFormat="1" applyFont="1" applyFill="1" applyBorder="1" applyAlignment="1">
      <alignment horizontal="center"/>
    </xf>
    <xf numFmtId="0" fontId="2" fillId="0" borderId="25" xfId="3" applyFont="1" applyBorder="1" applyAlignment="1">
      <alignment horizontal="left" vertical="center" wrapText="1"/>
    </xf>
    <xf numFmtId="0" fontId="2" fillId="6" borderId="25" xfId="5" applyFont="1" applyFill="1" applyBorder="1" applyAlignment="1">
      <alignment horizontal="center"/>
    </xf>
    <xf numFmtId="3" fontId="11" fillId="6" borderId="25" xfId="5" applyNumberFormat="1" applyFont="1" applyFill="1" applyBorder="1" applyAlignment="1">
      <alignment horizontal="center"/>
    </xf>
    <xf numFmtId="3" fontId="11" fillId="6" borderId="25" xfId="5" applyNumberFormat="1" applyFont="1" applyFill="1" applyBorder="1"/>
    <xf numFmtId="3" fontId="11" fillId="0" borderId="25" xfId="5" applyNumberFormat="1" applyFont="1" applyBorder="1"/>
    <xf numFmtId="3" fontId="11" fillId="0" borderId="25" xfId="3" applyNumberFormat="1" applyFont="1" applyBorder="1" applyAlignment="1">
      <alignment horizontal="center"/>
    </xf>
    <xf numFmtId="3" fontId="12" fillId="0" borderId="18" xfId="3" applyNumberFormat="1" applyFont="1" applyBorder="1" applyAlignment="1">
      <alignment horizontal="right"/>
    </xf>
    <xf numFmtId="3" fontId="12" fillId="0" borderId="25" xfId="3" applyNumberFormat="1" applyFont="1" applyBorder="1"/>
    <xf numFmtId="3" fontId="11" fillId="6" borderId="25" xfId="5" applyNumberFormat="1" applyFont="1" applyFill="1" applyBorder="1" applyAlignment="1">
      <alignment horizontal="right"/>
    </xf>
    <xf numFmtId="0" fontId="2" fillId="6" borderId="30" xfId="5" applyFont="1" applyFill="1" applyBorder="1" applyAlignment="1">
      <alignment horizontal="center"/>
    </xf>
    <xf numFmtId="3" fontId="12" fillId="0" borderId="41" xfId="3" applyNumberFormat="1" applyFont="1" applyBorder="1" applyAlignment="1">
      <alignment horizontal="right"/>
    </xf>
    <xf numFmtId="0" fontId="2" fillId="6" borderId="25" xfId="0" applyFont="1" applyFill="1" applyBorder="1" applyAlignment="1">
      <alignment horizontal="center"/>
    </xf>
    <xf numFmtId="166" fontId="12" fillId="0" borderId="25" xfId="1" applyNumberFormat="1" applyFont="1" applyBorder="1"/>
    <xf numFmtId="166" fontId="2" fillId="6" borderId="25" xfId="1" applyNumberFormat="1" applyFont="1" applyFill="1" applyBorder="1" applyAlignment="1">
      <alignment horizontal="center"/>
    </xf>
    <xf numFmtId="3" fontId="11" fillId="6" borderId="9" xfId="5" applyNumberFormat="1" applyFont="1" applyFill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3" fontId="12" fillId="0" borderId="9" xfId="1" applyNumberFormat="1" applyFont="1" applyBorder="1" applyAlignment="1">
      <alignment horizontal="center"/>
    </xf>
    <xf numFmtId="165" fontId="12" fillId="6" borderId="9" xfId="5" applyNumberFormat="1" applyFont="1" applyFill="1" applyBorder="1" applyAlignment="1">
      <alignment horizontal="center"/>
    </xf>
    <xf numFmtId="164" fontId="11" fillId="6" borderId="9" xfId="5" applyNumberFormat="1" applyFont="1" applyFill="1" applyBorder="1" applyAlignment="1">
      <alignment horizontal="center"/>
    </xf>
    <xf numFmtId="165" fontId="11" fillId="6" borderId="9" xfId="5" applyNumberFormat="1" applyFont="1" applyFill="1" applyBorder="1" applyAlignment="1">
      <alignment horizontal="center"/>
    </xf>
    <xf numFmtId="166" fontId="2" fillId="0" borderId="9" xfId="1" applyNumberFormat="1" applyFont="1" applyFill="1" applyBorder="1" applyAlignment="1">
      <alignment horizontal="center"/>
    </xf>
    <xf numFmtId="167" fontId="2" fillId="0" borderId="9" xfId="3" applyNumberFormat="1" applyFont="1" applyBorder="1" applyAlignment="1">
      <alignment horizontal="center"/>
    </xf>
    <xf numFmtId="3" fontId="11" fillId="0" borderId="9" xfId="3" applyNumberFormat="1" applyFont="1" applyBorder="1"/>
    <xf numFmtId="3" fontId="12" fillId="0" borderId="9" xfId="3" applyNumberFormat="1" applyFont="1" applyBorder="1"/>
    <xf numFmtId="3" fontId="12" fillId="0" borderId="5" xfId="3" applyNumberFormat="1" applyFont="1" applyBorder="1"/>
    <xf numFmtId="3" fontId="12" fillId="0" borderId="40" xfId="3" applyNumberFormat="1" applyFont="1" applyBorder="1" applyAlignment="1">
      <alignment horizontal="right"/>
    </xf>
    <xf numFmtId="164" fontId="2" fillId="0" borderId="9" xfId="3" applyNumberFormat="1" applyFont="1" applyBorder="1" applyAlignment="1">
      <alignment horizontal="center"/>
    </xf>
    <xf numFmtId="166" fontId="12" fillId="0" borderId="8" xfId="1" applyNumberFormat="1" applyFont="1" applyBorder="1" applyAlignment="1">
      <alignment horizontal="center"/>
    </xf>
    <xf numFmtId="168" fontId="12" fillId="0" borderId="9" xfId="1" applyNumberFormat="1" applyFont="1" applyBorder="1" applyAlignment="1">
      <alignment horizontal="center"/>
    </xf>
    <xf numFmtId="165" fontId="12" fillId="0" borderId="9" xfId="1" applyNumberFormat="1" applyFont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5" xfId="3" applyFont="1" applyBorder="1" applyAlignment="1">
      <alignment horizontal="center"/>
    </xf>
    <xf numFmtId="166" fontId="2" fillId="0" borderId="5" xfId="1" applyNumberFormat="1" applyFont="1" applyFill="1" applyBorder="1" applyAlignment="1">
      <alignment horizontal="center"/>
    </xf>
    <xf numFmtId="164" fontId="2" fillId="0" borderId="5" xfId="3" applyNumberFormat="1" applyFont="1" applyBorder="1" applyAlignment="1">
      <alignment horizontal="center"/>
    </xf>
    <xf numFmtId="3" fontId="12" fillId="0" borderId="9" xfId="1" applyNumberFormat="1" applyFont="1" applyFill="1" applyBorder="1" applyAlignment="1">
      <alignment horizontal="center"/>
    </xf>
    <xf numFmtId="165" fontId="12" fillId="0" borderId="9" xfId="3" applyNumberFormat="1" applyFont="1" applyBorder="1" applyAlignment="1">
      <alignment horizontal="center"/>
    </xf>
    <xf numFmtId="0" fontId="2" fillId="0" borderId="33" xfId="0" applyFont="1" applyBorder="1" applyAlignment="1">
      <alignment horizontal="left" vertical="center" wrapText="1"/>
    </xf>
    <xf numFmtId="3" fontId="11" fillId="0" borderId="9" xfId="3" applyNumberFormat="1" applyFont="1" applyBorder="1" applyAlignment="1">
      <alignment horizontal="center" vertical="center"/>
    </xf>
    <xf numFmtId="0" fontId="2" fillId="0" borderId="5" xfId="3" applyFont="1" applyBorder="1"/>
    <xf numFmtId="166" fontId="2" fillId="0" borderId="5" xfId="1" applyNumberFormat="1" applyFont="1" applyBorder="1" applyAlignment="1">
      <alignment horizontal="center"/>
    </xf>
    <xf numFmtId="166" fontId="11" fillId="0" borderId="8" xfId="1" applyNumberFormat="1" applyFont="1" applyBorder="1" applyAlignment="1">
      <alignment horizontal="center"/>
    </xf>
    <xf numFmtId="0" fontId="2" fillId="3" borderId="9" xfId="3" applyFont="1" applyFill="1" applyBorder="1" applyAlignment="1">
      <alignment horizontal="center"/>
    </xf>
    <xf numFmtId="3" fontId="12" fillId="3" borderId="9" xfId="3" applyNumberFormat="1" applyFont="1" applyFill="1" applyBorder="1" applyAlignment="1">
      <alignment horizontal="right" vertical="center"/>
    </xf>
    <xf numFmtId="3" fontId="12" fillId="3" borderId="9" xfId="3" applyNumberFormat="1" applyFont="1" applyFill="1" applyBorder="1" applyAlignment="1">
      <alignment horizontal="right"/>
    </xf>
    <xf numFmtId="166" fontId="12" fillId="3" borderId="9" xfId="1" applyNumberFormat="1" applyFont="1" applyFill="1" applyBorder="1" applyAlignment="1">
      <alignment horizontal="center"/>
    </xf>
    <xf numFmtId="166" fontId="2" fillId="3" borderId="9" xfId="1" applyNumberFormat="1" applyFont="1" applyFill="1" applyBorder="1" applyAlignment="1">
      <alignment horizontal="center"/>
    </xf>
    <xf numFmtId="165" fontId="12" fillId="3" borderId="9" xfId="3" applyNumberFormat="1" applyFont="1" applyFill="1" applyBorder="1" applyAlignment="1">
      <alignment horizontal="center"/>
    </xf>
    <xf numFmtId="164" fontId="12" fillId="3" borderId="9" xfId="3" applyNumberFormat="1" applyFont="1" applyFill="1" applyBorder="1" applyAlignment="1">
      <alignment horizontal="center"/>
    </xf>
    <xf numFmtId="0" fontId="7" fillId="7" borderId="12" xfId="5" applyFont="1" applyFill="1" applyBorder="1" applyAlignment="1">
      <alignment horizontal="center" vertical="center" wrapText="1"/>
    </xf>
    <xf numFmtId="165" fontId="7" fillId="7" borderId="25" xfId="3" applyNumberFormat="1" applyFont="1" applyFill="1" applyBorder="1" applyAlignment="1">
      <alignment horizontal="center"/>
    </xf>
    <xf numFmtId="0" fontId="7" fillId="7" borderId="25" xfId="3" applyFont="1" applyFill="1" applyBorder="1" applyAlignment="1">
      <alignment horizontal="center"/>
    </xf>
    <xf numFmtId="3" fontId="7" fillId="7" borderId="25" xfId="3" applyNumberFormat="1" applyFont="1" applyFill="1" applyBorder="1"/>
    <xf numFmtId="3" fontId="7" fillId="7" borderId="25" xfId="3" applyNumberFormat="1" applyFont="1" applyFill="1" applyBorder="1" applyAlignment="1">
      <alignment horizontal="right"/>
    </xf>
    <xf numFmtId="166" fontId="7" fillId="7" borderId="25" xfId="1" applyNumberFormat="1" applyFont="1" applyFill="1" applyBorder="1" applyAlignment="1">
      <alignment horizontal="center"/>
    </xf>
    <xf numFmtId="3" fontId="7" fillId="7" borderId="21" xfId="3" applyNumberFormat="1" applyFont="1" applyFill="1" applyBorder="1" applyAlignment="1">
      <alignment horizontal="center"/>
    </xf>
    <xf numFmtId="3" fontId="7" fillId="7" borderId="25" xfId="3" applyNumberFormat="1" applyFont="1" applyFill="1" applyBorder="1" applyAlignment="1">
      <alignment horizontal="center"/>
    </xf>
    <xf numFmtId="164" fontId="7" fillId="7" borderId="25" xfId="3" applyNumberFormat="1" applyFont="1" applyFill="1" applyBorder="1" applyAlignment="1">
      <alignment horizontal="center"/>
    </xf>
    <xf numFmtId="0" fontId="2" fillId="0" borderId="12" xfId="3" applyFont="1" applyBorder="1" applyAlignment="1">
      <alignment vertical="center"/>
    </xf>
    <xf numFmtId="0" fontId="6" fillId="7" borderId="9" xfId="3" applyFont="1" applyFill="1" applyBorder="1" applyAlignment="1">
      <alignment horizontal="right" vertical="center" wrapText="1"/>
    </xf>
    <xf numFmtId="165" fontId="12" fillId="7" borderId="25" xfId="3" applyNumberFormat="1" applyFont="1" applyFill="1" applyBorder="1" applyAlignment="1">
      <alignment horizontal="center"/>
    </xf>
    <xf numFmtId="0" fontId="12" fillId="7" borderId="25" xfId="3" applyFont="1" applyFill="1" applyBorder="1" applyAlignment="1">
      <alignment horizontal="center"/>
    </xf>
    <xf numFmtId="3" fontId="11" fillId="7" borderId="25" xfId="3" applyNumberFormat="1" applyFont="1" applyFill="1" applyBorder="1" applyAlignment="1">
      <alignment horizontal="center"/>
    </xf>
    <xf numFmtId="3" fontId="12" fillId="7" borderId="25" xfId="3" applyNumberFormat="1" applyFont="1" applyFill="1" applyBorder="1"/>
    <xf numFmtId="3" fontId="12" fillId="7" borderId="25" xfId="3" applyNumberFormat="1" applyFont="1" applyFill="1" applyBorder="1" applyAlignment="1">
      <alignment horizontal="right"/>
    </xf>
    <xf numFmtId="166" fontId="12" fillId="7" borderId="25" xfId="1" applyNumberFormat="1" applyFont="1" applyFill="1" applyBorder="1" applyAlignment="1">
      <alignment horizontal="center"/>
    </xf>
    <xf numFmtId="3" fontId="11" fillId="7" borderId="21" xfId="3" applyNumberFormat="1" applyFont="1" applyFill="1" applyBorder="1" applyAlignment="1">
      <alignment horizontal="center"/>
    </xf>
    <xf numFmtId="165" fontId="11" fillId="7" borderId="25" xfId="3" applyNumberFormat="1" applyFont="1" applyFill="1" applyBorder="1" applyAlignment="1">
      <alignment horizontal="center"/>
    </xf>
    <xf numFmtId="3" fontId="12" fillId="7" borderId="25" xfId="3" applyNumberFormat="1" applyFont="1" applyFill="1" applyBorder="1" applyAlignment="1">
      <alignment horizontal="center"/>
    </xf>
    <xf numFmtId="164" fontId="11" fillId="7" borderId="25" xfId="3" applyNumberFormat="1" applyFont="1" applyFill="1" applyBorder="1" applyAlignment="1">
      <alignment horizontal="center"/>
    </xf>
    <xf numFmtId="1" fontId="12" fillId="7" borderId="25" xfId="3" applyNumberFormat="1" applyFont="1" applyFill="1" applyBorder="1" applyAlignment="1">
      <alignment horizontal="center"/>
    </xf>
    <xf numFmtId="0" fontId="7" fillId="0" borderId="0" xfId="3" applyFont="1" applyAlignment="1">
      <alignment horizontal="center" vertical="center"/>
    </xf>
    <xf numFmtId="0" fontId="2" fillId="0" borderId="9" xfId="3" applyFont="1" applyBorder="1" applyAlignment="1">
      <alignment horizontal="right"/>
    </xf>
    <xf numFmtId="3" fontId="2" fillId="0" borderId="9" xfId="3" applyNumberFormat="1" applyFont="1" applyBorder="1" applyAlignment="1">
      <alignment horizontal="right"/>
    </xf>
    <xf numFmtId="3" fontId="2" fillId="0" borderId="8" xfId="3" applyNumberFormat="1" applyFont="1" applyBorder="1" applyAlignment="1">
      <alignment horizontal="center"/>
    </xf>
    <xf numFmtId="3" fontId="2" fillId="0" borderId="9" xfId="3" applyNumberFormat="1" applyFont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3" fontId="11" fillId="0" borderId="8" xfId="3" applyNumberFormat="1" applyFont="1" applyBorder="1" applyAlignment="1">
      <alignment horizontal="right"/>
    </xf>
    <xf numFmtId="3" fontId="11" fillId="0" borderId="40" xfId="3" applyNumberFormat="1" applyFont="1" applyBorder="1" applyAlignment="1">
      <alignment horizontal="right"/>
    </xf>
    <xf numFmtId="3" fontId="11" fillId="0" borderId="21" xfId="3" applyNumberFormat="1" applyFont="1" applyBorder="1" applyAlignment="1">
      <alignment horizontal="right"/>
    </xf>
    <xf numFmtId="3" fontId="11" fillId="0" borderId="8" xfId="3" applyNumberFormat="1" applyFont="1" applyBorder="1" applyAlignment="1">
      <alignment horizontal="center"/>
    </xf>
    <xf numFmtId="165" fontId="11" fillId="0" borderId="8" xfId="3" applyNumberFormat="1" applyFont="1" applyBorder="1" applyAlignment="1">
      <alignment horizontal="center"/>
    </xf>
    <xf numFmtId="164" fontId="11" fillId="0" borderId="8" xfId="3" applyNumberFormat="1" applyFont="1" applyBorder="1" applyAlignment="1">
      <alignment horizontal="center"/>
    </xf>
    <xf numFmtId="0" fontId="0" fillId="0" borderId="0" xfId="0" applyAlignment="1">
      <alignment horizontal="left"/>
    </xf>
    <xf numFmtId="165" fontId="2" fillId="0" borderId="0" xfId="3" applyNumberFormat="1" applyFont="1" applyAlignment="1">
      <alignment horizontal="center"/>
    </xf>
    <xf numFmtId="3" fontId="17" fillId="0" borderId="0" xfId="3" applyNumberFormat="1" applyFont="1"/>
    <xf numFmtId="3" fontId="5" fillId="0" borderId="0" xfId="3" applyNumberFormat="1" applyFont="1"/>
    <xf numFmtId="166" fontId="2" fillId="0" borderId="0" xfId="1" applyNumberFormat="1" applyFont="1"/>
    <xf numFmtId="43" fontId="0" fillId="0" borderId="0" xfId="0" applyNumberFormat="1"/>
    <xf numFmtId="169" fontId="2" fillId="0" borderId="0" xfId="3" applyNumberFormat="1" applyFont="1"/>
    <xf numFmtId="166" fontId="2" fillId="0" borderId="0" xfId="3" applyNumberFormat="1" applyFont="1"/>
    <xf numFmtId="166" fontId="2" fillId="0" borderId="0" xfId="1" applyNumberFormat="1" applyFont="1" applyFill="1" applyBorder="1" applyAlignment="1">
      <alignment horizontal="center"/>
    </xf>
    <xf numFmtId="43" fontId="18" fillId="0" borderId="0" xfId="0" applyNumberFormat="1" applyFont="1"/>
    <xf numFmtId="170" fontId="2" fillId="0" borderId="0" xfId="3" applyNumberFormat="1" applyFont="1"/>
    <xf numFmtId="3" fontId="20" fillId="8" borderId="9" xfId="6" applyNumberFormat="1" applyFont="1" applyFill="1" applyBorder="1" applyAlignment="1">
      <alignment vertical="top"/>
    </xf>
    <xf numFmtId="3" fontId="20" fillId="0" borderId="9" xfId="6" applyNumberFormat="1" applyFont="1" applyBorder="1" applyAlignment="1">
      <alignment vertical="top"/>
    </xf>
    <xf numFmtId="3" fontId="21" fillId="9" borderId="42" xfId="0" applyNumberFormat="1" applyFont="1" applyFill="1" applyBorder="1"/>
    <xf numFmtId="3" fontId="20" fillId="8" borderId="9" xfId="7" applyNumberFormat="1" applyFont="1" applyFill="1" applyBorder="1" applyAlignment="1">
      <alignment vertical="top"/>
    </xf>
    <xf numFmtId="4" fontId="20" fillId="8" borderId="9" xfId="7" applyNumberFormat="1" applyFont="1" applyFill="1" applyBorder="1" applyAlignment="1">
      <alignment vertical="top"/>
    </xf>
    <xf numFmtId="3" fontId="3" fillId="0" borderId="0" xfId="3" applyNumberFormat="1" applyFont="1"/>
    <xf numFmtId="171" fontId="2" fillId="0" borderId="0" xfId="1" applyNumberFormat="1" applyFont="1"/>
    <xf numFmtId="165" fontId="3" fillId="0" borderId="0" xfId="3" applyNumberFormat="1" applyFont="1"/>
    <xf numFmtId="170" fontId="5" fillId="0" borderId="0" xfId="3" applyNumberFormat="1" applyFont="1"/>
    <xf numFmtId="3" fontId="20" fillId="0" borderId="0" xfId="7" applyNumberFormat="1" applyFont="1" applyAlignment="1">
      <alignment vertical="top"/>
    </xf>
    <xf numFmtId="166" fontId="3" fillId="0" borderId="0" xfId="3" applyNumberFormat="1" applyFont="1"/>
    <xf numFmtId="170" fontId="3" fillId="0" borderId="0" xfId="3" applyNumberFormat="1" applyFont="1"/>
    <xf numFmtId="0" fontId="22" fillId="0" borderId="0" xfId="3" applyFont="1"/>
    <xf numFmtId="3" fontId="11" fillId="0" borderId="0" xfId="3" applyNumberFormat="1" applyFont="1"/>
    <xf numFmtId="43" fontId="21" fillId="0" borderId="0" xfId="0" applyNumberFormat="1" applyFont="1"/>
    <xf numFmtId="43" fontId="23" fillId="0" borderId="0" xfId="0" applyNumberFormat="1" applyFont="1"/>
    <xf numFmtId="166" fontId="21" fillId="0" borderId="42" xfId="0" applyNumberFormat="1" applyFont="1" applyBorder="1"/>
    <xf numFmtId="166" fontId="21" fillId="0" borderId="0" xfId="0" applyNumberFormat="1" applyFont="1"/>
    <xf numFmtId="0" fontId="24" fillId="0" borderId="0" xfId="3" applyFont="1"/>
    <xf numFmtId="3" fontId="24" fillId="0" borderId="0" xfId="3" applyNumberFormat="1" applyFont="1"/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4" fillId="0" borderId="0" xfId="0" applyFont="1"/>
    <xf numFmtId="3" fontId="12" fillId="0" borderId="0" xfId="3" applyNumberFormat="1" applyFont="1"/>
    <xf numFmtId="3" fontId="11" fillId="0" borderId="0" xfId="3" applyNumberFormat="1" applyFont="1" applyAlignment="1">
      <alignment horizontal="center"/>
    </xf>
    <xf numFmtId="3" fontId="24" fillId="0" borderId="0" xfId="3" applyNumberFormat="1" applyFont="1" applyAlignment="1">
      <alignment horizontal="right" wrapText="1"/>
    </xf>
    <xf numFmtId="3" fontId="24" fillId="0" borderId="0" xfId="3" applyNumberFormat="1" applyFont="1" applyAlignment="1">
      <alignment horizontal="right"/>
    </xf>
    <xf numFmtId="0" fontId="24" fillId="0" borderId="0" xfId="0" applyFont="1" applyAlignment="1">
      <alignment vertical="top"/>
    </xf>
    <xf numFmtId="3" fontId="12" fillId="0" borderId="0" xfId="3" applyNumberFormat="1" applyFont="1" applyAlignment="1">
      <alignment horizontal="right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2" fillId="0" borderId="0" xfId="4" applyFont="1" applyAlignment="1">
      <alignment horizontal="left" vertical="center"/>
    </xf>
    <xf numFmtId="0" fontId="4" fillId="0" borderId="0" xfId="3" applyFont="1" applyAlignment="1">
      <alignment horizontal="center"/>
    </xf>
    <xf numFmtId="0" fontId="7" fillId="0" borderId="1" xfId="3" applyFont="1" applyBorder="1" applyAlignment="1">
      <alignment horizontal="right"/>
    </xf>
    <xf numFmtId="0" fontId="7" fillId="0" borderId="2" xfId="3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7" fillId="0" borderId="4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24" xfId="3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7" fillId="3" borderId="7" xfId="3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4" borderId="6" xfId="5" applyFont="1" applyFill="1" applyBorder="1" applyAlignment="1">
      <alignment horizontal="center" vertical="center" wrapText="1"/>
    </xf>
    <xf numFmtId="0" fontId="7" fillId="4" borderId="7" xfId="5" applyFont="1" applyFill="1" applyBorder="1" applyAlignment="1">
      <alignment horizontal="center" vertical="center" wrapText="1"/>
    </xf>
    <xf numFmtId="0" fontId="7" fillId="4" borderId="8" xfId="5" applyFont="1" applyFill="1" applyBorder="1" applyAlignment="1">
      <alignment horizontal="center" vertical="center" wrapText="1"/>
    </xf>
    <xf numFmtId="0" fontId="7" fillId="4" borderId="9" xfId="5" applyFont="1" applyFill="1" applyBorder="1" applyAlignment="1">
      <alignment horizontal="center" vertical="center" wrapText="1"/>
    </xf>
    <xf numFmtId="0" fontId="7" fillId="4" borderId="13" xfId="5" applyFont="1" applyFill="1" applyBorder="1" applyAlignment="1">
      <alignment horizontal="center" vertical="center" wrapText="1"/>
    </xf>
    <xf numFmtId="0" fontId="7" fillId="4" borderId="14" xfId="5" applyFont="1" applyFill="1" applyBorder="1" applyAlignment="1">
      <alignment horizontal="center" vertical="center" wrapText="1"/>
    </xf>
    <xf numFmtId="0" fontId="7" fillId="4" borderId="17" xfId="5" applyFont="1" applyFill="1" applyBorder="1" applyAlignment="1">
      <alignment horizontal="center" vertical="center" wrapText="1"/>
    </xf>
    <xf numFmtId="0" fontId="7" fillId="4" borderId="18" xfId="5" applyFont="1" applyFill="1" applyBorder="1" applyAlignment="1">
      <alignment horizontal="center" vertical="center" wrapText="1"/>
    </xf>
    <xf numFmtId="0" fontId="7" fillId="4" borderId="20" xfId="5" applyFont="1" applyFill="1" applyBorder="1" applyAlignment="1">
      <alignment horizontal="center" vertical="center" wrapText="1"/>
    </xf>
    <xf numFmtId="0" fontId="7" fillId="4" borderId="21" xfId="5" applyFont="1" applyFill="1" applyBorder="1" applyAlignment="1">
      <alignment horizontal="center" vertical="center" wrapText="1"/>
    </xf>
    <xf numFmtId="0" fontId="7" fillId="2" borderId="13" xfId="5" applyFont="1" applyFill="1" applyBorder="1" applyAlignment="1">
      <alignment horizontal="center" vertical="center" wrapText="1"/>
    </xf>
    <xf numFmtId="0" fontId="7" fillId="2" borderId="15" xfId="5" applyFont="1" applyFill="1" applyBorder="1" applyAlignment="1">
      <alignment horizontal="center" vertical="center" wrapText="1"/>
    </xf>
    <xf numFmtId="0" fontId="7" fillId="2" borderId="14" xfId="5" applyFont="1" applyFill="1" applyBorder="1" applyAlignment="1">
      <alignment horizontal="center" vertical="center" wrapText="1"/>
    </xf>
    <xf numFmtId="0" fontId="7" fillId="2" borderId="6" xfId="5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center" wrapText="1"/>
    </xf>
    <xf numFmtId="0" fontId="7" fillId="2" borderId="8" xfId="5" applyFont="1" applyFill="1" applyBorder="1" applyAlignment="1">
      <alignment horizontal="center" vertical="center" wrapText="1"/>
    </xf>
    <xf numFmtId="0" fontId="7" fillId="2" borderId="17" xfId="5" applyFont="1" applyFill="1" applyBorder="1" applyAlignment="1">
      <alignment horizontal="center" vertical="center" wrapText="1"/>
    </xf>
    <xf numFmtId="0" fontId="7" fillId="2" borderId="18" xfId="5" applyFont="1" applyFill="1" applyBorder="1" applyAlignment="1">
      <alignment horizontal="center" vertical="center" wrapText="1"/>
    </xf>
    <xf numFmtId="0" fontId="7" fillId="2" borderId="20" xfId="5" applyFont="1" applyFill="1" applyBorder="1" applyAlignment="1">
      <alignment horizontal="center" vertical="center" wrapText="1"/>
    </xf>
    <xf numFmtId="0" fontId="7" fillId="2" borderId="21" xfId="5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3" xfId="5" applyFont="1" applyFill="1" applyBorder="1" applyAlignment="1">
      <alignment horizontal="center" vertical="center" wrapText="1"/>
    </xf>
    <xf numFmtId="0" fontId="7" fillId="3" borderId="15" xfId="5" applyFont="1" applyFill="1" applyBorder="1" applyAlignment="1">
      <alignment horizontal="center" vertical="center" wrapText="1"/>
    </xf>
    <xf numFmtId="0" fontId="7" fillId="3" borderId="14" xfId="5" applyFont="1" applyFill="1" applyBorder="1" applyAlignment="1">
      <alignment horizontal="center" vertical="center" wrapText="1"/>
    </xf>
    <xf numFmtId="0" fontId="7" fillId="3" borderId="6" xfId="5" applyFont="1" applyFill="1" applyBorder="1" applyAlignment="1">
      <alignment horizontal="center" vertical="center" wrapText="1"/>
    </xf>
    <xf numFmtId="0" fontId="7" fillId="3" borderId="7" xfId="5" applyFont="1" applyFill="1" applyBorder="1" applyAlignment="1">
      <alignment horizontal="center" vertical="center" wrapText="1"/>
    </xf>
    <xf numFmtId="0" fontId="7" fillId="3" borderId="8" xfId="5" applyFont="1" applyFill="1" applyBorder="1" applyAlignment="1">
      <alignment horizontal="center" vertical="center" wrapText="1"/>
    </xf>
    <xf numFmtId="0" fontId="7" fillId="3" borderId="17" xfId="5" applyFont="1" applyFill="1" applyBorder="1" applyAlignment="1">
      <alignment horizontal="center" vertical="center" wrapText="1"/>
    </xf>
    <xf numFmtId="0" fontId="7" fillId="3" borderId="18" xfId="5" applyFont="1" applyFill="1" applyBorder="1" applyAlignment="1">
      <alignment horizontal="center" vertical="center" wrapText="1"/>
    </xf>
    <xf numFmtId="0" fontId="7" fillId="3" borderId="20" xfId="5" applyFont="1" applyFill="1" applyBorder="1" applyAlignment="1">
      <alignment horizontal="center" vertical="center" wrapText="1"/>
    </xf>
    <xf numFmtId="0" fontId="7" fillId="3" borderId="21" xfId="5" applyFont="1" applyFill="1" applyBorder="1" applyAlignment="1">
      <alignment horizontal="center" vertical="center" wrapText="1"/>
    </xf>
    <xf numFmtId="0" fontId="7" fillId="2" borderId="9" xfId="5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5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8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24" xfId="5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25" xfId="3" applyFont="1" applyBorder="1" applyAlignment="1">
      <alignment horizontal="center" vertical="center"/>
    </xf>
  </cellXfs>
  <cellStyles count="8">
    <cellStyle name="Comma" xfId="1" builtinId="3"/>
    <cellStyle name="Normal" xfId="0" builtinId="0"/>
    <cellStyle name="Normal 10" xfId="4" xr:uid="{D0C3FDD0-F92C-4525-B6DC-870AAAFBBC93}"/>
    <cellStyle name="Normal 2" xfId="3" xr:uid="{12F485C7-B899-4734-9BA1-65A13444CC43}"/>
    <cellStyle name="Normal 2 2" xfId="7" xr:uid="{71A03F4E-F6FF-4F2C-B316-E67BB6036306}"/>
    <cellStyle name="Normal 2 2 4" xfId="6" xr:uid="{51F6427E-D519-4855-A0EC-2DAB606F6EBC}"/>
    <cellStyle name="Normal 3 2" xfId="5" xr:uid="{1D109E77-F0CA-4C01-BE03-FF66CE105CFC}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40\Finan&#353;u%20un%20gr&#257;matved&#299;bas%20da&#316;a\1%20kop&#275;jie%20faili\Bud&#382;ets\LTV%20raid&#299;jumi%202024\SEPLP\Q4\Pielikums%20nr.1_2024%20darba%20fails_Prognoze_Q4.xlsm" TargetMode="External"/><Relationship Id="rId1" Type="http://schemas.openxmlformats.org/officeDocument/2006/relationships/externalLinkPath" Target="/1%20kop&#275;jie%20faili/Bud&#382;ets/LTV%20raid&#299;jumi%202024/SEPLP/Q4/Pielikums%20nr.1_2024%20darba%20fails_Prognoze_Q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40\Finan&#353;u%20un%20gr&#257;matved&#299;bas%20da&#316;a\1%20kop&#275;jie%20faili\Bud&#382;ets\LTV%20raid&#299;jumi%202024\SEPLP\Prognoze\Pielikums%20Nr.%201._2024%20Q2%20NPL%20to%20PZA.xlsx" TargetMode="External"/><Relationship Id="rId1" Type="http://schemas.openxmlformats.org/officeDocument/2006/relationships/externalLinkPath" Target="/1%20kop&#275;jie%20faili/Bud&#382;ets/LTV%20raid&#299;jumi%202024/SEPLP/Prognoze/Pielikums%20Nr.%201._2024%20Q2%20NPL%20to%20P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žeta posteņi1"/>
      <sheetName val="Pivot"/>
      <sheetName val="Pivot_H"/>
      <sheetName val="Pivot_EUR"/>
      <sheetName val=" SPplāns uz izpilde1.pielikums"/>
      <sheetName val="Pivot_H (2)"/>
      <sheetName val="SP2024"/>
      <sheetName val="Pielikums nr. 1."/>
      <sheetName val="Proporcija NPL vs PZA"/>
      <sheetName val="Atskaite 1.pusg."/>
      <sheetName val="SP fakts"/>
      <sheetName val="Fakts_Izd"/>
      <sheetName val="Fakts_Ieņ"/>
      <sheetName val="Piedalīšana"/>
      <sheetName val="SP raidījumi Nr.1.1"/>
      <sheetName val="LR un LTV (1.3)"/>
      <sheetName val="QV "/>
      <sheetName val="Surdo"/>
      <sheetName val="Līdzfinansējums"/>
      <sheetName val="Raidlaiks"/>
      <sheetName val="Pārbaudes veidnei"/>
      <sheetName val="NPL netiešās"/>
      <sheetName val="Sheet1"/>
      <sheetName val="Pielikums nr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K7" t="str">
            <v>Bērnu un pusaudžu programmas</v>
          </cell>
          <cell r="AW7">
            <v>4.0666666666666664</v>
          </cell>
          <cell r="BQ7">
            <v>172487.09</v>
          </cell>
          <cell r="BS7">
            <v>114023.43999999999</v>
          </cell>
        </row>
        <row r="8">
          <cell r="J8" t="str">
            <v>SP001</v>
          </cell>
          <cell r="K8" t="str">
            <v>Bardaks bēniņos</v>
          </cell>
          <cell r="L8" t="str">
            <v>Bērnu, pusaudžu un jauniešu raidījumi</v>
          </cell>
          <cell r="M8" t="str">
            <v>LTV1</v>
          </cell>
          <cell r="AW8">
            <v>1.7333333333333334</v>
          </cell>
          <cell r="BO8">
            <v>5</v>
          </cell>
          <cell r="BP8">
            <v>4</v>
          </cell>
          <cell r="BQ8">
            <v>68636.41</v>
          </cell>
          <cell r="BS8">
            <v>27454.560000000001</v>
          </cell>
        </row>
        <row r="9">
          <cell r="J9" t="str">
            <v>SP002</v>
          </cell>
          <cell r="K9" t="str">
            <v>Bērnu oriģinālraidījumi LTV1</v>
          </cell>
          <cell r="L9" t="str">
            <v>Bērnu, pusaudžu un jauniešu raidījumi</v>
          </cell>
          <cell r="M9" t="str">
            <v>LTV1</v>
          </cell>
          <cell r="AW9">
            <v>0.6</v>
          </cell>
          <cell r="BO9">
            <v>2</v>
          </cell>
          <cell r="BP9">
            <v>2</v>
          </cell>
          <cell r="BQ9">
            <v>41803.199999999997</v>
          </cell>
          <cell r="BS9">
            <v>8360.64</v>
          </cell>
        </row>
        <row r="10">
          <cell r="J10" t="str">
            <v>SP210</v>
          </cell>
          <cell r="K10" t="str">
            <v>Digitālais saturs pusaudžiem</v>
          </cell>
          <cell r="L10" t="str">
            <v>Bērnu, pusaudžu un jauniešu raidījumi</v>
          </cell>
          <cell r="M10" t="str">
            <v>Citi kanāli</v>
          </cell>
          <cell r="AW10">
            <v>0</v>
          </cell>
          <cell r="BQ10">
            <v>24999.99</v>
          </cell>
          <cell r="BS10">
            <v>40018.589999999997</v>
          </cell>
        </row>
        <row r="11">
          <cell r="J11" t="str">
            <v>SP004</v>
          </cell>
          <cell r="K11" t="str">
            <v xml:space="preserve">Satura projekti sadarbībā ar Pieci.lv </v>
          </cell>
          <cell r="L11" t="str">
            <v>Bērnu, pusaudžu un jauniešu raidījumi</v>
          </cell>
          <cell r="M11" t="str">
            <v>LTV7</v>
          </cell>
          <cell r="AW11">
            <v>0</v>
          </cell>
          <cell r="BP11">
            <v>36</v>
          </cell>
          <cell r="BQ11">
            <v>0</v>
          </cell>
          <cell r="BS11">
            <v>0</v>
          </cell>
        </row>
        <row r="12">
          <cell r="J12" t="str">
            <v>SP209</v>
          </cell>
          <cell r="K12" t="str">
            <v>Digitālais saturs jauniešiem platformā 16+</v>
          </cell>
          <cell r="L12" t="str">
            <v>Bērnu, pusaudžu un jauniešu raidījumi</v>
          </cell>
          <cell r="M12" t="str">
            <v>Citi kanāli</v>
          </cell>
          <cell r="AW12">
            <v>0</v>
          </cell>
          <cell r="BQ12">
            <v>24999.99</v>
          </cell>
          <cell r="BS12">
            <v>23044.86</v>
          </cell>
        </row>
        <row r="13">
          <cell r="J13" t="str">
            <v>SP100</v>
          </cell>
          <cell r="K13" t="str">
            <v xml:space="preserve">Jauniešu raidījumi LTV7 </v>
          </cell>
          <cell r="L13" t="str">
            <v>Bērnu, pusaudžu un jauniešu raidījumi</v>
          </cell>
          <cell r="M13" t="str">
            <v>LTV7</v>
          </cell>
          <cell r="AW13">
            <v>0.8666666666666667</v>
          </cell>
          <cell r="BP13">
            <v>20</v>
          </cell>
          <cell r="BQ13">
            <v>0</v>
          </cell>
          <cell r="BS13">
            <v>0</v>
          </cell>
        </row>
        <row r="14">
          <cell r="J14" t="str">
            <v>SP212</v>
          </cell>
          <cell r="K14" t="str">
            <v>Seriāls</v>
          </cell>
          <cell r="L14" t="str">
            <v>Bērnu, pusaudžu un jauniešu raidījumi</v>
          </cell>
          <cell r="M14" t="str">
            <v>Citi kanāli</v>
          </cell>
          <cell r="AW14">
            <v>0.8666666666666667</v>
          </cell>
          <cell r="BP14">
            <v>20</v>
          </cell>
          <cell r="BQ14">
            <v>0</v>
          </cell>
          <cell r="BS14">
            <v>0</v>
          </cell>
        </row>
        <row r="15">
          <cell r="J15" t="str">
            <v>SP205</v>
          </cell>
          <cell r="K15" t="str">
            <v>Digitālais oriģinālsaturs un sociālie tīkli</v>
          </cell>
          <cell r="L15" t="str">
            <v>Bērnu, pusaudžu un jauniešu raidījumi</v>
          </cell>
          <cell r="M15" t="str">
            <v>Citi kanāli</v>
          </cell>
          <cell r="AW15">
            <v>0</v>
          </cell>
          <cell r="BQ15">
            <v>12047.5</v>
          </cell>
          <cell r="BS15">
            <v>15144.789999999999</v>
          </cell>
        </row>
        <row r="16">
          <cell r="K16" t="str">
            <v>Informatīvi analītiskās (sabiedriski politiskās) programmas</v>
          </cell>
          <cell r="AW16">
            <v>131.9</v>
          </cell>
          <cell r="BQ16">
            <v>552115.05000000005</v>
          </cell>
          <cell r="BS16">
            <v>311590.18000000005</v>
          </cell>
        </row>
        <row r="17">
          <cell r="J17" t="str">
            <v>SP006</v>
          </cell>
          <cell r="K17" t="str">
            <v>Aktuālā intervija 1:1</v>
          </cell>
          <cell r="L17" t="str">
            <v>Informatīvi analītiskie, sabiedriski politiskie raidījumi</v>
          </cell>
          <cell r="M17" t="str">
            <v>LTV1</v>
          </cell>
          <cell r="AW17">
            <v>6.666666666666667</v>
          </cell>
          <cell r="BO17">
            <v>4</v>
          </cell>
          <cell r="BP17">
            <v>3</v>
          </cell>
          <cell r="BQ17">
            <v>24317.97</v>
          </cell>
          <cell r="BS17">
            <v>10132.49</v>
          </cell>
        </row>
        <row r="18">
          <cell r="J18" t="str">
            <v>SP007</v>
          </cell>
          <cell r="K18" t="str">
            <v xml:space="preserve">Valstiski svarīgu un svētku dienu pasākumu pārraides </v>
          </cell>
          <cell r="L18" t="str">
            <v>Informatīvi analītiskie, sabiedriski politiskie raidījumi</v>
          </cell>
          <cell r="M18" t="str">
            <v>LTV1</v>
          </cell>
          <cell r="AW18">
            <v>2</v>
          </cell>
          <cell r="BO18">
            <v>7</v>
          </cell>
          <cell r="BQ18">
            <v>27421.68</v>
          </cell>
          <cell r="BS18">
            <v>27421.68</v>
          </cell>
        </row>
        <row r="19">
          <cell r="J19" t="str">
            <v>SP008</v>
          </cell>
          <cell r="K19" t="str">
            <v>Lielā diskusija (NATO, ES)</v>
          </cell>
          <cell r="L19" t="str">
            <v>Informatīvi analītiskie, sabiedriski politiskie raidījumi</v>
          </cell>
          <cell r="M19" t="str">
            <v>LTV1</v>
          </cell>
          <cell r="AW19">
            <v>0</v>
          </cell>
          <cell r="BQ19">
            <v>0</v>
          </cell>
          <cell r="BS19">
            <v>0</v>
          </cell>
        </row>
        <row r="20">
          <cell r="J20" t="str">
            <v>SP009</v>
          </cell>
          <cell r="K20" t="str">
            <v>Šodienas jautājums</v>
          </cell>
          <cell r="L20" t="str">
            <v>Informatīvi analītiskie, sabiedriski politiskie raidījumi</v>
          </cell>
          <cell r="M20" t="str">
            <v>LTV1</v>
          </cell>
          <cell r="AW20">
            <v>12.6</v>
          </cell>
          <cell r="BO20">
            <v>14</v>
          </cell>
          <cell r="BP20">
            <v>12</v>
          </cell>
          <cell r="BQ20">
            <v>30919.94</v>
          </cell>
          <cell r="BS20">
            <v>12731.74</v>
          </cell>
        </row>
        <row r="21">
          <cell r="J21" t="str">
            <v>SP010</v>
          </cell>
          <cell r="K21" t="str">
            <v>Aculiecinieks</v>
          </cell>
          <cell r="L21" t="str">
            <v>Informatīvi analītiskie, sabiedriski politiskie raidījumi</v>
          </cell>
          <cell r="M21" t="str">
            <v>LTV1</v>
          </cell>
          <cell r="AW21">
            <v>2.5</v>
          </cell>
          <cell r="BO21">
            <v>5</v>
          </cell>
          <cell r="BP21">
            <v>4</v>
          </cell>
          <cell r="BQ21">
            <v>14889.72</v>
          </cell>
          <cell r="BS21">
            <v>6204.05</v>
          </cell>
        </row>
        <row r="22">
          <cell r="J22" t="str">
            <v>SP013</v>
          </cell>
          <cell r="K22" t="str">
            <v>Labdarības akcijas</v>
          </cell>
          <cell r="L22" t="str">
            <v>Informatīvi analītiskie, sabiedriski politiskie raidījumi</v>
          </cell>
          <cell r="M22" t="str">
            <v>LTV1</v>
          </cell>
          <cell r="AW22">
            <v>0</v>
          </cell>
          <cell r="BP22">
            <v>1</v>
          </cell>
          <cell r="BQ22">
            <v>0</v>
          </cell>
          <cell r="BS22">
            <v>0</v>
          </cell>
        </row>
        <row r="23">
          <cell r="J23" t="str">
            <v>SP014</v>
          </cell>
          <cell r="K23" t="str">
            <v>Eiropas parlamenta vēlēšanas</v>
          </cell>
          <cell r="L23" t="str">
            <v>Informatīvi analītiskie, sabiedriski politiskie raidījumi</v>
          </cell>
          <cell r="M23" t="str">
            <v>LTV1</v>
          </cell>
          <cell r="AW23">
            <v>0</v>
          </cell>
          <cell r="BQ23">
            <v>0</v>
          </cell>
          <cell r="BS23">
            <v>8191.26</v>
          </cell>
        </row>
        <row r="24">
          <cell r="J24" t="str">
            <v>SP015</v>
          </cell>
          <cell r="K24" t="str">
            <v>Ārvalstu vadītāju vizītes</v>
          </cell>
          <cell r="L24" t="str">
            <v>Informatīvi analītiskie, sabiedriski politiskie raidījumi</v>
          </cell>
          <cell r="M24" t="str">
            <v>LTV1</v>
          </cell>
          <cell r="AW24">
            <v>0</v>
          </cell>
          <cell r="BO24">
            <v>1</v>
          </cell>
          <cell r="BP24">
            <v>1</v>
          </cell>
          <cell r="BQ24">
            <v>3750</v>
          </cell>
          <cell r="BS24">
            <v>-5928.49</v>
          </cell>
        </row>
        <row r="25">
          <cell r="J25" t="str">
            <v>SP016</v>
          </cell>
          <cell r="K25" t="str">
            <v>Ikdienas informatīvais žurnāls 4. studija</v>
          </cell>
          <cell r="L25" t="str">
            <v>Informatīvi analītiskie, sabiedriski politiskie raidījumi</v>
          </cell>
          <cell r="M25" t="str">
            <v>LTV1</v>
          </cell>
          <cell r="AW25">
            <v>14</v>
          </cell>
          <cell r="BO25">
            <v>12</v>
          </cell>
          <cell r="BP25">
            <v>9</v>
          </cell>
          <cell r="BQ25">
            <v>148038.72</v>
          </cell>
          <cell r="BS25">
            <v>56937.97</v>
          </cell>
        </row>
        <row r="26">
          <cell r="J26" t="str">
            <v>SP017</v>
          </cell>
          <cell r="K26" t="str">
            <v>Raidījums par lauksaimniecību/zemkopību</v>
          </cell>
          <cell r="L26" t="str">
            <v>Informatīvi analītiskie, sabiedriski politiskie raidījumi</v>
          </cell>
          <cell r="M26" t="str">
            <v>LTV1</v>
          </cell>
          <cell r="AW26">
            <v>0</v>
          </cell>
          <cell r="BQ26">
            <v>0</v>
          </cell>
          <cell r="BS26">
            <v>236.01</v>
          </cell>
        </row>
        <row r="27">
          <cell r="J27" t="str">
            <v>SP018</v>
          </cell>
          <cell r="K27" t="str">
            <v xml:space="preserve">Kas notiek Lavijā? </v>
          </cell>
          <cell r="L27" t="str">
            <v>Informatīvi analītiskie, sabiedriski politiskie raidījumi</v>
          </cell>
          <cell r="M27" t="str">
            <v>LTV1</v>
          </cell>
          <cell r="AW27">
            <v>16</v>
          </cell>
          <cell r="BO27">
            <v>4</v>
          </cell>
          <cell r="BP27">
            <v>3</v>
          </cell>
          <cell r="BQ27">
            <v>95969.75</v>
          </cell>
          <cell r="BS27">
            <v>47984.87</v>
          </cell>
        </row>
        <row r="28">
          <cell r="J28" t="str">
            <v>SP019</v>
          </cell>
          <cell r="K28" t="str">
            <v>Valsts amatpersonu uzrunas svētkos -  ieraksti</v>
          </cell>
          <cell r="L28" t="str">
            <v>Informatīvi analītiskie, sabiedriski politiskie raidījumi</v>
          </cell>
          <cell r="M28" t="str">
            <v>LTV1</v>
          </cell>
          <cell r="AW28">
            <v>0</v>
          </cell>
          <cell r="BQ28">
            <v>0</v>
          </cell>
          <cell r="BS28">
            <v>0</v>
          </cell>
        </row>
        <row r="29">
          <cell r="J29" t="str">
            <v>SP020</v>
          </cell>
          <cell r="K29" t="str">
            <v>Raidījumi par vides aktualitātēm</v>
          </cell>
          <cell r="L29" t="str">
            <v>Informatīvi analītiskie, sabiedriski politiskie raidījumi</v>
          </cell>
          <cell r="M29" t="str">
            <v>LTV1</v>
          </cell>
          <cell r="AW29">
            <v>3.7333333333333334</v>
          </cell>
          <cell r="BO29">
            <v>5</v>
          </cell>
          <cell r="BP29">
            <v>3</v>
          </cell>
          <cell r="BQ29">
            <v>33922.720000000001</v>
          </cell>
          <cell r="BS29">
            <v>10437.76</v>
          </cell>
        </row>
        <row r="30">
          <cell r="J30" t="str">
            <v>SP021</v>
          </cell>
          <cell r="K30" t="str">
            <v>Province</v>
          </cell>
          <cell r="L30" t="str">
            <v>Informatīvi analītiskie, sabiedriski politiskie raidījumi</v>
          </cell>
          <cell r="M30" t="str">
            <v>LTV1</v>
          </cell>
          <cell r="AW30">
            <v>3.7333333333333334</v>
          </cell>
          <cell r="BO30">
            <v>4</v>
          </cell>
          <cell r="BP30">
            <v>3</v>
          </cell>
          <cell r="BQ30">
            <v>36549.15</v>
          </cell>
          <cell r="BS30">
            <v>11245.89</v>
          </cell>
        </row>
        <row r="31">
          <cell r="J31" t="str">
            <v>SP022</v>
          </cell>
          <cell r="K31" t="str">
            <v>Raidījums par ārpolitiku</v>
          </cell>
          <cell r="L31" t="str">
            <v>Informatīvi analītiskie, sabiedriski politiskie raidījumi</v>
          </cell>
          <cell r="M31" t="str">
            <v>LTV1</v>
          </cell>
          <cell r="AW31">
            <v>3.7333333333333334</v>
          </cell>
          <cell r="BO31">
            <v>4</v>
          </cell>
          <cell r="BP31">
            <v>3</v>
          </cell>
          <cell r="BQ31">
            <v>50967.83</v>
          </cell>
          <cell r="BS31">
            <v>15682.41</v>
          </cell>
        </row>
        <row r="32">
          <cell r="J32" t="str">
            <v>SP023</v>
          </cell>
          <cell r="K32" t="str">
            <v>Multimediju satura projekti sadarbībā ar LR1</v>
          </cell>
          <cell r="L32" t="str">
            <v>Informatīvi analītiskie, sabiedriski politiskie raidījumi</v>
          </cell>
          <cell r="M32" t="str">
            <v>LTV1</v>
          </cell>
          <cell r="AW32">
            <v>66</v>
          </cell>
          <cell r="BK32">
            <v>23</v>
          </cell>
          <cell r="BO32">
            <v>20</v>
          </cell>
          <cell r="BP32">
            <v>18</v>
          </cell>
          <cell r="BQ32">
            <v>5492.13</v>
          </cell>
          <cell r="BS32">
            <v>5846.46</v>
          </cell>
        </row>
        <row r="33">
          <cell r="J33" t="str">
            <v>SP024</v>
          </cell>
          <cell r="K33" t="str">
            <v>LTV speciālais korespondents Eiropā</v>
          </cell>
          <cell r="L33" t="str">
            <v>Informatīvi analītiskie, sabiedriski politiskie raidījumi</v>
          </cell>
          <cell r="M33" t="str">
            <v>LTV1</v>
          </cell>
          <cell r="AW33">
            <v>0</v>
          </cell>
          <cell r="BQ33">
            <v>42375.45</v>
          </cell>
          <cell r="BS33">
            <v>59626.11</v>
          </cell>
        </row>
        <row r="34">
          <cell r="J34" t="str">
            <v>SP025</v>
          </cell>
          <cell r="L34" t="str">
            <v>Informatīvi analītiskie, sabiedriski politiskie raidījumi</v>
          </cell>
          <cell r="M34" t="str">
            <v>LTV7</v>
          </cell>
          <cell r="AW34">
            <v>0</v>
          </cell>
          <cell r="BQ34">
            <v>0</v>
          </cell>
          <cell r="BS34">
            <v>0</v>
          </cell>
        </row>
        <row r="35">
          <cell r="J35" t="str">
            <v>SP026</v>
          </cell>
          <cell r="K35" t="str">
            <v>Dokumentālas filmas - sociāli - politiskie temati</v>
          </cell>
          <cell r="L35" t="str">
            <v>Informatīvi analītiskie, sabiedriski politiskie raidījumi</v>
          </cell>
          <cell r="M35" t="str">
            <v>LTV1</v>
          </cell>
          <cell r="AW35">
            <v>0.93333333333333335</v>
          </cell>
          <cell r="BO35">
            <v>1</v>
          </cell>
          <cell r="BQ35">
            <v>20000</v>
          </cell>
          <cell r="BS35">
            <v>20000</v>
          </cell>
        </row>
        <row r="36">
          <cell r="J36" t="str">
            <v>SP028</v>
          </cell>
          <cell r="K36" t="str">
            <v>Gada apskats 2024 LTV1</v>
          </cell>
          <cell r="L36" t="str">
            <v>Informatīvi analītiskie, sabiedriski politiskie raidījumi</v>
          </cell>
          <cell r="M36" t="str">
            <v>LTV1</v>
          </cell>
          <cell r="AW36">
            <v>0</v>
          </cell>
          <cell r="BP36">
            <v>1</v>
          </cell>
          <cell r="BQ36">
            <v>0</v>
          </cell>
          <cell r="BS36">
            <v>0</v>
          </cell>
        </row>
        <row r="37">
          <cell r="J37" t="str">
            <v>SP029</v>
          </cell>
          <cell r="K37" t="str">
            <v>Informatīvi analītiskās (sabiedriski politiskās) programmas LTV7</v>
          </cell>
          <cell r="L37" t="str">
            <v>Informatīvi analītiskie, sabiedriski politiskie raidījumi</v>
          </cell>
          <cell r="M37" t="str">
            <v>LTV7</v>
          </cell>
          <cell r="AW37">
            <v>0</v>
          </cell>
          <cell r="BP37">
            <v>1</v>
          </cell>
          <cell r="BQ37">
            <v>0</v>
          </cell>
          <cell r="BS37">
            <v>0</v>
          </cell>
        </row>
        <row r="38">
          <cell r="J38" t="str">
            <v>SP206</v>
          </cell>
          <cell r="K38" t="str">
            <v>Digitālais oriģinālsaturs</v>
          </cell>
          <cell r="L38" t="str">
            <v>Informatīvi analītiskie, sabiedriski politiskie raidījumi</v>
          </cell>
          <cell r="M38" t="str">
            <v>Citi kanāli</v>
          </cell>
          <cell r="AW38">
            <v>0</v>
          </cell>
          <cell r="BQ38">
            <v>17499.990000000002</v>
          </cell>
          <cell r="BS38">
            <v>24839.97</v>
          </cell>
        </row>
        <row r="39">
          <cell r="K39" t="str">
            <v xml:space="preserve">Pētnieciskie raidījumi </v>
          </cell>
          <cell r="M39">
            <v>0</v>
          </cell>
          <cell r="AW39">
            <v>18.5</v>
          </cell>
          <cell r="BQ39">
            <v>244435.66000000003</v>
          </cell>
          <cell r="BS39">
            <v>116336.75</v>
          </cell>
        </row>
        <row r="40">
          <cell r="J40" t="str">
            <v>SP011</v>
          </cell>
          <cell r="K40" t="str">
            <v>Aizliegtais paņēmiens</v>
          </cell>
          <cell r="L40" t="str">
            <v xml:space="preserve">Pētnieciskie raidījumi </v>
          </cell>
          <cell r="M40" t="str">
            <v>LTV1</v>
          </cell>
          <cell r="AW40">
            <v>8.6666666666666661</v>
          </cell>
          <cell r="BO40">
            <v>2</v>
          </cell>
          <cell r="BP40">
            <v>3</v>
          </cell>
          <cell r="BQ40">
            <v>103011.32</v>
          </cell>
          <cell r="BS40">
            <v>42921.38</v>
          </cell>
        </row>
        <row r="41">
          <cell r="J41" t="str">
            <v>SP012</v>
          </cell>
          <cell r="K41" t="str">
            <v>De Facto</v>
          </cell>
          <cell r="L41" t="str">
            <v xml:space="preserve">Pētnieciskie raidījumi </v>
          </cell>
          <cell r="M41" t="str">
            <v>LTV1</v>
          </cell>
          <cell r="AW41">
            <v>8.1666666666666661</v>
          </cell>
          <cell r="BO41">
            <v>4</v>
          </cell>
          <cell r="BP41">
            <v>4</v>
          </cell>
          <cell r="BQ41">
            <v>118958.7</v>
          </cell>
          <cell r="BS41">
            <v>64054.68</v>
          </cell>
        </row>
        <row r="42">
          <cell r="J42" t="str">
            <v>SP027</v>
          </cell>
          <cell r="K42" t="str">
            <v xml:space="preserve">Pētnieciskie raidījumi LTV7 </v>
          </cell>
          <cell r="L42" t="str">
            <v xml:space="preserve">Pētnieciskie raidījumi </v>
          </cell>
          <cell r="M42" t="str">
            <v>LTV7</v>
          </cell>
          <cell r="AW42">
            <v>0</v>
          </cell>
          <cell r="BQ42">
            <v>0</v>
          </cell>
          <cell r="BS42">
            <v>0</v>
          </cell>
        </row>
        <row r="43">
          <cell r="J43" t="str">
            <v>SP060</v>
          </cell>
          <cell r="K43" t="str">
            <v>Kultūršoks</v>
          </cell>
          <cell r="L43" t="str">
            <v xml:space="preserve">Pētnieciskie raidījumi </v>
          </cell>
          <cell r="M43" t="str">
            <v>LTV1</v>
          </cell>
          <cell r="AW43">
            <v>1.6666666666666667</v>
          </cell>
          <cell r="BO43">
            <v>5</v>
          </cell>
          <cell r="BP43">
            <v>3</v>
          </cell>
          <cell r="BQ43">
            <v>22465.64</v>
          </cell>
          <cell r="BS43">
            <v>9360.69</v>
          </cell>
        </row>
        <row r="44">
          <cell r="K44" t="str">
            <v>Izglītība, zinātne</v>
          </cell>
          <cell r="AW44">
            <v>19.600000000000001</v>
          </cell>
          <cell r="BQ44">
            <v>342317.08999999997</v>
          </cell>
          <cell r="BS44">
            <v>148883.44999999998</v>
          </cell>
        </row>
        <row r="45">
          <cell r="J45" t="str">
            <v>SP030</v>
          </cell>
          <cell r="K45" t="str">
            <v>Izglītojošās izklaides projekti</v>
          </cell>
          <cell r="L45" t="str">
            <v>Izglītojošie un zinātnes raidījumi</v>
          </cell>
          <cell r="M45" t="str">
            <v>LTV1</v>
          </cell>
          <cell r="AW45">
            <v>16.8</v>
          </cell>
          <cell r="BK45">
            <v>2</v>
          </cell>
          <cell r="BO45">
            <v>5</v>
          </cell>
          <cell r="BP45">
            <v>4</v>
          </cell>
          <cell r="BQ45">
            <v>134381.09</v>
          </cell>
          <cell r="BS45">
            <v>134381.09</v>
          </cell>
        </row>
        <row r="46">
          <cell r="J46" t="str">
            <v>SP031</v>
          </cell>
          <cell r="K46" t="str">
            <v>Ceļojumu raidījumi</v>
          </cell>
          <cell r="L46" t="str">
            <v>Izglītojošie un zinātnes raidījumi</v>
          </cell>
          <cell r="M46" t="str">
            <v>LTV1</v>
          </cell>
          <cell r="AW46">
            <v>0</v>
          </cell>
          <cell r="BQ46">
            <v>0</v>
          </cell>
          <cell r="BS46">
            <v>0</v>
          </cell>
        </row>
        <row r="47">
          <cell r="J47" t="str">
            <v>SP032</v>
          </cell>
          <cell r="L47" t="str">
            <v>Izglītojošie un zinātnes raidījumi</v>
          </cell>
          <cell r="M47" t="str">
            <v>LTV1</v>
          </cell>
          <cell r="AW47">
            <v>0</v>
          </cell>
          <cell r="BQ47">
            <v>0</v>
          </cell>
          <cell r="BS47">
            <v>0</v>
          </cell>
        </row>
        <row r="48">
          <cell r="J48" t="str">
            <v>SP033</v>
          </cell>
          <cell r="K48" t="str">
            <v>Gudrs, vēl gudrāks</v>
          </cell>
          <cell r="L48" t="str">
            <v>Izglītojošie un zinātnes raidījumi</v>
          </cell>
          <cell r="M48" t="str">
            <v>LTV1</v>
          </cell>
          <cell r="AW48">
            <v>0</v>
          </cell>
          <cell r="BO48">
            <v>5</v>
          </cell>
          <cell r="BP48">
            <v>4</v>
          </cell>
          <cell r="BQ48">
            <v>161078.51</v>
          </cell>
          <cell r="BS48">
            <v>0</v>
          </cell>
        </row>
        <row r="49">
          <cell r="J49" t="str">
            <v>SP034</v>
          </cell>
          <cell r="K49" t="str">
            <v xml:space="preserve">Izglītojošie raidījumi LTV7 </v>
          </cell>
          <cell r="L49" t="str">
            <v>Izglītojošie un zinātnes raidījumi</v>
          </cell>
          <cell r="M49" t="str">
            <v>LTV7</v>
          </cell>
          <cell r="AW49">
            <v>0</v>
          </cell>
          <cell r="BQ49">
            <v>0</v>
          </cell>
          <cell r="BS49">
            <v>0</v>
          </cell>
        </row>
        <row r="50">
          <cell r="J50" t="str">
            <v>SP035</v>
          </cell>
          <cell r="K50" t="str">
            <v>Ķepa uz sirds</v>
          </cell>
          <cell r="L50" t="str">
            <v>Izglītojošie un zinātnes raidījumi</v>
          </cell>
          <cell r="M50" t="str">
            <v>LTV1</v>
          </cell>
          <cell r="AW50">
            <v>2.8</v>
          </cell>
          <cell r="BO50">
            <v>5</v>
          </cell>
          <cell r="BP50">
            <v>3</v>
          </cell>
          <cell r="BQ50">
            <v>43731.25</v>
          </cell>
          <cell r="BS50">
            <v>10932.81</v>
          </cell>
        </row>
        <row r="51">
          <cell r="J51" t="str">
            <v>SP207</v>
          </cell>
          <cell r="K51" t="str">
            <v>Digitālais oriģinālsaturs</v>
          </cell>
          <cell r="L51" t="str">
            <v>Izglītojošie un zinātnes raidījumi</v>
          </cell>
          <cell r="M51" t="str">
            <v>Citi kanāli</v>
          </cell>
          <cell r="AW51">
            <v>0</v>
          </cell>
          <cell r="BQ51">
            <v>3126.24</v>
          </cell>
          <cell r="BS51">
            <v>3569.55</v>
          </cell>
        </row>
        <row r="52">
          <cell r="K52" t="str">
            <v>Izklaides programmas</v>
          </cell>
          <cell r="AW52">
            <v>17.8</v>
          </cell>
          <cell r="BQ52">
            <v>165429.44999999998</v>
          </cell>
          <cell r="BS52">
            <v>72581.990000000005</v>
          </cell>
        </row>
        <row r="53">
          <cell r="J53" t="str">
            <v>SP036</v>
          </cell>
          <cell r="K53" t="str">
            <v>Daudz Laimes, Jubilār!</v>
          </cell>
          <cell r="L53" t="str">
            <v>Izklaidējošie raidījumi</v>
          </cell>
          <cell r="M53" t="str">
            <v>LTV1</v>
          </cell>
          <cell r="AW53">
            <v>3.4666666666666668</v>
          </cell>
          <cell r="BO53">
            <v>5</v>
          </cell>
          <cell r="BP53">
            <v>4</v>
          </cell>
          <cell r="BQ53">
            <v>52773</v>
          </cell>
          <cell r="BS53">
            <v>16237.85</v>
          </cell>
        </row>
        <row r="54">
          <cell r="J54" t="str">
            <v>SP037</v>
          </cell>
          <cell r="K54" t="str">
            <v>Populārās mūzikas sezonas noslēguma koncerts</v>
          </cell>
          <cell r="L54" t="str">
            <v>Izklaidējošie raidījumi</v>
          </cell>
          <cell r="M54" t="str">
            <v>LTV1</v>
          </cell>
          <cell r="AW54">
            <v>0</v>
          </cell>
          <cell r="BQ54">
            <v>0</v>
          </cell>
          <cell r="BS54">
            <v>531.92999999999995</v>
          </cell>
        </row>
        <row r="55">
          <cell r="J55" t="str">
            <v>SP038</v>
          </cell>
          <cell r="K55" t="str">
            <v>Supernovas izziņošana</v>
          </cell>
          <cell r="L55" t="str">
            <v>Izklaidējošie raidījumi</v>
          </cell>
          <cell r="M55" t="str">
            <v>LTV1</v>
          </cell>
          <cell r="AW55">
            <v>0</v>
          </cell>
          <cell r="BQ55">
            <v>0</v>
          </cell>
          <cell r="BS55">
            <v>-3064.26</v>
          </cell>
        </row>
        <row r="56">
          <cell r="J56" t="str">
            <v>SP039</v>
          </cell>
          <cell r="K56" t="str">
            <v>Eirovīzija - starptautiskā</v>
          </cell>
          <cell r="L56" t="str">
            <v>Izklaidējošie raidījumi</v>
          </cell>
          <cell r="M56" t="str">
            <v>LTV1</v>
          </cell>
          <cell r="AW56">
            <v>0</v>
          </cell>
          <cell r="BQ56">
            <v>0</v>
          </cell>
          <cell r="BS56">
            <v>4378.26</v>
          </cell>
        </row>
        <row r="57">
          <cell r="J57" t="str">
            <v>SP040</v>
          </cell>
          <cell r="K57" t="str">
            <v xml:space="preserve">Supernova 2024 </v>
          </cell>
          <cell r="L57" t="str">
            <v>Izklaidējošie raidījumi</v>
          </cell>
          <cell r="M57" t="str">
            <v>LTV1</v>
          </cell>
          <cell r="AW57">
            <v>0</v>
          </cell>
          <cell r="BQ57">
            <v>0</v>
          </cell>
          <cell r="BS57">
            <v>-1099.5899999999999</v>
          </cell>
        </row>
        <row r="58">
          <cell r="J58" t="str">
            <v>SP041</v>
          </cell>
          <cell r="K58" t="str">
            <v>Lielformāta izklaide: šovs vai seriāls</v>
          </cell>
          <cell r="L58" t="str">
            <v>Izklaidējošie raidījumi</v>
          </cell>
          <cell r="M58" t="str">
            <v>LTV1</v>
          </cell>
          <cell r="AW58">
            <v>0</v>
          </cell>
          <cell r="BO58">
            <v>4</v>
          </cell>
          <cell r="BP58">
            <v>2</v>
          </cell>
          <cell r="BQ58">
            <v>0</v>
          </cell>
          <cell r="BS58">
            <v>0</v>
          </cell>
        </row>
        <row r="59">
          <cell r="K59" t="str">
            <v>Jauns šovs</v>
          </cell>
          <cell r="L59" t="str">
            <v>Izklaidējošie raidījumi</v>
          </cell>
          <cell r="M59" t="str">
            <v>LTV1</v>
          </cell>
          <cell r="AW59">
            <v>0</v>
          </cell>
          <cell r="BQ59">
            <v>0</v>
          </cell>
          <cell r="BS59">
            <v>0</v>
          </cell>
        </row>
        <row r="60">
          <cell r="J60" t="str">
            <v>SP042</v>
          </cell>
          <cell r="K60" t="str">
            <v>Supernova 2025 sagatavošana</v>
          </cell>
          <cell r="L60" t="str">
            <v>Izklaidējošie raidījumi</v>
          </cell>
          <cell r="M60" t="str">
            <v>LTV7</v>
          </cell>
          <cell r="AW60">
            <v>0</v>
          </cell>
          <cell r="BQ60">
            <v>0</v>
          </cell>
          <cell r="BS60">
            <v>0</v>
          </cell>
        </row>
        <row r="61">
          <cell r="J61" t="str">
            <v>SP043</v>
          </cell>
          <cell r="K61" t="str">
            <v>Populārās mūzikas raidījums Sirdsdziesma</v>
          </cell>
          <cell r="L61" t="str">
            <v>Izklaidējošie raidījumi</v>
          </cell>
          <cell r="M61" t="str">
            <v>LTV1</v>
          </cell>
          <cell r="AW61">
            <v>7.833333333333333</v>
          </cell>
          <cell r="BO61">
            <v>5</v>
          </cell>
          <cell r="BP61">
            <v>4</v>
          </cell>
          <cell r="BQ61">
            <v>42544.09</v>
          </cell>
          <cell r="BS61">
            <v>17726.7</v>
          </cell>
        </row>
        <row r="62">
          <cell r="J62" t="str">
            <v>SP044</v>
          </cell>
          <cell r="K62" t="str">
            <v>Līgo 2024</v>
          </cell>
          <cell r="L62" t="str">
            <v>Izklaidējošie raidījumi</v>
          </cell>
          <cell r="M62" t="str">
            <v>LTV1</v>
          </cell>
          <cell r="AW62">
            <v>0</v>
          </cell>
          <cell r="BQ62">
            <v>0</v>
          </cell>
          <cell r="BS62">
            <v>0</v>
          </cell>
        </row>
        <row r="63">
          <cell r="J63" t="str">
            <v>SP045</v>
          </cell>
          <cell r="K63" t="str">
            <v xml:space="preserve">Muzikālā banka </v>
          </cell>
          <cell r="L63" t="str">
            <v>Izklaidējošie raidījumi</v>
          </cell>
          <cell r="M63" t="str">
            <v>LTV1</v>
          </cell>
          <cell r="AW63">
            <v>0</v>
          </cell>
          <cell r="BQ63">
            <v>20845</v>
          </cell>
          <cell r="BS63">
            <v>1986.66</v>
          </cell>
        </row>
        <row r="64">
          <cell r="J64" t="str">
            <v>SP046</v>
          </cell>
          <cell r="K64" t="str">
            <v>V.I.P spēle</v>
          </cell>
          <cell r="L64" t="str">
            <v>Izklaidējošie raidījumi</v>
          </cell>
          <cell r="M64" t="str">
            <v>LTV1</v>
          </cell>
          <cell r="AW64">
            <v>6.5</v>
          </cell>
          <cell r="BO64">
            <v>2</v>
          </cell>
          <cell r="BP64">
            <v>5</v>
          </cell>
          <cell r="BQ64">
            <v>44056.12</v>
          </cell>
          <cell r="BS64">
            <v>28758.42</v>
          </cell>
        </row>
        <row r="65">
          <cell r="J65" t="str">
            <v>SP047</v>
          </cell>
          <cell r="K65" t="str">
            <v>Vecgada programma</v>
          </cell>
          <cell r="L65" t="str">
            <v>Izklaidējošie raidījumi</v>
          </cell>
          <cell r="M65" t="str">
            <v>LTV1</v>
          </cell>
          <cell r="AW65">
            <v>0</v>
          </cell>
          <cell r="BP65">
            <v>1</v>
          </cell>
          <cell r="BQ65">
            <v>0</v>
          </cell>
          <cell r="BS65">
            <v>0</v>
          </cell>
        </row>
        <row r="66">
          <cell r="J66" t="str">
            <v>SP204</v>
          </cell>
          <cell r="K66" t="str">
            <v>Digitālais oriģinālsaturs</v>
          </cell>
          <cell r="L66" t="str">
            <v>Izklaidējošie raidījumi</v>
          </cell>
          <cell r="M66" t="str">
            <v>Citi kanāli</v>
          </cell>
          <cell r="AW66">
            <v>0</v>
          </cell>
          <cell r="BQ66">
            <v>5211.24</v>
          </cell>
          <cell r="BS66">
            <v>7126.02</v>
          </cell>
        </row>
        <row r="67">
          <cell r="K67" t="str">
            <v>Mūzika</v>
          </cell>
          <cell r="AW67">
            <v>3</v>
          </cell>
          <cell r="BQ67">
            <v>50494.75</v>
          </cell>
          <cell r="BS67">
            <v>17451.18</v>
          </cell>
        </row>
        <row r="68">
          <cell r="J68" t="str">
            <v>SP048</v>
          </cell>
          <cell r="K68" t="str">
            <v>Mūzikas balvas  ceremonija</v>
          </cell>
          <cell r="L68" t="str">
            <v>Mūzika</v>
          </cell>
          <cell r="M68" t="str">
            <v>LTV1</v>
          </cell>
          <cell r="AW68">
            <v>0</v>
          </cell>
          <cell r="BQ68">
            <v>0</v>
          </cell>
          <cell r="BS68">
            <v>-213.72</v>
          </cell>
        </row>
        <row r="69">
          <cell r="J69" t="str">
            <v>SP049</v>
          </cell>
          <cell r="K69" t="str">
            <v>Koncertu tiešraides un ieraksti</v>
          </cell>
          <cell r="L69" t="str">
            <v>Mūzika</v>
          </cell>
          <cell r="M69" t="str">
            <v>LTV1</v>
          </cell>
          <cell r="AW69">
            <v>3</v>
          </cell>
          <cell r="BO69">
            <v>1</v>
          </cell>
          <cell r="BP69">
            <v>1</v>
          </cell>
          <cell r="BQ69">
            <v>49994.74</v>
          </cell>
          <cell r="BS69">
            <v>16664.91</v>
          </cell>
        </row>
        <row r="70">
          <cell r="J70" t="str">
            <v>SP208</v>
          </cell>
          <cell r="K70" t="str">
            <v>Digitālais oriģinālsaturs</v>
          </cell>
          <cell r="L70" t="str">
            <v>Mūzika</v>
          </cell>
          <cell r="M70" t="str">
            <v>Citi kanāli</v>
          </cell>
          <cell r="AW70">
            <v>0</v>
          </cell>
          <cell r="BQ70">
            <v>500.01</v>
          </cell>
          <cell r="BS70">
            <v>999.99</v>
          </cell>
        </row>
        <row r="71">
          <cell r="K71" t="str">
            <v>Sports</v>
          </cell>
          <cell r="AW71">
            <v>507.7</v>
          </cell>
          <cell r="BQ71">
            <v>325954.74</v>
          </cell>
          <cell r="BS71">
            <v>616434.85</v>
          </cell>
        </row>
        <row r="72">
          <cell r="J72" t="str">
            <v>SP050</v>
          </cell>
          <cell r="K72" t="str">
            <v>Sporta ziņas. Panorāma, Dienas un Nakts ziņas.</v>
          </cell>
          <cell r="L72" t="str">
            <v>Sports</v>
          </cell>
          <cell r="M72" t="str">
            <v>LTV1</v>
          </cell>
          <cell r="AW72">
            <v>19.933333333333334</v>
          </cell>
          <cell r="BK72">
            <v>31</v>
          </cell>
          <cell r="BO72">
            <v>30</v>
          </cell>
          <cell r="BP72">
            <v>31</v>
          </cell>
          <cell r="BQ72">
            <v>100502.23</v>
          </cell>
          <cell r="BS72">
            <v>101606.65</v>
          </cell>
        </row>
        <row r="73">
          <cell r="J73" t="str">
            <v>SP051</v>
          </cell>
          <cell r="K73" t="str">
            <v>LTV1 Sporta oriģinālraidījumi</v>
          </cell>
          <cell r="L73" t="str">
            <v>Sports</v>
          </cell>
          <cell r="M73" t="str">
            <v>LTV1</v>
          </cell>
          <cell r="AW73">
            <v>8.6</v>
          </cell>
          <cell r="BO73">
            <v>3</v>
          </cell>
          <cell r="BP73">
            <v>4</v>
          </cell>
          <cell r="BQ73">
            <v>103843.54</v>
          </cell>
          <cell r="BS73">
            <v>51921.77</v>
          </cell>
        </row>
        <row r="74">
          <cell r="J74" t="str">
            <v>SP052</v>
          </cell>
          <cell r="K74" t="str">
            <v>Latvijas sporta translācijas</v>
          </cell>
          <cell r="L74" t="str">
            <v>Sports</v>
          </cell>
          <cell r="M74" t="str">
            <v>LTV7</v>
          </cell>
          <cell r="AW74">
            <v>50.266666666666666</v>
          </cell>
          <cell r="BK74">
            <v>11</v>
          </cell>
          <cell r="BO74">
            <v>4</v>
          </cell>
          <cell r="BP74">
            <v>4</v>
          </cell>
          <cell r="BQ74">
            <v>51847.6</v>
          </cell>
          <cell r="BS74">
            <v>115660.04</v>
          </cell>
        </row>
        <row r="75">
          <cell r="J75" t="str">
            <v>SP053</v>
          </cell>
          <cell r="K75" t="str">
            <v>Nacionālo izlašu spēles ārvalstīs</v>
          </cell>
          <cell r="L75" t="str">
            <v>Sports</v>
          </cell>
          <cell r="M75" t="str">
            <v>LTV7</v>
          </cell>
          <cell r="AW75">
            <v>0</v>
          </cell>
          <cell r="BO75">
            <v>6</v>
          </cell>
          <cell r="BQ75">
            <v>4838.75</v>
          </cell>
          <cell r="BS75">
            <v>-5447.5</v>
          </cell>
        </row>
        <row r="76">
          <cell r="J76" t="str">
            <v>SP054</v>
          </cell>
          <cell r="K76" t="str">
            <v xml:space="preserve">Pasaules un Eiropas kausi/čempionāti </v>
          </cell>
          <cell r="L76" t="str">
            <v>Sports</v>
          </cell>
          <cell r="M76" t="str">
            <v>LTV7</v>
          </cell>
          <cell r="AW76">
            <v>74.433333333333337</v>
          </cell>
          <cell r="BK76">
            <v>11</v>
          </cell>
          <cell r="BO76">
            <v>4</v>
          </cell>
          <cell r="BP76">
            <v>4</v>
          </cell>
          <cell r="BQ76">
            <v>15147.87</v>
          </cell>
          <cell r="BS76">
            <v>33791.39</v>
          </cell>
        </row>
        <row r="77">
          <cell r="J77" t="str">
            <v>SP055</v>
          </cell>
          <cell r="K77" t="str">
            <v>Pasaules Hokeja Čempionāta pārraides</v>
          </cell>
          <cell r="L77" t="str">
            <v>Sports</v>
          </cell>
          <cell r="M77" t="str">
            <v>LTV7</v>
          </cell>
          <cell r="AW77">
            <v>0</v>
          </cell>
          <cell r="BQ77">
            <v>0</v>
          </cell>
          <cell r="BS77">
            <v>-1193.82</v>
          </cell>
        </row>
        <row r="78">
          <cell r="J78" t="str">
            <v>SP056</v>
          </cell>
          <cell r="K78" t="str">
            <v>Olimpisko spēļu licences priekšapmaksa un producēšanas izdevumi</v>
          </cell>
          <cell r="L78" t="str">
            <v>Sports</v>
          </cell>
          <cell r="M78" t="str">
            <v>LTV7</v>
          </cell>
          <cell r="AW78">
            <v>304.2</v>
          </cell>
          <cell r="BK78">
            <v>50</v>
          </cell>
          <cell r="BQ78">
            <v>0</v>
          </cell>
          <cell r="BS78">
            <v>366600.43</v>
          </cell>
        </row>
        <row r="79">
          <cell r="J79" t="str">
            <v>SP057</v>
          </cell>
          <cell r="K79" t="str">
            <v>LTV7 sporta oriģinālraidījumi</v>
          </cell>
          <cell r="L79" t="str">
            <v>Sports</v>
          </cell>
          <cell r="M79" t="str">
            <v>LTV7</v>
          </cell>
          <cell r="AW79">
            <v>50.266666666666666</v>
          </cell>
          <cell r="BK79">
            <v>11</v>
          </cell>
          <cell r="BO79">
            <v>4</v>
          </cell>
          <cell r="BP79">
            <v>4</v>
          </cell>
          <cell r="BQ79">
            <v>24960.01</v>
          </cell>
          <cell r="BS79">
            <v>-75792.09</v>
          </cell>
        </row>
        <row r="80">
          <cell r="J80" t="str">
            <v>SP058</v>
          </cell>
          <cell r="K80" t="str">
            <v>Sporta atkārtojumu sagatavošana</v>
          </cell>
          <cell r="L80" t="str">
            <v>Sports</v>
          </cell>
          <cell r="M80" t="str">
            <v>LTV7</v>
          </cell>
          <cell r="AW80">
            <v>0</v>
          </cell>
          <cell r="BQ80">
            <v>1365.99</v>
          </cell>
          <cell r="BS80">
            <v>590.4</v>
          </cell>
        </row>
        <row r="81">
          <cell r="J81" t="str">
            <v>SP202</v>
          </cell>
          <cell r="K81" t="str">
            <v>Digitālais oriģinālsaturs</v>
          </cell>
          <cell r="L81" t="str">
            <v>Sports</v>
          </cell>
          <cell r="M81" t="str">
            <v>Citi kanāli</v>
          </cell>
          <cell r="AW81">
            <v>0</v>
          </cell>
          <cell r="BQ81">
            <v>23448.75</v>
          </cell>
          <cell r="BS81">
            <v>28697.58</v>
          </cell>
        </row>
        <row r="82">
          <cell r="K82" t="str">
            <v>Vērtību orientējošās kultūras un reliģijas programmas</v>
          </cell>
          <cell r="AW82">
            <v>59.533333333333331</v>
          </cell>
          <cell r="BQ82">
            <v>399780.82</v>
          </cell>
          <cell r="BS82">
            <v>314020.49000000005</v>
          </cell>
        </row>
        <row r="83">
          <cell r="J83" t="str">
            <v>SP059</v>
          </cell>
          <cell r="K83" t="str">
            <v>Ielas garumā</v>
          </cell>
          <cell r="L83" t="str">
            <v>Vērtību orientējošie, kultūras  raidījumi</v>
          </cell>
          <cell r="M83" t="str">
            <v>LTV1</v>
          </cell>
          <cell r="AW83">
            <v>3.7333333333333334</v>
          </cell>
          <cell r="BO83">
            <v>3</v>
          </cell>
          <cell r="BP83">
            <v>2</v>
          </cell>
          <cell r="BQ83">
            <v>28761.56</v>
          </cell>
          <cell r="BS83">
            <v>16435.18</v>
          </cell>
        </row>
        <row r="84">
          <cell r="J84" t="str">
            <v>SP061</v>
          </cell>
          <cell r="K84" t="str">
            <v>Vēsturisko spēlfilmu kopprodukcija</v>
          </cell>
          <cell r="L84" t="str">
            <v>Vērtību orientējošie, kultūras  raidījumi</v>
          </cell>
          <cell r="M84" t="str">
            <v>LTV1</v>
          </cell>
          <cell r="AW84">
            <v>0</v>
          </cell>
          <cell r="BQ84">
            <v>0</v>
          </cell>
          <cell r="BS84">
            <v>0</v>
          </cell>
        </row>
        <row r="85">
          <cell r="J85" t="str">
            <v>SP062</v>
          </cell>
          <cell r="K85" t="str">
            <v>Kultūras ziņas</v>
          </cell>
          <cell r="L85" t="str">
            <v>Vērtību orientējošie, kultūras  raidījumi</v>
          </cell>
          <cell r="M85" t="str">
            <v>LTV1</v>
          </cell>
          <cell r="AW85">
            <v>11</v>
          </cell>
          <cell r="BK85">
            <v>23</v>
          </cell>
          <cell r="BO85">
            <v>20</v>
          </cell>
          <cell r="BP85">
            <v>18</v>
          </cell>
          <cell r="BQ85">
            <v>95209.49</v>
          </cell>
          <cell r="BS85">
            <v>99743.27</v>
          </cell>
        </row>
        <row r="86">
          <cell r="J86" t="str">
            <v>SP063</v>
          </cell>
          <cell r="K86" t="str">
            <v>Kultūrdeva</v>
          </cell>
          <cell r="L86" t="str">
            <v>Vērtību orientējošie, kultūras  raidījumi</v>
          </cell>
          <cell r="M86" t="str">
            <v>LTV1</v>
          </cell>
          <cell r="AW86">
            <v>8.6666666666666661</v>
          </cell>
          <cell r="BO86">
            <v>4</v>
          </cell>
          <cell r="BP86">
            <v>4</v>
          </cell>
          <cell r="BQ86">
            <v>87190.33</v>
          </cell>
          <cell r="BS86">
            <v>33534.74</v>
          </cell>
        </row>
        <row r="87">
          <cell r="J87" t="str">
            <v>SP064</v>
          </cell>
          <cell r="K87" t="str">
            <v>Artes projekti</v>
          </cell>
          <cell r="L87" t="str">
            <v>Vērtību orientējošie, kultūras  raidījumi</v>
          </cell>
          <cell r="M87" t="str">
            <v>LTV1</v>
          </cell>
          <cell r="AW87">
            <v>0</v>
          </cell>
          <cell r="BQ87">
            <v>13027.5</v>
          </cell>
          <cell r="BS87">
            <v>4844.55</v>
          </cell>
        </row>
        <row r="88">
          <cell r="J88" t="str">
            <v>SP065</v>
          </cell>
          <cell r="K88" t="str">
            <v>Kg Kultūras konkurss un ceremonija</v>
          </cell>
          <cell r="L88" t="str">
            <v>Vērtību orientējošie, kultūras  raidījumi</v>
          </cell>
          <cell r="M88" t="str">
            <v>LTV1</v>
          </cell>
          <cell r="AW88">
            <v>0</v>
          </cell>
          <cell r="BQ88">
            <v>0</v>
          </cell>
          <cell r="BS88">
            <v>3094.86</v>
          </cell>
        </row>
        <row r="89">
          <cell r="J89" t="str">
            <v>SP066</v>
          </cell>
          <cell r="K89" t="str">
            <v xml:space="preserve">Raidījumi/saturs latgaliešu valodā. </v>
          </cell>
          <cell r="L89" t="str">
            <v>Vērtību orientējošie, kultūras  raidījumi</v>
          </cell>
          <cell r="M89" t="str">
            <v>LTV1</v>
          </cell>
          <cell r="AW89">
            <v>0</v>
          </cell>
          <cell r="BQ89">
            <v>0</v>
          </cell>
          <cell r="BS89">
            <v>640.77</v>
          </cell>
        </row>
        <row r="90">
          <cell r="J90" t="str">
            <v>SP067</v>
          </cell>
          <cell r="K90" t="str">
            <v>Kultūras notikumu gada apskats</v>
          </cell>
          <cell r="L90" t="str">
            <v>Vērtību orientējošie, kultūras  raidījumi</v>
          </cell>
          <cell r="M90" t="str">
            <v>LTV1</v>
          </cell>
          <cell r="AW90">
            <v>0</v>
          </cell>
          <cell r="BQ90">
            <v>1625.01</v>
          </cell>
          <cell r="BS90">
            <v>3249.99</v>
          </cell>
        </row>
        <row r="91">
          <cell r="J91" t="str">
            <v>SP068</v>
          </cell>
          <cell r="K91" t="str">
            <v xml:space="preserve">Lielās personības. TV dokumentālās filmas. </v>
          </cell>
          <cell r="L91" t="str">
            <v>Vērtību orientējošie, kultūras  raidījumi</v>
          </cell>
          <cell r="M91" t="str">
            <v>LTV1</v>
          </cell>
          <cell r="AW91">
            <v>2</v>
          </cell>
          <cell r="BO91">
            <v>1</v>
          </cell>
          <cell r="BP91">
            <v>1</v>
          </cell>
          <cell r="BQ91">
            <v>0</v>
          </cell>
          <cell r="BS91">
            <v>10043.719999999999</v>
          </cell>
        </row>
        <row r="92">
          <cell r="J92" t="str">
            <v>SP069</v>
          </cell>
          <cell r="K92" t="str">
            <v>Dziesmu ceļš</v>
          </cell>
          <cell r="L92" t="str">
            <v>Vērtību orientējošie, kultūras  raidījumi</v>
          </cell>
          <cell r="M92" t="str">
            <v>LTV1</v>
          </cell>
          <cell r="AW92">
            <v>0</v>
          </cell>
          <cell r="BQ92">
            <v>0</v>
          </cell>
          <cell r="BS92">
            <v>-2090.61</v>
          </cell>
        </row>
        <row r="93">
          <cell r="J93" t="str">
            <v>SP070</v>
          </cell>
          <cell r="K93" t="str">
            <v>Kultūrdobe</v>
          </cell>
          <cell r="L93" t="str">
            <v>Vērtību orientējošie, kultūras  raidījumi</v>
          </cell>
          <cell r="M93" t="str">
            <v>LTV1</v>
          </cell>
          <cell r="AW93">
            <v>16</v>
          </cell>
          <cell r="BK93">
            <v>4</v>
          </cell>
          <cell r="BQ93">
            <v>0</v>
          </cell>
          <cell r="BS93">
            <v>23289.48</v>
          </cell>
        </row>
        <row r="94">
          <cell r="J94" t="str">
            <v>SP071</v>
          </cell>
          <cell r="K94" t="str">
            <v xml:space="preserve">Literatūras raidījums </v>
          </cell>
          <cell r="L94" t="str">
            <v>Vērtību orientējošie, kultūras  raidījumi</v>
          </cell>
          <cell r="M94" t="str">
            <v>LTV1</v>
          </cell>
          <cell r="AW94">
            <v>0</v>
          </cell>
          <cell r="BQ94">
            <v>0</v>
          </cell>
          <cell r="BS94">
            <v>-28.77</v>
          </cell>
        </row>
        <row r="95">
          <cell r="J95" t="str">
            <v>SP115</v>
          </cell>
          <cell r="K95" t="str">
            <v xml:space="preserve">Kino raidījums </v>
          </cell>
          <cell r="L95" t="str">
            <v>Vērtību orientējošie, kultūras  raidījumi</v>
          </cell>
          <cell r="M95" t="str">
            <v>LTV1</v>
          </cell>
          <cell r="AW95">
            <v>0</v>
          </cell>
          <cell r="BO95">
            <v>4</v>
          </cell>
          <cell r="BQ95">
            <v>0</v>
          </cell>
          <cell r="BS95">
            <v>0</v>
          </cell>
        </row>
        <row r="96">
          <cell r="J96" t="str">
            <v>SP072</v>
          </cell>
          <cell r="K96" t="str">
            <v>Kultūras pasākumu un notikumu translācijas/ieraksti</v>
          </cell>
          <cell r="L96" t="str">
            <v>Vērtību orientējošie, kultūras  raidījumi</v>
          </cell>
          <cell r="M96" t="str">
            <v>LTV1</v>
          </cell>
          <cell r="AW96">
            <v>0</v>
          </cell>
          <cell r="BQ96">
            <v>0</v>
          </cell>
          <cell r="BS96">
            <v>1205.52</v>
          </cell>
        </row>
        <row r="97">
          <cell r="J97" t="str">
            <v>SP073</v>
          </cell>
          <cell r="K97" t="str">
            <v>Lielais Kristaps</v>
          </cell>
          <cell r="L97" t="str">
            <v>Vērtību orientējošie, kultūras  raidījumi</v>
          </cell>
          <cell r="M97" t="str">
            <v>LTV1</v>
          </cell>
          <cell r="AW97">
            <v>0</v>
          </cell>
          <cell r="BQ97">
            <v>0</v>
          </cell>
          <cell r="BS97">
            <v>149.31</v>
          </cell>
        </row>
        <row r="98">
          <cell r="J98" t="str">
            <v>SP074</v>
          </cell>
          <cell r="K98" t="str">
            <v>Spēlmaņu nakts</v>
          </cell>
          <cell r="L98" t="str">
            <v>Vērtību orientējošie, kultūras  raidījumi</v>
          </cell>
          <cell r="M98" t="str">
            <v>LTV1</v>
          </cell>
          <cell r="AW98">
            <v>0</v>
          </cell>
          <cell r="BO98">
            <v>1</v>
          </cell>
          <cell r="BQ98">
            <v>0</v>
          </cell>
          <cell r="BS98">
            <v>0</v>
          </cell>
        </row>
        <row r="99">
          <cell r="J99" t="str">
            <v>SP075</v>
          </cell>
          <cell r="K99" t="str">
            <v>Teātra izrāžu ieraksti un saistītais saturs (ieskaitot ZIP)</v>
          </cell>
          <cell r="L99" t="str">
            <v>Vērtību orientējošie, kultūras  raidījumi</v>
          </cell>
          <cell r="M99" t="str">
            <v>LTV1</v>
          </cell>
          <cell r="AW99">
            <v>9.3333333333333339</v>
          </cell>
          <cell r="BQ99">
            <v>40177.11</v>
          </cell>
          <cell r="BS99">
            <v>40177.11</v>
          </cell>
        </row>
        <row r="100">
          <cell r="J100" t="str">
            <v>SP076</v>
          </cell>
          <cell r="K100" t="str">
            <v>Dievkalpojumi</v>
          </cell>
          <cell r="L100" t="str">
            <v>Vērtību orientējošie, kultūras  raidījumi</v>
          </cell>
          <cell r="M100" t="str">
            <v>LTV1</v>
          </cell>
          <cell r="AW100">
            <v>6</v>
          </cell>
          <cell r="BO100">
            <v>6</v>
          </cell>
          <cell r="BP100">
            <v>6</v>
          </cell>
          <cell r="BQ100">
            <v>30104.51</v>
          </cell>
          <cell r="BS100">
            <v>13894.39</v>
          </cell>
        </row>
        <row r="101">
          <cell r="J101" t="str">
            <v>SP077</v>
          </cell>
          <cell r="K101" t="str">
            <v>Dievkalpojums no Aglonas</v>
          </cell>
          <cell r="L101" t="str">
            <v>Vērtību orientējošie, kultūras  raidījumi</v>
          </cell>
          <cell r="M101" t="str">
            <v>LTV1</v>
          </cell>
          <cell r="AW101">
            <v>0</v>
          </cell>
          <cell r="BQ101">
            <v>0</v>
          </cell>
          <cell r="BS101">
            <v>24368.34</v>
          </cell>
        </row>
        <row r="102">
          <cell r="J102" t="str">
            <v>SP078</v>
          </cell>
          <cell r="K102" t="str">
            <v>Reliģiskās tematikas raidījums</v>
          </cell>
          <cell r="L102" t="str">
            <v>Vērtību orientējošie, kultūras  raidījumi</v>
          </cell>
          <cell r="M102" t="str">
            <v>LTV1</v>
          </cell>
          <cell r="AW102">
            <v>2.8</v>
          </cell>
          <cell r="BO102">
            <v>4</v>
          </cell>
          <cell r="BP102">
            <v>4</v>
          </cell>
          <cell r="BQ102">
            <v>79272.2</v>
          </cell>
          <cell r="BS102">
            <v>18293.580000000002</v>
          </cell>
        </row>
        <row r="103">
          <cell r="J103" t="str">
            <v>SP079</v>
          </cell>
          <cell r="K103" t="str">
            <v>Dievkalpojumi no Vatikāna</v>
          </cell>
          <cell r="L103" t="str">
            <v>Vērtību orientējošie, kultūras  raidījumi</v>
          </cell>
          <cell r="M103" t="str">
            <v>LTV1</v>
          </cell>
          <cell r="AW103">
            <v>0</v>
          </cell>
          <cell r="BP103">
            <v>1</v>
          </cell>
          <cell r="BQ103">
            <v>4709.8</v>
          </cell>
          <cell r="BS103">
            <v>0</v>
          </cell>
        </row>
        <row r="104">
          <cell r="J104" t="str">
            <v>SP080</v>
          </cell>
          <cell r="K104" t="str">
            <v>Reliģisko konfesiju vadītāju apsveikumi</v>
          </cell>
          <cell r="L104" t="str">
            <v>Vērtību orientējošie, kultūras  raidījumi</v>
          </cell>
          <cell r="M104" t="str">
            <v>LTV1</v>
          </cell>
          <cell r="AW104">
            <v>0</v>
          </cell>
          <cell r="BP104">
            <v>1</v>
          </cell>
          <cell r="BQ104">
            <v>1465.8</v>
          </cell>
          <cell r="BS104">
            <v>0</v>
          </cell>
        </row>
        <row r="105">
          <cell r="J105" t="str">
            <v>SP203</v>
          </cell>
          <cell r="K105" t="str">
            <v>Digitālais oriģinālsaturs (ieskaitot kultūras diskusijas FB)</v>
          </cell>
          <cell r="L105" t="str">
            <v>Vērtību orientējošie, kultūras  raidījumi</v>
          </cell>
          <cell r="M105" t="str">
            <v>Citi kanāli</v>
          </cell>
          <cell r="BQ105">
            <v>18237.509999999998</v>
          </cell>
          <cell r="BS105">
            <v>23259.15</v>
          </cell>
        </row>
        <row r="106">
          <cell r="J106" t="str">
            <v>SP211</v>
          </cell>
          <cell r="K106" t="str">
            <v>Latvijas kanons Ukrainai</v>
          </cell>
          <cell r="L106" t="str">
            <v>Vērtību orientējošie, kultūras  raidījumi</v>
          </cell>
          <cell r="M106" t="str">
            <v>Citi kanāli</v>
          </cell>
          <cell r="AW106">
            <v>0</v>
          </cell>
          <cell r="BQ106">
            <v>0</v>
          </cell>
          <cell r="BS106">
            <v>-84.09</v>
          </cell>
        </row>
        <row r="107">
          <cell r="K107" t="str">
            <v>Ziņas</v>
          </cell>
          <cell r="AW107">
            <v>261.94999999999993</v>
          </cell>
          <cell r="BQ107">
            <v>1123897.1299999999</v>
          </cell>
          <cell r="BS107">
            <v>1158657.8999999999</v>
          </cell>
        </row>
        <row r="108">
          <cell r="J108" t="str">
            <v>SP081</v>
          </cell>
          <cell r="K108" t="str">
            <v>Dienas ziņas</v>
          </cell>
          <cell r="L108" t="str">
            <v>Ziņas</v>
          </cell>
          <cell r="M108" t="str">
            <v>LTV1</v>
          </cell>
          <cell r="AW108">
            <v>49.06666666666667</v>
          </cell>
          <cell r="BK108">
            <v>31</v>
          </cell>
          <cell r="BO108">
            <v>30</v>
          </cell>
          <cell r="BP108">
            <v>31</v>
          </cell>
          <cell r="BQ108">
            <v>80546.960000000006</v>
          </cell>
          <cell r="BS108">
            <v>81432.09</v>
          </cell>
        </row>
        <row r="109">
          <cell r="J109" t="str">
            <v>SP082</v>
          </cell>
          <cell r="K109" t="str">
            <v>Laika ziņas. Dienas ziņas</v>
          </cell>
          <cell r="L109" t="str">
            <v>Ziņas</v>
          </cell>
          <cell r="M109" t="str">
            <v>LTV1</v>
          </cell>
          <cell r="AW109">
            <v>21.466666666666665</v>
          </cell>
          <cell r="BK109">
            <v>31</v>
          </cell>
          <cell r="BO109">
            <v>30</v>
          </cell>
          <cell r="BP109">
            <v>31</v>
          </cell>
          <cell r="BQ109">
            <v>0</v>
          </cell>
          <cell r="BS109">
            <v>0</v>
          </cell>
        </row>
        <row r="110">
          <cell r="J110" t="str">
            <v>SP083</v>
          </cell>
          <cell r="K110" t="str">
            <v>Laika ziņas. Panorāma</v>
          </cell>
          <cell r="L110" t="str">
            <v>Ziņas</v>
          </cell>
          <cell r="M110" t="str">
            <v>LTV1</v>
          </cell>
          <cell r="AW110">
            <v>0</v>
          </cell>
          <cell r="BK110">
            <v>31</v>
          </cell>
          <cell r="BO110">
            <v>30</v>
          </cell>
          <cell r="BP110">
            <v>31</v>
          </cell>
          <cell r="BQ110">
            <v>18672.82</v>
          </cell>
          <cell r="BS110">
            <v>18878.02</v>
          </cell>
        </row>
        <row r="111">
          <cell r="J111" t="str">
            <v>SP084</v>
          </cell>
          <cell r="K111" t="str">
            <v>Nakts ziņas</v>
          </cell>
          <cell r="L111" t="str">
            <v>Ziņas</v>
          </cell>
          <cell r="M111" t="str">
            <v>LTV1</v>
          </cell>
          <cell r="AW111">
            <v>11</v>
          </cell>
          <cell r="BK111">
            <v>23</v>
          </cell>
          <cell r="BO111">
            <v>20</v>
          </cell>
          <cell r="BP111">
            <v>18</v>
          </cell>
          <cell r="BQ111">
            <v>6370.04</v>
          </cell>
          <cell r="BS111">
            <v>6673.37</v>
          </cell>
        </row>
        <row r="112">
          <cell r="J112" t="str">
            <v>SP085</v>
          </cell>
          <cell r="K112" t="str">
            <v>Panorāma</v>
          </cell>
          <cell r="L112" t="str">
            <v>Ziņas</v>
          </cell>
          <cell r="M112" t="str">
            <v>LTV1</v>
          </cell>
          <cell r="AW112">
            <v>53.666666666666664</v>
          </cell>
          <cell r="BK112">
            <v>31</v>
          </cell>
          <cell r="BO112">
            <v>30</v>
          </cell>
          <cell r="BP112">
            <v>31</v>
          </cell>
          <cell r="BQ112">
            <v>523860.68</v>
          </cell>
          <cell r="BS112">
            <v>529617.39</v>
          </cell>
        </row>
        <row r="113">
          <cell r="J113" t="str">
            <v>SP086</v>
          </cell>
          <cell r="K113" t="str">
            <v>Rīta panorāma</v>
          </cell>
          <cell r="L113" t="str">
            <v>Ziņas</v>
          </cell>
          <cell r="M113" t="str">
            <v>LTV1</v>
          </cell>
          <cell r="AW113">
            <v>121</v>
          </cell>
          <cell r="BK113">
            <v>23</v>
          </cell>
          <cell r="BO113">
            <v>21</v>
          </cell>
          <cell r="BP113">
            <v>18</v>
          </cell>
          <cell r="BQ113">
            <v>183399.3</v>
          </cell>
          <cell r="BS113">
            <v>192132.59</v>
          </cell>
        </row>
        <row r="114">
          <cell r="J114" t="str">
            <v>SP087</v>
          </cell>
          <cell r="K114" t="str">
            <v>Ziņu speciālizlaidumi - neplānotie</v>
          </cell>
          <cell r="L114" t="str">
            <v>Ziņas</v>
          </cell>
          <cell r="M114" t="str">
            <v>LTV1</v>
          </cell>
          <cell r="AW114">
            <v>0.46666666666666667</v>
          </cell>
          <cell r="BO114">
            <v>1</v>
          </cell>
          <cell r="BQ114">
            <v>7728.84</v>
          </cell>
          <cell r="BS114">
            <v>7728.84</v>
          </cell>
        </row>
        <row r="115">
          <cell r="J115" t="str">
            <v>SP088</v>
          </cell>
          <cell r="K115" t="str">
            <v>Reģionālie sižeti</v>
          </cell>
          <cell r="L115" t="str">
            <v>Ziņas</v>
          </cell>
          <cell r="M115" t="str">
            <v>LTV1</v>
          </cell>
          <cell r="AW115">
            <v>0</v>
          </cell>
          <cell r="BQ115">
            <v>61062.51</v>
          </cell>
          <cell r="BS115">
            <v>72393.990000000005</v>
          </cell>
        </row>
        <row r="116">
          <cell r="J116" t="str">
            <v>SP089</v>
          </cell>
          <cell r="K116" t="str">
            <v>Studija 3</v>
          </cell>
          <cell r="L116" t="str">
            <v>Ziņas</v>
          </cell>
          <cell r="M116" t="str">
            <v>LTV1</v>
          </cell>
          <cell r="AW116">
            <v>0</v>
          </cell>
          <cell r="BQ116">
            <v>0</v>
          </cell>
          <cell r="BS116">
            <v>0</v>
          </cell>
        </row>
        <row r="117">
          <cell r="J117" t="str">
            <v>SP090</v>
          </cell>
          <cell r="K117" t="str">
            <v>Studija 2</v>
          </cell>
          <cell r="L117" t="str">
            <v>Ziņas</v>
          </cell>
          <cell r="M117" t="str">
            <v>LTV1</v>
          </cell>
          <cell r="AW117">
            <v>0</v>
          </cell>
          <cell r="BQ117">
            <v>141249.99</v>
          </cell>
          <cell r="BS117">
            <v>139901.34</v>
          </cell>
        </row>
        <row r="118">
          <cell r="J118" t="str">
            <v>SP091</v>
          </cell>
          <cell r="K118" t="str">
            <v>Laika ziņas (krievu val.)</v>
          </cell>
          <cell r="L118" t="str">
            <v>Ziņas</v>
          </cell>
          <cell r="M118" t="str">
            <v>LTV7</v>
          </cell>
          <cell r="AW118">
            <v>1.65</v>
          </cell>
          <cell r="BK118">
            <v>23</v>
          </cell>
          <cell r="BO118">
            <v>20</v>
          </cell>
          <cell r="BP118">
            <v>18</v>
          </cell>
          <cell r="BQ118">
            <v>0</v>
          </cell>
          <cell r="BS118">
            <v>0</v>
          </cell>
        </row>
        <row r="119">
          <cell r="J119" t="str">
            <v>SP092</v>
          </cell>
          <cell r="K119" t="str">
            <v>Sporta ziņas ( krievu val.)</v>
          </cell>
          <cell r="L119" t="str">
            <v>Ziņas</v>
          </cell>
          <cell r="M119" t="str">
            <v>LTV7</v>
          </cell>
          <cell r="AW119">
            <v>3.3</v>
          </cell>
          <cell r="BK119">
            <v>23</v>
          </cell>
          <cell r="BO119">
            <v>20</v>
          </cell>
          <cell r="BP119">
            <v>18</v>
          </cell>
          <cell r="BQ119">
            <v>0</v>
          </cell>
          <cell r="BS119">
            <v>0</v>
          </cell>
        </row>
        <row r="120">
          <cell r="J120" t="str">
            <v>SP093</v>
          </cell>
          <cell r="K120" t="str">
            <v>Ukraina</v>
          </cell>
          <cell r="L120" t="str">
            <v>Ziņas</v>
          </cell>
          <cell r="M120" t="str">
            <v>LTV7</v>
          </cell>
          <cell r="AW120">
            <v>0</v>
          </cell>
          <cell r="BK120">
            <v>23</v>
          </cell>
          <cell r="BO120">
            <v>20</v>
          </cell>
          <cell r="BP120">
            <v>18</v>
          </cell>
          <cell r="BQ120">
            <v>42346.03</v>
          </cell>
          <cell r="BS120">
            <v>44362.51</v>
          </cell>
        </row>
        <row r="121">
          <cell r="J121" t="str">
            <v>SP094</v>
          </cell>
          <cell r="K121" t="str">
            <v>Ziņu speciālizlaidumi  - neplānotie (krievu val.)</v>
          </cell>
          <cell r="L121" t="str">
            <v>Ziņas</v>
          </cell>
          <cell r="M121" t="str">
            <v>LTV7</v>
          </cell>
          <cell r="AW121">
            <v>0.33333333333333331</v>
          </cell>
          <cell r="BO121">
            <v>1</v>
          </cell>
          <cell r="BQ121">
            <v>0</v>
          </cell>
          <cell r="BS121">
            <v>0</v>
          </cell>
        </row>
        <row r="122">
          <cell r="J122" t="str">
            <v>SP101</v>
          </cell>
          <cell r="K122" t="str">
            <v>Krievu satura redakcijas administratīvais budžets</v>
          </cell>
          <cell r="L122" t="str">
            <v>Ziņas</v>
          </cell>
          <cell r="M122" t="str">
            <v>Citi kanāli</v>
          </cell>
          <cell r="BQ122">
            <v>0</v>
          </cell>
          <cell r="BS122">
            <v>0</v>
          </cell>
        </row>
        <row r="123">
          <cell r="J123" t="str">
            <v>SP201</v>
          </cell>
          <cell r="K123" t="str">
            <v>Digitālais oriģinālsaturs</v>
          </cell>
          <cell r="L123" t="str">
            <v>Ziņas</v>
          </cell>
          <cell r="M123" t="str">
            <v>Citi kanāli</v>
          </cell>
          <cell r="BQ123">
            <v>58659.96</v>
          </cell>
          <cell r="BS123">
            <v>65537.759999999995</v>
          </cell>
        </row>
        <row r="124">
          <cell r="K124" t="str">
            <v>Raidījumu pieejamības nodrošināšana</v>
          </cell>
          <cell r="BQ124">
            <v>54500</v>
          </cell>
          <cell r="BS124">
            <v>50857.2</v>
          </cell>
        </row>
        <row r="125">
          <cell r="J125" t="str">
            <v>SP096</v>
          </cell>
          <cell r="K125" t="str">
            <v>Surdotulkojumiem</v>
          </cell>
          <cell r="L125" t="str">
            <v>Raidījumu pieejamības nodrošināšana³</v>
          </cell>
          <cell r="M125" t="str">
            <v>LTV1/LTV7</v>
          </cell>
          <cell r="BQ125">
            <v>54500</v>
          </cell>
          <cell r="BS125">
            <v>50857.2</v>
          </cell>
        </row>
        <row r="126">
          <cell r="K126" t="str">
            <v>Ekranizējumi</v>
          </cell>
          <cell r="AW126">
            <v>750</v>
          </cell>
          <cell r="BQ126">
            <v>427979.25</v>
          </cell>
          <cell r="BS126">
            <v>336474.96</v>
          </cell>
        </row>
        <row r="127">
          <cell r="J127" t="str">
            <v>SP111</v>
          </cell>
          <cell r="K127" t="str">
            <v>Filmu slejas</v>
          </cell>
          <cell r="L127" t="str">
            <v>Iepirktās filmas, ekranizējumi, raidījumi</v>
          </cell>
          <cell r="M127" t="str">
            <v>LTV1</v>
          </cell>
          <cell r="AW127">
            <v>430</v>
          </cell>
          <cell r="BQ127">
            <v>245822.63</v>
          </cell>
          <cell r="BS127">
            <v>176692.76</v>
          </cell>
        </row>
        <row r="128">
          <cell r="J128" t="str">
            <v>SP112</v>
          </cell>
          <cell r="K128" t="str">
            <v>Filmu slejas</v>
          </cell>
          <cell r="L128" t="str">
            <v>Iepirktās filmas, ekranizējumi, raidījumi</v>
          </cell>
          <cell r="M128" t="str">
            <v>LTV7</v>
          </cell>
          <cell r="AW128">
            <v>320</v>
          </cell>
          <cell r="BQ128">
            <v>182156.62</v>
          </cell>
          <cell r="BS128">
            <v>159782.20000000001</v>
          </cell>
        </row>
        <row r="129">
          <cell r="K129" t="str">
            <v>Pašreklāma, reklāma, rezerve</v>
          </cell>
          <cell r="AW129">
            <v>218.3</v>
          </cell>
          <cell r="BQ129">
            <v>188270.52000000002</v>
          </cell>
          <cell r="BS129">
            <v>238742.08000000002</v>
          </cell>
        </row>
        <row r="130">
          <cell r="K130" t="str">
            <v>Pašreklāma, reklāma, rezerve</v>
          </cell>
          <cell r="L130" t="str">
            <v xml:space="preserve">Pašreklāma </v>
          </cell>
          <cell r="M130" t="str">
            <v>LTV1</v>
          </cell>
          <cell r="AW130">
            <v>100</v>
          </cell>
          <cell r="BQ130">
            <v>86731.36</v>
          </cell>
          <cell r="BS130">
            <v>109982.31</v>
          </cell>
        </row>
        <row r="131">
          <cell r="K131" t="str">
            <v>Pašreklāma, reklāma, rezerve</v>
          </cell>
          <cell r="L131" t="str">
            <v xml:space="preserve">Pašreklāma </v>
          </cell>
          <cell r="M131" t="str">
            <v>LTV7</v>
          </cell>
          <cell r="AW131">
            <v>110</v>
          </cell>
          <cell r="BQ131">
            <v>101539.16</v>
          </cell>
          <cell r="BS131">
            <v>128759.77</v>
          </cell>
        </row>
        <row r="132">
          <cell r="K132" t="str">
            <v xml:space="preserve">Kultūras paziņojumi  </v>
          </cell>
          <cell r="L132" t="str">
            <v xml:space="preserve">Kultūras paziņojumi  </v>
          </cell>
          <cell r="M132" t="str">
            <v>LTV1</v>
          </cell>
          <cell r="AW132">
            <v>0.8</v>
          </cell>
        </row>
        <row r="133">
          <cell r="K133" t="str">
            <v xml:space="preserve">Kultūras paziņojumi  </v>
          </cell>
          <cell r="L133" t="str">
            <v xml:space="preserve">Kultūras paziņojumi  </v>
          </cell>
          <cell r="M133" t="str">
            <v>LTV7</v>
          </cell>
          <cell r="AW133">
            <v>0</v>
          </cell>
        </row>
        <row r="134">
          <cell r="K134" t="str">
            <v>Sociālie un citi paziņojumi</v>
          </cell>
          <cell r="L134" t="str">
            <v>Sociālie un citi paziņojumi</v>
          </cell>
          <cell r="M134" t="str">
            <v>LTV1</v>
          </cell>
          <cell r="AW134">
            <v>3.85</v>
          </cell>
        </row>
        <row r="135">
          <cell r="K135" t="str">
            <v>Sociālie un citi paziņojumi</v>
          </cell>
          <cell r="L135" t="str">
            <v>Sociālie un citi paziņojumi</v>
          </cell>
          <cell r="M135" t="str">
            <v>LTV7</v>
          </cell>
          <cell r="AW135">
            <v>3.65</v>
          </cell>
        </row>
        <row r="136">
          <cell r="K136" t="str">
            <v>KOPĀ</v>
          </cell>
          <cell r="AW136">
            <v>1755.5499999999997</v>
          </cell>
          <cell r="BQ136">
            <v>3859391.03</v>
          </cell>
          <cell r="BS136">
            <v>3257312.39</v>
          </cell>
        </row>
        <row r="138">
          <cell r="K138" t="str">
            <v>Atkārtojumi</v>
          </cell>
          <cell r="AW138">
            <v>2424.5166666666664</v>
          </cell>
          <cell r="BQ138">
            <v>146713.9</v>
          </cell>
          <cell r="BS138">
            <v>154402.64000000001</v>
          </cell>
        </row>
        <row r="139">
          <cell r="K139" t="str">
            <v>Atkārtojumi</v>
          </cell>
          <cell r="L139" t="str">
            <v>Atkārtojumi 4</v>
          </cell>
          <cell r="M139" t="str">
            <v>LTV1</v>
          </cell>
          <cell r="AW139">
            <v>1135.4833333333333</v>
          </cell>
          <cell r="BQ139">
            <v>63853.36</v>
          </cell>
          <cell r="BS139">
            <v>67199.69</v>
          </cell>
        </row>
        <row r="140">
          <cell r="K140" t="str">
            <v>Atkārtojumi</v>
          </cell>
          <cell r="L140" t="str">
            <v>Atkārtojumi 4</v>
          </cell>
          <cell r="M140" t="str">
            <v>LTV7</v>
          </cell>
          <cell r="AW140">
            <v>1289.0333333333333</v>
          </cell>
          <cell r="BQ140">
            <v>82860.539999999994</v>
          </cell>
          <cell r="BS140">
            <v>87202.95</v>
          </cell>
        </row>
        <row r="141">
          <cell r="K141" t="str">
            <v>KOPĀ, oriģinālsaturs bez ekranizējumiem</v>
          </cell>
          <cell r="AW141">
            <v>521.1</v>
          </cell>
          <cell r="BQ141">
            <v>4006104.9299999997</v>
          </cell>
          <cell r="BS141">
            <v>3411715.0300000003</v>
          </cell>
        </row>
        <row r="142">
          <cell r="M142" t="str">
            <v>LTV1</v>
          </cell>
          <cell r="AW142">
            <v>521.1</v>
          </cell>
        </row>
        <row r="143">
          <cell r="M143" t="str">
            <v>LTV7</v>
          </cell>
        </row>
        <row r="144">
          <cell r="K144" t="str">
            <v>RAIDAPJOMS, H</v>
          </cell>
          <cell r="AW144">
            <v>3913.916666666667</v>
          </cell>
        </row>
        <row r="145">
          <cell r="L145" t="str">
            <v>Raidapjoms</v>
          </cell>
          <cell r="M145" t="str">
            <v>LTV1</v>
          </cell>
          <cell r="AW145">
            <v>2191.2333333333336</v>
          </cell>
        </row>
        <row r="146">
          <cell r="L146" t="str">
            <v>Raidapjoms</v>
          </cell>
          <cell r="M146" t="str">
            <v>LTV7</v>
          </cell>
          <cell r="AW146">
            <v>1722.6833333333334</v>
          </cell>
        </row>
        <row r="147">
          <cell r="K147" t="str">
            <v>Nepieciešamās raidapjoma h pēc atļaujas</v>
          </cell>
          <cell r="L147" t="str">
            <v>Raidapjoms</v>
          </cell>
          <cell r="M147" t="str">
            <v>LTV1</v>
          </cell>
          <cell r="AW147">
            <v>2208</v>
          </cell>
          <cell r="BK147">
            <v>744</v>
          </cell>
          <cell r="BO147">
            <v>720</v>
          </cell>
          <cell r="BP147">
            <v>744</v>
          </cell>
        </row>
        <row r="148">
          <cell r="K148" t="str">
            <v>Nepieciešamās raidapjoma h pēc atļaujas</v>
          </cell>
          <cell r="L148" t="str">
            <v>Raidapjoms</v>
          </cell>
          <cell r="M148" t="str">
            <v>LTV7</v>
          </cell>
          <cell r="AW148">
            <v>2208</v>
          </cell>
          <cell r="BK148">
            <v>744</v>
          </cell>
          <cell r="BO148">
            <v>720</v>
          </cell>
          <cell r="BP148">
            <v>744</v>
          </cell>
        </row>
        <row r="153">
          <cell r="BS153">
            <v>4230</v>
          </cell>
        </row>
        <row r="154">
          <cell r="BS154">
            <v>60784.65</v>
          </cell>
        </row>
        <row r="155">
          <cell r="BS155">
            <v>12500</v>
          </cell>
        </row>
        <row r="156">
          <cell r="BS156">
            <v>232154.16999999998</v>
          </cell>
        </row>
      </sheetData>
      <sheetData sheetId="7"/>
      <sheetData sheetId="8">
        <row r="64">
          <cell r="AK64">
            <v>0.56640218808093434</v>
          </cell>
        </row>
        <row r="67">
          <cell r="AJ67">
            <v>0.87171519285198207</v>
          </cell>
          <cell r="AK67">
            <v>0.62447825864528617</v>
          </cell>
        </row>
        <row r="73">
          <cell r="AK73">
            <v>0.62081490116279237</v>
          </cell>
        </row>
      </sheetData>
      <sheetData sheetId="9"/>
      <sheetData sheetId="10"/>
      <sheetData sheetId="11">
        <row r="3">
          <cell r="AM3">
            <v>66126.239987895897</v>
          </cell>
          <cell r="AO3">
            <v>66217.263524551963</v>
          </cell>
          <cell r="AQ3">
            <v>69819.06244270163</v>
          </cell>
        </row>
        <row r="4">
          <cell r="AM4">
            <v>86546.220012104095</v>
          </cell>
          <cell r="AO4">
            <v>81326.02647544803</v>
          </cell>
          <cell r="AQ4">
            <v>77544.867557298334</v>
          </cell>
        </row>
        <row r="12">
          <cell r="AM12">
            <v>178913.06322878163</v>
          </cell>
          <cell r="AO12">
            <v>222021.68114103048</v>
          </cell>
          <cell r="AQ12">
            <v>213067.83719127753</v>
          </cell>
        </row>
        <row r="13">
          <cell r="AM13">
            <v>298431.90677121823</v>
          </cell>
          <cell r="AO13">
            <v>187620.40885896972</v>
          </cell>
          <cell r="AQ13">
            <v>136643.58280872242</v>
          </cell>
        </row>
        <row r="40">
          <cell r="Z40">
            <v>874674.4</v>
          </cell>
          <cell r="AA40">
            <v>872578.91</v>
          </cell>
          <cell r="AB40">
            <v>1027575.5900000004</v>
          </cell>
        </row>
        <row r="41">
          <cell r="Z41">
            <v>0</v>
          </cell>
          <cell r="AA41">
            <v>0</v>
          </cell>
          <cell r="AB41">
            <v>0</v>
          </cell>
        </row>
        <row r="43">
          <cell r="Z43">
            <v>417102.00000000029</v>
          </cell>
          <cell r="AA43">
            <v>510927.4700000002</v>
          </cell>
          <cell r="AB43">
            <v>219977.99999999994</v>
          </cell>
        </row>
        <row r="45">
          <cell r="Z45">
            <v>175648.3300000001</v>
          </cell>
          <cell r="AA45">
            <v>186684.14999999997</v>
          </cell>
          <cell r="AB45">
            <v>108661.37999999995</v>
          </cell>
        </row>
        <row r="46">
          <cell r="Z46">
            <v>0</v>
          </cell>
          <cell r="AA46">
            <v>0</v>
          </cell>
          <cell r="AB46">
            <v>0</v>
          </cell>
        </row>
        <row r="48">
          <cell r="Z48">
            <v>411407.74000000034</v>
          </cell>
          <cell r="AA48">
            <v>455277.49999999983</v>
          </cell>
          <cell r="AB48">
            <v>340902.17999999993</v>
          </cell>
        </row>
        <row r="50">
          <cell r="Z50">
            <v>223043.73999999996</v>
          </cell>
          <cell r="AA50">
            <v>272330.60000000003</v>
          </cell>
          <cell r="AB50">
            <v>136485.6</v>
          </cell>
        </row>
        <row r="51">
          <cell r="Z51">
            <v>0</v>
          </cell>
          <cell r="AA51">
            <v>0</v>
          </cell>
          <cell r="AB51">
            <v>0</v>
          </cell>
        </row>
        <row r="53">
          <cell r="Z53">
            <v>75126.389999999985</v>
          </cell>
          <cell r="AA53">
            <v>122571.15999999999</v>
          </cell>
          <cell r="AB53">
            <v>26295.729999999996</v>
          </cell>
        </row>
        <row r="54">
          <cell r="Z54">
            <v>5448.36</v>
          </cell>
          <cell r="AA54">
            <v>3.87</v>
          </cell>
          <cell r="AB54">
            <v>0</v>
          </cell>
        </row>
        <row r="56">
          <cell r="Z56">
            <v>153603.86000000007</v>
          </cell>
          <cell r="AA56">
            <v>163661.17000000001</v>
          </cell>
          <cell r="AB56">
            <v>211537.53000000006</v>
          </cell>
        </row>
        <row r="57">
          <cell r="Z57">
            <v>625433.61</v>
          </cell>
          <cell r="AA57">
            <v>581719.6100000001</v>
          </cell>
          <cell r="AB57">
            <v>300672.16000000003</v>
          </cell>
        </row>
        <row r="59">
          <cell r="Z59">
            <v>365333.39000000031</v>
          </cell>
          <cell r="AA59">
            <v>261227.01999999996</v>
          </cell>
          <cell r="AB59">
            <v>89589.739999999962</v>
          </cell>
        </row>
        <row r="61">
          <cell r="Z61">
            <v>61193.29</v>
          </cell>
          <cell r="AA61">
            <v>35834.520000000004</v>
          </cell>
          <cell r="AB61">
            <v>19207.11</v>
          </cell>
        </row>
        <row r="65">
          <cell r="Z65">
            <v>61098.279999999992</v>
          </cell>
          <cell r="AA65">
            <v>55187.33</v>
          </cell>
          <cell r="AB65">
            <v>48881.48</v>
          </cell>
        </row>
        <row r="66">
          <cell r="Z66">
            <v>72575.580000000075</v>
          </cell>
          <cell r="AA66">
            <v>86321.859999999913</v>
          </cell>
          <cell r="AB66">
            <v>174315.26</v>
          </cell>
        </row>
        <row r="67">
          <cell r="Z67">
            <v>57610.649999999994</v>
          </cell>
          <cell r="AA67">
            <v>50944.509999999995</v>
          </cell>
          <cell r="AB67">
            <v>47486.76</v>
          </cell>
        </row>
        <row r="69">
          <cell r="Z69">
            <v>4173.33</v>
          </cell>
          <cell r="AA69">
            <v>4088.7299999999996</v>
          </cell>
          <cell r="AB69">
            <v>4291.8</v>
          </cell>
        </row>
        <row r="70">
          <cell r="Z70">
            <v>65343.280000000006</v>
          </cell>
          <cell r="AA70">
            <v>62610.76</v>
          </cell>
          <cell r="AB70">
            <v>61855</v>
          </cell>
        </row>
        <row r="71">
          <cell r="Z71">
            <v>13212.54</v>
          </cell>
          <cell r="AA71">
            <v>11457.550000000003</v>
          </cell>
          <cell r="AB71">
            <v>13544.209999999997</v>
          </cell>
        </row>
        <row r="72">
          <cell r="Z72">
            <v>146278.01</v>
          </cell>
          <cell r="AA72">
            <v>145092.30999999994</v>
          </cell>
          <cell r="AB72">
            <v>213170.11000000002</v>
          </cell>
        </row>
        <row r="73">
          <cell r="Z73">
            <v>367548.74</v>
          </cell>
          <cell r="AA73">
            <v>359182.1999999999</v>
          </cell>
        </row>
        <row r="74">
          <cell r="Z74">
            <v>359619.04000000004</v>
          </cell>
          <cell r="AA74">
            <v>381575.3499999998</v>
          </cell>
        </row>
        <row r="75">
          <cell r="Z75">
            <v>21246.359999999997</v>
          </cell>
          <cell r="AA75">
            <v>25035.99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28">
          <cell r="CH28">
            <v>57633.830000000024</v>
          </cell>
        </row>
        <row r="31">
          <cell r="CH31">
            <v>5961.1900000000005</v>
          </cell>
        </row>
        <row r="34">
          <cell r="CH34">
            <v>400</v>
          </cell>
        </row>
      </sheetData>
      <sheetData sheetId="19"/>
      <sheetData sheetId="20"/>
      <sheetData sheetId="21">
        <row r="5">
          <cell r="Z5">
            <v>85349.35</v>
          </cell>
          <cell r="AA5">
            <v>2104180.2199999997</v>
          </cell>
        </row>
        <row r="6">
          <cell r="Y6">
            <v>33955.47</v>
          </cell>
        </row>
        <row r="7">
          <cell r="Y7">
            <v>6865.87</v>
          </cell>
        </row>
        <row r="8">
          <cell r="Y8">
            <v>464924.5</v>
          </cell>
        </row>
        <row r="14">
          <cell r="Z14">
            <v>35601.839999999997</v>
          </cell>
          <cell r="AA14">
            <v>2126636.3600000003</v>
          </cell>
        </row>
        <row r="15">
          <cell r="Y15">
            <v>32106.720000000001</v>
          </cell>
        </row>
        <row r="16">
          <cell r="Y16">
            <v>5875.42</v>
          </cell>
        </row>
        <row r="17">
          <cell r="Y17">
            <v>467101.09</v>
          </cell>
        </row>
        <row r="23">
          <cell r="O23">
            <v>87404.85</v>
          </cell>
          <cell r="P23">
            <v>3114083.7299999995</v>
          </cell>
          <cell r="Z23">
            <v>130825.53</v>
          </cell>
          <cell r="AA23">
            <v>3090103.02</v>
          </cell>
        </row>
        <row r="24">
          <cell r="N24">
            <v>58835.8</v>
          </cell>
          <cell r="Y24">
            <v>61246</v>
          </cell>
        </row>
        <row r="25">
          <cell r="N25">
            <v>12099.23</v>
          </cell>
          <cell r="Y25">
            <v>13410.86</v>
          </cell>
        </row>
        <row r="26">
          <cell r="N26">
            <v>1007323.12</v>
          </cell>
          <cell r="Y26">
            <v>1033462.83</v>
          </cell>
        </row>
      </sheetData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elikums nr. 1."/>
    </sheetNames>
    <sheetDataSet>
      <sheetData sheetId="0">
        <row r="14">
          <cell r="EY14">
            <v>0.99604207360179486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9DCC-1B91-46C6-988E-10688B03EA2E}">
  <sheetPr codeName="Sheet8">
    <tabColor rgb="FF7030A0"/>
    <pageSetUpPr fitToPage="1"/>
  </sheetPr>
  <dimension ref="A1:GW152"/>
  <sheetViews>
    <sheetView tabSelected="1" zoomScale="85" zoomScaleNormal="85" workbookViewId="0">
      <pane xSplit="2" ySplit="12" topLeftCell="EO43" activePane="bottomRight" state="frozen"/>
      <selection pane="topRight" activeCell="F1" sqref="F1"/>
      <selection pane="bottomLeft" activeCell="A13" sqref="A13"/>
      <selection pane="bottomRight" activeCell="EX73" sqref="EX73"/>
    </sheetView>
  </sheetViews>
  <sheetFormatPr defaultColWidth="8.85546875" defaultRowHeight="12.75" outlineLevelCol="5"/>
  <cols>
    <col min="1" max="1" width="5.5703125" style="2" bestFit="1" customWidth="1"/>
    <col min="2" max="2" width="29.28515625" style="1" customWidth="1"/>
    <col min="3" max="3" width="10.140625" style="1" customWidth="1" outlineLevel="1"/>
    <col min="4" max="4" width="9.42578125" style="1" customWidth="1" outlineLevel="1"/>
    <col min="5" max="6" width="7" style="1" customWidth="1" outlineLevel="1"/>
    <col min="7" max="7" width="12" style="1" customWidth="1" outlineLevel="2"/>
    <col min="8" max="8" width="9" style="1" customWidth="1" outlineLevel="2"/>
    <col min="9" max="9" width="12" style="1" customWidth="1" outlineLevel="2"/>
    <col min="10" max="12" width="11.28515625" style="1" customWidth="1" outlineLevel="2"/>
    <col min="13" max="13" width="10.28515625" style="1" customWidth="1" outlineLevel="2"/>
    <col min="14" max="14" width="9" style="1" customWidth="1" outlineLevel="2"/>
    <col min="15" max="15" width="12.28515625" style="1" customWidth="1" outlineLevel="2"/>
    <col min="16" max="16" width="11.28515625" style="1" customWidth="1" outlineLevel="2"/>
    <col min="17" max="17" width="7.140625" style="1" customWidth="1" outlineLevel="2"/>
    <col min="18" max="18" width="7.7109375" style="1" customWidth="1" outlineLevel="2"/>
    <col min="19" max="19" width="8.42578125" style="1" customWidth="1" outlineLevel="2"/>
    <col min="20" max="20" width="9.7109375" style="1" customWidth="1" outlineLevel="2"/>
    <col min="21" max="21" width="9.28515625" style="1" customWidth="1" outlineLevel="2"/>
    <col min="22" max="22" width="9" style="1" customWidth="1" outlineLevel="2"/>
    <col min="23" max="23" width="9.85546875" style="1" customWidth="1" outlineLevel="1"/>
    <col min="24" max="24" width="10" style="1" customWidth="1" outlineLevel="1"/>
    <col min="25" max="26" width="12.5703125" style="1" customWidth="1" outlineLevel="1"/>
    <col min="27" max="27" width="14.140625" style="1" customWidth="1" outlineLevel="1"/>
    <col min="28" max="28" width="13.85546875" style="1" customWidth="1" outlineLevel="1"/>
    <col min="29" max="29" width="12.42578125" style="1" customWidth="1" outlineLevel="1"/>
    <col min="30" max="32" width="13.85546875" style="1" customWidth="1" outlineLevel="1"/>
    <col min="33" max="36" width="12.42578125" style="1" customWidth="1" outlineLevel="1"/>
    <col min="37" max="38" width="8.7109375" style="1" customWidth="1" outlineLevel="1"/>
    <col min="39" max="39" width="7.85546875" style="3" customWidth="1" outlineLevel="1"/>
    <col min="40" max="42" width="8.28515625" style="3" customWidth="1" outlineLevel="1"/>
    <col min="43" max="43" width="9.28515625" style="3" customWidth="1" outlineLevel="5"/>
    <col min="44" max="44" width="11.28515625" style="3" customWidth="1" outlineLevel="5"/>
    <col min="45" max="45" width="12.28515625" style="3" customWidth="1" outlineLevel="5"/>
    <col min="46" max="50" width="10.28515625" style="3" customWidth="1" outlineLevel="5"/>
    <col min="51" max="51" width="11.28515625" style="3" customWidth="1" outlineLevel="5"/>
    <col min="52" max="52" width="10.28515625" style="3" customWidth="1" outlineLevel="5"/>
    <col min="53" max="57" width="8.28515625" style="3" customWidth="1" outlineLevel="5"/>
    <col min="58" max="58" width="9.5703125" style="3" customWidth="1" outlineLevel="5"/>
    <col min="59" max="59" width="9.28515625" style="3" customWidth="1" outlineLevel="1"/>
    <col min="60" max="60" width="12" style="3" customWidth="1" outlineLevel="1"/>
    <col min="61" max="61" width="13.140625" style="3" customWidth="1" outlineLevel="1"/>
    <col min="62" max="65" width="11.28515625" style="3" customWidth="1" outlineLevel="1"/>
    <col min="66" max="68" width="12" style="3" customWidth="1" outlineLevel="1"/>
    <col min="69" max="74" width="10.5703125" style="3" customWidth="1" outlineLevel="1"/>
    <col min="75" max="75" width="7" style="3" customWidth="1" outlineLevel="1" collapsed="1"/>
    <col min="76" max="78" width="8.28515625" style="3" customWidth="1" outlineLevel="1"/>
    <col min="79" max="79" width="11.140625" style="3" customWidth="1" outlineLevel="5"/>
    <col min="80" max="80" width="9.28515625" style="3" customWidth="1" outlineLevel="5"/>
    <col min="81" max="81" width="12.28515625" style="3" customWidth="1" outlineLevel="5"/>
    <col min="82" max="82" width="9.28515625" style="3" customWidth="1" outlineLevel="5"/>
    <col min="83" max="83" width="11.28515625" style="3" customWidth="1" outlineLevel="5"/>
    <col min="84" max="84" width="9.28515625" style="3" customWidth="1" outlineLevel="5"/>
    <col min="85" max="85" width="10.85546875" style="3" customWidth="1" outlineLevel="5"/>
    <col min="86" max="88" width="9.28515625" style="3" customWidth="1" outlineLevel="5"/>
    <col min="89" max="94" width="8.28515625" style="3" customWidth="1" outlineLevel="5"/>
    <col min="95" max="95" width="9.5703125" style="3" customWidth="1" outlineLevel="1"/>
    <col min="96" max="96" width="13.140625" style="3" customWidth="1" outlineLevel="1"/>
    <col min="97" max="97" width="12.28515625" style="3" customWidth="1" outlineLevel="1"/>
    <col min="98" max="98" width="12" style="3" customWidth="1" outlineLevel="1"/>
    <col min="99" max="105" width="11.28515625" style="3" customWidth="1" outlineLevel="1"/>
    <col min="106" max="106" width="11.5703125" style="3" customWidth="1" outlineLevel="1"/>
    <col min="107" max="108" width="11.28515625" style="3" customWidth="1" outlineLevel="1"/>
    <col min="109" max="110" width="8.7109375" style="3" customWidth="1" outlineLevel="1"/>
    <col min="111" max="114" width="8.28515625" style="3" customWidth="1"/>
    <col min="115" max="115" width="11.140625" style="3" customWidth="1" outlineLevel="2"/>
    <col min="116" max="116" width="9" style="3" customWidth="1" outlineLevel="2"/>
    <col min="117" max="117" width="12.28515625" style="3" customWidth="1" outlineLevel="2"/>
    <col min="118" max="118" width="9" style="3" customWidth="1" outlineLevel="2"/>
    <col min="119" max="119" width="9.85546875" style="3" customWidth="1" outlineLevel="2"/>
    <col min="120" max="120" width="9" style="3" customWidth="1" outlineLevel="2"/>
    <col min="121" max="121" width="11.140625" style="3" customWidth="1" outlineLevel="2"/>
    <col min="122" max="122" width="9" style="3" customWidth="1" outlineLevel="2"/>
    <col min="123" max="123" width="11.140625" style="3" customWidth="1" outlineLevel="2"/>
    <col min="124" max="124" width="9" style="3" customWidth="1" outlineLevel="2"/>
    <col min="125" max="130" width="8.28515625" style="3" customWidth="1" outlineLevel="2"/>
    <col min="131" max="132" width="12" style="3" bestFit="1" customWidth="1"/>
    <col min="133" max="133" width="13" style="3" customWidth="1"/>
    <col min="134" max="136" width="11.5703125" style="3" customWidth="1"/>
    <col min="137" max="137" width="13.5703125" style="3" customWidth="1"/>
    <col min="138" max="146" width="11.5703125" style="3" customWidth="1"/>
    <col min="147" max="147" width="10.140625" style="1" customWidth="1"/>
    <col min="148" max="148" width="7.85546875" style="1" customWidth="1"/>
    <col min="149" max="149" width="5.7109375" style="1" customWidth="1"/>
    <col min="150" max="150" width="9.28515625" style="1" customWidth="1"/>
    <col min="151" max="151" width="13.7109375" style="1" customWidth="1" outlineLevel="2"/>
    <col min="152" max="152" width="11.42578125" style="1" customWidth="1" outlineLevel="2"/>
    <col min="153" max="153" width="12" style="1" customWidth="1" outlineLevel="2"/>
    <col min="154" max="156" width="10.5703125" style="1" customWidth="1" outlineLevel="2"/>
    <col min="157" max="157" width="11.28515625" style="1" customWidth="1" outlineLevel="2"/>
    <col min="158" max="158" width="10.28515625" style="1" customWidth="1" outlineLevel="2"/>
    <col min="159" max="159" width="12.28515625" style="1" customWidth="1" outlineLevel="2"/>
    <col min="160" max="160" width="10.28515625" style="1" customWidth="1" outlineLevel="2"/>
    <col min="161" max="161" width="11.28515625" style="1" customWidth="1" outlineLevel="2"/>
    <col min="162" max="162" width="10.28515625" style="1" customWidth="1" outlineLevel="2"/>
    <col min="163" max="163" width="11.28515625" style="1" customWidth="1" outlineLevel="2"/>
    <col min="164" max="165" width="10.28515625" style="1" customWidth="1" outlineLevel="2"/>
    <col min="166" max="166" width="7.140625" style="1" customWidth="1" outlineLevel="2"/>
    <col min="167" max="167" width="12.42578125" style="1" customWidth="1"/>
    <col min="168" max="168" width="12" style="1" bestFit="1" customWidth="1"/>
    <col min="169" max="169" width="13.5703125" style="1" customWidth="1"/>
    <col min="170" max="177" width="14.7109375" style="1" customWidth="1"/>
    <col min="178" max="178" width="13.42578125" style="1" bestFit="1" customWidth="1"/>
    <col min="179" max="180" width="13.42578125" style="1" customWidth="1"/>
    <col min="181" max="182" width="8.7109375" style="1" bestFit="1" customWidth="1"/>
    <col min="183" max="183" width="9.140625" style="1" customWidth="1"/>
    <col min="184" max="184" width="11.85546875" style="1" customWidth="1"/>
    <col min="185" max="185" width="12.140625" style="1" customWidth="1"/>
    <col min="186" max="186" width="8.85546875" style="1" customWidth="1"/>
    <col min="187" max="187" width="12" style="1" customWidth="1"/>
    <col min="188" max="188" width="8.85546875" style="1" customWidth="1"/>
    <col min="189" max="189" width="12" style="1" customWidth="1"/>
    <col min="190" max="190" width="8.85546875" style="1" customWidth="1"/>
    <col min="191" max="191" width="12" style="1" customWidth="1"/>
    <col min="192" max="192" width="8.85546875" style="1" customWidth="1"/>
    <col min="193" max="193" width="12" style="1" customWidth="1"/>
    <col min="194" max="194" width="10" style="1" customWidth="1"/>
    <col min="195" max="196" width="8.85546875" style="1" customWidth="1"/>
    <col min="197" max="197" width="12" style="1" customWidth="1"/>
    <col min="198" max="198" width="10" style="1" customWidth="1"/>
    <col min="199" max="199" width="12.85546875" style="1" customWidth="1"/>
    <col min="200" max="200" width="139.140625" style="1" bestFit="1" customWidth="1"/>
    <col min="201" max="16384" width="8.85546875" style="1"/>
  </cols>
  <sheetData>
    <row r="1" spans="1:205">
      <c r="FO1" s="4"/>
    </row>
    <row r="2" spans="1:205">
      <c r="A2" s="347" t="s">
        <v>0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EU2" s="4"/>
      <c r="EV2" s="4"/>
      <c r="EW2" s="4"/>
    </row>
    <row r="3" spans="1:205" ht="11.25" customHeight="1"/>
    <row r="4" spans="1:205" ht="15.75">
      <c r="B4" s="348" t="s">
        <v>1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348"/>
      <c r="BA4" s="348"/>
      <c r="BB4" s="348"/>
      <c r="BC4" s="348"/>
      <c r="BD4" s="348"/>
      <c r="BE4" s="348"/>
      <c r="BF4" s="348"/>
      <c r="BG4" s="348"/>
      <c r="BH4" s="348"/>
      <c r="BI4" s="348"/>
      <c r="BJ4" s="348"/>
      <c r="BK4" s="348"/>
      <c r="BL4" s="348"/>
      <c r="BM4" s="348"/>
      <c r="BN4" s="348"/>
      <c r="BO4" s="348"/>
      <c r="BP4" s="348"/>
      <c r="BQ4" s="348"/>
      <c r="BR4" s="348"/>
      <c r="BS4" s="348"/>
      <c r="BT4" s="348"/>
      <c r="BU4" s="348"/>
      <c r="BV4" s="348"/>
      <c r="BW4" s="348"/>
      <c r="BX4" s="348"/>
      <c r="BY4" s="348"/>
      <c r="BZ4" s="348"/>
      <c r="CA4" s="348"/>
      <c r="CB4" s="348"/>
      <c r="CC4" s="348"/>
      <c r="CD4" s="348"/>
      <c r="CE4" s="348"/>
      <c r="CF4" s="348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48"/>
      <c r="CX4" s="348"/>
      <c r="CY4" s="348"/>
      <c r="CZ4" s="348"/>
      <c r="DA4" s="348"/>
      <c r="DB4" s="348"/>
      <c r="DC4" s="348"/>
      <c r="DD4" s="348"/>
      <c r="DE4" s="348"/>
      <c r="DF4" s="348"/>
      <c r="DG4" s="348"/>
      <c r="DH4" s="348"/>
      <c r="DI4" s="348"/>
      <c r="DJ4" s="348"/>
      <c r="DK4" s="348"/>
      <c r="DL4" s="348"/>
      <c r="DM4" s="348"/>
      <c r="DN4" s="348"/>
      <c r="DO4" s="348"/>
      <c r="DP4" s="348"/>
      <c r="DQ4" s="348"/>
      <c r="DR4" s="348"/>
      <c r="DS4" s="348"/>
      <c r="DT4" s="348"/>
      <c r="DU4" s="348"/>
      <c r="DV4" s="348"/>
      <c r="DW4" s="348"/>
      <c r="DX4" s="348"/>
      <c r="DY4" s="348"/>
      <c r="DZ4" s="348"/>
      <c r="EA4" s="348"/>
      <c r="EB4" s="348"/>
      <c r="EC4" s="348"/>
      <c r="ED4" s="348"/>
      <c r="EE4" s="348"/>
      <c r="EF4" s="348"/>
      <c r="EG4" s="348"/>
      <c r="EH4" s="348"/>
      <c r="EI4" s="348"/>
      <c r="EJ4" s="348"/>
      <c r="EK4" s="348"/>
      <c r="EL4" s="348"/>
      <c r="EM4" s="348"/>
      <c r="EN4" s="348"/>
      <c r="EO4" s="348"/>
      <c r="EP4" s="348"/>
      <c r="EQ4" s="348"/>
      <c r="ER4" s="348"/>
      <c r="ES4" s="348"/>
      <c r="ET4" s="348"/>
      <c r="EU4" s="348"/>
      <c r="EV4" s="348"/>
      <c r="EW4" s="348"/>
      <c r="EX4" s="348"/>
      <c r="EY4" s="348"/>
      <c r="EZ4" s="348"/>
      <c r="FA4" s="348"/>
      <c r="FB4" s="348"/>
      <c r="FC4" s="348"/>
      <c r="FD4" s="348"/>
      <c r="FE4" s="348"/>
      <c r="FF4" s="348"/>
      <c r="FG4" s="348"/>
      <c r="FH4" s="348"/>
      <c r="FI4" s="348"/>
      <c r="FJ4" s="348"/>
      <c r="FK4" s="348"/>
      <c r="FL4" s="348"/>
      <c r="FM4" s="348"/>
      <c r="FN4" s="348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</row>
    <row r="5" spans="1:205" s="6" customFormat="1" ht="12" thickBo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</row>
    <row r="6" spans="1:205">
      <c r="A6" s="349" t="s">
        <v>2</v>
      </c>
      <c r="B6" s="350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351"/>
      <c r="ER6" s="351"/>
      <c r="ES6" s="351"/>
      <c r="ET6" s="351"/>
      <c r="EU6" s="351"/>
      <c r="EV6" s="351"/>
      <c r="EW6" s="351"/>
      <c r="EX6" s="351"/>
      <c r="EY6" s="351"/>
      <c r="EZ6" s="351"/>
      <c r="FA6" s="351"/>
      <c r="FB6" s="351"/>
      <c r="FC6" s="351"/>
      <c r="FD6" s="351"/>
      <c r="FE6" s="351"/>
      <c r="FF6" s="351"/>
      <c r="FG6" s="351"/>
      <c r="FH6" s="351"/>
      <c r="FI6" s="351"/>
      <c r="FJ6" s="351"/>
      <c r="FK6" s="351"/>
      <c r="FL6" s="351"/>
      <c r="FM6" s="351"/>
      <c r="FN6" s="351"/>
      <c r="FO6" s="351"/>
      <c r="FP6" s="351"/>
      <c r="FQ6" s="351"/>
      <c r="FR6" s="351"/>
      <c r="FS6" s="351"/>
      <c r="FT6" s="351"/>
      <c r="FU6" s="351"/>
      <c r="FV6" s="351"/>
      <c r="FW6" s="10"/>
      <c r="FX6" s="10"/>
      <c r="FY6" s="10"/>
      <c r="FZ6" s="10"/>
    </row>
    <row r="7" spans="1:205" s="11" customFormat="1" ht="25.15" customHeight="1">
      <c r="A7" s="352" t="s">
        <v>3</v>
      </c>
      <c r="B7" s="355" t="s">
        <v>4</v>
      </c>
      <c r="C7" s="357" t="s">
        <v>5</v>
      </c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9"/>
      <c r="AM7" s="360" t="s">
        <v>6</v>
      </c>
      <c r="AN7" s="361"/>
      <c r="AO7" s="361"/>
      <c r="AP7" s="361"/>
      <c r="AQ7" s="361"/>
      <c r="AR7" s="361"/>
      <c r="AS7" s="361"/>
      <c r="AT7" s="361"/>
      <c r="AU7" s="361"/>
      <c r="AV7" s="361"/>
      <c r="AW7" s="361"/>
      <c r="AX7" s="361"/>
      <c r="AY7" s="361"/>
      <c r="AZ7" s="361"/>
      <c r="BA7" s="361"/>
      <c r="BB7" s="361"/>
      <c r="BC7" s="361"/>
      <c r="BD7" s="361"/>
      <c r="BE7" s="361"/>
      <c r="BF7" s="361"/>
      <c r="BG7" s="361"/>
      <c r="BH7" s="361"/>
      <c r="BI7" s="361"/>
      <c r="BJ7" s="361"/>
      <c r="BK7" s="361"/>
      <c r="BL7" s="361"/>
      <c r="BM7" s="361"/>
      <c r="BN7" s="361"/>
      <c r="BO7" s="361"/>
      <c r="BP7" s="361"/>
      <c r="BQ7" s="361"/>
      <c r="BR7" s="361"/>
      <c r="BS7" s="361"/>
      <c r="BT7" s="361"/>
      <c r="BU7" s="361"/>
      <c r="BV7" s="362"/>
      <c r="BW7" s="357" t="s">
        <v>7</v>
      </c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9"/>
      <c r="DG7" s="360" t="s">
        <v>8</v>
      </c>
      <c r="DH7" s="361"/>
      <c r="DI7" s="361"/>
      <c r="DJ7" s="361"/>
      <c r="DK7" s="361"/>
      <c r="DL7" s="361"/>
      <c r="DM7" s="361"/>
      <c r="DN7" s="361"/>
      <c r="DO7" s="361"/>
      <c r="DP7" s="361"/>
      <c r="DQ7" s="361"/>
      <c r="DR7" s="361"/>
      <c r="DS7" s="361"/>
      <c r="DT7" s="361"/>
      <c r="DU7" s="361"/>
      <c r="DV7" s="361"/>
      <c r="DW7" s="361"/>
      <c r="DX7" s="361"/>
      <c r="DY7" s="361"/>
      <c r="DZ7" s="361"/>
      <c r="EA7" s="361"/>
      <c r="EB7" s="361"/>
      <c r="EC7" s="361"/>
      <c r="ED7" s="361"/>
      <c r="EE7" s="361"/>
      <c r="EF7" s="361"/>
      <c r="EG7" s="361"/>
      <c r="EH7" s="361"/>
      <c r="EI7" s="361"/>
      <c r="EJ7" s="361"/>
      <c r="EK7" s="361"/>
      <c r="EL7" s="361"/>
      <c r="EM7" s="361"/>
      <c r="EN7" s="361"/>
      <c r="EO7" s="361"/>
      <c r="EP7" s="362"/>
      <c r="EQ7" s="357" t="s">
        <v>9</v>
      </c>
      <c r="ER7" s="358"/>
      <c r="ES7" s="358"/>
      <c r="ET7" s="358"/>
      <c r="EU7" s="358"/>
      <c r="EV7" s="358"/>
      <c r="EW7" s="358"/>
      <c r="EX7" s="358"/>
      <c r="EY7" s="358"/>
      <c r="EZ7" s="358"/>
      <c r="FA7" s="358"/>
      <c r="FB7" s="358"/>
      <c r="FC7" s="358"/>
      <c r="FD7" s="358"/>
      <c r="FE7" s="358"/>
      <c r="FF7" s="358"/>
      <c r="FG7" s="358"/>
      <c r="FH7" s="358"/>
      <c r="FI7" s="358"/>
      <c r="FJ7" s="358"/>
      <c r="FK7" s="358"/>
      <c r="FL7" s="358"/>
      <c r="FM7" s="358"/>
      <c r="FN7" s="358"/>
      <c r="FO7" s="358"/>
      <c r="FP7" s="358"/>
      <c r="FQ7" s="358"/>
      <c r="FR7" s="358"/>
      <c r="FS7" s="358"/>
      <c r="FT7" s="358"/>
      <c r="FU7" s="358"/>
      <c r="FV7" s="358"/>
      <c r="FW7" s="358"/>
      <c r="FX7" s="358"/>
      <c r="FY7" s="358"/>
      <c r="FZ7" s="358"/>
      <c r="GA7" s="363" t="s">
        <v>10</v>
      </c>
      <c r="GB7" s="364"/>
      <c r="GC7" s="364"/>
      <c r="GD7" s="364"/>
      <c r="GE7" s="364"/>
      <c r="GF7" s="364"/>
      <c r="GG7" s="364"/>
      <c r="GH7" s="364"/>
      <c r="GI7" s="364"/>
      <c r="GJ7" s="364"/>
      <c r="GK7" s="364"/>
      <c r="GL7" s="364"/>
      <c r="GM7" s="364"/>
      <c r="GN7" s="364"/>
      <c r="GO7" s="364"/>
      <c r="GP7" s="364"/>
      <c r="GQ7" s="365"/>
    </row>
    <row r="8" spans="1:205" s="11" customFormat="1" ht="15.75" customHeight="1">
      <c r="A8" s="353"/>
      <c r="B8" s="356"/>
      <c r="C8" s="366" t="s">
        <v>11</v>
      </c>
      <c r="D8" s="366"/>
      <c r="E8" s="366"/>
      <c r="F8" s="366"/>
      <c r="G8" s="367" t="s">
        <v>12</v>
      </c>
      <c r="H8" s="368"/>
      <c r="I8" s="368"/>
      <c r="J8" s="368"/>
      <c r="K8" s="368"/>
      <c r="L8" s="369"/>
      <c r="M8" s="370" t="s">
        <v>13</v>
      </c>
      <c r="N8" s="370"/>
      <c r="O8" s="370"/>
      <c r="P8" s="370"/>
      <c r="Q8" s="370"/>
      <c r="R8" s="370"/>
      <c r="S8" s="370"/>
      <c r="T8" s="370"/>
      <c r="U8" s="371" t="s">
        <v>14</v>
      </c>
      <c r="V8" s="372"/>
      <c r="W8" s="377" t="s">
        <v>15</v>
      </c>
      <c r="X8" s="378"/>
      <c r="Y8" s="378"/>
      <c r="Z8" s="378"/>
      <c r="AA8" s="378"/>
      <c r="AB8" s="379"/>
      <c r="AC8" s="380" t="s">
        <v>13</v>
      </c>
      <c r="AD8" s="381"/>
      <c r="AE8" s="381"/>
      <c r="AF8" s="381"/>
      <c r="AG8" s="381"/>
      <c r="AH8" s="381"/>
      <c r="AI8" s="381"/>
      <c r="AJ8" s="382"/>
      <c r="AK8" s="377" t="s">
        <v>16</v>
      </c>
      <c r="AL8" s="379"/>
      <c r="AM8" s="387" t="s">
        <v>11</v>
      </c>
      <c r="AN8" s="387"/>
      <c r="AO8" s="387"/>
      <c r="AP8" s="387"/>
      <c r="AQ8" s="367" t="s">
        <v>12</v>
      </c>
      <c r="AR8" s="368"/>
      <c r="AS8" s="368"/>
      <c r="AT8" s="368"/>
      <c r="AU8" s="368"/>
      <c r="AV8" s="369"/>
      <c r="AW8" s="370" t="s">
        <v>13</v>
      </c>
      <c r="AX8" s="370"/>
      <c r="AY8" s="370"/>
      <c r="AZ8" s="370"/>
      <c r="BA8" s="370"/>
      <c r="BB8" s="370"/>
      <c r="BC8" s="370"/>
      <c r="BD8" s="370"/>
      <c r="BE8" s="371" t="s">
        <v>14</v>
      </c>
      <c r="BF8" s="372"/>
      <c r="BG8" s="388" t="s">
        <v>15</v>
      </c>
      <c r="BH8" s="389"/>
      <c r="BI8" s="389"/>
      <c r="BJ8" s="389"/>
      <c r="BK8" s="389"/>
      <c r="BL8" s="390"/>
      <c r="BM8" s="391" t="s">
        <v>13</v>
      </c>
      <c r="BN8" s="392"/>
      <c r="BO8" s="392"/>
      <c r="BP8" s="392"/>
      <c r="BQ8" s="392"/>
      <c r="BR8" s="392"/>
      <c r="BS8" s="392"/>
      <c r="BT8" s="393"/>
      <c r="BU8" s="388" t="s">
        <v>16</v>
      </c>
      <c r="BV8" s="390"/>
      <c r="BW8" s="366" t="s">
        <v>11</v>
      </c>
      <c r="BX8" s="366"/>
      <c r="BY8" s="366"/>
      <c r="BZ8" s="366"/>
      <c r="CA8" s="367" t="s">
        <v>12</v>
      </c>
      <c r="CB8" s="368"/>
      <c r="CC8" s="368"/>
      <c r="CD8" s="368"/>
      <c r="CE8" s="368"/>
      <c r="CF8" s="369"/>
      <c r="CG8" s="370" t="s">
        <v>13</v>
      </c>
      <c r="CH8" s="370"/>
      <c r="CI8" s="370"/>
      <c r="CJ8" s="370"/>
      <c r="CK8" s="370"/>
      <c r="CL8" s="370"/>
      <c r="CM8" s="370"/>
      <c r="CN8" s="370"/>
      <c r="CO8" s="371" t="s">
        <v>14</v>
      </c>
      <c r="CP8" s="372"/>
      <c r="CQ8" s="377" t="s">
        <v>15</v>
      </c>
      <c r="CR8" s="378"/>
      <c r="CS8" s="378"/>
      <c r="CT8" s="378"/>
      <c r="CU8" s="378"/>
      <c r="CV8" s="379"/>
      <c r="CW8" s="380" t="s">
        <v>13</v>
      </c>
      <c r="CX8" s="381"/>
      <c r="CY8" s="381"/>
      <c r="CZ8" s="381"/>
      <c r="DA8" s="381"/>
      <c r="DB8" s="381"/>
      <c r="DC8" s="381"/>
      <c r="DD8" s="382"/>
      <c r="DE8" s="377" t="s">
        <v>16</v>
      </c>
      <c r="DF8" s="379"/>
      <c r="DG8" s="387" t="s">
        <v>11</v>
      </c>
      <c r="DH8" s="387"/>
      <c r="DI8" s="387"/>
      <c r="DJ8" s="387"/>
      <c r="DK8" s="367" t="s">
        <v>12</v>
      </c>
      <c r="DL8" s="368"/>
      <c r="DM8" s="368"/>
      <c r="DN8" s="368"/>
      <c r="DO8" s="368"/>
      <c r="DP8" s="369"/>
      <c r="DQ8" s="370" t="s">
        <v>13</v>
      </c>
      <c r="DR8" s="370"/>
      <c r="DS8" s="370"/>
      <c r="DT8" s="370"/>
      <c r="DU8" s="370"/>
      <c r="DV8" s="370"/>
      <c r="DW8" s="370"/>
      <c r="DX8" s="370"/>
      <c r="DY8" s="371" t="s">
        <v>14</v>
      </c>
      <c r="DZ8" s="372"/>
      <c r="EA8" s="388" t="s">
        <v>15</v>
      </c>
      <c r="EB8" s="389"/>
      <c r="EC8" s="389"/>
      <c r="ED8" s="389"/>
      <c r="EE8" s="389"/>
      <c r="EF8" s="390"/>
      <c r="EG8" s="391" t="s">
        <v>13</v>
      </c>
      <c r="EH8" s="392"/>
      <c r="EI8" s="392"/>
      <c r="EJ8" s="392"/>
      <c r="EK8" s="392"/>
      <c r="EL8" s="392"/>
      <c r="EM8" s="392"/>
      <c r="EN8" s="393"/>
      <c r="EO8" s="388" t="s">
        <v>16</v>
      </c>
      <c r="EP8" s="390"/>
      <c r="EQ8" s="366" t="s">
        <v>11</v>
      </c>
      <c r="ER8" s="366"/>
      <c r="ES8" s="366"/>
      <c r="ET8" s="366"/>
      <c r="EU8" s="367" t="s">
        <v>12</v>
      </c>
      <c r="EV8" s="368"/>
      <c r="EW8" s="368"/>
      <c r="EX8" s="368"/>
      <c r="EY8" s="368"/>
      <c r="EZ8" s="369"/>
      <c r="FA8" s="370" t="s">
        <v>13</v>
      </c>
      <c r="FB8" s="370"/>
      <c r="FC8" s="370"/>
      <c r="FD8" s="370"/>
      <c r="FE8" s="370"/>
      <c r="FF8" s="370"/>
      <c r="FG8" s="370"/>
      <c r="FH8" s="370"/>
      <c r="FI8" s="371" t="s">
        <v>14</v>
      </c>
      <c r="FJ8" s="372"/>
      <c r="FK8" s="377" t="s">
        <v>15</v>
      </c>
      <c r="FL8" s="378"/>
      <c r="FM8" s="378"/>
      <c r="FN8" s="378"/>
      <c r="FO8" s="378"/>
      <c r="FP8" s="379"/>
      <c r="FQ8" s="380" t="s">
        <v>13</v>
      </c>
      <c r="FR8" s="381"/>
      <c r="FS8" s="381"/>
      <c r="FT8" s="381"/>
      <c r="FU8" s="381"/>
      <c r="FV8" s="381"/>
      <c r="FW8" s="381"/>
      <c r="FX8" s="382"/>
      <c r="FY8" s="377" t="s">
        <v>16</v>
      </c>
      <c r="FZ8" s="379"/>
      <c r="GA8" s="410" t="s">
        <v>17</v>
      </c>
      <c r="GB8" s="411"/>
      <c r="GC8" s="391" t="s">
        <v>12</v>
      </c>
      <c r="GD8" s="392"/>
      <c r="GE8" s="392"/>
      <c r="GF8" s="392"/>
      <c r="GG8" s="392"/>
      <c r="GH8" s="393"/>
      <c r="GI8" s="400" t="s">
        <v>13</v>
      </c>
      <c r="GJ8" s="400"/>
      <c r="GK8" s="400"/>
      <c r="GL8" s="400"/>
      <c r="GM8" s="400"/>
      <c r="GN8" s="400"/>
      <c r="GO8" s="400"/>
      <c r="GP8" s="400"/>
      <c r="GQ8" s="407" t="s">
        <v>18</v>
      </c>
    </row>
    <row r="9" spans="1:205" s="11" customFormat="1" ht="18" customHeight="1">
      <c r="A9" s="353"/>
      <c r="B9" s="356"/>
      <c r="C9" s="398" t="s">
        <v>19</v>
      </c>
      <c r="D9" s="398"/>
      <c r="E9" s="399" t="s">
        <v>20</v>
      </c>
      <c r="F9" s="399"/>
      <c r="G9" s="370" t="s">
        <v>21</v>
      </c>
      <c r="H9" s="370"/>
      <c r="I9" s="370" t="s">
        <v>22</v>
      </c>
      <c r="J9" s="370"/>
      <c r="K9" s="370" t="s">
        <v>23</v>
      </c>
      <c r="L9" s="370"/>
      <c r="M9" s="370" t="s">
        <v>24</v>
      </c>
      <c r="N9" s="370"/>
      <c r="O9" s="370"/>
      <c r="P9" s="370"/>
      <c r="Q9" s="370" t="s">
        <v>25</v>
      </c>
      <c r="R9" s="370"/>
      <c r="S9" s="370"/>
      <c r="T9" s="370"/>
      <c r="U9" s="373"/>
      <c r="V9" s="374"/>
      <c r="W9" s="398" t="s">
        <v>21</v>
      </c>
      <c r="X9" s="398"/>
      <c r="Y9" s="398" t="s">
        <v>22</v>
      </c>
      <c r="Z9" s="398"/>
      <c r="AA9" s="398" t="s">
        <v>23</v>
      </c>
      <c r="AB9" s="398"/>
      <c r="AC9" s="380" t="s">
        <v>24</v>
      </c>
      <c r="AD9" s="381"/>
      <c r="AE9" s="381"/>
      <c r="AF9" s="382"/>
      <c r="AG9" s="404" t="s">
        <v>25</v>
      </c>
      <c r="AH9" s="405"/>
      <c r="AI9" s="405"/>
      <c r="AJ9" s="406"/>
      <c r="AK9" s="383"/>
      <c r="AL9" s="384"/>
      <c r="AM9" s="400" t="s">
        <v>19</v>
      </c>
      <c r="AN9" s="400"/>
      <c r="AO9" s="364" t="s">
        <v>20</v>
      </c>
      <c r="AP9" s="364"/>
      <c r="AQ9" s="370" t="s">
        <v>21</v>
      </c>
      <c r="AR9" s="370"/>
      <c r="AS9" s="370" t="s">
        <v>22</v>
      </c>
      <c r="AT9" s="370"/>
      <c r="AU9" s="370" t="s">
        <v>23</v>
      </c>
      <c r="AV9" s="370"/>
      <c r="AW9" s="370" t="s">
        <v>24</v>
      </c>
      <c r="AX9" s="370"/>
      <c r="AY9" s="370"/>
      <c r="AZ9" s="370"/>
      <c r="BA9" s="370" t="s">
        <v>25</v>
      </c>
      <c r="BB9" s="370"/>
      <c r="BC9" s="370"/>
      <c r="BD9" s="370"/>
      <c r="BE9" s="373"/>
      <c r="BF9" s="374"/>
      <c r="BG9" s="400" t="s">
        <v>21</v>
      </c>
      <c r="BH9" s="400"/>
      <c r="BI9" s="400" t="s">
        <v>22</v>
      </c>
      <c r="BJ9" s="400"/>
      <c r="BK9" s="400" t="s">
        <v>23</v>
      </c>
      <c r="BL9" s="400"/>
      <c r="BM9" s="391" t="s">
        <v>24</v>
      </c>
      <c r="BN9" s="392"/>
      <c r="BO9" s="392"/>
      <c r="BP9" s="393"/>
      <c r="BQ9" s="401" t="s">
        <v>25</v>
      </c>
      <c r="BR9" s="402"/>
      <c r="BS9" s="402"/>
      <c r="BT9" s="403"/>
      <c r="BU9" s="394"/>
      <c r="BV9" s="395"/>
      <c r="BW9" s="398" t="s">
        <v>19</v>
      </c>
      <c r="BX9" s="398"/>
      <c r="BY9" s="399" t="s">
        <v>20</v>
      </c>
      <c r="BZ9" s="399"/>
      <c r="CA9" s="370" t="s">
        <v>21</v>
      </c>
      <c r="CB9" s="370"/>
      <c r="CC9" s="370" t="s">
        <v>22</v>
      </c>
      <c r="CD9" s="370"/>
      <c r="CE9" s="370" t="s">
        <v>23</v>
      </c>
      <c r="CF9" s="370"/>
      <c r="CG9" s="370" t="s">
        <v>24</v>
      </c>
      <c r="CH9" s="370"/>
      <c r="CI9" s="370"/>
      <c r="CJ9" s="370"/>
      <c r="CK9" s="370" t="s">
        <v>25</v>
      </c>
      <c r="CL9" s="370"/>
      <c r="CM9" s="370"/>
      <c r="CN9" s="370"/>
      <c r="CO9" s="373"/>
      <c r="CP9" s="374"/>
      <c r="CQ9" s="398" t="s">
        <v>21</v>
      </c>
      <c r="CR9" s="398"/>
      <c r="CS9" s="398" t="s">
        <v>22</v>
      </c>
      <c r="CT9" s="398"/>
      <c r="CU9" s="398" t="s">
        <v>23</v>
      </c>
      <c r="CV9" s="398"/>
      <c r="CW9" s="380" t="s">
        <v>24</v>
      </c>
      <c r="CX9" s="381"/>
      <c r="CY9" s="381"/>
      <c r="CZ9" s="382"/>
      <c r="DA9" s="404" t="s">
        <v>25</v>
      </c>
      <c r="DB9" s="405"/>
      <c r="DC9" s="405"/>
      <c r="DD9" s="406"/>
      <c r="DE9" s="383"/>
      <c r="DF9" s="384"/>
      <c r="DG9" s="400" t="s">
        <v>19</v>
      </c>
      <c r="DH9" s="400"/>
      <c r="DI9" s="364" t="s">
        <v>20</v>
      </c>
      <c r="DJ9" s="364"/>
      <c r="DK9" s="370" t="s">
        <v>21</v>
      </c>
      <c r="DL9" s="370"/>
      <c r="DM9" s="370" t="s">
        <v>22</v>
      </c>
      <c r="DN9" s="370"/>
      <c r="DO9" s="370" t="s">
        <v>23</v>
      </c>
      <c r="DP9" s="370"/>
      <c r="DQ9" s="370" t="s">
        <v>24</v>
      </c>
      <c r="DR9" s="370"/>
      <c r="DS9" s="370"/>
      <c r="DT9" s="370"/>
      <c r="DU9" s="370" t="s">
        <v>25</v>
      </c>
      <c r="DV9" s="370"/>
      <c r="DW9" s="370"/>
      <c r="DX9" s="370"/>
      <c r="DY9" s="373"/>
      <c r="DZ9" s="374"/>
      <c r="EA9" s="400" t="s">
        <v>21</v>
      </c>
      <c r="EB9" s="400"/>
      <c r="EC9" s="400" t="s">
        <v>22</v>
      </c>
      <c r="ED9" s="400"/>
      <c r="EE9" s="400" t="s">
        <v>23</v>
      </c>
      <c r="EF9" s="400"/>
      <c r="EG9" s="391" t="s">
        <v>24</v>
      </c>
      <c r="EH9" s="392"/>
      <c r="EI9" s="392"/>
      <c r="EJ9" s="393"/>
      <c r="EK9" s="401" t="s">
        <v>25</v>
      </c>
      <c r="EL9" s="402"/>
      <c r="EM9" s="402"/>
      <c r="EN9" s="403"/>
      <c r="EO9" s="394"/>
      <c r="EP9" s="395"/>
      <c r="EQ9" s="398" t="s">
        <v>19</v>
      </c>
      <c r="ER9" s="398"/>
      <c r="ES9" s="399" t="s">
        <v>20</v>
      </c>
      <c r="ET9" s="399"/>
      <c r="EU9" s="370" t="s">
        <v>21</v>
      </c>
      <c r="EV9" s="370"/>
      <c r="EW9" s="370" t="s">
        <v>22</v>
      </c>
      <c r="EX9" s="370"/>
      <c r="EY9" s="370" t="s">
        <v>23</v>
      </c>
      <c r="EZ9" s="370"/>
      <c r="FA9" s="370" t="s">
        <v>24</v>
      </c>
      <c r="FB9" s="370"/>
      <c r="FC9" s="370"/>
      <c r="FD9" s="370"/>
      <c r="FE9" s="370" t="s">
        <v>25</v>
      </c>
      <c r="FF9" s="370"/>
      <c r="FG9" s="370"/>
      <c r="FH9" s="370"/>
      <c r="FI9" s="373"/>
      <c r="FJ9" s="374"/>
      <c r="FK9" s="398" t="s">
        <v>21</v>
      </c>
      <c r="FL9" s="398"/>
      <c r="FM9" s="398" t="s">
        <v>22</v>
      </c>
      <c r="FN9" s="398"/>
      <c r="FO9" s="398" t="s">
        <v>23</v>
      </c>
      <c r="FP9" s="398"/>
      <c r="FQ9" s="380" t="s">
        <v>24</v>
      </c>
      <c r="FR9" s="381"/>
      <c r="FS9" s="381"/>
      <c r="FT9" s="382"/>
      <c r="FU9" s="404" t="s">
        <v>25</v>
      </c>
      <c r="FV9" s="405"/>
      <c r="FW9" s="405"/>
      <c r="FX9" s="406"/>
      <c r="FY9" s="383"/>
      <c r="FZ9" s="384"/>
      <c r="GA9" s="412"/>
      <c r="GB9" s="413"/>
      <c r="GC9" s="400" t="s">
        <v>21</v>
      </c>
      <c r="GD9" s="400"/>
      <c r="GE9" s="400" t="s">
        <v>22</v>
      </c>
      <c r="GF9" s="400"/>
      <c r="GG9" s="400" t="s">
        <v>23</v>
      </c>
      <c r="GH9" s="400"/>
      <c r="GI9" s="400" t="s">
        <v>24</v>
      </c>
      <c r="GJ9" s="400"/>
      <c r="GK9" s="400"/>
      <c r="GL9" s="400"/>
      <c r="GM9" s="400" t="s">
        <v>25</v>
      </c>
      <c r="GN9" s="400"/>
      <c r="GO9" s="400"/>
      <c r="GP9" s="400"/>
      <c r="GQ9" s="408"/>
    </row>
    <row r="10" spans="1:205" s="11" customFormat="1" ht="37.15" customHeight="1">
      <c r="A10" s="353"/>
      <c r="B10" s="356"/>
      <c r="C10" s="398"/>
      <c r="D10" s="398"/>
      <c r="E10" s="399"/>
      <c r="F10" s="399"/>
      <c r="G10" s="370"/>
      <c r="H10" s="370"/>
      <c r="I10" s="370"/>
      <c r="J10" s="370"/>
      <c r="K10" s="370"/>
      <c r="L10" s="370"/>
      <c r="M10" s="370" t="s">
        <v>22</v>
      </c>
      <c r="N10" s="370"/>
      <c r="O10" s="370" t="s">
        <v>23</v>
      </c>
      <c r="P10" s="370"/>
      <c r="Q10" s="370" t="s">
        <v>22</v>
      </c>
      <c r="R10" s="370"/>
      <c r="S10" s="370" t="s">
        <v>23</v>
      </c>
      <c r="T10" s="370"/>
      <c r="U10" s="375"/>
      <c r="V10" s="376"/>
      <c r="W10" s="398"/>
      <c r="X10" s="398"/>
      <c r="Y10" s="398"/>
      <c r="Z10" s="398"/>
      <c r="AA10" s="398"/>
      <c r="AB10" s="398"/>
      <c r="AC10" s="380" t="s">
        <v>22</v>
      </c>
      <c r="AD10" s="382"/>
      <c r="AE10" s="380" t="s">
        <v>23</v>
      </c>
      <c r="AF10" s="382"/>
      <c r="AG10" s="380" t="s">
        <v>22</v>
      </c>
      <c r="AH10" s="382"/>
      <c r="AI10" s="380" t="s">
        <v>23</v>
      </c>
      <c r="AJ10" s="382"/>
      <c r="AK10" s="385"/>
      <c r="AL10" s="386"/>
      <c r="AM10" s="400"/>
      <c r="AN10" s="400"/>
      <c r="AO10" s="364"/>
      <c r="AP10" s="364"/>
      <c r="AQ10" s="370"/>
      <c r="AR10" s="370"/>
      <c r="AS10" s="370"/>
      <c r="AT10" s="370"/>
      <c r="AU10" s="370"/>
      <c r="AV10" s="370"/>
      <c r="AW10" s="370" t="s">
        <v>22</v>
      </c>
      <c r="AX10" s="370"/>
      <c r="AY10" s="370" t="s">
        <v>23</v>
      </c>
      <c r="AZ10" s="370"/>
      <c r="BA10" s="370" t="s">
        <v>22</v>
      </c>
      <c r="BB10" s="370"/>
      <c r="BC10" s="370" t="s">
        <v>23</v>
      </c>
      <c r="BD10" s="370"/>
      <c r="BE10" s="375"/>
      <c r="BF10" s="376"/>
      <c r="BG10" s="400"/>
      <c r="BH10" s="400"/>
      <c r="BI10" s="400"/>
      <c r="BJ10" s="400"/>
      <c r="BK10" s="400"/>
      <c r="BL10" s="400"/>
      <c r="BM10" s="391" t="s">
        <v>22</v>
      </c>
      <c r="BN10" s="393"/>
      <c r="BO10" s="391" t="s">
        <v>23</v>
      </c>
      <c r="BP10" s="393"/>
      <c r="BQ10" s="391" t="s">
        <v>22</v>
      </c>
      <c r="BR10" s="393"/>
      <c r="BS10" s="391" t="s">
        <v>23</v>
      </c>
      <c r="BT10" s="393"/>
      <c r="BU10" s="396"/>
      <c r="BV10" s="397"/>
      <c r="BW10" s="398"/>
      <c r="BX10" s="398"/>
      <c r="BY10" s="399"/>
      <c r="BZ10" s="399"/>
      <c r="CA10" s="370"/>
      <c r="CB10" s="370"/>
      <c r="CC10" s="370"/>
      <c r="CD10" s="370"/>
      <c r="CE10" s="370"/>
      <c r="CF10" s="370"/>
      <c r="CG10" s="370" t="s">
        <v>22</v>
      </c>
      <c r="CH10" s="370"/>
      <c r="CI10" s="370" t="s">
        <v>23</v>
      </c>
      <c r="CJ10" s="370"/>
      <c r="CK10" s="370" t="s">
        <v>22</v>
      </c>
      <c r="CL10" s="370"/>
      <c r="CM10" s="370" t="s">
        <v>23</v>
      </c>
      <c r="CN10" s="370"/>
      <c r="CO10" s="375"/>
      <c r="CP10" s="376"/>
      <c r="CQ10" s="398"/>
      <c r="CR10" s="398"/>
      <c r="CS10" s="398"/>
      <c r="CT10" s="398"/>
      <c r="CU10" s="398"/>
      <c r="CV10" s="398"/>
      <c r="CW10" s="380" t="s">
        <v>22</v>
      </c>
      <c r="CX10" s="382"/>
      <c r="CY10" s="380" t="s">
        <v>23</v>
      </c>
      <c r="CZ10" s="382"/>
      <c r="DA10" s="380" t="s">
        <v>22</v>
      </c>
      <c r="DB10" s="382"/>
      <c r="DC10" s="380" t="s">
        <v>23</v>
      </c>
      <c r="DD10" s="382"/>
      <c r="DE10" s="385"/>
      <c r="DF10" s="386"/>
      <c r="DG10" s="400"/>
      <c r="DH10" s="400"/>
      <c r="DI10" s="364"/>
      <c r="DJ10" s="364"/>
      <c r="DK10" s="370"/>
      <c r="DL10" s="370"/>
      <c r="DM10" s="370"/>
      <c r="DN10" s="370"/>
      <c r="DO10" s="370"/>
      <c r="DP10" s="370"/>
      <c r="DQ10" s="370" t="s">
        <v>22</v>
      </c>
      <c r="DR10" s="370"/>
      <c r="DS10" s="370" t="s">
        <v>23</v>
      </c>
      <c r="DT10" s="370"/>
      <c r="DU10" s="370" t="s">
        <v>22</v>
      </c>
      <c r="DV10" s="370"/>
      <c r="DW10" s="370" t="s">
        <v>23</v>
      </c>
      <c r="DX10" s="370"/>
      <c r="DY10" s="375"/>
      <c r="DZ10" s="376"/>
      <c r="EA10" s="400"/>
      <c r="EB10" s="400"/>
      <c r="EC10" s="400"/>
      <c r="ED10" s="400"/>
      <c r="EE10" s="400"/>
      <c r="EF10" s="400"/>
      <c r="EG10" s="391" t="s">
        <v>22</v>
      </c>
      <c r="EH10" s="393"/>
      <c r="EI10" s="391" t="s">
        <v>23</v>
      </c>
      <c r="EJ10" s="393"/>
      <c r="EK10" s="391" t="s">
        <v>22</v>
      </c>
      <c r="EL10" s="393"/>
      <c r="EM10" s="391" t="s">
        <v>23</v>
      </c>
      <c r="EN10" s="393"/>
      <c r="EO10" s="396"/>
      <c r="EP10" s="397"/>
      <c r="EQ10" s="398"/>
      <c r="ER10" s="398"/>
      <c r="ES10" s="399"/>
      <c r="ET10" s="399"/>
      <c r="EU10" s="370"/>
      <c r="EV10" s="370"/>
      <c r="EW10" s="370"/>
      <c r="EX10" s="370"/>
      <c r="EY10" s="370"/>
      <c r="EZ10" s="370"/>
      <c r="FA10" s="370" t="s">
        <v>22</v>
      </c>
      <c r="FB10" s="370"/>
      <c r="FC10" s="370" t="s">
        <v>23</v>
      </c>
      <c r="FD10" s="370"/>
      <c r="FE10" s="370" t="s">
        <v>22</v>
      </c>
      <c r="FF10" s="370"/>
      <c r="FG10" s="370" t="s">
        <v>23</v>
      </c>
      <c r="FH10" s="370"/>
      <c r="FI10" s="375"/>
      <c r="FJ10" s="376"/>
      <c r="FK10" s="398"/>
      <c r="FL10" s="398"/>
      <c r="FM10" s="398"/>
      <c r="FN10" s="398"/>
      <c r="FO10" s="398"/>
      <c r="FP10" s="398"/>
      <c r="FQ10" s="380" t="s">
        <v>22</v>
      </c>
      <c r="FR10" s="382"/>
      <c r="FS10" s="380" t="s">
        <v>23</v>
      </c>
      <c r="FT10" s="382"/>
      <c r="FU10" s="380" t="s">
        <v>22</v>
      </c>
      <c r="FV10" s="382"/>
      <c r="FW10" s="380" t="s">
        <v>23</v>
      </c>
      <c r="FX10" s="382"/>
      <c r="FY10" s="385"/>
      <c r="FZ10" s="386"/>
      <c r="GA10" s="414"/>
      <c r="GB10" s="415"/>
      <c r="GC10" s="400"/>
      <c r="GD10" s="400"/>
      <c r="GE10" s="400"/>
      <c r="GF10" s="400"/>
      <c r="GG10" s="400"/>
      <c r="GH10" s="400"/>
      <c r="GI10" s="400" t="s">
        <v>22</v>
      </c>
      <c r="GJ10" s="400"/>
      <c r="GK10" s="400" t="s">
        <v>23</v>
      </c>
      <c r="GL10" s="400"/>
      <c r="GM10" s="400" t="s">
        <v>22</v>
      </c>
      <c r="GN10" s="400"/>
      <c r="GO10" s="400" t="s">
        <v>23</v>
      </c>
      <c r="GP10" s="400"/>
      <c r="GQ10" s="409"/>
    </row>
    <row r="11" spans="1:205" s="11" customFormat="1" ht="25.5" customHeight="1">
      <c r="A11" s="354"/>
      <c r="B11" s="356"/>
      <c r="C11" s="21" t="s">
        <v>26</v>
      </c>
      <c r="D11" s="23" t="s">
        <v>27</v>
      </c>
      <c r="E11" s="23" t="s">
        <v>26</v>
      </c>
      <c r="F11" s="23" t="s">
        <v>27</v>
      </c>
      <c r="G11" s="20" t="s">
        <v>28</v>
      </c>
      <c r="H11" s="20" t="s">
        <v>27</v>
      </c>
      <c r="I11" s="20" t="s">
        <v>28</v>
      </c>
      <c r="J11" s="20" t="s">
        <v>27</v>
      </c>
      <c r="K11" s="20" t="s">
        <v>28</v>
      </c>
      <c r="L11" s="20" t="s">
        <v>27</v>
      </c>
      <c r="M11" s="24" t="s">
        <v>26</v>
      </c>
      <c r="N11" s="25" t="s">
        <v>27</v>
      </c>
      <c r="O11" s="26" t="s">
        <v>26</v>
      </c>
      <c r="P11" s="15" t="s">
        <v>27</v>
      </c>
      <c r="Q11" s="27" t="s">
        <v>26</v>
      </c>
      <c r="R11" s="27" t="s">
        <v>27</v>
      </c>
      <c r="S11" s="26" t="s">
        <v>26</v>
      </c>
      <c r="T11" s="15" t="s">
        <v>27</v>
      </c>
      <c r="U11" s="26" t="s">
        <v>26</v>
      </c>
      <c r="V11" s="15" t="s">
        <v>27</v>
      </c>
      <c r="W11" s="21" t="s">
        <v>28</v>
      </c>
      <c r="X11" s="21" t="s">
        <v>27</v>
      </c>
      <c r="Y11" s="21" t="s">
        <v>28</v>
      </c>
      <c r="Z11" s="21" t="s">
        <v>27</v>
      </c>
      <c r="AA11" s="21" t="s">
        <v>28</v>
      </c>
      <c r="AB11" s="21" t="s">
        <v>27</v>
      </c>
      <c r="AC11" s="21" t="s">
        <v>28</v>
      </c>
      <c r="AD11" s="21" t="s">
        <v>27</v>
      </c>
      <c r="AE11" s="21" t="s">
        <v>28</v>
      </c>
      <c r="AF11" s="21" t="s">
        <v>27</v>
      </c>
      <c r="AG11" s="21" t="s">
        <v>28</v>
      </c>
      <c r="AH11" s="21" t="s">
        <v>27</v>
      </c>
      <c r="AI11" s="21" t="s">
        <v>28</v>
      </c>
      <c r="AJ11" s="21" t="s">
        <v>27</v>
      </c>
      <c r="AK11" s="18" t="s">
        <v>26</v>
      </c>
      <c r="AL11" s="18" t="s">
        <v>27</v>
      </c>
      <c r="AM11" s="22" t="s">
        <v>26</v>
      </c>
      <c r="AN11" s="28" t="s">
        <v>27</v>
      </c>
      <c r="AO11" s="28" t="s">
        <v>26</v>
      </c>
      <c r="AP11" s="28" t="s">
        <v>27</v>
      </c>
      <c r="AQ11" s="20" t="s">
        <v>28</v>
      </c>
      <c r="AR11" s="20" t="s">
        <v>27</v>
      </c>
      <c r="AS11" s="20" t="s">
        <v>28</v>
      </c>
      <c r="AT11" s="20" t="s">
        <v>27</v>
      </c>
      <c r="AU11" s="20" t="s">
        <v>28</v>
      </c>
      <c r="AV11" s="20" t="s">
        <v>27</v>
      </c>
      <c r="AW11" s="24" t="s">
        <v>26</v>
      </c>
      <c r="AX11" s="25" t="s">
        <v>27</v>
      </c>
      <c r="AY11" s="26" t="s">
        <v>26</v>
      </c>
      <c r="AZ11" s="15" t="s">
        <v>27</v>
      </c>
      <c r="BA11" s="27" t="s">
        <v>26</v>
      </c>
      <c r="BB11" s="27" t="s">
        <v>27</v>
      </c>
      <c r="BC11" s="26" t="s">
        <v>26</v>
      </c>
      <c r="BD11" s="15" t="s">
        <v>27</v>
      </c>
      <c r="BE11" s="26" t="s">
        <v>26</v>
      </c>
      <c r="BF11" s="15" t="s">
        <v>27</v>
      </c>
      <c r="BG11" s="22" t="s">
        <v>28</v>
      </c>
      <c r="BH11" s="22" t="s">
        <v>27</v>
      </c>
      <c r="BI11" s="22" t="s">
        <v>28</v>
      </c>
      <c r="BJ11" s="22" t="s">
        <v>27</v>
      </c>
      <c r="BK11" s="22" t="s">
        <v>28</v>
      </c>
      <c r="BL11" s="22" t="s">
        <v>27</v>
      </c>
      <c r="BM11" s="22" t="s">
        <v>28</v>
      </c>
      <c r="BN11" s="22" t="s">
        <v>27</v>
      </c>
      <c r="BO11" s="22" t="s">
        <v>28</v>
      </c>
      <c r="BP11" s="22" t="s">
        <v>27</v>
      </c>
      <c r="BQ11" s="22" t="s">
        <v>28</v>
      </c>
      <c r="BR11" s="22" t="s">
        <v>27</v>
      </c>
      <c r="BS11" s="22" t="s">
        <v>28</v>
      </c>
      <c r="BT11" s="22" t="s">
        <v>27</v>
      </c>
      <c r="BU11" s="16" t="s">
        <v>26</v>
      </c>
      <c r="BV11" s="16" t="s">
        <v>27</v>
      </c>
      <c r="BW11" s="21" t="s">
        <v>26</v>
      </c>
      <c r="BX11" s="23" t="s">
        <v>27</v>
      </c>
      <c r="BY11" s="23" t="s">
        <v>26</v>
      </c>
      <c r="BZ11" s="23" t="s">
        <v>27</v>
      </c>
      <c r="CA11" s="20" t="s">
        <v>28</v>
      </c>
      <c r="CB11" s="20" t="s">
        <v>27</v>
      </c>
      <c r="CC11" s="20" t="s">
        <v>28</v>
      </c>
      <c r="CD11" s="20" t="s">
        <v>27</v>
      </c>
      <c r="CE11" s="20" t="s">
        <v>28</v>
      </c>
      <c r="CF11" s="20" t="s">
        <v>27</v>
      </c>
      <c r="CG11" s="24" t="s">
        <v>26</v>
      </c>
      <c r="CH11" s="25" t="s">
        <v>27</v>
      </c>
      <c r="CI11" s="26" t="s">
        <v>26</v>
      </c>
      <c r="CJ11" s="15" t="s">
        <v>27</v>
      </c>
      <c r="CK11" s="27" t="s">
        <v>26</v>
      </c>
      <c r="CL11" s="27" t="s">
        <v>27</v>
      </c>
      <c r="CM11" s="26" t="s">
        <v>26</v>
      </c>
      <c r="CN11" s="15" t="s">
        <v>27</v>
      </c>
      <c r="CO11" s="26" t="s">
        <v>26</v>
      </c>
      <c r="CP11" s="15" t="s">
        <v>27</v>
      </c>
      <c r="CQ11" s="21" t="s">
        <v>28</v>
      </c>
      <c r="CR11" s="21" t="s">
        <v>27</v>
      </c>
      <c r="CS11" s="21" t="s">
        <v>28</v>
      </c>
      <c r="CT11" s="21" t="s">
        <v>27</v>
      </c>
      <c r="CU11" s="21" t="s">
        <v>28</v>
      </c>
      <c r="CV11" s="21" t="s">
        <v>27</v>
      </c>
      <c r="CW11" s="21" t="s">
        <v>28</v>
      </c>
      <c r="CX11" s="21" t="s">
        <v>27</v>
      </c>
      <c r="CY11" s="21" t="s">
        <v>28</v>
      </c>
      <c r="CZ11" s="21" t="s">
        <v>27</v>
      </c>
      <c r="DA11" s="21" t="s">
        <v>28</v>
      </c>
      <c r="DB11" s="21" t="s">
        <v>27</v>
      </c>
      <c r="DC11" s="21" t="s">
        <v>28</v>
      </c>
      <c r="DD11" s="21" t="s">
        <v>27</v>
      </c>
      <c r="DE11" s="18" t="s">
        <v>26</v>
      </c>
      <c r="DF11" s="18" t="s">
        <v>27</v>
      </c>
      <c r="DG11" s="22" t="s">
        <v>26</v>
      </c>
      <c r="DH11" s="28" t="s">
        <v>27</v>
      </c>
      <c r="DI11" s="28" t="s">
        <v>26</v>
      </c>
      <c r="DJ11" s="28" t="s">
        <v>27</v>
      </c>
      <c r="DK11" s="20" t="s">
        <v>28</v>
      </c>
      <c r="DL11" s="20" t="s">
        <v>27</v>
      </c>
      <c r="DM11" s="20" t="s">
        <v>28</v>
      </c>
      <c r="DN11" s="20" t="s">
        <v>27</v>
      </c>
      <c r="DO11" s="20" t="s">
        <v>28</v>
      </c>
      <c r="DP11" s="20" t="s">
        <v>27</v>
      </c>
      <c r="DQ11" s="24" t="s">
        <v>26</v>
      </c>
      <c r="DR11" s="25" t="s">
        <v>27</v>
      </c>
      <c r="DS11" s="26" t="s">
        <v>26</v>
      </c>
      <c r="DT11" s="15" t="s">
        <v>27</v>
      </c>
      <c r="DU11" s="27" t="s">
        <v>26</v>
      </c>
      <c r="DV11" s="27" t="s">
        <v>27</v>
      </c>
      <c r="DW11" s="26" t="s">
        <v>26</v>
      </c>
      <c r="DX11" s="15" t="s">
        <v>27</v>
      </c>
      <c r="DY11" s="26" t="s">
        <v>26</v>
      </c>
      <c r="DZ11" s="15" t="s">
        <v>27</v>
      </c>
      <c r="EA11" s="22" t="s">
        <v>28</v>
      </c>
      <c r="EB11" s="22" t="s">
        <v>27</v>
      </c>
      <c r="EC11" s="22" t="s">
        <v>28</v>
      </c>
      <c r="ED11" s="22" t="s">
        <v>27</v>
      </c>
      <c r="EE11" s="22" t="s">
        <v>28</v>
      </c>
      <c r="EF11" s="22" t="s">
        <v>27</v>
      </c>
      <c r="EG11" s="22" t="s">
        <v>28</v>
      </c>
      <c r="EH11" s="22" t="s">
        <v>27</v>
      </c>
      <c r="EI11" s="22" t="s">
        <v>28</v>
      </c>
      <c r="EJ11" s="22" t="s">
        <v>27</v>
      </c>
      <c r="EK11" s="22" t="s">
        <v>28</v>
      </c>
      <c r="EL11" s="22" t="s">
        <v>27</v>
      </c>
      <c r="EM11" s="22" t="s">
        <v>28</v>
      </c>
      <c r="EN11" s="22" t="s">
        <v>27</v>
      </c>
      <c r="EO11" s="16" t="s">
        <v>26</v>
      </c>
      <c r="EP11" s="16" t="s">
        <v>27</v>
      </c>
      <c r="EQ11" s="21" t="s">
        <v>26</v>
      </c>
      <c r="ER11" s="23" t="s">
        <v>27</v>
      </c>
      <c r="ES11" s="23" t="s">
        <v>26</v>
      </c>
      <c r="ET11" s="23" t="s">
        <v>27</v>
      </c>
      <c r="EU11" s="20" t="s">
        <v>28</v>
      </c>
      <c r="EV11" s="20" t="s">
        <v>27</v>
      </c>
      <c r="EW11" s="20" t="s">
        <v>28</v>
      </c>
      <c r="EX11" s="20" t="s">
        <v>27</v>
      </c>
      <c r="EY11" s="20" t="s">
        <v>28</v>
      </c>
      <c r="EZ11" s="20" t="s">
        <v>27</v>
      </c>
      <c r="FA11" s="24" t="s">
        <v>26</v>
      </c>
      <c r="FB11" s="25" t="s">
        <v>27</v>
      </c>
      <c r="FC11" s="26" t="s">
        <v>26</v>
      </c>
      <c r="FD11" s="15" t="s">
        <v>27</v>
      </c>
      <c r="FE11" s="27" t="s">
        <v>26</v>
      </c>
      <c r="FF11" s="27" t="s">
        <v>27</v>
      </c>
      <c r="FG11" s="26" t="s">
        <v>26</v>
      </c>
      <c r="FH11" s="15" t="s">
        <v>27</v>
      </c>
      <c r="FI11" s="26" t="s">
        <v>26</v>
      </c>
      <c r="FJ11" s="15" t="s">
        <v>27</v>
      </c>
      <c r="FK11" s="21" t="s">
        <v>28</v>
      </c>
      <c r="FL11" s="21" t="s">
        <v>27</v>
      </c>
      <c r="FM11" s="21" t="s">
        <v>28</v>
      </c>
      <c r="FN11" s="21" t="s">
        <v>27</v>
      </c>
      <c r="FO11" s="21" t="s">
        <v>28</v>
      </c>
      <c r="FP11" s="21" t="s">
        <v>27</v>
      </c>
      <c r="FQ11" s="21" t="s">
        <v>28</v>
      </c>
      <c r="FR11" s="21" t="s">
        <v>27</v>
      </c>
      <c r="FS11" s="21" t="s">
        <v>28</v>
      </c>
      <c r="FT11" s="21" t="s">
        <v>27</v>
      </c>
      <c r="FU11" s="21" t="s">
        <v>28</v>
      </c>
      <c r="FV11" s="21" t="s">
        <v>27</v>
      </c>
      <c r="FW11" s="21" t="s">
        <v>28</v>
      </c>
      <c r="FX11" s="21" t="s">
        <v>27</v>
      </c>
      <c r="FY11" s="18" t="s">
        <v>26</v>
      </c>
      <c r="FZ11" s="18" t="s">
        <v>27</v>
      </c>
      <c r="GA11" s="416" t="s">
        <v>29</v>
      </c>
      <c r="GB11" s="363"/>
      <c r="GC11" s="417" t="s">
        <v>29</v>
      </c>
      <c r="GD11" s="363"/>
      <c r="GE11" s="417" t="s">
        <v>29</v>
      </c>
      <c r="GF11" s="363"/>
      <c r="GG11" s="417" t="s">
        <v>29</v>
      </c>
      <c r="GH11" s="363"/>
      <c r="GI11" s="417" t="s">
        <v>29</v>
      </c>
      <c r="GJ11" s="363"/>
      <c r="GK11" s="417" t="s">
        <v>29</v>
      </c>
      <c r="GL11" s="363"/>
      <c r="GM11" s="417" t="s">
        <v>29</v>
      </c>
      <c r="GN11" s="363"/>
      <c r="GO11" s="417" t="s">
        <v>29</v>
      </c>
      <c r="GP11" s="363"/>
      <c r="GQ11" s="17" t="s">
        <v>29</v>
      </c>
    </row>
    <row r="12" spans="1:205" s="11" customFormat="1" ht="44.25" customHeight="1">
      <c r="A12" s="29" t="s">
        <v>30</v>
      </c>
      <c r="B12" s="30" t="s">
        <v>4</v>
      </c>
      <c r="C12" s="19" t="s">
        <v>31</v>
      </c>
      <c r="D12" s="19" t="s">
        <v>31</v>
      </c>
      <c r="E12" s="19" t="s">
        <v>32</v>
      </c>
      <c r="F12" s="19" t="s">
        <v>32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  <c r="P12" s="15" t="s">
        <v>33</v>
      </c>
      <c r="Q12" s="15" t="s">
        <v>33</v>
      </c>
      <c r="R12" s="15" t="s">
        <v>33</v>
      </c>
      <c r="S12" s="15" t="s">
        <v>33</v>
      </c>
      <c r="T12" s="15" t="s">
        <v>33</v>
      </c>
      <c r="U12" s="15" t="s">
        <v>33</v>
      </c>
      <c r="V12" s="15" t="s">
        <v>33</v>
      </c>
      <c r="W12" s="18" t="s">
        <v>33</v>
      </c>
      <c r="X12" s="18" t="s">
        <v>33</v>
      </c>
      <c r="Y12" s="18" t="s">
        <v>33</v>
      </c>
      <c r="Z12" s="18" t="s">
        <v>33</v>
      </c>
      <c r="AA12" s="18" t="s">
        <v>33</v>
      </c>
      <c r="AB12" s="18" t="s">
        <v>33</v>
      </c>
      <c r="AC12" s="18" t="s">
        <v>33</v>
      </c>
      <c r="AD12" s="18" t="s">
        <v>33</v>
      </c>
      <c r="AE12" s="18" t="s">
        <v>33</v>
      </c>
      <c r="AF12" s="18" t="s">
        <v>33</v>
      </c>
      <c r="AG12" s="18" t="s">
        <v>33</v>
      </c>
      <c r="AH12" s="18" t="s">
        <v>33</v>
      </c>
      <c r="AI12" s="18" t="s">
        <v>33</v>
      </c>
      <c r="AJ12" s="18" t="s">
        <v>33</v>
      </c>
      <c r="AK12" s="31" t="s">
        <v>33</v>
      </c>
      <c r="AL12" s="31" t="s">
        <v>33</v>
      </c>
      <c r="AM12" s="13" t="s">
        <v>31</v>
      </c>
      <c r="AN12" s="13" t="s">
        <v>31</v>
      </c>
      <c r="AO12" s="13" t="s">
        <v>32</v>
      </c>
      <c r="AP12" s="13" t="s">
        <v>32</v>
      </c>
      <c r="AQ12" s="15" t="s">
        <v>33</v>
      </c>
      <c r="AR12" s="15" t="s">
        <v>33</v>
      </c>
      <c r="AS12" s="15" t="s">
        <v>33</v>
      </c>
      <c r="AT12" s="15" t="s">
        <v>33</v>
      </c>
      <c r="AU12" s="15" t="s">
        <v>33</v>
      </c>
      <c r="AV12" s="15" t="s">
        <v>33</v>
      </c>
      <c r="AW12" s="15" t="s">
        <v>33</v>
      </c>
      <c r="AX12" s="15" t="s">
        <v>33</v>
      </c>
      <c r="AY12" s="15" t="s">
        <v>33</v>
      </c>
      <c r="AZ12" s="15" t="s">
        <v>33</v>
      </c>
      <c r="BA12" s="15" t="s">
        <v>33</v>
      </c>
      <c r="BB12" s="15" t="s">
        <v>33</v>
      </c>
      <c r="BC12" s="15" t="s">
        <v>33</v>
      </c>
      <c r="BD12" s="15" t="s">
        <v>33</v>
      </c>
      <c r="BE12" s="15" t="s">
        <v>33</v>
      </c>
      <c r="BF12" s="15" t="s">
        <v>33</v>
      </c>
      <c r="BG12" s="16" t="s">
        <v>33</v>
      </c>
      <c r="BH12" s="16" t="s">
        <v>33</v>
      </c>
      <c r="BI12" s="16" t="s">
        <v>33</v>
      </c>
      <c r="BJ12" s="16" t="s">
        <v>33</v>
      </c>
      <c r="BK12" s="16" t="s">
        <v>33</v>
      </c>
      <c r="BL12" s="16" t="s">
        <v>33</v>
      </c>
      <c r="BM12" s="16" t="s">
        <v>33</v>
      </c>
      <c r="BN12" s="16" t="s">
        <v>33</v>
      </c>
      <c r="BO12" s="16" t="s">
        <v>33</v>
      </c>
      <c r="BP12" s="16" t="s">
        <v>33</v>
      </c>
      <c r="BQ12" s="16" t="s">
        <v>33</v>
      </c>
      <c r="BR12" s="16" t="s">
        <v>33</v>
      </c>
      <c r="BS12" s="16" t="s">
        <v>33</v>
      </c>
      <c r="BT12" s="16" t="s">
        <v>33</v>
      </c>
      <c r="BU12" s="32" t="s">
        <v>33</v>
      </c>
      <c r="BV12" s="32" t="s">
        <v>33</v>
      </c>
      <c r="BW12" s="19" t="s">
        <v>31</v>
      </c>
      <c r="BX12" s="19" t="s">
        <v>31</v>
      </c>
      <c r="BY12" s="19" t="s">
        <v>32</v>
      </c>
      <c r="BZ12" s="19" t="s">
        <v>32</v>
      </c>
      <c r="CA12" s="15" t="s">
        <v>33</v>
      </c>
      <c r="CB12" s="15" t="s">
        <v>33</v>
      </c>
      <c r="CC12" s="15" t="s">
        <v>33</v>
      </c>
      <c r="CD12" s="15" t="s">
        <v>33</v>
      </c>
      <c r="CE12" s="15" t="s">
        <v>33</v>
      </c>
      <c r="CF12" s="15" t="s">
        <v>33</v>
      </c>
      <c r="CG12" s="15" t="s">
        <v>33</v>
      </c>
      <c r="CH12" s="15" t="s">
        <v>33</v>
      </c>
      <c r="CI12" s="15" t="s">
        <v>33</v>
      </c>
      <c r="CJ12" s="15" t="s">
        <v>33</v>
      </c>
      <c r="CK12" s="15" t="s">
        <v>33</v>
      </c>
      <c r="CL12" s="15" t="s">
        <v>33</v>
      </c>
      <c r="CM12" s="15" t="s">
        <v>33</v>
      </c>
      <c r="CN12" s="15" t="s">
        <v>33</v>
      </c>
      <c r="CO12" s="15" t="s">
        <v>33</v>
      </c>
      <c r="CP12" s="15" t="s">
        <v>33</v>
      </c>
      <c r="CQ12" s="18" t="s">
        <v>33</v>
      </c>
      <c r="CR12" s="18" t="s">
        <v>33</v>
      </c>
      <c r="CS12" s="18" t="s">
        <v>33</v>
      </c>
      <c r="CT12" s="18" t="s">
        <v>33</v>
      </c>
      <c r="CU12" s="18" t="s">
        <v>33</v>
      </c>
      <c r="CV12" s="18" t="s">
        <v>33</v>
      </c>
      <c r="CW12" s="18" t="s">
        <v>33</v>
      </c>
      <c r="CX12" s="18" t="s">
        <v>33</v>
      </c>
      <c r="CY12" s="18" t="s">
        <v>33</v>
      </c>
      <c r="CZ12" s="18" t="s">
        <v>33</v>
      </c>
      <c r="DA12" s="18" t="s">
        <v>33</v>
      </c>
      <c r="DB12" s="18" t="s">
        <v>33</v>
      </c>
      <c r="DC12" s="18" t="s">
        <v>33</v>
      </c>
      <c r="DD12" s="18" t="s">
        <v>33</v>
      </c>
      <c r="DE12" s="31" t="s">
        <v>33</v>
      </c>
      <c r="DF12" s="31" t="s">
        <v>33</v>
      </c>
      <c r="DG12" s="13" t="s">
        <v>31</v>
      </c>
      <c r="DH12" s="13" t="s">
        <v>31</v>
      </c>
      <c r="DI12" s="13" t="s">
        <v>32</v>
      </c>
      <c r="DJ12" s="13" t="s">
        <v>32</v>
      </c>
      <c r="DK12" s="15" t="s">
        <v>33</v>
      </c>
      <c r="DL12" s="15" t="s">
        <v>33</v>
      </c>
      <c r="DM12" s="15" t="s">
        <v>33</v>
      </c>
      <c r="DN12" s="15" t="s">
        <v>33</v>
      </c>
      <c r="DO12" s="15" t="s">
        <v>33</v>
      </c>
      <c r="DP12" s="15" t="s">
        <v>33</v>
      </c>
      <c r="DQ12" s="15" t="s">
        <v>33</v>
      </c>
      <c r="DR12" s="15" t="s">
        <v>33</v>
      </c>
      <c r="DS12" s="15" t="s">
        <v>33</v>
      </c>
      <c r="DT12" s="15" t="s">
        <v>33</v>
      </c>
      <c r="DU12" s="15" t="s">
        <v>33</v>
      </c>
      <c r="DV12" s="15" t="s">
        <v>33</v>
      </c>
      <c r="DW12" s="15" t="s">
        <v>33</v>
      </c>
      <c r="DX12" s="15" t="s">
        <v>33</v>
      </c>
      <c r="DY12" s="15" t="s">
        <v>33</v>
      </c>
      <c r="DZ12" s="15" t="s">
        <v>33</v>
      </c>
      <c r="EA12" s="16" t="s">
        <v>33</v>
      </c>
      <c r="EB12" s="16" t="s">
        <v>33</v>
      </c>
      <c r="EC12" s="16" t="s">
        <v>33</v>
      </c>
      <c r="ED12" s="16" t="s">
        <v>33</v>
      </c>
      <c r="EE12" s="16" t="s">
        <v>33</v>
      </c>
      <c r="EF12" s="16" t="s">
        <v>33</v>
      </c>
      <c r="EG12" s="16" t="s">
        <v>33</v>
      </c>
      <c r="EH12" s="16" t="s">
        <v>33</v>
      </c>
      <c r="EI12" s="16" t="s">
        <v>33</v>
      </c>
      <c r="EJ12" s="16" t="s">
        <v>33</v>
      </c>
      <c r="EK12" s="16" t="s">
        <v>33</v>
      </c>
      <c r="EL12" s="16" t="s">
        <v>33</v>
      </c>
      <c r="EM12" s="16" t="s">
        <v>33</v>
      </c>
      <c r="EN12" s="16" t="s">
        <v>33</v>
      </c>
      <c r="EO12" s="32" t="s">
        <v>33</v>
      </c>
      <c r="EP12" s="32" t="s">
        <v>33</v>
      </c>
      <c r="EQ12" s="19" t="s">
        <v>31</v>
      </c>
      <c r="ER12" s="19" t="s">
        <v>31</v>
      </c>
      <c r="ES12" s="19" t="s">
        <v>32</v>
      </c>
      <c r="ET12" s="19" t="s">
        <v>32</v>
      </c>
      <c r="EU12" s="15" t="s">
        <v>33</v>
      </c>
      <c r="EV12" s="15" t="s">
        <v>33</v>
      </c>
      <c r="EW12" s="15" t="s">
        <v>33</v>
      </c>
      <c r="EX12" s="15" t="s">
        <v>33</v>
      </c>
      <c r="EY12" s="15" t="s">
        <v>33</v>
      </c>
      <c r="EZ12" s="15" t="s">
        <v>33</v>
      </c>
      <c r="FA12" s="15" t="s">
        <v>33</v>
      </c>
      <c r="FB12" s="15" t="s">
        <v>33</v>
      </c>
      <c r="FC12" s="15" t="s">
        <v>33</v>
      </c>
      <c r="FD12" s="15" t="s">
        <v>33</v>
      </c>
      <c r="FE12" s="15" t="s">
        <v>33</v>
      </c>
      <c r="FF12" s="15" t="s">
        <v>33</v>
      </c>
      <c r="FG12" s="15" t="s">
        <v>33</v>
      </c>
      <c r="FH12" s="15" t="s">
        <v>33</v>
      </c>
      <c r="FI12" s="15" t="s">
        <v>33</v>
      </c>
      <c r="FJ12" s="15" t="s">
        <v>33</v>
      </c>
      <c r="FK12" s="18" t="s">
        <v>33</v>
      </c>
      <c r="FL12" s="18" t="s">
        <v>33</v>
      </c>
      <c r="FM12" s="18" t="s">
        <v>33</v>
      </c>
      <c r="FN12" s="18" t="s">
        <v>33</v>
      </c>
      <c r="FO12" s="18" t="s">
        <v>33</v>
      </c>
      <c r="FP12" s="18" t="s">
        <v>33</v>
      </c>
      <c r="FQ12" s="18" t="s">
        <v>33</v>
      </c>
      <c r="FR12" s="18" t="s">
        <v>33</v>
      </c>
      <c r="FS12" s="18" t="s">
        <v>33</v>
      </c>
      <c r="FT12" s="18" t="s">
        <v>33</v>
      </c>
      <c r="FU12" s="18" t="s">
        <v>33</v>
      </c>
      <c r="FV12" s="18" t="s">
        <v>33</v>
      </c>
      <c r="FW12" s="18" t="s">
        <v>33</v>
      </c>
      <c r="FX12" s="18" t="s">
        <v>33</v>
      </c>
      <c r="FY12" s="31" t="s">
        <v>33</v>
      </c>
      <c r="FZ12" s="31" t="s">
        <v>33</v>
      </c>
      <c r="GA12" s="12" t="s">
        <v>31</v>
      </c>
      <c r="GB12" s="13" t="s">
        <v>32</v>
      </c>
      <c r="GC12" s="13" t="s">
        <v>33</v>
      </c>
      <c r="GD12" s="13" t="s">
        <v>32</v>
      </c>
      <c r="GE12" s="13" t="s">
        <v>33</v>
      </c>
      <c r="GF12" s="13" t="s">
        <v>32</v>
      </c>
      <c r="GG12" s="13" t="s">
        <v>33</v>
      </c>
      <c r="GH12" s="13" t="s">
        <v>32</v>
      </c>
      <c r="GI12" s="13" t="s">
        <v>33</v>
      </c>
      <c r="GJ12" s="13" t="s">
        <v>32</v>
      </c>
      <c r="GK12" s="13" t="s">
        <v>33</v>
      </c>
      <c r="GL12" s="13" t="s">
        <v>32</v>
      </c>
      <c r="GM12" s="13" t="s">
        <v>33</v>
      </c>
      <c r="GN12" s="13" t="s">
        <v>32</v>
      </c>
      <c r="GO12" s="13" t="s">
        <v>33</v>
      </c>
      <c r="GP12" s="13" t="s">
        <v>32</v>
      </c>
      <c r="GQ12" s="14" t="s">
        <v>33</v>
      </c>
    </row>
    <row r="13" spans="1:205" ht="13.15" customHeight="1">
      <c r="A13" s="421" t="s">
        <v>34</v>
      </c>
      <c r="B13" s="34" t="s">
        <v>35</v>
      </c>
      <c r="C13" s="35">
        <f>SUM(C14:C15)</f>
        <v>266.89999999999998</v>
      </c>
      <c r="D13" s="35">
        <f>SUM(D14:D15)</f>
        <v>266.89999999999998</v>
      </c>
      <c r="E13" s="35">
        <f>IFERROR(C13/$C$64*100,0)</f>
        <v>6.1103479853479854</v>
      </c>
      <c r="F13" s="35">
        <f>IFERROR(D13/$D$64*100,0)</f>
        <v>6.1103479853479854</v>
      </c>
      <c r="G13" s="36" t="s">
        <v>36</v>
      </c>
      <c r="H13" s="36" t="s">
        <v>36</v>
      </c>
      <c r="I13" s="37">
        <f>SUM(I14:I15)</f>
        <v>928325.15999999968</v>
      </c>
      <c r="J13" s="37">
        <f>SUM(J14:J15)</f>
        <v>928325.15999999968</v>
      </c>
      <c r="K13" s="36" t="s">
        <v>36</v>
      </c>
      <c r="L13" s="36" t="s">
        <v>36</v>
      </c>
      <c r="M13" s="37">
        <f>SUM(M14:M15)</f>
        <v>928325.15999999968</v>
      </c>
      <c r="N13" s="37">
        <f>SUM(N14:N15)</f>
        <v>928325.15999999968</v>
      </c>
      <c r="O13" s="36" t="s">
        <v>36</v>
      </c>
      <c r="P13" s="36" t="s">
        <v>36</v>
      </c>
      <c r="Q13" s="37">
        <f>SUM(Q14:Q15)</f>
        <v>0</v>
      </c>
      <c r="R13" s="37">
        <f>SUM(R14:R15)</f>
        <v>0</v>
      </c>
      <c r="S13" s="36" t="s">
        <v>36</v>
      </c>
      <c r="T13" s="36" t="s">
        <v>36</v>
      </c>
      <c r="U13" s="37">
        <f>IFERROR(ROUND(I13/C13,2),0)</f>
        <v>3478.18</v>
      </c>
      <c r="V13" s="37">
        <f>IFERROR(ROUND(J13/D13,2),0)</f>
        <v>3478.18</v>
      </c>
      <c r="W13" s="36" t="s">
        <v>36</v>
      </c>
      <c r="X13" s="36" t="s">
        <v>36</v>
      </c>
      <c r="Y13" s="37">
        <f>SUM(Y14:Y15)</f>
        <v>874674.4</v>
      </c>
      <c r="Z13" s="37">
        <f>SUM(Z14:Z15)</f>
        <v>874674.4</v>
      </c>
      <c r="AA13" s="36" t="s">
        <v>36</v>
      </c>
      <c r="AB13" s="36" t="s">
        <v>36</v>
      </c>
      <c r="AC13" s="37">
        <f>SUM(AC14:AC15)</f>
        <v>874674.4</v>
      </c>
      <c r="AD13" s="37">
        <f>SUM(AD14:AD15)</f>
        <v>874674.4</v>
      </c>
      <c r="AE13" s="36" t="s">
        <v>36</v>
      </c>
      <c r="AF13" s="36" t="s">
        <v>36</v>
      </c>
      <c r="AG13" s="37">
        <f>SUM(AG14:AG15)</f>
        <v>0</v>
      </c>
      <c r="AH13" s="36"/>
      <c r="AI13" s="36" t="s">
        <v>36</v>
      </c>
      <c r="AJ13" s="36" t="s">
        <v>36</v>
      </c>
      <c r="AK13" s="37">
        <f>IFERROR(Y13/C13,0)</f>
        <v>3277.1614837017614</v>
      </c>
      <c r="AL13" s="37">
        <f>IFERROR(Z13/D13,0)</f>
        <v>3277.1614837017614</v>
      </c>
      <c r="AM13" s="35">
        <f>SUM(AM14:AM15)</f>
        <v>256.60000000000002</v>
      </c>
      <c r="AN13" s="35">
        <f>SUM(AN14:AN15)</f>
        <v>256.60000000000002</v>
      </c>
      <c r="AO13" s="35">
        <f>IFERROR(AM13/$AM$64*100,0)</f>
        <v>5.874542124542125</v>
      </c>
      <c r="AP13" s="35">
        <f>IFERROR(AN13/$AN$64*100,0)</f>
        <v>5.874542124542125</v>
      </c>
      <c r="AQ13" s="36" t="s">
        <v>36</v>
      </c>
      <c r="AR13" s="36" t="s">
        <v>36</v>
      </c>
      <c r="AS13" s="37">
        <f>SUM(AS14:AS15)</f>
        <v>898532.83000000019</v>
      </c>
      <c r="AT13" s="37">
        <f>SUM(AT14:AT15)</f>
        <v>898532.83000000019</v>
      </c>
      <c r="AU13" s="36" t="s">
        <v>36</v>
      </c>
      <c r="AV13" s="36" t="s">
        <v>36</v>
      </c>
      <c r="AW13" s="37">
        <f>SUM(AW14:AW15)</f>
        <v>898532.83000000019</v>
      </c>
      <c r="AX13" s="37">
        <f>SUM(AX14:AX15)</f>
        <v>898532.83000000019</v>
      </c>
      <c r="AY13" s="36" t="s">
        <v>36</v>
      </c>
      <c r="AZ13" s="36" t="s">
        <v>36</v>
      </c>
      <c r="BA13" s="37">
        <f>SUM(BA14:BA15)</f>
        <v>0</v>
      </c>
      <c r="BB13" s="37">
        <f>SUM(BB14:BB15)</f>
        <v>0</v>
      </c>
      <c r="BC13" s="36" t="s">
        <v>36</v>
      </c>
      <c r="BD13" s="36" t="s">
        <v>36</v>
      </c>
      <c r="BE13" s="37">
        <f>IFERROR(ROUND(AS13/AM13,2),0)</f>
        <v>3501.69</v>
      </c>
      <c r="BF13" s="37">
        <f>IFERROR(ROUND(AT13/AN13,2),0)</f>
        <v>3501.69</v>
      </c>
      <c r="BG13" s="36" t="s">
        <v>36</v>
      </c>
      <c r="BH13" s="36" t="s">
        <v>36</v>
      </c>
      <c r="BI13" s="37">
        <f>SUM(BI14:BI15)</f>
        <v>872578.91</v>
      </c>
      <c r="BJ13" s="37">
        <f>SUM(BJ14:BJ15)</f>
        <v>872578.91</v>
      </c>
      <c r="BK13" s="36" t="s">
        <v>36</v>
      </c>
      <c r="BL13" s="36" t="s">
        <v>36</v>
      </c>
      <c r="BM13" s="37">
        <f>SUM(BM14:BM15)</f>
        <v>872078.91</v>
      </c>
      <c r="BN13" s="37">
        <f>SUM(BN14:BN15)</f>
        <v>872078.91</v>
      </c>
      <c r="BO13" s="36" t="s">
        <v>36</v>
      </c>
      <c r="BP13" s="36" t="s">
        <v>36</v>
      </c>
      <c r="BQ13" s="37">
        <f>SUM(BQ14:BQ15)</f>
        <v>500</v>
      </c>
      <c r="BR13" s="37">
        <f>SUM(BR14:BR15)</f>
        <v>500</v>
      </c>
      <c r="BS13" s="36" t="s">
        <v>36</v>
      </c>
      <c r="BT13" s="36" t="s">
        <v>36</v>
      </c>
      <c r="BU13" s="37">
        <f>IFERROR(BI13/AM13,0)</f>
        <v>3400.5413484021824</v>
      </c>
      <c r="BV13" s="38">
        <f>IFERROR(BJ13/AN13,0)</f>
        <v>3400.5413484021824</v>
      </c>
      <c r="BW13" s="35">
        <f>SUM(BW14:BW15)</f>
        <v>261.95</v>
      </c>
      <c r="BX13" s="35">
        <f>SUM(BX14:BX15)</f>
        <v>304.20000000000005</v>
      </c>
      <c r="BY13" s="35">
        <f>IFERROR(BW13/$BW$64*100,0)</f>
        <v>5.9318387681159424</v>
      </c>
      <c r="BZ13" s="35">
        <f>IFERROR(BX13/$BX$64*100,0)</f>
        <v>6.8885813234980651</v>
      </c>
      <c r="CA13" s="36" t="s">
        <v>36</v>
      </c>
      <c r="CB13" s="36" t="s">
        <v>36</v>
      </c>
      <c r="CC13" s="37">
        <f>SUM(CC14:CC15)</f>
        <v>1048951.9679974124</v>
      </c>
      <c r="CD13" s="37">
        <f>SUM(CD14:CD15)</f>
        <v>915108.75000000023</v>
      </c>
      <c r="CE13" s="36" t="s">
        <v>36</v>
      </c>
      <c r="CF13" s="36" t="s">
        <v>36</v>
      </c>
      <c r="CG13" s="37">
        <f>SUM(CG14:CG15)</f>
        <v>1048951.9679974124</v>
      </c>
      <c r="CH13" s="37">
        <f>SUM(CH14:CH15)</f>
        <v>915108.75000000023</v>
      </c>
      <c r="CI13" s="36" t="s">
        <v>36</v>
      </c>
      <c r="CJ13" s="36" t="s">
        <v>36</v>
      </c>
      <c r="CK13" s="37">
        <f>SUM(CK14:CK15)</f>
        <v>0</v>
      </c>
      <c r="CL13" s="37">
        <f>SUM(CL14:CL15)</f>
        <v>0</v>
      </c>
      <c r="CM13" s="36" t="s">
        <v>36</v>
      </c>
      <c r="CN13" s="36" t="s">
        <v>36</v>
      </c>
      <c r="CO13" s="37">
        <f>IFERROR(ROUND(CC13/BW13,2),0)</f>
        <v>4004.4</v>
      </c>
      <c r="CP13" s="37">
        <f>IFERROR(ROUND(CD13/BX13,2),0)</f>
        <v>3008.25</v>
      </c>
      <c r="CQ13" s="36" t="s">
        <v>36</v>
      </c>
      <c r="CR13" s="36" t="s">
        <v>36</v>
      </c>
      <c r="CS13" s="37">
        <f>SUM(CS14:CS15)</f>
        <v>1053120.1399999999</v>
      </c>
      <c r="CT13" s="37">
        <f>SUM(CT14:CT15)</f>
        <v>1027575.5900000004</v>
      </c>
      <c r="CU13" s="36" t="s">
        <v>36</v>
      </c>
      <c r="CV13" s="36" t="s">
        <v>36</v>
      </c>
      <c r="CW13" s="37">
        <f>SUM(CW14:CW15)</f>
        <v>1053120.1399999999</v>
      </c>
      <c r="CX13" s="37">
        <f>SUM(CX14:CX15)</f>
        <v>1027575.5900000004</v>
      </c>
      <c r="CY13" s="36" t="s">
        <v>36</v>
      </c>
      <c r="CZ13" s="36" t="s">
        <v>36</v>
      </c>
      <c r="DA13" s="37">
        <f>SUM(DA14:DA15)</f>
        <v>0</v>
      </c>
      <c r="DB13" s="37"/>
      <c r="DC13" s="36" t="s">
        <v>36</v>
      </c>
      <c r="DD13" s="36" t="s">
        <v>36</v>
      </c>
      <c r="DE13" s="37">
        <f>IFERROR(CS13/BW13,0)</f>
        <v>4020.3097537698031</v>
      </c>
      <c r="DF13" s="37">
        <f>IFERROR(CT13/BX13,0)</f>
        <v>3377.9605193951356</v>
      </c>
      <c r="DG13" s="35">
        <v>253.40833333333336</v>
      </c>
      <c r="DH13" s="35">
        <v>381.2</v>
      </c>
      <c r="DI13" s="35">
        <v>5.7384133454106276</v>
      </c>
      <c r="DJ13" s="35">
        <v>8.6322463768115956</v>
      </c>
      <c r="DK13" s="36" t="s">
        <v>36</v>
      </c>
      <c r="DL13" s="36" t="s">
        <v>36</v>
      </c>
      <c r="DM13" s="37">
        <v>1033502.6582063971</v>
      </c>
      <c r="DN13" s="37">
        <v>999319.16999999958</v>
      </c>
      <c r="DO13" s="36" t="s">
        <v>36</v>
      </c>
      <c r="DP13" s="36" t="s">
        <v>36</v>
      </c>
      <c r="DQ13" s="37">
        <v>1033502.6582063971</v>
      </c>
      <c r="DR13" s="37">
        <v>999319.16999999958</v>
      </c>
      <c r="DS13" s="36" t="s">
        <v>36</v>
      </c>
      <c r="DT13" s="36" t="s">
        <v>36</v>
      </c>
      <c r="DU13" s="37">
        <v>0</v>
      </c>
      <c r="DV13" s="37">
        <v>0</v>
      </c>
      <c r="DW13" s="36" t="s">
        <v>36</v>
      </c>
      <c r="DX13" s="36" t="s">
        <v>36</v>
      </c>
      <c r="DY13" s="37">
        <v>4078.41</v>
      </c>
      <c r="DZ13" s="37">
        <v>2621.51</v>
      </c>
      <c r="EA13" s="36" t="s">
        <v>36</v>
      </c>
      <c r="EB13" s="36" t="s">
        <v>36</v>
      </c>
      <c r="EC13" s="37">
        <v>1037609.44</v>
      </c>
      <c r="ED13" s="37">
        <v>962891.33</v>
      </c>
      <c r="EE13" s="36" t="s">
        <v>36</v>
      </c>
      <c r="EF13" s="36" t="s">
        <v>36</v>
      </c>
      <c r="EG13" s="37">
        <v>1037609.44</v>
      </c>
      <c r="EH13" s="37">
        <v>962891.33</v>
      </c>
      <c r="EI13" s="36" t="s">
        <v>36</v>
      </c>
      <c r="EJ13" s="36" t="s">
        <v>36</v>
      </c>
      <c r="EK13" s="37">
        <v>0</v>
      </c>
      <c r="EL13" s="36"/>
      <c r="EM13" s="36" t="s">
        <v>36</v>
      </c>
      <c r="EN13" s="36" t="s">
        <v>36</v>
      </c>
      <c r="EO13" s="37">
        <v>4094.6145154395076</v>
      </c>
      <c r="EP13" s="37">
        <v>2525.9478751311649</v>
      </c>
      <c r="EQ13" s="35">
        <v>1038.8583333333333</v>
      </c>
      <c r="ER13" s="35">
        <v>1208.9000000000001</v>
      </c>
      <c r="ES13" s="35">
        <v>5.9133557225258047</v>
      </c>
      <c r="ET13" s="35">
        <v>6.881259969888756</v>
      </c>
      <c r="EU13" s="36" t="s">
        <v>36</v>
      </c>
      <c r="EV13" s="36" t="s">
        <v>36</v>
      </c>
      <c r="EW13" s="37">
        <v>3909312.6162038096</v>
      </c>
      <c r="EX13" s="37">
        <v>3741285.9099999997</v>
      </c>
      <c r="EY13" s="36" t="s">
        <v>36</v>
      </c>
      <c r="EZ13" s="36" t="s">
        <v>36</v>
      </c>
      <c r="FA13" s="37">
        <v>3909312.6162038096</v>
      </c>
      <c r="FB13" s="37">
        <v>3741285.9099999997</v>
      </c>
      <c r="FC13" s="36" t="s">
        <v>36</v>
      </c>
      <c r="FD13" s="36" t="s">
        <v>36</v>
      </c>
      <c r="FE13" s="37">
        <v>0</v>
      </c>
      <c r="FF13" s="37">
        <v>0</v>
      </c>
      <c r="FG13" s="36" t="s">
        <v>36</v>
      </c>
      <c r="FH13" s="36" t="s">
        <v>36</v>
      </c>
      <c r="FI13" s="37">
        <v>3763.09</v>
      </c>
      <c r="FJ13" s="37">
        <v>3094.79</v>
      </c>
      <c r="FK13" s="36" t="s">
        <v>36</v>
      </c>
      <c r="FL13" s="36" t="s">
        <v>36</v>
      </c>
      <c r="FM13" s="37">
        <v>3837982.89</v>
      </c>
      <c r="FN13" s="37">
        <v>3737720.2300000004</v>
      </c>
      <c r="FO13" s="36" t="s">
        <v>36</v>
      </c>
      <c r="FP13" s="36" t="s">
        <v>36</v>
      </c>
      <c r="FQ13" s="37">
        <v>3837482.89</v>
      </c>
      <c r="FR13" s="37">
        <v>3737220.2300000004</v>
      </c>
      <c r="FS13" s="36" t="s">
        <v>36</v>
      </c>
      <c r="FT13" s="36" t="s">
        <v>36</v>
      </c>
      <c r="FU13" s="37">
        <v>500</v>
      </c>
      <c r="FV13" s="37">
        <v>500</v>
      </c>
      <c r="FW13" s="36" t="s">
        <v>36</v>
      </c>
      <c r="FX13" s="36" t="s">
        <v>36</v>
      </c>
      <c r="FY13" s="37">
        <v>3694.4237408052109</v>
      </c>
      <c r="FZ13" s="37">
        <v>3091.8357432376542</v>
      </c>
      <c r="GA13" s="39">
        <v>170.04166666666674</v>
      </c>
      <c r="GB13" s="35">
        <v>16.368128474366905</v>
      </c>
      <c r="GC13" s="36" t="s">
        <v>36</v>
      </c>
      <c r="GD13" s="40" t="s">
        <v>36</v>
      </c>
      <c r="GE13" s="41">
        <v>-168026.70620380994</v>
      </c>
      <c r="GF13" s="40">
        <v>-4.2981138297139898</v>
      </c>
      <c r="GG13" s="36" t="s">
        <v>36</v>
      </c>
      <c r="GH13" s="42" t="s">
        <v>36</v>
      </c>
      <c r="GI13" s="41">
        <v>-168026.70620380994</v>
      </c>
      <c r="GJ13" s="40">
        <v>-4.2981138297139898</v>
      </c>
      <c r="GK13" s="36" t="s">
        <v>36</v>
      </c>
      <c r="GL13" s="43" t="s">
        <v>36</v>
      </c>
      <c r="GM13" s="41">
        <v>0</v>
      </c>
      <c r="GN13" s="40" t="s">
        <v>88</v>
      </c>
      <c r="GO13" s="36" t="s">
        <v>36</v>
      </c>
      <c r="GP13" s="42" t="s">
        <v>36</v>
      </c>
      <c r="GQ13" s="41">
        <v>-668.30000000000018</v>
      </c>
      <c r="GR13" s="44"/>
      <c r="GS13" s="44"/>
      <c r="GT13" s="44"/>
      <c r="GU13" s="44"/>
      <c r="GV13" s="44"/>
      <c r="GW13" s="44"/>
    </row>
    <row r="14" spans="1:205" ht="13.15" customHeight="1">
      <c r="A14" s="418"/>
      <c r="B14" s="45" t="s">
        <v>38</v>
      </c>
      <c r="C14" s="46">
        <f>D14</f>
        <v>240.5</v>
      </c>
      <c r="D14" s="46">
        <f>VLOOKUP($B13,[1]!LTV1_RL2[[LTV1]:[Q1]],2,0)</f>
        <v>240.5</v>
      </c>
      <c r="E14" s="46">
        <f>IFERROR(C14/$C$65*100,0)</f>
        <v>11.011904761904761</v>
      </c>
      <c r="F14" s="46">
        <f>IFERROR(D14/$D$65*100,0)</f>
        <v>11.011904761904761</v>
      </c>
      <c r="G14" s="47" t="s">
        <v>36</v>
      </c>
      <c r="H14" s="47" t="s">
        <v>36</v>
      </c>
      <c r="I14" s="48">
        <f>J14</f>
        <v>862680.88999999966</v>
      </c>
      <c r="J14" s="48">
        <v>862680.88999999966</v>
      </c>
      <c r="K14" s="47" t="s">
        <v>36</v>
      </c>
      <c r="L14" s="47" t="s">
        <v>36</v>
      </c>
      <c r="M14" s="48">
        <f>I14-Q14</f>
        <v>862680.88999999966</v>
      </c>
      <c r="N14" s="48">
        <f>J14-R14</f>
        <v>862680.88999999966</v>
      </c>
      <c r="O14" s="47" t="s">
        <v>36</v>
      </c>
      <c r="P14" s="47" t="s">
        <v>36</v>
      </c>
      <c r="Q14" s="48"/>
      <c r="R14" s="48"/>
      <c r="S14" s="47" t="s">
        <v>36</v>
      </c>
      <c r="T14" s="47" t="s">
        <v>36</v>
      </c>
      <c r="U14" s="48">
        <f>IFERROR(ROUND(I14/C14,2),0)</f>
        <v>3587.03</v>
      </c>
      <c r="V14" s="48">
        <f>IFERROR(ROUND(J14/D14,2),0)</f>
        <v>3587.03</v>
      </c>
      <c r="W14" s="47" t="s">
        <v>36</v>
      </c>
      <c r="X14" s="47" t="s">
        <v>36</v>
      </c>
      <c r="Y14" s="48">
        <f>Z14</f>
        <v>874674.4</v>
      </c>
      <c r="Z14" s="48">
        <f>[1]Fakts_Izd!Z40</f>
        <v>874674.4</v>
      </c>
      <c r="AA14" s="47" t="s">
        <v>36</v>
      </c>
      <c r="AB14" s="47" t="s">
        <v>36</v>
      </c>
      <c r="AC14" s="48">
        <f>Y14-AG14</f>
        <v>874674.4</v>
      </c>
      <c r="AD14" s="48">
        <f>Z14-AH14</f>
        <v>874674.4</v>
      </c>
      <c r="AE14" s="47" t="s">
        <v>36</v>
      </c>
      <c r="AF14" s="47" t="s">
        <v>36</v>
      </c>
      <c r="AG14" s="48">
        <f>SUMIFS([1]SP2024!$BO$7:$BO$148,[1]SP2024!$J$7:$J$148,$B13,[1]SP2024!$K$7:$K$148,$B14)</f>
        <v>0</v>
      </c>
      <c r="AH14" s="47"/>
      <c r="AI14" s="47" t="s">
        <v>36</v>
      </c>
      <c r="AJ14" s="47" t="s">
        <v>36</v>
      </c>
      <c r="AK14" s="48">
        <f>IFERROR(Y14/C14,0)</f>
        <v>3636.8997920997922</v>
      </c>
      <c r="AL14" s="48">
        <f>IFERROR(Z14/D14,0)</f>
        <v>3636.8997920997922</v>
      </c>
      <c r="AM14" s="46">
        <f>AN14</f>
        <v>229.3</v>
      </c>
      <c r="AN14" s="46">
        <f>VLOOKUP($B13,[1]!LTV1_RL2[[LTV1]:[Q2]],3,0)</f>
        <v>229.3</v>
      </c>
      <c r="AO14" s="46">
        <f>IFERROR(AM14/$AM$65*100,0)</f>
        <v>10.49908424908425</v>
      </c>
      <c r="AP14" s="46">
        <f>IFERROR(AN14/$AN$65*100,0)</f>
        <v>10.49908424908425</v>
      </c>
      <c r="AQ14" s="47" t="s">
        <v>36</v>
      </c>
      <c r="AR14" s="47" t="s">
        <v>36</v>
      </c>
      <c r="AS14" s="48">
        <f>AT14</f>
        <v>877656.92000000016</v>
      </c>
      <c r="AT14" s="48">
        <v>877656.92000000016</v>
      </c>
      <c r="AU14" s="47" t="s">
        <v>36</v>
      </c>
      <c r="AV14" s="47" t="s">
        <v>36</v>
      </c>
      <c r="AW14" s="48">
        <f>AS14-BA14</f>
        <v>877656.92000000016</v>
      </c>
      <c r="AX14" s="48">
        <f>AT14-BB14</f>
        <v>877656.92000000016</v>
      </c>
      <c r="AY14" s="47" t="s">
        <v>36</v>
      </c>
      <c r="AZ14" s="47" t="s">
        <v>36</v>
      </c>
      <c r="BA14" s="48"/>
      <c r="BB14" s="48"/>
      <c r="BC14" s="47" t="s">
        <v>36</v>
      </c>
      <c r="BD14" s="47" t="s">
        <v>36</v>
      </c>
      <c r="BE14" s="48">
        <f>IFERROR(ROUND(AS14/AM14,2),0)</f>
        <v>3827.55</v>
      </c>
      <c r="BF14" s="48">
        <f>IFERROR(ROUND(AT14/AN14,2),0)</f>
        <v>3827.55</v>
      </c>
      <c r="BG14" s="47" t="s">
        <v>36</v>
      </c>
      <c r="BH14" s="47" t="s">
        <v>36</v>
      </c>
      <c r="BI14" s="48">
        <f>BJ14</f>
        <v>872578.91</v>
      </c>
      <c r="BJ14" s="48">
        <f>[1]Fakts_Izd!AA40</f>
        <v>872578.91</v>
      </c>
      <c r="BK14" s="47" t="s">
        <v>36</v>
      </c>
      <c r="BL14" s="47" t="s">
        <v>36</v>
      </c>
      <c r="BM14" s="48">
        <f>BI14-BQ14</f>
        <v>872078.91</v>
      </c>
      <c r="BN14" s="48">
        <f>BJ14-BR14</f>
        <v>872078.91</v>
      </c>
      <c r="BO14" s="47" t="s">
        <v>36</v>
      </c>
      <c r="BP14" s="47" t="s">
        <v>36</v>
      </c>
      <c r="BQ14" s="48">
        <f>BR14</f>
        <v>500</v>
      </c>
      <c r="BR14" s="48">
        <v>500</v>
      </c>
      <c r="BS14" s="47" t="s">
        <v>36</v>
      </c>
      <c r="BT14" s="47" t="s">
        <v>36</v>
      </c>
      <c r="BU14" s="48">
        <f t="shared" ref="BU14:BV77" si="0">IFERROR(BI14/AM14,0)</f>
        <v>3805.4030091583077</v>
      </c>
      <c r="BV14" s="49">
        <f t="shared" si="0"/>
        <v>3805.4030091583077</v>
      </c>
      <c r="BW14" s="46">
        <f>SUMIFS([1]SP2024!$AW$7:$AW$148,[1]SP2024!$L$7:$L$148,$B13,[1]SP2024!$M$7:$M$148,$B14)</f>
        <v>256.66666666666663</v>
      </c>
      <c r="BX14" s="46">
        <f>VLOOKUP($B13,[1]!LTV1_RL2[[LTV1]:[Q3]],4,0)</f>
        <v>235.8</v>
      </c>
      <c r="BY14" s="46">
        <f>IFERROR(BW14/$BW$65*100,0)</f>
        <v>11.6243961352657</v>
      </c>
      <c r="BZ14" s="46">
        <f>IFERROR(BX14/$BX$65*100,0)</f>
        <v>10.679335734447767</v>
      </c>
      <c r="CA14" s="47" t="s">
        <v>36</v>
      </c>
      <c r="CB14" s="47" t="s">
        <v>36</v>
      </c>
      <c r="CC14" s="48">
        <f>CS14*'[2]Pielikums nr. 1.'!$EY$14</f>
        <v>1004765.0415468321</v>
      </c>
      <c r="CD14" s="48">
        <v>857198.77000000025</v>
      </c>
      <c r="CE14" s="47" t="s">
        <v>36</v>
      </c>
      <c r="CF14" s="47" t="s">
        <v>36</v>
      </c>
      <c r="CG14" s="48">
        <f>CC14-CK14</f>
        <v>1004765.0415468321</v>
      </c>
      <c r="CH14" s="48">
        <f>CD14-CL14</f>
        <v>857198.77000000025</v>
      </c>
      <c r="CI14" s="47" t="s">
        <v>36</v>
      </c>
      <c r="CJ14" s="47" t="s">
        <v>36</v>
      </c>
      <c r="CK14" s="48"/>
      <c r="CL14" s="48"/>
      <c r="CM14" s="47" t="s">
        <v>36</v>
      </c>
      <c r="CN14" s="47" t="s">
        <v>36</v>
      </c>
      <c r="CO14" s="48">
        <f>IFERROR(ROUND(CC14/BW14,2),0)</f>
        <v>3914.67</v>
      </c>
      <c r="CP14" s="48">
        <f>IFERROR(ROUND(CD14/BX14,2),0)</f>
        <v>3635.28</v>
      </c>
      <c r="CQ14" s="47" t="s">
        <v>36</v>
      </c>
      <c r="CR14" s="47" t="s">
        <v>36</v>
      </c>
      <c r="CS14" s="48">
        <f>SUMIFS([1]SP2024!$BS$7:$BS$148,[1]SP2024!$L$7:$L$148,$B13,[1]SP2024!$M$7:$M$148,$B14)-40000</f>
        <v>1008757.6299999999</v>
      </c>
      <c r="CT14" s="48">
        <f>[1]Fakts_Izd!AB40</f>
        <v>1027575.5900000004</v>
      </c>
      <c r="CU14" s="47" t="s">
        <v>36</v>
      </c>
      <c r="CV14" s="47" t="s">
        <v>36</v>
      </c>
      <c r="CW14" s="48">
        <f>CS14-DA14</f>
        <v>1008757.6299999999</v>
      </c>
      <c r="CX14" s="48">
        <f>CT14-DB14</f>
        <v>1027575.5900000004</v>
      </c>
      <c r="CY14" s="47" t="s">
        <v>36</v>
      </c>
      <c r="CZ14" s="47" t="s">
        <v>36</v>
      </c>
      <c r="DA14" s="48">
        <f>SUMIFS([1]SP2024!$BQ$7:$BQ$148,[1]SP2024!$J$7:$J$148,$B13,[1]SP2024!$K$7:$K$148,$B14)</f>
        <v>0</v>
      </c>
      <c r="DB14" s="48"/>
      <c r="DC14" s="47" t="s">
        <v>36</v>
      </c>
      <c r="DD14" s="47" t="s">
        <v>36</v>
      </c>
      <c r="DE14" s="48">
        <f t="shared" ref="DE14:DF77" si="1">IFERROR(CS14/BW14,0)</f>
        <v>3930.2245324675328</v>
      </c>
      <c r="DF14" s="48">
        <f t="shared" si="1"/>
        <v>4357.8269296013586</v>
      </c>
      <c r="DG14" s="46">
        <v>248.50000000000003</v>
      </c>
      <c r="DH14" s="46">
        <v>227.1</v>
      </c>
      <c r="DI14" s="46">
        <v>11.254528985507244</v>
      </c>
      <c r="DJ14" s="46">
        <v>10.285326086956523</v>
      </c>
      <c r="DK14" s="47" t="s">
        <v>36</v>
      </c>
      <c r="DL14" s="47" t="s">
        <v>36</v>
      </c>
      <c r="DM14" s="48">
        <v>992663.22995677765</v>
      </c>
      <c r="DN14" s="48">
        <v>937824.95999999961</v>
      </c>
      <c r="DO14" s="47" t="s">
        <v>36</v>
      </c>
      <c r="DP14" s="47" t="s">
        <v>36</v>
      </c>
      <c r="DQ14" s="48">
        <v>992663.22995677765</v>
      </c>
      <c r="DR14" s="48">
        <v>937824.95999999961</v>
      </c>
      <c r="DS14" s="47" t="s">
        <v>36</v>
      </c>
      <c r="DT14" s="47" t="s">
        <v>36</v>
      </c>
      <c r="DU14" s="48"/>
      <c r="DV14" s="48"/>
      <c r="DW14" s="47" t="s">
        <v>36</v>
      </c>
      <c r="DX14" s="47" t="s">
        <v>36</v>
      </c>
      <c r="DY14" s="48">
        <v>3994.62</v>
      </c>
      <c r="DZ14" s="48">
        <v>4129.57</v>
      </c>
      <c r="EA14" s="47" t="s">
        <v>36</v>
      </c>
      <c r="EB14" s="47" t="s">
        <v>36</v>
      </c>
      <c r="EC14" s="48">
        <v>996607.73</v>
      </c>
      <c r="ED14" s="48">
        <v>962891.33</v>
      </c>
      <c r="EE14" s="47" t="s">
        <v>36</v>
      </c>
      <c r="EF14" s="47" t="s">
        <v>36</v>
      </c>
      <c r="EG14" s="48">
        <v>996607.73</v>
      </c>
      <c r="EH14" s="48">
        <v>962891.33</v>
      </c>
      <c r="EI14" s="47" t="s">
        <v>36</v>
      </c>
      <c r="EJ14" s="47" t="s">
        <v>36</v>
      </c>
      <c r="EK14" s="48">
        <v>0</v>
      </c>
      <c r="EL14" s="47"/>
      <c r="EM14" s="47" t="s">
        <v>36</v>
      </c>
      <c r="EN14" s="47" t="s">
        <v>36</v>
      </c>
      <c r="EO14" s="48">
        <v>4010.4938832997982</v>
      </c>
      <c r="EP14" s="48">
        <v>4239.9442095992954</v>
      </c>
      <c r="EQ14" s="46">
        <v>974.9666666666667</v>
      </c>
      <c r="ER14" s="46">
        <v>932.7</v>
      </c>
      <c r="ES14" s="46">
        <v>11.09934729811779</v>
      </c>
      <c r="ET14" s="46">
        <v>10.618166376887984</v>
      </c>
      <c r="EU14" s="47" t="s">
        <v>36</v>
      </c>
      <c r="EV14" s="47" t="s">
        <v>36</v>
      </c>
      <c r="EW14" s="48">
        <v>3737766.0815036097</v>
      </c>
      <c r="EX14" s="48">
        <v>3535361.5399999996</v>
      </c>
      <c r="EY14" s="47" t="s">
        <v>36</v>
      </c>
      <c r="EZ14" s="47" t="s">
        <v>36</v>
      </c>
      <c r="FA14" s="48">
        <v>3737766.0815036097</v>
      </c>
      <c r="FB14" s="48">
        <v>3535361.5399999996</v>
      </c>
      <c r="FC14" s="47" t="s">
        <v>36</v>
      </c>
      <c r="FD14" s="47" t="s">
        <v>36</v>
      </c>
      <c r="FE14" s="48">
        <v>0</v>
      </c>
      <c r="FF14" s="48">
        <v>0</v>
      </c>
      <c r="FG14" s="47" t="s">
        <v>36</v>
      </c>
      <c r="FH14" s="47" t="s">
        <v>36</v>
      </c>
      <c r="FI14" s="48">
        <v>3833.74</v>
      </c>
      <c r="FJ14" s="48">
        <v>3790.46</v>
      </c>
      <c r="FK14" s="47" t="s">
        <v>36</v>
      </c>
      <c r="FL14" s="47" t="s">
        <v>36</v>
      </c>
      <c r="FM14" s="48">
        <v>3752618.67</v>
      </c>
      <c r="FN14" s="48">
        <v>3737720.2300000004</v>
      </c>
      <c r="FO14" s="47" t="s">
        <v>36</v>
      </c>
      <c r="FP14" s="47" t="s">
        <v>36</v>
      </c>
      <c r="FQ14" s="48">
        <v>3752118.67</v>
      </c>
      <c r="FR14" s="48">
        <v>3737220.2300000004</v>
      </c>
      <c r="FS14" s="47" t="s">
        <v>36</v>
      </c>
      <c r="FT14" s="47" t="s">
        <v>36</v>
      </c>
      <c r="FU14" s="48">
        <v>500</v>
      </c>
      <c r="FV14" s="48">
        <v>500</v>
      </c>
      <c r="FW14" s="47" t="s">
        <v>36</v>
      </c>
      <c r="FX14" s="47" t="s">
        <v>36</v>
      </c>
      <c r="FY14" s="48">
        <v>3848.9712502991551</v>
      </c>
      <c r="FZ14" s="48">
        <v>4007.4195668489333</v>
      </c>
      <c r="GA14" s="50">
        <v>-42.266666666666652</v>
      </c>
      <c r="GB14" s="46">
        <v>-4.3351909466990302</v>
      </c>
      <c r="GC14" s="47" t="s">
        <v>36</v>
      </c>
      <c r="GD14" s="46" t="s">
        <v>36</v>
      </c>
      <c r="GE14" s="51">
        <v>-202404.54150361009</v>
      </c>
      <c r="GF14" s="46">
        <v>-5.4151206118866586</v>
      </c>
      <c r="GG14" s="47" t="s">
        <v>36</v>
      </c>
      <c r="GH14" s="52" t="s">
        <v>36</v>
      </c>
      <c r="GI14" s="51">
        <v>-202404.54150361009</v>
      </c>
      <c r="GJ14" s="46">
        <v>-5.4151206118866586</v>
      </c>
      <c r="GK14" s="47" t="s">
        <v>36</v>
      </c>
      <c r="GL14" s="53" t="s">
        <v>36</v>
      </c>
      <c r="GM14" s="51">
        <v>0</v>
      </c>
      <c r="GN14" s="46" t="s">
        <v>88</v>
      </c>
      <c r="GO14" s="47" t="s">
        <v>36</v>
      </c>
      <c r="GP14" s="52" t="s">
        <v>36</v>
      </c>
      <c r="GQ14" s="51">
        <v>-43.279999999999745</v>
      </c>
      <c r="GR14" s="44"/>
      <c r="GS14" s="54"/>
      <c r="GT14" s="44"/>
      <c r="GU14" s="44"/>
      <c r="GV14" s="44"/>
      <c r="GW14" s="44"/>
    </row>
    <row r="15" spans="1:205" ht="13.15" customHeight="1">
      <c r="A15" s="418"/>
      <c r="B15" s="45" t="s">
        <v>39</v>
      </c>
      <c r="C15" s="46">
        <f>D15</f>
        <v>26.4</v>
      </c>
      <c r="D15" s="46">
        <f>VLOOKUP($B13,[1]!LTV7_RL7[[LTV7]:[Q1]],2,0)</f>
        <v>26.4</v>
      </c>
      <c r="E15" s="46">
        <f>IFERROR(C15/$C$66*100,0)</f>
        <v>1.2087912087912087</v>
      </c>
      <c r="F15" s="46">
        <f>IFERROR(D15/$D$66*100,0)</f>
        <v>1.2087912087912087</v>
      </c>
      <c r="G15" s="55" t="s">
        <v>36</v>
      </c>
      <c r="H15" s="55" t="s">
        <v>36</v>
      </c>
      <c r="I15" s="48">
        <f t="shared" ref="I15:I56" si="2">J15</f>
        <v>65644.27</v>
      </c>
      <c r="J15" s="48">
        <v>65644.27</v>
      </c>
      <c r="K15" s="55" t="s">
        <v>36</v>
      </c>
      <c r="L15" s="55" t="s">
        <v>36</v>
      </c>
      <c r="M15" s="48">
        <f>I15-Q15</f>
        <v>65644.27</v>
      </c>
      <c r="N15" s="48">
        <f>J15-R15</f>
        <v>65644.27</v>
      </c>
      <c r="O15" s="55" t="s">
        <v>36</v>
      </c>
      <c r="P15" s="55" t="s">
        <v>36</v>
      </c>
      <c r="Q15" s="48"/>
      <c r="R15" s="48"/>
      <c r="S15" s="55" t="s">
        <v>36</v>
      </c>
      <c r="T15" s="55" t="s">
        <v>36</v>
      </c>
      <c r="U15" s="48">
        <f t="shared" ref="U15:V45" si="3">IFERROR(ROUND(I15/C15,2),0)</f>
        <v>2486.5300000000002</v>
      </c>
      <c r="V15" s="48">
        <f t="shared" si="3"/>
        <v>2486.5300000000002</v>
      </c>
      <c r="W15" s="55" t="s">
        <v>36</v>
      </c>
      <c r="X15" s="55" t="s">
        <v>36</v>
      </c>
      <c r="Y15" s="48">
        <f>SUMIFS([1]SP2024!$BK$7:$BK$148,[1]SP2024!$J$7:$J$148,$B13,[1]SP2024!$K$7:$K$148,$B15)</f>
        <v>0</v>
      </c>
      <c r="Z15" s="48">
        <f>[1]Fakts_Izd!Z41</f>
        <v>0</v>
      </c>
      <c r="AA15" s="55" t="s">
        <v>36</v>
      </c>
      <c r="AB15" s="55" t="s">
        <v>36</v>
      </c>
      <c r="AC15" s="48">
        <f>Y15-AG15</f>
        <v>0</v>
      </c>
      <c r="AD15" s="48">
        <f>Z15-AH15</f>
        <v>0</v>
      </c>
      <c r="AE15" s="55" t="s">
        <v>36</v>
      </c>
      <c r="AF15" s="55" t="s">
        <v>36</v>
      </c>
      <c r="AG15" s="48">
        <f>SUMIFS([1]SP2024!$BO$7:$BO$148,[1]SP2024!$J$7:$J$148,$B13,[1]SP2024!$K$7:$K$148,$B15)</f>
        <v>0</v>
      </c>
      <c r="AH15" s="55"/>
      <c r="AI15" s="55" t="s">
        <v>36</v>
      </c>
      <c r="AJ15" s="55" t="s">
        <v>36</v>
      </c>
      <c r="AK15" s="48">
        <f t="shared" ref="AK15:AL77" si="4">IFERROR(Y15/C15,0)</f>
        <v>0</v>
      </c>
      <c r="AL15" s="48">
        <f t="shared" si="4"/>
        <v>0</v>
      </c>
      <c r="AM15" s="46">
        <f>AN15</f>
        <v>27.3</v>
      </c>
      <c r="AN15" s="46">
        <f>VLOOKUP($B13,[1]!LTV7_RL7[[LTV7]:[Q2]],3,0)</f>
        <v>27.3</v>
      </c>
      <c r="AO15" s="46">
        <f>IFERROR(AM15/$AM$65*100,0)</f>
        <v>1.25</v>
      </c>
      <c r="AP15" s="46">
        <f>IFERROR(AN15/$AN$66*100,0)</f>
        <v>1.2500000000000002</v>
      </c>
      <c r="AQ15" s="55" t="s">
        <v>36</v>
      </c>
      <c r="AR15" s="55" t="s">
        <v>36</v>
      </c>
      <c r="AS15" s="48">
        <f>AT15</f>
        <v>20875.91</v>
      </c>
      <c r="AT15" s="48">
        <v>20875.91</v>
      </c>
      <c r="AU15" s="55" t="s">
        <v>36</v>
      </c>
      <c r="AV15" s="55" t="s">
        <v>36</v>
      </c>
      <c r="AW15" s="48">
        <f>AS15-BA15</f>
        <v>20875.91</v>
      </c>
      <c r="AX15" s="48">
        <f>AT15-BB15</f>
        <v>20875.91</v>
      </c>
      <c r="AY15" s="55" t="s">
        <v>36</v>
      </c>
      <c r="AZ15" s="55" t="s">
        <v>36</v>
      </c>
      <c r="BA15" s="48"/>
      <c r="BB15" s="48"/>
      <c r="BC15" s="55" t="s">
        <v>36</v>
      </c>
      <c r="BD15" s="55" t="s">
        <v>36</v>
      </c>
      <c r="BE15" s="48">
        <f t="shared" ref="BE15:BF37" si="5">IFERROR(ROUND(AS15/AM15,2),0)</f>
        <v>764.69</v>
      </c>
      <c r="BF15" s="48">
        <f t="shared" si="5"/>
        <v>764.69</v>
      </c>
      <c r="BG15" s="55" t="s">
        <v>36</v>
      </c>
      <c r="BH15" s="55" t="s">
        <v>36</v>
      </c>
      <c r="BI15" s="48">
        <f>BJ15</f>
        <v>0</v>
      </c>
      <c r="BJ15" s="48">
        <f>[1]Fakts_Izd!AA41</f>
        <v>0</v>
      </c>
      <c r="BK15" s="55" t="s">
        <v>36</v>
      </c>
      <c r="BL15" s="55" t="s">
        <v>36</v>
      </c>
      <c r="BM15" s="48">
        <f>BI15-BQ15</f>
        <v>0</v>
      </c>
      <c r="BN15" s="48">
        <f>BJ15-BR15</f>
        <v>0</v>
      </c>
      <c r="BO15" s="55" t="s">
        <v>36</v>
      </c>
      <c r="BP15" s="55" t="s">
        <v>36</v>
      </c>
      <c r="BQ15" s="48">
        <f>SUMIFS([1]SP2024!$BP$7:$BP$148,[1]SP2024!$J$7:$J$148,$B13,[1]SP2024!$K$7:$K$148,$B15)</f>
        <v>0</v>
      </c>
      <c r="BR15" s="48"/>
      <c r="BS15" s="55" t="s">
        <v>36</v>
      </c>
      <c r="BT15" s="55" t="s">
        <v>36</v>
      </c>
      <c r="BU15" s="48">
        <f t="shared" si="0"/>
        <v>0</v>
      </c>
      <c r="BV15" s="49">
        <f t="shared" si="0"/>
        <v>0</v>
      </c>
      <c r="BW15" s="46">
        <f>SUMIFS([1]SP2024!$AW$7:$AW$148,[1]SP2024!$L$7:$L$148,$B13,[1]SP2024!$M$7:$M$148,$B15)</f>
        <v>5.2833333333333323</v>
      </c>
      <c r="BX15" s="46">
        <f>VLOOKUP($B13,[1]!LTV7_RL7[[LTV7]:[Q3]],4,0)</f>
        <v>68.400000000000006</v>
      </c>
      <c r="BY15" s="46">
        <f>IFERROR(BW15/$BW$65*100,0)</f>
        <v>0.23928140096618353</v>
      </c>
      <c r="BZ15" s="46">
        <f>IFERROR(BX15/$BX$66*100,0)</f>
        <v>3.0978245280673682</v>
      </c>
      <c r="CA15" s="55" t="s">
        <v>36</v>
      </c>
      <c r="CB15" s="55" t="s">
        <v>36</v>
      </c>
      <c r="CC15" s="48">
        <f>CS15*'[2]Pielikums nr. 1.'!$EY$14</f>
        <v>44186.926450580366</v>
      </c>
      <c r="CD15" s="48">
        <v>57909.979999999996</v>
      </c>
      <c r="CE15" s="55" t="s">
        <v>36</v>
      </c>
      <c r="CF15" s="55" t="s">
        <v>36</v>
      </c>
      <c r="CG15" s="48">
        <f>CC15-CK15</f>
        <v>44186.926450580366</v>
      </c>
      <c r="CH15" s="48">
        <f>CD15-CL15</f>
        <v>57909.979999999996</v>
      </c>
      <c r="CI15" s="55" t="s">
        <v>36</v>
      </c>
      <c r="CJ15" s="55" t="s">
        <v>36</v>
      </c>
      <c r="CK15" s="48"/>
      <c r="CL15" s="48"/>
      <c r="CM15" s="55" t="s">
        <v>36</v>
      </c>
      <c r="CN15" s="55" t="s">
        <v>36</v>
      </c>
      <c r="CO15" s="48">
        <f t="shared" ref="CO15:CP37" si="6">IFERROR(ROUND(CC15/BW15,2),0)</f>
        <v>8363.4599999999991</v>
      </c>
      <c r="CP15" s="48">
        <f t="shared" si="6"/>
        <v>846.64</v>
      </c>
      <c r="CQ15" s="55" t="s">
        <v>36</v>
      </c>
      <c r="CR15" s="55" t="s">
        <v>36</v>
      </c>
      <c r="CS15" s="48">
        <f>SUMIFS([1]SP2024!$BS$7:$BS$148,[1]SP2024!$L$7:$L$148,$B13,[1]SP2024!$M$7:$M$148,$B15)</f>
        <v>44362.51</v>
      </c>
      <c r="CT15" s="48">
        <f>[1]Fakts_Izd!AB41</f>
        <v>0</v>
      </c>
      <c r="CU15" s="55" t="s">
        <v>36</v>
      </c>
      <c r="CV15" s="55" t="s">
        <v>36</v>
      </c>
      <c r="CW15" s="48">
        <f>CS15-DA15</f>
        <v>44362.51</v>
      </c>
      <c r="CX15" s="48">
        <f>CT15-DB15</f>
        <v>0</v>
      </c>
      <c r="CY15" s="55" t="s">
        <v>36</v>
      </c>
      <c r="CZ15" s="55" t="s">
        <v>36</v>
      </c>
      <c r="DA15" s="48">
        <f>SUMIFS([1]SP2024!$BQ$7:$BQ$148,[1]SP2024!$J$7:$J$148,$B13,[1]SP2024!$K$7:$K$148,$B15)</f>
        <v>0</v>
      </c>
      <c r="DB15" s="48"/>
      <c r="DC15" s="55" t="s">
        <v>36</v>
      </c>
      <c r="DD15" s="55" t="s">
        <v>36</v>
      </c>
      <c r="DE15" s="48">
        <f t="shared" si="1"/>
        <v>8396.6895899053652</v>
      </c>
      <c r="DF15" s="48">
        <f t="shared" si="1"/>
        <v>0</v>
      </c>
      <c r="DG15" s="46">
        <v>4.9083333333333323</v>
      </c>
      <c r="DH15" s="46">
        <v>154.1</v>
      </c>
      <c r="DI15" s="46">
        <v>0.22229770531400958</v>
      </c>
      <c r="DJ15" s="46">
        <v>6.9791666666666679</v>
      </c>
      <c r="DK15" s="55" t="s">
        <v>36</v>
      </c>
      <c r="DL15" s="55" t="s">
        <v>36</v>
      </c>
      <c r="DM15" s="48">
        <v>40839.42824961945</v>
      </c>
      <c r="DN15" s="48">
        <v>61494.209999999985</v>
      </c>
      <c r="DO15" s="55" t="s">
        <v>36</v>
      </c>
      <c r="DP15" s="55" t="s">
        <v>36</v>
      </c>
      <c r="DQ15" s="48">
        <v>40839.42824961945</v>
      </c>
      <c r="DR15" s="48">
        <v>61494.209999999985</v>
      </c>
      <c r="DS15" s="55" t="s">
        <v>36</v>
      </c>
      <c r="DT15" s="55" t="s">
        <v>36</v>
      </c>
      <c r="DU15" s="48"/>
      <c r="DV15" s="48"/>
      <c r="DW15" s="55" t="s">
        <v>36</v>
      </c>
      <c r="DX15" s="55" t="s">
        <v>36</v>
      </c>
      <c r="DY15" s="48">
        <v>8320.43</v>
      </c>
      <c r="DZ15" s="48">
        <v>399.05</v>
      </c>
      <c r="EA15" s="55" t="s">
        <v>36</v>
      </c>
      <c r="EB15" s="55" t="s">
        <v>36</v>
      </c>
      <c r="EC15" s="48">
        <v>41001.71</v>
      </c>
      <c r="ED15" s="48">
        <v>0</v>
      </c>
      <c r="EE15" s="55" t="s">
        <v>36</v>
      </c>
      <c r="EF15" s="55" t="s">
        <v>36</v>
      </c>
      <c r="EG15" s="48">
        <v>41001.71</v>
      </c>
      <c r="EH15" s="48">
        <v>0</v>
      </c>
      <c r="EI15" s="55" t="s">
        <v>36</v>
      </c>
      <c r="EJ15" s="55" t="s">
        <v>36</v>
      </c>
      <c r="EK15" s="48">
        <v>0</v>
      </c>
      <c r="EL15" s="55"/>
      <c r="EM15" s="55" t="s">
        <v>36</v>
      </c>
      <c r="EN15" s="55" t="s">
        <v>36</v>
      </c>
      <c r="EO15" s="48">
        <v>8353.4893039049257</v>
      </c>
      <c r="EP15" s="48">
        <v>0</v>
      </c>
      <c r="EQ15" s="46">
        <v>63.891666666666666</v>
      </c>
      <c r="ER15" s="46">
        <v>276.2</v>
      </c>
      <c r="ES15" s="46">
        <v>0.72736414693381901</v>
      </c>
      <c r="ET15" s="46">
        <v>3.1443529720257839</v>
      </c>
      <c r="EU15" s="55" t="s">
        <v>36</v>
      </c>
      <c r="EV15" s="55" t="s">
        <v>36</v>
      </c>
      <c r="EW15" s="48">
        <v>171546.53470019985</v>
      </c>
      <c r="EX15" s="48">
        <v>205924.37</v>
      </c>
      <c r="EY15" s="55" t="s">
        <v>36</v>
      </c>
      <c r="EZ15" s="55" t="s">
        <v>36</v>
      </c>
      <c r="FA15" s="48">
        <v>171546.53470019985</v>
      </c>
      <c r="FB15" s="48">
        <v>205924.37</v>
      </c>
      <c r="FC15" s="55" t="s">
        <v>36</v>
      </c>
      <c r="FD15" s="55" t="s">
        <v>36</v>
      </c>
      <c r="FE15" s="48">
        <v>0</v>
      </c>
      <c r="FF15" s="48">
        <v>0</v>
      </c>
      <c r="FG15" s="55" t="s">
        <v>36</v>
      </c>
      <c r="FH15" s="55" t="s">
        <v>36</v>
      </c>
      <c r="FI15" s="48">
        <v>2684.96</v>
      </c>
      <c r="FJ15" s="48">
        <v>745.56</v>
      </c>
      <c r="FK15" s="55" t="s">
        <v>36</v>
      </c>
      <c r="FL15" s="55" t="s">
        <v>36</v>
      </c>
      <c r="FM15" s="48">
        <v>85364.22</v>
      </c>
      <c r="FN15" s="48">
        <v>0</v>
      </c>
      <c r="FO15" s="55" t="s">
        <v>36</v>
      </c>
      <c r="FP15" s="55" t="s">
        <v>36</v>
      </c>
      <c r="FQ15" s="48">
        <v>85364.22</v>
      </c>
      <c r="FR15" s="48">
        <v>0</v>
      </c>
      <c r="FS15" s="55" t="s">
        <v>36</v>
      </c>
      <c r="FT15" s="55" t="s">
        <v>36</v>
      </c>
      <c r="FU15" s="48">
        <v>0</v>
      </c>
      <c r="FV15" s="48">
        <v>0</v>
      </c>
      <c r="FW15" s="55" t="s">
        <v>36</v>
      </c>
      <c r="FX15" s="55" t="s">
        <v>36</v>
      </c>
      <c r="FY15" s="48">
        <v>1336.0775270640406</v>
      </c>
      <c r="FZ15" s="48">
        <v>0</v>
      </c>
      <c r="GA15" s="50">
        <v>212.30833333333334</v>
      </c>
      <c r="GB15" s="56">
        <v>332.29424807617062</v>
      </c>
      <c r="GC15" s="55" t="s">
        <v>36</v>
      </c>
      <c r="GD15" s="56" t="s">
        <v>36</v>
      </c>
      <c r="GE15" s="51">
        <v>34377.83529980015</v>
      </c>
      <c r="GF15" s="46">
        <v>20.039947387966727</v>
      </c>
      <c r="GG15" s="55" t="s">
        <v>36</v>
      </c>
      <c r="GH15" s="57" t="s">
        <v>36</v>
      </c>
      <c r="GI15" s="51">
        <v>34377.83529980015</v>
      </c>
      <c r="GJ15" s="56">
        <v>20.039947387966727</v>
      </c>
      <c r="GK15" s="55" t="s">
        <v>36</v>
      </c>
      <c r="GL15" s="58" t="s">
        <v>36</v>
      </c>
      <c r="GM15" s="51">
        <v>0</v>
      </c>
      <c r="GN15" s="56" t="s">
        <v>88</v>
      </c>
      <c r="GO15" s="55" t="s">
        <v>36</v>
      </c>
      <c r="GP15" s="57" t="s">
        <v>36</v>
      </c>
      <c r="GQ15" s="51">
        <v>-1939.4</v>
      </c>
      <c r="GR15" s="44"/>
      <c r="GS15" s="44"/>
      <c r="GT15" s="44"/>
      <c r="GU15" s="44"/>
      <c r="GV15" s="44"/>
      <c r="GW15" s="44"/>
    </row>
    <row r="16" spans="1:205">
      <c r="A16" s="418"/>
      <c r="B16" s="34" t="s">
        <v>40</v>
      </c>
      <c r="C16" s="35">
        <f>SUM(C17:C18)</f>
        <v>233.3</v>
      </c>
      <c r="D16" s="35">
        <f t="shared" ref="D16" si="7">SUM(D17:D18)</f>
        <v>233.3</v>
      </c>
      <c r="E16" s="35">
        <f t="shared" ref="E16" si="8">IFERROR(C16/$C$64*100,0)</f>
        <v>5.3411172161172162</v>
      </c>
      <c r="F16" s="35">
        <f t="shared" ref="F16" si="9">IFERROR(D16/$D$64*100,0)</f>
        <v>5.3411172161172162</v>
      </c>
      <c r="G16" s="59" t="s">
        <v>36</v>
      </c>
      <c r="H16" s="59" t="s">
        <v>36</v>
      </c>
      <c r="I16" s="37">
        <f t="shared" si="2"/>
        <v>398317.23</v>
      </c>
      <c r="J16" s="37">
        <f>SUM(J17:J18)</f>
        <v>398317.23</v>
      </c>
      <c r="K16" s="59" t="s">
        <v>36</v>
      </c>
      <c r="L16" s="59" t="s">
        <v>36</v>
      </c>
      <c r="M16" s="37">
        <f t="shared" ref="M16:N16" si="10">SUM(M17:M18)</f>
        <v>398317.23</v>
      </c>
      <c r="N16" s="37">
        <f t="shared" si="10"/>
        <v>398317.23</v>
      </c>
      <c r="O16" s="59" t="s">
        <v>36</v>
      </c>
      <c r="P16" s="59" t="s">
        <v>36</v>
      </c>
      <c r="Q16" s="37">
        <f>SUM(Q17:Q18)</f>
        <v>0</v>
      </c>
      <c r="R16" s="37">
        <f>SUM(R17:R18)</f>
        <v>0</v>
      </c>
      <c r="S16" s="59" t="s">
        <v>36</v>
      </c>
      <c r="T16" s="59" t="s">
        <v>36</v>
      </c>
      <c r="U16" s="37">
        <f t="shared" si="3"/>
        <v>1707.32</v>
      </c>
      <c r="V16" s="37">
        <f t="shared" si="3"/>
        <v>1707.32</v>
      </c>
      <c r="W16" s="59" t="s">
        <v>36</v>
      </c>
      <c r="X16" s="59" t="s">
        <v>36</v>
      </c>
      <c r="Y16" s="37">
        <f>SUM(Y17:Y18)</f>
        <v>417102.00000000029</v>
      </c>
      <c r="Z16" s="37">
        <f>SUM(Z17:Z18)</f>
        <v>417102.00000000029</v>
      </c>
      <c r="AA16" s="59" t="s">
        <v>36</v>
      </c>
      <c r="AB16" s="59" t="s">
        <v>36</v>
      </c>
      <c r="AC16" s="37">
        <f>SUM(AC17:AC18)</f>
        <v>417102.00000000029</v>
      </c>
      <c r="AD16" s="37">
        <f t="shared" ref="AD16" si="11">SUM(AD17:AD18)</f>
        <v>417102.00000000029</v>
      </c>
      <c r="AE16" s="59" t="s">
        <v>36</v>
      </c>
      <c r="AF16" s="59" t="s">
        <v>36</v>
      </c>
      <c r="AG16" s="37">
        <f t="shared" ref="AG16" si="12">SUM(AG17:AG18)</f>
        <v>0</v>
      </c>
      <c r="AH16" s="59"/>
      <c r="AI16" s="59" t="s">
        <v>36</v>
      </c>
      <c r="AJ16" s="59" t="s">
        <v>36</v>
      </c>
      <c r="AK16" s="37">
        <f t="shared" si="4"/>
        <v>1787.8354050578666</v>
      </c>
      <c r="AL16" s="37">
        <f t="shared" si="4"/>
        <v>1787.8354050578666</v>
      </c>
      <c r="AM16" s="35">
        <f t="shared" ref="AM16:AN16" si="13">SUM(AM17:AM18)</f>
        <v>237.60000000000002</v>
      </c>
      <c r="AN16" s="35">
        <f t="shared" si="13"/>
        <v>237.60000000000002</v>
      </c>
      <c r="AO16" s="35">
        <f t="shared" ref="AO16" si="14">IFERROR(AM16/$AM$64*100,0)</f>
        <v>5.4395604395604407</v>
      </c>
      <c r="AP16" s="35">
        <f t="shared" ref="AP16" si="15">IFERROR(AN16/$AN$64*100,0)</f>
        <v>5.4395604395604407</v>
      </c>
      <c r="AQ16" s="59" t="s">
        <v>36</v>
      </c>
      <c r="AR16" s="59" t="s">
        <v>36</v>
      </c>
      <c r="AS16" s="37">
        <f>SUM(AS17:AS18)</f>
        <v>498892.22999999992</v>
      </c>
      <c r="AT16" s="37">
        <f>SUM(AT17:AT18)</f>
        <v>498892.22999999992</v>
      </c>
      <c r="AU16" s="59" t="s">
        <v>36</v>
      </c>
      <c r="AV16" s="59" t="s">
        <v>36</v>
      </c>
      <c r="AW16" s="37">
        <f t="shared" ref="AW16:AX16" si="16">SUM(AW17:AW18)</f>
        <v>498892.22999999992</v>
      </c>
      <c r="AX16" s="37">
        <f t="shared" si="16"/>
        <v>498892.22999999992</v>
      </c>
      <c r="AY16" s="59" t="s">
        <v>36</v>
      </c>
      <c r="AZ16" s="59" t="s">
        <v>36</v>
      </c>
      <c r="BA16" s="37">
        <f>SUM(BA17:BA18)</f>
        <v>0</v>
      </c>
      <c r="BB16" s="37">
        <f>SUM(BB17:BB18)</f>
        <v>0</v>
      </c>
      <c r="BC16" s="59" t="s">
        <v>36</v>
      </c>
      <c r="BD16" s="59" t="s">
        <v>36</v>
      </c>
      <c r="BE16" s="37">
        <f t="shared" si="5"/>
        <v>2099.71</v>
      </c>
      <c r="BF16" s="37">
        <f t="shared" si="5"/>
        <v>2099.71</v>
      </c>
      <c r="BG16" s="59" t="s">
        <v>36</v>
      </c>
      <c r="BH16" s="59" t="s">
        <v>36</v>
      </c>
      <c r="BI16" s="37">
        <f t="shared" ref="BI16:BJ16" si="17">SUM(BI17:BI18)</f>
        <v>510927.4700000002</v>
      </c>
      <c r="BJ16" s="37">
        <f t="shared" si="17"/>
        <v>510927.4700000002</v>
      </c>
      <c r="BK16" s="59" t="s">
        <v>36</v>
      </c>
      <c r="BL16" s="59" t="s">
        <v>36</v>
      </c>
      <c r="BM16" s="37">
        <f t="shared" ref="BM16:BN16" si="18">SUM(BM17:BM18)</f>
        <v>510927.4700000002</v>
      </c>
      <c r="BN16" s="37">
        <f t="shared" si="18"/>
        <v>510927.4700000002</v>
      </c>
      <c r="BO16" s="59" t="s">
        <v>36</v>
      </c>
      <c r="BP16" s="59" t="s">
        <v>36</v>
      </c>
      <c r="BQ16" s="37">
        <f t="shared" ref="BQ16" si="19">SUM(BQ17:BQ18)</f>
        <v>0</v>
      </c>
      <c r="BR16" s="59"/>
      <c r="BS16" s="59" t="s">
        <v>36</v>
      </c>
      <c r="BT16" s="59" t="s">
        <v>36</v>
      </c>
      <c r="BU16" s="37">
        <f t="shared" si="0"/>
        <v>2150.3681397306405</v>
      </c>
      <c r="BV16" s="60">
        <f t="shared" si="0"/>
        <v>2150.3681397306405</v>
      </c>
      <c r="BW16" s="35">
        <f t="shared" ref="BW16:BX16" si="20">SUM(BW17:BW18)</f>
        <v>131.9</v>
      </c>
      <c r="BX16" s="35">
        <f t="shared" si="20"/>
        <v>135</v>
      </c>
      <c r="BY16" s="35">
        <f t="shared" ref="BY16" si="21">IFERROR(BW16/$BW$64*100,0)</f>
        <v>2.9868659420289858</v>
      </c>
      <c r="BZ16" s="35">
        <f t="shared" ref="BZ16" si="22">IFERROR(BX16/$BX$64*100,0)</f>
        <v>3.0570627175287264</v>
      </c>
      <c r="CA16" s="59" t="s">
        <v>36</v>
      </c>
      <c r="CB16" s="59" t="s">
        <v>36</v>
      </c>
      <c r="CC16" s="37">
        <f>SUM(CC17:CC18)</f>
        <v>260714.22193410527</v>
      </c>
      <c r="CD16" s="37">
        <f>SUM(CD17:CD18)</f>
        <v>220788.94999999998</v>
      </c>
      <c r="CE16" s="59" t="s">
        <v>36</v>
      </c>
      <c r="CF16" s="59" t="s">
        <v>36</v>
      </c>
      <c r="CG16" s="37">
        <f t="shared" ref="CG16:CH16" si="23">SUM(CG17:CG18)</f>
        <v>260714.22193410527</v>
      </c>
      <c r="CH16" s="37">
        <f t="shared" si="23"/>
        <v>220788.94999999998</v>
      </c>
      <c r="CI16" s="59" t="s">
        <v>36</v>
      </c>
      <c r="CJ16" s="59" t="s">
        <v>36</v>
      </c>
      <c r="CK16" s="37">
        <f>SUM(CK17:CK18)</f>
        <v>0</v>
      </c>
      <c r="CL16" s="37">
        <f>SUM(CL17:CL18)</f>
        <v>0</v>
      </c>
      <c r="CM16" s="59" t="s">
        <v>36</v>
      </c>
      <c r="CN16" s="59" t="s">
        <v>36</v>
      </c>
      <c r="CO16" s="37">
        <f t="shared" si="6"/>
        <v>1976.61</v>
      </c>
      <c r="CP16" s="37">
        <f t="shared" si="6"/>
        <v>1635.47</v>
      </c>
      <c r="CQ16" s="59" t="s">
        <v>36</v>
      </c>
      <c r="CR16" s="59" t="s">
        <v>36</v>
      </c>
      <c r="CS16" s="37">
        <f>SUM(CS17:CS18)</f>
        <v>261750.21000000002</v>
      </c>
      <c r="CT16" s="37">
        <f t="shared" ref="CT16" si="24">SUM(CT17:CT18)</f>
        <v>219977.99999999994</v>
      </c>
      <c r="CU16" s="59" t="s">
        <v>36</v>
      </c>
      <c r="CV16" s="59" t="s">
        <v>36</v>
      </c>
      <c r="CW16" s="37">
        <f t="shared" ref="CW16" si="25">SUM(CW17:CW18)</f>
        <v>261750.21000000002</v>
      </c>
      <c r="CX16" s="37">
        <f>SUM(CX17:CX18)</f>
        <v>219977.99999999994</v>
      </c>
      <c r="CY16" s="59" t="s">
        <v>36</v>
      </c>
      <c r="CZ16" s="59" t="s">
        <v>36</v>
      </c>
      <c r="DA16" s="37">
        <f t="shared" ref="DA16" si="26">SUM(DA17:DA18)</f>
        <v>0</v>
      </c>
      <c r="DB16" s="37"/>
      <c r="DC16" s="59" t="s">
        <v>36</v>
      </c>
      <c r="DD16" s="59" t="s">
        <v>36</v>
      </c>
      <c r="DE16" s="37">
        <f t="shared" si="1"/>
        <v>1984.4595147839273</v>
      </c>
      <c r="DF16" s="37">
        <f t="shared" si="1"/>
        <v>1629.4666666666662</v>
      </c>
      <c r="DG16" s="35">
        <v>217.13333333333333</v>
      </c>
      <c r="DH16" s="35">
        <v>241.29999999999998</v>
      </c>
      <c r="DI16" s="35">
        <v>4.9169685990338152</v>
      </c>
      <c r="DJ16" s="35">
        <v>5.4642210144927548</v>
      </c>
      <c r="DK16" s="59" t="s">
        <v>36</v>
      </c>
      <c r="DL16" s="59" t="s">
        <v>36</v>
      </c>
      <c r="DM16" s="37">
        <v>605653.52256188064</v>
      </c>
      <c r="DN16" s="37">
        <v>554862.66999999911</v>
      </c>
      <c r="DO16" s="59" t="s">
        <v>36</v>
      </c>
      <c r="DP16" s="59" t="s">
        <v>36</v>
      </c>
      <c r="DQ16" s="37">
        <v>605653.52256188064</v>
      </c>
      <c r="DR16" s="37">
        <v>554862.66999999911</v>
      </c>
      <c r="DS16" s="59" t="s">
        <v>36</v>
      </c>
      <c r="DT16" s="59" t="s">
        <v>36</v>
      </c>
      <c r="DU16" s="37">
        <v>0</v>
      </c>
      <c r="DV16" s="37">
        <v>0</v>
      </c>
      <c r="DW16" s="59" t="s">
        <v>36</v>
      </c>
      <c r="DX16" s="59" t="s">
        <v>36</v>
      </c>
      <c r="DY16" s="37">
        <v>2789.32</v>
      </c>
      <c r="DZ16" s="37">
        <v>2299.4699999999998</v>
      </c>
      <c r="EA16" s="59" t="s">
        <v>36</v>
      </c>
      <c r="EB16" s="59" t="s">
        <v>36</v>
      </c>
      <c r="EC16" s="37">
        <v>608060.18000000005</v>
      </c>
      <c r="ED16" s="37">
        <v>563093.09000000008</v>
      </c>
      <c r="EE16" s="59" t="s">
        <v>36</v>
      </c>
      <c r="EF16" s="59" t="s">
        <v>36</v>
      </c>
      <c r="EG16" s="37">
        <v>608060.18000000005</v>
      </c>
      <c r="EH16" s="37">
        <v>563093.09000000008</v>
      </c>
      <c r="EI16" s="59" t="s">
        <v>36</v>
      </c>
      <c r="EJ16" s="59" t="s">
        <v>36</v>
      </c>
      <c r="EK16" s="37">
        <v>0</v>
      </c>
      <c r="EL16" s="59"/>
      <c r="EM16" s="59" t="s">
        <v>36</v>
      </c>
      <c r="EN16" s="59" t="s">
        <v>36</v>
      </c>
      <c r="EO16" s="37">
        <v>2800.3999692968991</v>
      </c>
      <c r="EP16" s="37">
        <v>2333.5809780356408</v>
      </c>
      <c r="EQ16" s="40">
        <v>819.93333333333339</v>
      </c>
      <c r="ER16" s="35">
        <v>847.19999999999993</v>
      </c>
      <c r="ES16" s="40">
        <v>4.6671979356405586</v>
      </c>
      <c r="ET16" s="40">
        <v>4.8224033803372928</v>
      </c>
      <c r="EU16" s="59" t="s">
        <v>36</v>
      </c>
      <c r="EV16" s="59" t="s">
        <v>36</v>
      </c>
      <c r="EW16" s="37">
        <v>1763577.204495986</v>
      </c>
      <c r="EX16" s="37">
        <v>1672861.0799999991</v>
      </c>
      <c r="EY16" s="59" t="s">
        <v>36</v>
      </c>
      <c r="EZ16" s="59" t="s">
        <v>36</v>
      </c>
      <c r="FA16" s="37">
        <v>1763577.204495986</v>
      </c>
      <c r="FB16" s="37">
        <v>1672861.0799999991</v>
      </c>
      <c r="FC16" s="59" t="s">
        <v>36</v>
      </c>
      <c r="FD16" s="59" t="s">
        <v>36</v>
      </c>
      <c r="FE16" s="37">
        <v>0</v>
      </c>
      <c r="FF16" s="37">
        <v>0</v>
      </c>
      <c r="FG16" s="59" t="s">
        <v>36</v>
      </c>
      <c r="FH16" s="59" t="s">
        <v>36</v>
      </c>
      <c r="FI16" s="37">
        <v>2150.88</v>
      </c>
      <c r="FJ16" s="37">
        <v>1974.58</v>
      </c>
      <c r="FK16" s="59" t="s">
        <v>36</v>
      </c>
      <c r="FL16" s="59" t="s">
        <v>36</v>
      </c>
      <c r="FM16" s="37">
        <v>1797839.8600000003</v>
      </c>
      <c r="FN16" s="37">
        <v>1711100.5600000005</v>
      </c>
      <c r="FO16" s="59" t="s">
        <v>36</v>
      </c>
      <c r="FP16" s="59" t="s">
        <v>36</v>
      </c>
      <c r="FQ16" s="37">
        <v>1797839.8600000003</v>
      </c>
      <c r="FR16" s="37">
        <v>1711100.5600000005</v>
      </c>
      <c r="FS16" s="59" t="s">
        <v>36</v>
      </c>
      <c r="FT16" s="59" t="s">
        <v>36</v>
      </c>
      <c r="FU16" s="37">
        <v>0</v>
      </c>
      <c r="FV16" s="37">
        <v>0</v>
      </c>
      <c r="FW16" s="59" t="s">
        <v>36</v>
      </c>
      <c r="FX16" s="59" t="s">
        <v>36</v>
      </c>
      <c r="FY16" s="37">
        <v>2192.6658996666397</v>
      </c>
      <c r="FZ16" s="37">
        <v>2019.7126534466486</v>
      </c>
      <c r="GA16" s="39">
        <v>27.266666666666538</v>
      </c>
      <c r="GB16" s="35">
        <v>3.3254736157410925</v>
      </c>
      <c r="GC16" s="59" t="s">
        <v>36</v>
      </c>
      <c r="GD16" s="40" t="s">
        <v>36</v>
      </c>
      <c r="GE16" s="41">
        <v>-90716.124495986849</v>
      </c>
      <c r="GF16" s="40">
        <v>-5.143870325876243</v>
      </c>
      <c r="GG16" s="59" t="s">
        <v>36</v>
      </c>
      <c r="GH16" s="61" t="s">
        <v>36</v>
      </c>
      <c r="GI16" s="41">
        <v>-90716.124495986849</v>
      </c>
      <c r="GJ16" s="40">
        <v>-5.143870325876243</v>
      </c>
      <c r="GK16" s="59" t="s">
        <v>36</v>
      </c>
      <c r="GL16" s="62" t="s">
        <v>36</v>
      </c>
      <c r="GM16" s="41">
        <v>0</v>
      </c>
      <c r="GN16" s="40" t="s">
        <v>88</v>
      </c>
      <c r="GO16" s="59" t="s">
        <v>36</v>
      </c>
      <c r="GP16" s="61" t="s">
        <v>36</v>
      </c>
      <c r="GQ16" s="41">
        <v>-176.30000000000018</v>
      </c>
      <c r="GR16" s="44"/>
      <c r="GS16" s="44"/>
      <c r="GT16" s="44"/>
      <c r="GU16" s="44"/>
      <c r="GV16" s="44"/>
      <c r="GW16" s="44"/>
    </row>
    <row r="17" spans="1:205">
      <c r="A17" s="418"/>
      <c r="B17" s="45" t="s">
        <v>38</v>
      </c>
      <c r="C17" s="46">
        <f t="shared" ref="C17:C18" si="27">D17</f>
        <v>226.5</v>
      </c>
      <c r="D17" s="46">
        <f>VLOOKUP($B16,[1]!LTV1_RL2[[LTV1]:[Q1]],2,0)</f>
        <v>226.5</v>
      </c>
      <c r="E17" s="46">
        <f t="shared" ref="E17" si="28">IFERROR(C17/$C$65*100,0)</f>
        <v>10.370879120879122</v>
      </c>
      <c r="F17" s="46">
        <f t="shared" ref="F17" si="29">IFERROR(D17/$D$65*100,0)</f>
        <v>10.370879120879122</v>
      </c>
      <c r="G17" s="55" t="s">
        <v>36</v>
      </c>
      <c r="H17" s="55" t="s">
        <v>36</v>
      </c>
      <c r="I17" s="48">
        <f t="shared" si="2"/>
        <v>398317.23</v>
      </c>
      <c r="J17" s="48">
        <v>398317.23</v>
      </c>
      <c r="K17" s="55" t="s">
        <v>36</v>
      </c>
      <c r="L17" s="55" t="s">
        <v>36</v>
      </c>
      <c r="M17" s="48">
        <f t="shared" ref="M17:N18" si="30">I17-Q17</f>
        <v>398317.23</v>
      </c>
      <c r="N17" s="48">
        <f t="shared" si="30"/>
        <v>398317.23</v>
      </c>
      <c r="O17" s="55" t="s">
        <v>36</v>
      </c>
      <c r="P17" s="55" t="s">
        <v>36</v>
      </c>
      <c r="Q17" s="48"/>
      <c r="R17" s="48"/>
      <c r="S17" s="55" t="s">
        <v>36</v>
      </c>
      <c r="T17" s="55" t="s">
        <v>36</v>
      </c>
      <c r="U17" s="48">
        <f t="shared" si="3"/>
        <v>1758.57</v>
      </c>
      <c r="V17" s="48">
        <f t="shared" si="3"/>
        <v>1758.57</v>
      </c>
      <c r="W17" s="55" t="s">
        <v>36</v>
      </c>
      <c r="X17" s="55" t="s">
        <v>36</v>
      </c>
      <c r="Y17" s="48">
        <f t="shared" ref="Y17:Y18" si="31">Z17</f>
        <v>417102.00000000029</v>
      </c>
      <c r="Z17" s="48">
        <f>[1]Fakts_Izd!Z43</f>
        <v>417102.00000000029</v>
      </c>
      <c r="AA17" s="55" t="s">
        <v>36</v>
      </c>
      <c r="AB17" s="55" t="s">
        <v>36</v>
      </c>
      <c r="AC17" s="48">
        <f>Y17-AG17</f>
        <v>417102.00000000029</v>
      </c>
      <c r="AD17" s="48">
        <f t="shared" ref="AD17:AD18" si="32">Z17-AH17</f>
        <v>417102.00000000029</v>
      </c>
      <c r="AE17" s="55" t="s">
        <v>36</v>
      </c>
      <c r="AF17" s="55" t="s">
        <v>36</v>
      </c>
      <c r="AG17" s="48">
        <f>SUMIFS([1]SP2024!$BO$7:$BO$148,[1]SP2024!$J$7:$J$148,$B16,[1]SP2024!$K$7:$K$148,$B17)</f>
        <v>0</v>
      </c>
      <c r="AH17" s="55"/>
      <c r="AI17" s="55" t="s">
        <v>36</v>
      </c>
      <c r="AJ17" s="55" t="s">
        <v>36</v>
      </c>
      <c r="AK17" s="48">
        <f t="shared" si="4"/>
        <v>1841.5099337748356</v>
      </c>
      <c r="AL17" s="48">
        <f t="shared" si="4"/>
        <v>1841.5099337748356</v>
      </c>
      <c r="AM17" s="46">
        <f t="shared" ref="AM17:AM18" si="33">AN17</f>
        <v>231.3</v>
      </c>
      <c r="AN17" s="46">
        <f>VLOOKUP($B16,[1]!LTV1_RL2[[LTV1]:[Q2]],3,0)</f>
        <v>231.3</v>
      </c>
      <c r="AO17" s="63">
        <f t="shared" ref="AO17:AO18" si="34">IFERROR(AM17/$AM$65*100,0)</f>
        <v>10.590659340659341</v>
      </c>
      <c r="AP17" s="46">
        <f t="shared" ref="AP17" si="35">IFERROR(AN17/$AN$65*100,0)</f>
        <v>10.590659340659341</v>
      </c>
      <c r="AQ17" s="55" t="s">
        <v>36</v>
      </c>
      <c r="AR17" s="55" t="s">
        <v>36</v>
      </c>
      <c r="AS17" s="48">
        <f t="shared" ref="AS17:AS18" si="36">AT17</f>
        <v>498892.22999999992</v>
      </c>
      <c r="AT17" s="48">
        <v>498892.22999999992</v>
      </c>
      <c r="AU17" s="55" t="s">
        <v>36</v>
      </c>
      <c r="AV17" s="55" t="s">
        <v>36</v>
      </c>
      <c r="AW17" s="48">
        <f t="shared" ref="AW17:AX18" si="37">AS17-BA17</f>
        <v>498892.22999999992</v>
      </c>
      <c r="AX17" s="48">
        <f t="shared" si="37"/>
        <v>498892.22999999992</v>
      </c>
      <c r="AY17" s="55" t="s">
        <v>36</v>
      </c>
      <c r="AZ17" s="55" t="s">
        <v>36</v>
      </c>
      <c r="BA17" s="48"/>
      <c r="BB17" s="48"/>
      <c r="BC17" s="55" t="s">
        <v>36</v>
      </c>
      <c r="BD17" s="55" t="s">
        <v>36</v>
      </c>
      <c r="BE17" s="48">
        <f t="shared" si="5"/>
        <v>2156.91</v>
      </c>
      <c r="BF17" s="48">
        <f t="shared" si="5"/>
        <v>2156.91</v>
      </c>
      <c r="BG17" s="55" t="s">
        <v>36</v>
      </c>
      <c r="BH17" s="55" t="s">
        <v>36</v>
      </c>
      <c r="BI17" s="48">
        <f t="shared" ref="BI17:BI18" si="38">BJ17</f>
        <v>510927.4700000002</v>
      </c>
      <c r="BJ17" s="48">
        <f>[1]Fakts_Izd!AA43</f>
        <v>510927.4700000002</v>
      </c>
      <c r="BK17" s="55" t="s">
        <v>36</v>
      </c>
      <c r="BL17" s="55" t="s">
        <v>36</v>
      </c>
      <c r="BM17" s="48">
        <f t="shared" ref="BM17:BN18" si="39">BI17-BQ17</f>
        <v>510927.4700000002</v>
      </c>
      <c r="BN17" s="48">
        <f t="shared" si="39"/>
        <v>510927.4700000002</v>
      </c>
      <c r="BO17" s="55" t="s">
        <v>36</v>
      </c>
      <c r="BP17" s="55" t="s">
        <v>36</v>
      </c>
      <c r="BQ17" s="48">
        <f>SUMIFS([1]SP2024!$BP$7:$BP$148,[1]SP2024!$J$7:$J$148,$B16,[1]SP2024!$K$7:$K$148,$B17)</f>
        <v>0</v>
      </c>
      <c r="BR17" s="55"/>
      <c r="BS17" s="55" t="s">
        <v>36</v>
      </c>
      <c r="BT17" s="55" t="s">
        <v>36</v>
      </c>
      <c r="BU17" s="48">
        <f t="shared" si="0"/>
        <v>2208.9384781668837</v>
      </c>
      <c r="BV17" s="49">
        <f t="shared" si="0"/>
        <v>2208.9384781668837</v>
      </c>
      <c r="BW17" s="46">
        <f>SUMIFS([1]SP2024!$AW$7:$AW$148,[1]SP2024!$L$7:$L$148,$B16,[1]SP2024!$M$7:$M$148,$B17)</f>
        <v>131.9</v>
      </c>
      <c r="BX17" s="46">
        <f>VLOOKUP($B16,[1]!LTV1_RL2[[LTV1]:[Q3]],4,0)</f>
        <v>131.80000000000001</v>
      </c>
      <c r="BY17" s="46">
        <f t="shared" ref="BY17:BY18" si="40">IFERROR(BW17/$BW$65*100,0)</f>
        <v>5.9737318840579716</v>
      </c>
      <c r="BZ17" s="46">
        <f t="shared" ref="BZ17" si="41">IFERROR(BX17/$BX$65*100,0)</f>
        <v>5.9691961399500242</v>
      </c>
      <c r="CA17" s="55" t="s">
        <v>36</v>
      </c>
      <c r="CB17" s="55" t="s">
        <v>36</v>
      </c>
      <c r="CC17" s="48">
        <f>CS17*'[2]Pielikums nr. 1.'!$EY$14</f>
        <v>260714.22193410527</v>
      </c>
      <c r="CD17" s="48">
        <v>220788.94999999998</v>
      </c>
      <c r="CE17" s="55" t="s">
        <v>36</v>
      </c>
      <c r="CF17" s="55" t="s">
        <v>36</v>
      </c>
      <c r="CG17" s="48">
        <f t="shared" ref="CG17:CH18" si="42">CC17-CK17</f>
        <v>260714.22193410527</v>
      </c>
      <c r="CH17" s="48">
        <f t="shared" si="42"/>
        <v>220788.94999999998</v>
      </c>
      <c r="CI17" s="55" t="s">
        <v>36</v>
      </c>
      <c r="CJ17" s="55" t="s">
        <v>36</v>
      </c>
      <c r="CK17" s="48"/>
      <c r="CL17" s="48"/>
      <c r="CM17" s="55" t="s">
        <v>36</v>
      </c>
      <c r="CN17" s="55" t="s">
        <v>36</v>
      </c>
      <c r="CO17" s="48">
        <f t="shared" si="6"/>
        <v>1976.61</v>
      </c>
      <c r="CP17" s="48">
        <f t="shared" si="6"/>
        <v>1675.18</v>
      </c>
      <c r="CQ17" s="55" t="s">
        <v>36</v>
      </c>
      <c r="CR17" s="55" t="s">
        <v>36</v>
      </c>
      <c r="CS17" s="48">
        <f>SUMIFS([1]SP2024!$BS$7:$BS$148,[1]SP2024!$L$7:$L$148,$B16,[1]SP2024!$M$7:$M$148,$B17)-25000</f>
        <v>261750.21000000002</v>
      </c>
      <c r="CT17" s="48">
        <f>[1]Fakts_Izd!AB43</f>
        <v>219977.99999999994</v>
      </c>
      <c r="CU17" s="55" t="s">
        <v>36</v>
      </c>
      <c r="CV17" s="55" t="s">
        <v>36</v>
      </c>
      <c r="CW17" s="48">
        <f>CS17-DA17</f>
        <v>261750.21000000002</v>
      </c>
      <c r="CX17" s="48">
        <f>CT17-DB17</f>
        <v>219977.99999999994</v>
      </c>
      <c r="CY17" s="55" t="s">
        <v>36</v>
      </c>
      <c r="CZ17" s="55" t="s">
        <v>36</v>
      </c>
      <c r="DA17" s="48">
        <f>SUMIFS([1]SP2024!$BQ$7:$BQ$148,[1]SP2024!$J$7:$J$148,$B16,[1]SP2024!$K$7:$K$148,$B17)</f>
        <v>0</v>
      </c>
      <c r="DB17" s="48"/>
      <c r="DC17" s="55" t="s">
        <v>36</v>
      </c>
      <c r="DD17" s="55" t="s">
        <v>36</v>
      </c>
      <c r="DE17" s="48">
        <f t="shared" si="1"/>
        <v>1984.4595147839273</v>
      </c>
      <c r="DF17" s="48">
        <f t="shared" si="1"/>
        <v>1669.0288315629737</v>
      </c>
      <c r="DG17" s="46">
        <v>214.13333333333333</v>
      </c>
      <c r="DH17" s="46">
        <v>230.7</v>
      </c>
      <c r="DI17" s="46">
        <v>9.6980676328502398</v>
      </c>
      <c r="DJ17" s="46">
        <v>10.448369565217392</v>
      </c>
      <c r="DK17" s="55" t="s">
        <v>36</v>
      </c>
      <c r="DL17" s="55" t="s">
        <v>36</v>
      </c>
      <c r="DM17" s="48">
        <v>605653.52256188064</v>
      </c>
      <c r="DN17" s="48">
        <v>554862.66999999911</v>
      </c>
      <c r="DO17" s="55" t="s">
        <v>36</v>
      </c>
      <c r="DP17" s="55" t="s">
        <v>36</v>
      </c>
      <c r="DQ17" s="48">
        <v>605653.52256188064</v>
      </c>
      <c r="DR17" s="48">
        <v>554862.66999999911</v>
      </c>
      <c r="DS17" s="55" t="s">
        <v>36</v>
      </c>
      <c r="DT17" s="55" t="s">
        <v>36</v>
      </c>
      <c r="DU17" s="48"/>
      <c r="DV17" s="48"/>
      <c r="DW17" s="55" t="s">
        <v>36</v>
      </c>
      <c r="DX17" s="55" t="s">
        <v>36</v>
      </c>
      <c r="DY17" s="48">
        <v>2828.39</v>
      </c>
      <c r="DZ17" s="48">
        <v>2405.13</v>
      </c>
      <c r="EA17" s="55" t="s">
        <v>36</v>
      </c>
      <c r="EB17" s="55" t="s">
        <v>36</v>
      </c>
      <c r="EC17" s="48">
        <v>608060.18000000005</v>
      </c>
      <c r="ED17" s="48">
        <v>563093.09000000008</v>
      </c>
      <c r="EE17" s="55" t="s">
        <v>36</v>
      </c>
      <c r="EF17" s="55" t="s">
        <v>36</v>
      </c>
      <c r="EG17" s="48">
        <v>608060.18000000005</v>
      </c>
      <c r="EH17" s="48">
        <v>563093.09000000008</v>
      </c>
      <c r="EI17" s="55" t="s">
        <v>36</v>
      </c>
      <c r="EJ17" s="55" t="s">
        <v>36</v>
      </c>
      <c r="EK17" s="48">
        <v>0</v>
      </c>
      <c r="EL17" s="55"/>
      <c r="EM17" s="55" t="s">
        <v>36</v>
      </c>
      <c r="EN17" s="55" t="s">
        <v>36</v>
      </c>
      <c r="EO17" s="48">
        <v>2839.6334682440852</v>
      </c>
      <c r="EP17" s="48">
        <v>2440.8022973558741</v>
      </c>
      <c r="EQ17" s="46">
        <v>803.83333333333337</v>
      </c>
      <c r="ER17" s="46">
        <v>820.3</v>
      </c>
      <c r="ES17" s="46">
        <v>9.1511080752884038</v>
      </c>
      <c r="ET17" s="46">
        <v>9.3385674696700054</v>
      </c>
      <c r="EU17" s="55" t="s">
        <v>36</v>
      </c>
      <c r="EV17" s="55" t="s">
        <v>36</v>
      </c>
      <c r="EW17" s="48">
        <v>1763577.204495986</v>
      </c>
      <c r="EX17" s="48">
        <v>1672861.0799999991</v>
      </c>
      <c r="EY17" s="55" t="s">
        <v>36</v>
      </c>
      <c r="EZ17" s="55" t="s">
        <v>36</v>
      </c>
      <c r="FA17" s="48">
        <v>1763577.204495986</v>
      </c>
      <c r="FB17" s="48">
        <v>1672861.0799999991</v>
      </c>
      <c r="FC17" s="55" t="s">
        <v>36</v>
      </c>
      <c r="FD17" s="55" t="s">
        <v>36</v>
      </c>
      <c r="FE17" s="48">
        <v>0</v>
      </c>
      <c r="FF17" s="48">
        <v>0</v>
      </c>
      <c r="FG17" s="55" t="s">
        <v>36</v>
      </c>
      <c r="FH17" s="55" t="s">
        <v>36</v>
      </c>
      <c r="FI17" s="48">
        <v>2193.96</v>
      </c>
      <c r="FJ17" s="48">
        <v>2039.33</v>
      </c>
      <c r="FK17" s="55" t="s">
        <v>36</v>
      </c>
      <c r="FL17" s="55" t="s">
        <v>36</v>
      </c>
      <c r="FM17" s="48">
        <v>1797839.8600000003</v>
      </c>
      <c r="FN17" s="48">
        <v>1711100.5600000005</v>
      </c>
      <c r="FO17" s="55" t="s">
        <v>36</v>
      </c>
      <c r="FP17" s="55" t="s">
        <v>36</v>
      </c>
      <c r="FQ17" s="48">
        <v>1797839.8600000003</v>
      </c>
      <c r="FR17" s="48">
        <v>1711100.5600000005</v>
      </c>
      <c r="FS17" s="55" t="s">
        <v>36</v>
      </c>
      <c r="FT17" s="55" t="s">
        <v>36</v>
      </c>
      <c r="FU17" s="48">
        <v>0</v>
      </c>
      <c r="FV17" s="48">
        <v>0</v>
      </c>
      <c r="FW17" s="55" t="s">
        <v>36</v>
      </c>
      <c r="FX17" s="55" t="s">
        <v>36</v>
      </c>
      <c r="FY17" s="48">
        <v>2236.5828654364504</v>
      </c>
      <c r="FZ17" s="48">
        <v>2085.9448494453254</v>
      </c>
      <c r="GA17" s="50">
        <v>16.466666666666583</v>
      </c>
      <c r="GB17" s="46">
        <v>2.0485175202156203</v>
      </c>
      <c r="GC17" s="55" t="s">
        <v>36</v>
      </c>
      <c r="GD17" s="46" t="s">
        <v>36</v>
      </c>
      <c r="GE17" s="51">
        <v>-90716.124495986849</v>
      </c>
      <c r="GF17" s="46">
        <v>-5.143870325876243</v>
      </c>
      <c r="GG17" s="55" t="s">
        <v>36</v>
      </c>
      <c r="GH17" s="57" t="s">
        <v>36</v>
      </c>
      <c r="GI17" s="51">
        <v>-90716.124495986849</v>
      </c>
      <c r="GJ17" s="46">
        <v>-5.143870325876243</v>
      </c>
      <c r="GK17" s="55" t="s">
        <v>36</v>
      </c>
      <c r="GL17" s="58" t="s">
        <v>36</v>
      </c>
      <c r="GM17" s="51">
        <v>0</v>
      </c>
      <c r="GN17" s="46" t="s">
        <v>88</v>
      </c>
      <c r="GO17" s="55" t="s">
        <v>36</v>
      </c>
      <c r="GP17" s="57" t="s">
        <v>36</v>
      </c>
      <c r="GQ17" s="51">
        <v>-154.63000000000011</v>
      </c>
      <c r="GR17" s="44"/>
      <c r="GS17" s="44"/>
      <c r="GT17" s="44"/>
      <c r="GU17" s="44"/>
      <c r="GV17" s="44"/>
      <c r="GW17" s="44"/>
    </row>
    <row r="18" spans="1:205">
      <c r="A18" s="418"/>
      <c r="B18" s="45" t="s">
        <v>39</v>
      </c>
      <c r="C18" s="46">
        <f t="shared" si="27"/>
        <v>6.8</v>
      </c>
      <c r="D18" s="46">
        <f>VLOOKUP($B16,[1]!LTV7_RL7[[LTV7]:[Q1]],2,0)</f>
        <v>6.8</v>
      </c>
      <c r="E18" s="46">
        <f t="shared" ref="E18" si="43">IFERROR(C18/$C$66*100,0)</f>
        <v>0.31135531135531136</v>
      </c>
      <c r="F18" s="46">
        <f t="shared" ref="F18" si="44">IFERROR(D18/$D$66*100,0)</f>
        <v>0.31135531135531136</v>
      </c>
      <c r="G18" s="55" t="s">
        <v>36</v>
      </c>
      <c r="H18" s="55" t="s">
        <v>36</v>
      </c>
      <c r="I18" s="48">
        <f t="shared" si="2"/>
        <v>0</v>
      </c>
      <c r="J18" s="48">
        <v>0</v>
      </c>
      <c r="K18" s="55" t="s">
        <v>36</v>
      </c>
      <c r="L18" s="55" t="s">
        <v>36</v>
      </c>
      <c r="M18" s="48">
        <f t="shared" si="30"/>
        <v>0</v>
      </c>
      <c r="N18" s="48">
        <f t="shared" si="30"/>
        <v>0</v>
      </c>
      <c r="O18" s="55" t="s">
        <v>36</v>
      </c>
      <c r="P18" s="55" t="s">
        <v>36</v>
      </c>
      <c r="Q18" s="48"/>
      <c r="R18" s="48"/>
      <c r="S18" s="55" t="s">
        <v>36</v>
      </c>
      <c r="T18" s="55" t="s">
        <v>36</v>
      </c>
      <c r="U18" s="48">
        <f t="shared" si="3"/>
        <v>0</v>
      </c>
      <c r="V18" s="48">
        <f t="shared" si="3"/>
        <v>0</v>
      </c>
      <c r="W18" s="55" t="s">
        <v>36</v>
      </c>
      <c r="X18" s="55" t="s">
        <v>36</v>
      </c>
      <c r="Y18" s="48">
        <f t="shared" si="31"/>
        <v>0</v>
      </c>
      <c r="Z18" s="48"/>
      <c r="AA18" s="55" t="s">
        <v>36</v>
      </c>
      <c r="AB18" s="55" t="s">
        <v>36</v>
      </c>
      <c r="AC18" s="48">
        <f>Y18-AG18</f>
        <v>0</v>
      </c>
      <c r="AD18" s="48">
        <f t="shared" si="32"/>
        <v>0</v>
      </c>
      <c r="AE18" s="55" t="s">
        <v>36</v>
      </c>
      <c r="AF18" s="55" t="s">
        <v>36</v>
      </c>
      <c r="AG18" s="48">
        <f>SUMIFS([1]SP2024!$BO$7:$BO$148,[1]SP2024!$J$7:$J$148,$B16,[1]SP2024!$K$7:$K$148,$B18)</f>
        <v>0</v>
      </c>
      <c r="AH18" s="55"/>
      <c r="AI18" s="55" t="s">
        <v>36</v>
      </c>
      <c r="AJ18" s="55" t="s">
        <v>36</v>
      </c>
      <c r="AK18" s="48">
        <f t="shared" si="4"/>
        <v>0</v>
      </c>
      <c r="AL18" s="48">
        <f t="shared" si="4"/>
        <v>0</v>
      </c>
      <c r="AM18" s="46">
        <f t="shared" si="33"/>
        <v>6.3</v>
      </c>
      <c r="AN18" s="46">
        <f>VLOOKUP($B16,[1]!LTV7_RL7[[LTV7]:[Q2]],3,0)</f>
        <v>6.3</v>
      </c>
      <c r="AO18" s="63">
        <f t="shared" si="34"/>
        <v>0.28846153846153844</v>
      </c>
      <c r="AP18" s="46">
        <f t="shared" ref="AP18" si="45">IFERROR(AN18/$AN$66*100,0)</f>
        <v>0.28846153846153855</v>
      </c>
      <c r="AQ18" s="55" t="s">
        <v>36</v>
      </c>
      <c r="AR18" s="55" t="s">
        <v>36</v>
      </c>
      <c r="AS18" s="48">
        <f t="shared" si="36"/>
        <v>0</v>
      </c>
      <c r="AT18" s="48"/>
      <c r="AU18" s="55" t="s">
        <v>36</v>
      </c>
      <c r="AV18" s="55" t="s">
        <v>36</v>
      </c>
      <c r="AW18" s="48">
        <f t="shared" si="37"/>
        <v>0</v>
      </c>
      <c r="AX18" s="48">
        <f t="shared" si="37"/>
        <v>0</v>
      </c>
      <c r="AY18" s="55" t="s">
        <v>36</v>
      </c>
      <c r="AZ18" s="55" t="s">
        <v>36</v>
      </c>
      <c r="BA18" s="48"/>
      <c r="BB18" s="48"/>
      <c r="BC18" s="55" t="s">
        <v>36</v>
      </c>
      <c r="BD18" s="55" t="s">
        <v>36</v>
      </c>
      <c r="BE18" s="48">
        <f t="shared" si="5"/>
        <v>0</v>
      </c>
      <c r="BF18" s="48">
        <f t="shared" si="5"/>
        <v>0</v>
      </c>
      <c r="BG18" s="55" t="s">
        <v>36</v>
      </c>
      <c r="BH18" s="55" t="s">
        <v>36</v>
      </c>
      <c r="BI18" s="48">
        <f t="shared" si="38"/>
        <v>0</v>
      </c>
      <c r="BJ18" s="48"/>
      <c r="BK18" s="55" t="s">
        <v>36</v>
      </c>
      <c r="BL18" s="55" t="s">
        <v>36</v>
      </c>
      <c r="BM18" s="48">
        <f t="shared" si="39"/>
        <v>0</v>
      </c>
      <c r="BN18" s="48">
        <f t="shared" si="39"/>
        <v>0</v>
      </c>
      <c r="BO18" s="55" t="s">
        <v>36</v>
      </c>
      <c r="BP18" s="55" t="s">
        <v>36</v>
      </c>
      <c r="BQ18" s="48">
        <f>SUMIFS([1]SP2024!$BP$7:$BP$148,[1]SP2024!$J$7:$J$148,$B16,[1]SP2024!$K$7:$K$148,$B18)</f>
        <v>0</v>
      </c>
      <c r="BR18" s="55"/>
      <c r="BS18" s="55" t="s">
        <v>36</v>
      </c>
      <c r="BT18" s="55" t="s">
        <v>36</v>
      </c>
      <c r="BU18" s="48">
        <f t="shared" si="0"/>
        <v>0</v>
      </c>
      <c r="BV18" s="49">
        <f t="shared" si="0"/>
        <v>0</v>
      </c>
      <c r="BW18" s="46">
        <f>SUMIFS([1]SP2024!$AW$7:$AW$148,[1]SP2024!$L$7:$L$148,$B16,[1]SP2024!$M$7:$M$148,$B18)</f>
        <v>0</v>
      </c>
      <c r="BX18" s="46">
        <f>VLOOKUP($B16,[1]!LTV7_RL7[[LTV7]:[Q3]],4,0)</f>
        <v>3.2</v>
      </c>
      <c r="BY18" s="46">
        <f t="shared" si="40"/>
        <v>0</v>
      </c>
      <c r="BZ18" s="46">
        <f t="shared" ref="BZ18" si="46">IFERROR(BX18/$BX$66*100,0)</f>
        <v>0.14492746330139733</v>
      </c>
      <c r="CA18" s="55" t="s">
        <v>36</v>
      </c>
      <c r="CB18" s="55" t="s">
        <v>36</v>
      </c>
      <c r="CC18" s="48">
        <f>CS18*'[2]Pielikums nr. 1.'!$EY$14</f>
        <v>0</v>
      </c>
      <c r="CD18" s="48">
        <v>0</v>
      </c>
      <c r="CE18" s="55" t="s">
        <v>36</v>
      </c>
      <c r="CF18" s="55" t="s">
        <v>36</v>
      </c>
      <c r="CG18" s="48">
        <f t="shared" si="42"/>
        <v>0</v>
      </c>
      <c r="CH18" s="48">
        <f t="shared" si="42"/>
        <v>0</v>
      </c>
      <c r="CI18" s="55" t="s">
        <v>36</v>
      </c>
      <c r="CJ18" s="55" t="s">
        <v>36</v>
      </c>
      <c r="CK18" s="48"/>
      <c r="CL18" s="48"/>
      <c r="CM18" s="55" t="s">
        <v>36</v>
      </c>
      <c r="CN18" s="55" t="s">
        <v>36</v>
      </c>
      <c r="CO18" s="48">
        <f t="shared" si="6"/>
        <v>0</v>
      </c>
      <c r="CP18" s="48">
        <f t="shared" si="6"/>
        <v>0</v>
      </c>
      <c r="CQ18" s="55" t="s">
        <v>36</v>
      </c>
      <c r="CR18" s="55" t="s">
        <v>36</v>
      </c>
      <c r="CS18" s="48">
        <f>SUMIFS([1]SP2024!$BS$7:$BS$148,[1]SP2024!$L$7:$L$148,$B16,[1]SP2024!$M$7:$M$148,$B18)</f>
        <v>0</v>
      </c>
      <c r="CT18" s="48"/>
      <c r="CU18" s="55" t="s">
        <v>36</v>
      </c>
      <c r="CV18" s="55" t="s">
        <v>36</v>
      </c>
      <c r="CW18" s="48">
        <f t="shared" ref="CW18:CX18" si="47">CS18-DA18</f>
        <v>0</v>
      </c>
      <c r="CX18" s="48">
        <f t="shared" si="47"/>
        <v>0</v>
      </c>
      <c r="CY18" s="55" t="s">
        <v>36</v>
      </c>
      <c r="CZ18" s="55" t="s">
        <v>36</v>
      </c>
      <c r="DA18" s="48">
        <f>SUMIFS([1]SP2024!$BQ$7:$BQ$148,[1]SP2024!$J$7:$J$148,$B16,[1]SP2024!$K$7:$K$148,$B18)</f>
        <v>0</v>
      </c>
      <c r="DB18" s="48"/>
      <c r="DC18" s="55" t="s">
        <v>36</v>
      </c>
      <c r="DD18" s="55" t="s">
        <v>36</v>
      </c>
      <c r="DE18" s="48">
        <f t="shared" si="1"/>
        <v>0</v>
      </c>
      <c r="DF18" s="48">
        <f t="shared" si="1"/>
        <v>0</v>
      </c>
      <c r="DG18" s="46">
        <v>3</v>
      </c>
      <c r="DH18" s="46">
        <v>10.6</v>
      </c>
      <c r="DI18" s="46">
        <v>0.13586956521739127</v>
      </c>
      <c r="DJ18" s="46">
        <v>0.48007246376811608</v>
      </c>
      <c r="DK18" s="55" t="s">
        <v>36</v>
      </c>
      <c r="DL18" s="55" t="s">
        <v>36</v>
      </c>
      <c r="DM18" s="48">
        <v>0</v>
      </c>
      <c r="DN18" s="48">
        <v>0</v>
      </c>
      <c r="DO18" s="55" t="s">
        <v>36</v>
      </c>
      <c r="DP18" s="55" t="s">
        <v>36</v>
      </c>
      <c r="DQ18" s="48">
        <v>0</v>
      </c>
      <c r="DR18" s="48">
        <v>0</v>
      </c>
      <c r="DS18" s="55" t="s">
        <v>36</v>
      </c>
      <c r="DT18" s="55" t="s">
        <v>36</v>
      </c>
      <c r="DU18" s="48"/>
      <c r="DV18" s="48"/>
      <c r="DW18" s="55" t="s">
        <v>36</v>
      </c>
      <c r="DX18" s="55" t="s">
        <v>36</v>
      </c>
      <c r="DY18" s="48">
        <v>0</v>
      </c>
      <c r="DZ18" s="48">
        <v>0</v>
      </c>
      <c r="EA18" s="55" t="s">
        <v>36</v>
      </c>
      <c r="EB18" s="55" t="s">
        <v>36</v>
      </c>
      <c r="EC18" s="48">
        <v>0</v>
      </c>
      <c r="ED18" s="48"/>
      <c r="EE18" s="55" t="s">
        <v>36</v>
      </c>
      <c r="EF18" s="55" t="s">
        <v>36</v>
      </c>
      <c r="EG18" s="48">
        <v>0</v>
      </c>
      <c r="EH18" s="48">
        <v>0</v>
      </c>
      <c r="EI18" s="55" t="s">
        <v>36</v>
      </c>
      <c r="EJ18" s="55" t="s">
        <v>36</v>
      </c>
      <c r="EK18" s="48">
        <v>0</v>
      </c>
      <c r="EL18" s="55"/>
      <c r="EM18" s="55" t="s">
        <v>36</v>
      </c>
      <c r="EN18" s="55" t="s">
        <v>36</v>
      </c>
      <c r="EO18" s="48">
        <v>0</v>
      </c>
      <c r="EP18" s="48">
        <v>0</v>
      </c>
      <c r="EQ18" s="46">
        <v>16.100000000000001</v>
      </c>
      <c r="ER18" s="46">
        <v>26.9</v>
      </c>
      <c r="ES18" s="46">
        <v>0.18328779599271405</v>
      </c>
      <c r="ET18" s="46">
        <v>0.3062385769279275</v>
      </c>
      <c r="EU18" s="55" t="s">
        <v>36</v>
      </c>
      <c r="EV18" s="55" t="s">
        <v>36</v>
      </c>
      <c r="EW18" s="48">
        <v>0</v>
      </c>
      <c r="EX18" s="48">
        <v>0</v>
      </c>
      <c r="EY18" s="55" t="s">
        <v>36</v>
      </c>
      <c r="EZ18" s="55" t="s">
        <v>36</v>
      </c>
      <c r="FA18" s="48">
        <v>0</v>
      </c>
      <c r="FB18" s="48">
        <v>0</v>
      </c>
      <c r="FC18" s="55" t="s">
        <v>36</v>
      </c>
      <c r="FD18" s="55" t="s">
        <v>36</v>
      </c>
      <c r="FE18" s="48">
        <v>0</v>
      </c>
      <c r="FF18" s="48">
        <v>0</v>
      </c>
      <c r="FG18" s="55" t="s">
        <v>36</v>
      </c>
      <c r="FH18" s="55" t="s">
        <v>36</v>
      </c>
      <c r="FI18" s="48">
        <v>0</v>
      </c>
      <c r="FJ18" s="48">
        <v>0</v>
      </c>
      <c r="FK18" s="55" t="s">
        <v>36</v>
      </c>
      <c r="FL18" s="55" t="s">
        <v>36</v>
      </c>
      <c r="FM18" s="48">
        <v>0</v>
      </c>
      <c r="FN18" s="48">
        <v>0</v>
      </c>
      <c r="FO18" s="55" t="s">
        <v>36</v>
      </c>
      <c r="FP18" s="55" t="s">
        <v>36</v>
      </c>
      <c r="FQ18" s="48">
        <v>0</v>
      </c>
      <c r="FR18" s="48">
        <v>0</v>
      </c>
      <c r="FS18" s="55" t="s">
        <v>36</v>
      </c>
      <c r="FT18" s="55" t="s">
        <v>36</v>
      </c>
      <c r="FU18" s="48">
        <v>0</v>
      </c>
      <c r="FV18" s="48">
        <v>0</v>
      </c>
      <c r="FW18" s="55" t="s">
        <v>36</v>
      </c>
      <c r="FX18" s="55" t="s">
        <v>36</v>
      </c>
      <c r="FY18" s="48">
        <v>0</v>
      </c>
      <c r="FZ18" s="48">
        <v>0</v>
      </c>
      <c r="GA18" s="50">
        <v>10.799999999999997</v>
      </c>
      <c r="GB18" s="64">
        <v>67.080745341614872</v>
      </c>
      <c r="GC18" s="55" t="s">
        <v>36</v>
      </c>
      <c r="GD18" s="64" t="s">
        <v>36</v>
      </c>
      <c r="GE18" s="51">
        <v>0</v>
      </c>
      <c r="GF18" s="64" t="s">
        <v>88</v>
      </c>
      <c r="GG18" s="55" t="s">
        <v>36</v>
      </c>
      <c r="GH18" s="57" t="s">
        <v>36</v>
      </c>
      <c r="GI18" s="51">
        <v>0</v>
      </c>
      <c r="GJ18" s="64" t="s">
        <v>88</v>
      </c>
      <c r="GK18" s="55" t="s">
        <v>36</v>
      </c>
      <c r="GL18" s="58" t="s">
        <v>36</v>
      </c>
      <c r="GM18" s="51">
        <v>0</v>
      </c>
      <c r="GN18" s="64" t="s">
        <v>88</v>
      </c>
      <c r="GO18" s="55" t="s">
        <v>36</v>
      </c>
      <c r="GP18" s="57" t="s">
        <v>36</v>
      </c>
      <c r="GQ18" s="51">
        <v>0</v>
      </c>
      <c r="GR18" s="44"/>
      <c r="GS18" s="44"/>
      <c r="GT18" s="44"/>
      <c r="GU18" s="44"/>
      <c r="GV18" s="44"/>
      <c r="GW18" s="44"/>
    </row>
    <row r="19" spans="1:205">
      <c r="A19" s="418"/>
      <c r="B19" s="34" t="s">
        <v>41</v>
      </c>
      <c r="C19" s="35">
        <f>SUM(C20:C21)</f>
        <v>40.6</v>
      </c>
      <c r="D19" s="35">
        <f t="shared" ref="D19" si="48">SUM(D20:D21)</f>
        <v>40.6</v>
      </c>
      <c r="E19" s="35">
        <f t="shared" ref="E19" si="49">IFERROR(C19/$C$64*100,0)</f>
        <v>0.92948717948717952</v>
      </c>
      <c r="F19" s="35">
        <f t="shared" ref="F19" si="50">IFERROR(D19/$D$64*100,0)</f>
        <v>0.92948717948717952</v>
      </c>
      <c r="G19" s="59" t="s">
        <v>36</v>
      </c>
      <c r="H19" s="59" t="s">
        <v>36</v>
      </c>
      <c r="I19" s="37">
        <f t="shared" si="2"/>
        <v>187548.43</v>
      </c>
      <c r="J19" s="37">
        <f>SUM(J20:J21)</f>
        <v>187548.43</v>
      </c>
      <c r="K19" s="59" t="s">
        <v>36</v>
      </c>
      <c r="L19" s="59" t="s">
        <v>36</v>
      </c>
      <c r="M19" s="37">
        <f t="shared" ref="M19:N19" si="51">SUM(M20:M21)</f>
        <v>187548.43</v>
      </c>
      <c r="N19" s="37">
        <f t="shared" si="51"/>
        <v>187548.43</v>
      </c>
      <c r="O19" s="59" t="s">
        <v>36</v>
      </c>
      <c r="P19" s="59" t="s">
        <v>36</v>
      </c>
      <c r="Q19" s="37">
        <f>SUM(Q20:Q21)</f>
        <v>0</v>
      </c>
      <c r="R19" s="37">
        <f>SUM(R20:R21)</f>
        <v>0</v>
      </c>
      <c r="S19" s="59" t="s">
        <v>36</v>
      </c>
      <c r="T19" s="59" t="s">
        <v>36</v>
      </c>
      <c r="U19" s="37">
        <f t="shared" si="3"/>
        <v>4619.42</v>
      </c>
      <c r="V19" s="37">
        <f t="shared" si="3"/>
        <v>4619.42</v>
      </c>
      <c r="W19" s="59" t="s">
        <v>36</v>
      </c>
      <c r="X19" s="59" t="s">
        <v>36</v>
      </c>
      <c r="Y19" s="37">
        <f>SUM(Y20:Y21)</f>
        <v>175648.3300000001</v>
      </c>
      <c r="Z19" s="37">
        <f>SUM(Z20:Z21)</f>
        <v>175648.3300000001</v>
      </c>
      <c r="AA19" s="59" t="s">
        <v>36</v>
      </c>
      <c r="AB19" s="59" t="s">
        <v>36</v>
      </c>
      <c r="AC19" s="37">
        <f>SUM(AC20:AC21)</f>
        <v>175648.3300000001</v>
      </c>
      <c r="AD19" s="37">
        <f t="shared" ref="AD19" si="52">SUM(AD20:AD21)</f>
        <v>175648.3300000001</v>
      </c>
      <c r="AE19" s="59" t="s">
        <v>36</v>
      </c>
      <c r="AF19" s="59" t="s">
        <v>36</v>
      </c>
      <c r="AG19" s="37">
        <f t="shared" ref="AG19" si="53">SUM(AG20:AG21)</f>
        <v>0</v>
      </c>
      <c r="AH19" s="59"/>
      <c r="AI19" s="59" t="s">
        <v>36</v>
      </c>
      <c r="AJ19" s="59" t="s">
        <v>36</v>
      </c>
      <c r="AK19" s="37">
        <f t="shared" si="4"/>
        <v>4326.3135467980319</v>
      </c>
      <c r="AL19" s="37">
        <f t="shared" si="4"/>
        <v>4326.3135467980319</v>
      </c>
      <c r="AM19" s="35">
        <f t="shared" ref="AM19:AN19" si="54">SUM(AM20:AM21)</f>
        <v>36.4</v>
      </c>
      <c r="AN19" s="35">
        <f t="shared" si="54"/>
        <v>36.4</v>
      </c>
      <c r="AO19" s="35">
        <f t="shared" ref="AO19" si="55">IFERROR(AM19/$AM$64*100,0)</f>
        <v>0.83333333333333337</v>
      </c>
      <c r="AP19" s="35">
        <f t="shared" ref="AP19" si="56">IFERROR(AN19/$AN$64*100,0)</f>
        <v>0.83333333333333337</v>
      </c>
      <c r="AQ19" s="59" t="s">
        <v>36</v>
      </c>
      <c r="AR19" s="59" t="s">
        <v>36</v>
      </c>
      <c r="AS19" s="37">
        <f>SUM(AS20:AS21)</f>
        <v>194893.49000000002</v>
      </c>
      <c r="AT19" s="37">
        <f>SUM(AT20:AT21)</f>
        <v>194893.49000000002</v>
      </c>
      <c r="AU19" s="59" t="s">
        <v>36</v>
      </c>
      <c r="AV19" s="59" t="s">
        <v>36</v>
      </c>
      <c r="AW19" s="37">
        <f t="shared" ref="AW19:AX19" si="57">SUM(AW20:AW21)</f>
        <v>194893.49000000002</v>
      </c>
      <c r="AX19" s="37">
        <f t="shared" si="57"/>
        <v>194893.49000000002</v>
      </c>
      <c r="AY19" s="59" t="s">
        <v>36</v>
      </c>
      <c r="AZ19" s="59" t="s">
        <v>36</v>
      </c>
      <c r="BA19" s="37">
        <f>SUM(BA20:BA21)</f>
        <v>0</v>
      </c>
      <c r="BB19" s="37">
        <f>SUM(BB20:BB21)</f>
        <v>0</v>
      </c>
      <c r="BC19" s="59" t="s">
        <v>36</v>
      </c>
      <c r="BD19" s="59" t="s">
        <v>36</v>
      </c>
      <c r="BE19" s="37">
        <f t="shared" si="5"/>
        <v>5354.22</v>
      </c>
      <c r="BF19" s="37">
        <f t="shared" si="5"/>
        <v>5354.22</v>
      </c>
      <c r="BG19" s="59" t="s">
        <v>36</v>
      </c>
      <c r="BH19" s="59" t="s">
        <v>36</v>
      </c>
      <c r="BI19" s="37">
        <f t="shared" ref="BI19:BJ19" si="58">SUM(BI20:BI21)</f>
        <v>186684.14999999997</v>
      </c>
      <c r="BJ19" s="37">
        <f t="shared" si="58"/>
        <v>186684.14999999997</v>
      </c>
      <c r="BK19" s="59" t="s">
        <v>36</v>
      </c>
      <c r="BL19" s="59" t="s">
        <v>36</v>
      </c>
      <c r="BM19" s="37">
        <f t="shared" ref="BM19:BN19" si="59">SUM(BM20:BM21)</f>
        <v>186684.14999999997</v>
      </c>
      <c r="BN19" s="37">
        <f t="shared" si="59"/>
        <v>186684.14999999997</v>
      </c>
      <c r="BO19" s="59" t="s">
        <v>36</v>
      </c>
      <c r="BP19" s="59" t="s">
        <v>36</v>
      </c>
      <c r="BQ19" s="37">
        <f t="shared" ref="BQ19" si="60">SUM(BQ20:BQ21)</f>
        <v>0</v>
      </c>
      <c r="BR19" s="59"/>
      <c r="BS19" s="59" t="s">
        <v>36</v>
      </c>
      <c r="BT19" s="59" t="s">
        <v>36</v>
      </c>
      <c r="BU19" s="37">
        <f t="shared" si="0"/>
        <v>5128.6854395604387</v>
      </c>
      <c r="BV19" s="60">
        <f t="shared" si="0"/>
        <v>5128.6854395604387</v>
      </c>
      <c r="BW19" s="35">
        <f t="shared" ref="BW19:BX19" si="61">SUM(BW20:BW21)</f>
        <v>18.5</v>
      </c>
      <c r="BX19" s="35">
        <f t="shared" si="61"/>
        <v>18.7</v>
      </c>
      <c r="BY19" s="35">
        <f t="shared" ref="BY19" si="62">IFERROR(BW19/$BW$64*100,0)</f>
        <v>0.41893115942028991</v>
      </c>
      <c r="BZ19" s="35">
        <f t="shared" ref="BZ19" si="63">IFERROR(BX19/$BX$64*100,0)</f>
        <v>0.42345979865027539</v>
      </c>
      <c r="CA19" s="59" t="s">
        <v>36</v>
      </c>
      <c r="CB19" s="59" t="s">
        <v>36</v>
      </c>
      <c r="CC19" s="37">
        <f>SUM(CC20:CC21)</f>
        <v>115876.29770609361</v>
      </c>
      <c r="CD19" s="37">
        <f>SUM(CD20:CD21)</f>
        <v>114573.12</v>
      </c>
      <c r="CE19" s="59" t="s">
        <v>36</v>
      </c>
      <c r="CF19" s="59" t="s">
        <v>36</v>
      </c>
      <c r="CG19" s="37">
        <f t="shared" ref="CG19:CH19" si="64">SUM(CG20:CG21)</f>
        <v>115876.29770609361</v>
      </c>
      <c r="CH19" s="37">
        <f t="shared" si="64"/>
        <v>114573.12</v>
      </c>
      <c r="CI19" s="59" t="s">
        <v>36</v>
      </c>
      <c r="CJ19" s="59" t="s">
        <v>36</v>
      </c>
      <c r="CK19" s="37">
        <f>SUM(CK20:CK21)</f>
        <v>0</v>
      </c>
      <c r="CL19" s="37">
        <f>SUM(CL20:CL21)</f>
        <v>0</v>
      </c>
      <c r="CM19" s="59" t="s">
        <v>36</v>
      </c>
      <c r="CN19" s="59" t="s">
        <v>36</v>
      </c>
      <c r="CO19" s="37">
        <f t="shared" si="6"/>
        <v>6263.58</v>
      </c>
      <c r="CP19" s="37">
        <f t="shared" si="6"/>
        <v>6126.9</v>
      </c>
      <c r="CQ19" s="59" t="s">
        <v>36</v>
      </c>
      <c r="CR19" s="59" t="s">
        <v>36</v>
      </c>
      <c r="CS19" s="37">
        <f>SUM(CS20:CS21)</f>
        <v>116336.75</v>
      </c>
      <c r="CT19" s="37">
        <f t="shared" ref="CT19" si="65">SUM(CT20:CT21)</f>
        <v>108661.37999999995</v>
      </c>
      <c r="CU19" s="59" t="s">
        <v>36</v>
      </c>
      <c r="CV19" s="59" t="s">
        <v>36</v>
      </c>
      <c r="CW19" s="37">
        <f t="shared" ref="CW19" si="66">SUM(CW20:CW21)</f>
        <v>116336.75</v>
      </c>
      <c r="CX19" s="37">
        <f>SUM(CX20:CX21)</f>
        <v>108661.37999999995</v>
      </c>
      <c r="CY19" s="59" t="s">
        <v>36</v>
      </c>
      <c r="CZ19" s="59" t="s">
        <v>36</v>
      </c>
      <c r="DA19" s="37">
        <f t="shared" ref="DA19" si="67">SUM(DA20:DA21)</f>
        <v>0</v>
      </c>
      <c r="DB19" s="37"/>
      <c r="DC19" s="59" t="s">
        <v>36</v>
      </c>
      <c r="DD19" s="59" t="s">
        <v>36</v>
      </c>
      <c r="DE19" s="37">
        <f t="shared" si="1"/>
        <v>6288.4729729729734</v>
      </c>
      <c r="DF19" s="37">
        <f t="shared" si="1"/>
        <v>5810.7689839572167</v>
      </c>
      <c r="DG19" s="35">
        <v>33.6</v>
      </c>
      <c r="DH19" s="35">
        <v>38.4</v>
      </c>
      <c r="DI19" s="35">
        <v>0.76086956521739113</v>
      </c>
      <c r="DJ19" s="35">
        <v>0.86956521739130455</v>
      </c>
      <c r="DK19" s="59" t="s">
        <v>36</v>
      </c>
      <c r="DL19" s="59" t="s">
        <v>36</v>
      </c>
      <c r="DM19" s="37">
        <v>208702.8471326631</v>
      </c>
      <c r="DN19" s="37">
        <v>188647.16999999969</v>
      </c>
      <c r="DO19" s="59" t="s">
        <v>36</v>
      </c>
      <c r="DP19" s="59" t="s">
        <v>36</v>
      </c>
      <c r="DQ19" s="37">
        <v>208702.8471326631</v>
      </c>
      <c r="DR19" s="37">
        <v>188647.16999999969</v>
      </c>
      <c r="DS19" s="59" t="s">
        <v>36</v>
      </c>
      <c r="DT19" s="59" t="s">
        <v>36</v>
      </c>
      <c r="DU19" s="37">
        <v>0</v>
      </c>
      <c r="DV19" s="37">
        <v>0</v>
      </c>
      <c r="DW19" s="59" t="s">
        <v>36</v>
      </c>
      <c r="DX19" s="59" t="s">
        <v>36</v>
      </c>
      <c r="DY19" s="37">
        <v>6211.39</v>
      </c>
      <c r="DZ19" s="37">
        <v>4912.6899999999996</v>
      </c>
      <c r="EA19" s="59" t="s">
        <v>36</v>
      </c>
      <c r="EB19" s="59" t="s">
        <v>36</v>
      </c>
      <c r="EC19" s="37">
        <v>209532.16000000003</v>
      </c>
      <c r="ED19" s="37">
        <v>180484.40000000014</v>
      </c>
      <c r="EE19" s="59" t="s">
        <v>36</v>
      </c>
      <c r="EF19" s="59" t="s">
        <v>36</v>
      </c>
      <c r="EG19" s="37">
        <v>209532.16000000003</v>
      </c>
      <c r="EH19" s="37">
        <v>180484.40000000014</v>
      </c>
      <c r="EI19" s="59" t="s">
        <v>36</v>
      </c>
      <c r="EJ19" s="59" t="s">
        <v>36</v>
      </c>
      <c r="EK19" s="37">
        <v>0</v>
      </c>
      <c r="EL19" s="59"/>
      <c r="EM19" s="59" t="s">
        <v>36</v>
      </c>
      <c r="EN19" s="59" t="s">
        <v>36</v>
      </c>
      <c r="EO19" s="37">
        <v>6236.0761904761912</v>
      </c>
      <c r="EP19" s="37">
        <v>4700.1145833333376</v>
      </c>
      <c r="EQ19" s="40">
        <v>129.1</v>
      </c>
      <c r="ER19" s="35">
        <v>134.1</v>
      </c>
      <c r="ES19" s="40">
        <v>0.73485883424408005</v>
      </c>
      <c r="ET19" s="40">
        <v>0.76331951523044261</v>
      </c>
      <c r="EU19" s="59" t="s">
        <v>36</v>
      </c>
      <c r="EV19" s="59" t="s">
        <v>36</v>
      </c>
      <c r="EW19" s="37">
        <v>707021.06483875681</v>
      </c>
      <c r="EX19" s="37">
        <v>685662.20999999973</v>
      </c>
      <c r="EY19" s="59" t="s">
        <v>36</v>
      </c>
      <c r="EZ19" s="59" t="s">
        <v>36</v>
      </c>
      <c r="FA19" s="37">
        <v>707021.06483875681</v>
      </c>
      <c r="FB19" s="37">
        <v>685662.20999999973</v>
      </c>
      <c r="FC19" s="59" t="s">
        <v>36</v>
      </c>
      <c r="FD19" s="59" t="s">
        <v>36</v>
      </c>
      <c r="FE19" s="37">
        <v>0</v>
      </c>
      <c r="FF19" s="37">
        <v>0</v>
      </c>
      <c r="FG19" s="59" t="s">
        <v>36</v>
      </c>
      <c r="FH19" s="59" t="s">
        <v>36</v>
      </c>
      <c r="FI19" s="37">
        <v>5476.54</v>
      </c>
      <c r="FJ19" s="37">
        <v>5113.07</v>
      </c>
      <c r="FK19" s="59" t="s">
        <v>36</v>
      </c>
      <c r="FL19" s="59" t="s">
        <v>36</v>
      </c>
      <c r="FM19" s="37">
        <v>688201.39000000013</v>
      </c>
      <c r="FN19" s="37">
        <v>651478.26000000024</v>
      </c>
      <c r="FO19" s="59" t="s">
        <v>36</v>
      </c>
      <c r="FP19" s="59" t="s">
        <v>36</v>
      </c>
      <c r="FQ19" s="37">
        <v>688201.39000000013</v>
      </c>
      <c r="FR19" s="37">
        <v>651478.26000000024</v>
      </c>
      <c r="FS19" s="59" t="s">
        <v>36</v>
      </c>
      <c r="FT19" s="59" t="s">
        <v>36</v>
      </c>
      <c r="FU19" s="37">
        <v>0</v>
      </c>
      <c r="FV19" s="37">
        <v>0</v>
      </c>
      <c r="FW19" s="59" t="s">
        <v>36</v>
      </c>
      <c r="FX19" s="59" t="s">
        <v>36</v>
      </c>
      <c r="FY19" s="37">
        <v>5330.7621223857486</v>
      </c>
      <c r="FZ19" s="37">
        <v>4858.1525727069375</v>
      </c>
      <c r="GA19" s="39">
        <v>5</v>
      </c>
      <c r="GB19" s="35">
        <v>3.8729666924864459</v>
      </c>
      <c r="GC19" s="59" t="s">
        <v>36</v>
      </c>
      <c r="GD19" s="40" t="s">
        <v>36</v>
      </c>
      <c r="GE19" s="41">
        <v>-21358.854838757077</v>
      </c>
      <c r="GF19" s="40">
        <v>-3.0209644239706179</v>
      </c>
      <c r="GG19" s="59" t="s">
        <v>36</v>
      </c>
      <c r="GH19" s="61" t="s">
        <v>36</v>
      </c>
      <c r="GI19" s="41">
        <v>-21358.854838757077</v>
      </c>
      <c r="GJ19" s="40">
        <v>-3.0209644239706179</v>
      </c>
      <c r="GK19" s="59" t="s">
        <v>36</v>
      </c>
      <c r="GL19" s="62" t="s">
        <v>36</v>
      </c>
      <c r="GM19" s="41">
        <v>0</v>
      </c>
      <c r="GN19" s="40" t="s">
        <v>88</v>
      </c>
      <c r="GO19" s="59" t="s">
        <v>36</v>
      </c>
      <c r="GP19" s="61" t="s">
        <v>36</v>
      </c>
      <c r="GQ19" s="41">
        <v>-363.47000000000025</v>
      </c>
      <c r="GR19" s="44"/>
      <c r="GS19" s="44"/>
      <c r="GT19" s="44"/>
      <c r="GU19" s="44"/>
      <c r="GV19" s="44"/>
      <c r="GW19" s="44"/>
    </row>
    <row r="20" spans="1:205">
      <c r="A20" s="418"/>
      <c r="B20" s="45" t="s">
        <v>38</v>
      </c>
      <c r="C20" s="46">
        <f t="shared" ref="C20:C21" si="68">D20</f>
        <v>40.6</v>
      </c>
      <c r="D20" s="46">
        <f>VLOOKUP($B19,[1]!LTV1_RL2[[LTV1]:[Q1]],2,0)</f>
        <v>40.6</v>
      </c>
      <c r="E20" s="46">
        <f t="shared" ref="E20" si="69">IFERROR(C20/$C$65*100,0)</f>
        <v>1.858974358974359</v>
      </c>
      <c r="F20" s="46">
        <f t="shared" ref="F20" si="70">IFERROR(D20/$D$65*100,0)</f>
        <v>1.858974358974359</v>
      </c>
      <c r="G20" s="55" t="s">
        <v>36</v>
      </c>
      <c r="H20" s="55" t="s">
        <v>36</v>
      </c>
      <c r="I20" s="48">
        <f t="shared" si="2"/>
        <v>187548.43</v>
      </c>
      <c r="J20" s="48">
        <v>187548.43</v>
      </c>
      <c r="K20" s="55" t="s">
        <v>36</v>
      </c>
      <c r="L20" s="55" t="s">
        <v>36</v>
      </c>
      <c r="M20" s="48">
        <f>I20-Q20</f>
        <v>187548.43</v>
      </c>
      <c r="N20" s="48">
        <f>J20-R20</f>
        <v>187548.43</v>
      </c>
      <c r="O20" s="55" t="s">
        <v>36</v>
      </c>
      <c r="P20" s="55" t="s">
        <v>36</v>
      </c>
      <c r="Q20" s="48"/>
      <c r="R20" s="48"/>
      <c r="S20" s="55" t="s">
        <v>36</v>
      </c>
      <c r="T20" s="55" t="s">
        <v>36</v>
      </c>
      <c r="U20" s="48">
        <f t="shared" si="3"/>
        <v>4619.42</v>
      </c>
      <c r="V20" s="48">
        <f t="shared" si="3"/>
        <v>4619.42</v>
      </c>
      <c r="W20" s="55" t="s">
        <v>36</v>
      </c>
      <c r="X20" s="55" t="s">
        <v>36</v>
      </c>
      <c r="Y20" s="48">
        <f t="shared" ref="Y20:Y21" si="71">Z20</f>
        <v>175648.3300000001</v>
      </c>
      <c r="Z20" s="48">
        <f>[1]Fakts_Izd!Z45</f>
        <v>175648.3300000001</v>
      </c>
      <c r="AA20" s="55" t="s">
        <v>36</v>
      </c>
      <c r="AB20" s="55" t="s">
        <v>36</v>
      </c>
      <c r="AC20" s="48">
        <f>Y20-AG20</f>
        <v>175648.3300000001</v>
      </c>
      <c r="AD20" s="48">
        <f t="shared" ref="AD20:AD21" si="72">Z20-AH20</f>
        <v>175648.3300000001</v>
      </c>
      <c r="AE20" s="55" t="s">
        <v>36</v>
      </c>
      <c r="AF20" s="55" t="s">
        <v>36</v>
      </c>
      <c r="AG20" s="48">
        <f>SUMIFS([1]SP2024!$BO$7:$BO$148,[1]SP2024!$J$7:$J$148,$B19,[1]SP2024!$K$7:$K$148,$B20)</f>
        <v>0</v>
      </c>
      <c r="AH20" s="55"/>
      <c r="AI20" s="55" t="s">
        <v>36</v>
      </c>
      <c r="AJ20" s="55" t="s">
        <v>36</v>
      </c>
      <c r="AK20" s="48">
        <f t="shared" si="4"/>
        <v>4326.3135467980319</v>
      </c>
      <c r="AL20" s="48">
        <f t="shared" si="4"/>
        <v>4326.3135467980319</v>
      </c>
      <c r="AM20" s="46">
        <f t="shared" ref="AM20:AM21" si="73">AN20</f>
        <v>36.4</v>
      </c>
      <c r="AN20" s="46">
        <f>VLOOKUP($B19,[1]!LTV1_RL2[[LTV1]:[Q2]],3,0)</f>
        <v>36.4</v>
      </c>
      <c r="AO20" s="63">
        <f t="shared" ref="AO20:AO21" si="74">IFERROR(AM20/$AM$65*100,0)</f>
        <v>1.6666666666666667</v>
      </c>
      <c r="AP20" s="46">
        <f t="shared" ref="AP20" si="75">IFERROR(AN20/$AN$65*100,0)</f>
        <v>1.6666666666666667</v>
      </c>
      <c r="AQ20" s="55" t="s">
        <v>36</v>
      </c>
      <c r="AR20" s="55" t="s">
        <v>36</v>
      </c>
      <c r="AS20" s="48">
        <f t="shared" ref="AS20:AS21" si="76">AT20</f>
        <v>194893.49000000002</v>
      </c>
      <c r="AT20" s="48">
        <v>194893.49000000002</v>
      </c>
      <c r="AU20" s="55" t="s">
        <v>36</v>
      </c>
      <c r="AV20" s="55" t="s">
        <v>36</v>
      </c>
      <c r="AW20" s="48">
        <f>AS20-BA20</f>
        <v>194893.49000000002</v>
      </c>
      <c r="AX20" s="48">
        <f>AT20-BB20</f>
        <v>194893.49000000002</v>
      </c>
      <c r="AY20" s="55" t="s">
        <v>36</v>
      </c>
      <c r="AZ20" s="55" t="s">
        <v>36</v>
      </c>
      <c r="BA20" s="48"/>
      <c r="BB20" s="48"/>
      <c r="BC20" s="55" t="s">
        <v>36</v>
      </c>
      <c r="BD20" s="55" t="s">
        <v>36</v>
      </c>
      <c r="BE20" s="48">
        <f t="shared" si="5"/>
        <v>5354.22</v>
      </c>
      <c r="BF20" s="48">
        <f t="shared" si="5"/>
        <v>5354.22</v>
      </c>
      <c r="BG20" s="55" t="s">
        <v>36</v>
      </c>
      <c r="BH20" s="55" t="s">
        <v>36</v>
      </c>
      <c r="BI20" s="48">
        <f t="shared" ref="BI20:BI21" si="77">BJ20</f>
        <v>186684.14999999997</v>
      </c>
      <c r="BJ20" s="48">
        <f>[1]Fakts_Izd!AA45</f>
        <v>186684.14999999997</v>
      </c>
      <c r="BK20" s="55" t="s">
        <v>36</v>
      </c>
      <c r="BL20" s="55" t="s">
        <v>36</v>
      </c>
      <c r="BM20" s="48">
        <f t="shared" ref="BM20:BN21" si="78">BI20-BQ20</f>
        <v>186684.14999999997</v>
      </c>
      <c r="BN20" s="48">
        <f t="shared" si="78"/>
        <v>186684.14999999997</v>
      </c>
      <c r="BO20" s="55" t="s">
        <v>36</v>
      </c>
      <c r="BP20" s="55" t="s">
        <v>36</v>
      </c>
      <c r="BQ20" s="48">
        <f>SUMIFS([1]SP2024!$BP$7:$BP$148,[1]SP2024!$J$7:$J$148,$B19,[1]SP2024!$K$7:$K$148,$B20)</f>
        <v>0</v>
      </c>
      <c r="BR20" s="55"/>
      <c r="BS20" s="55" t="s">
        <v>36</v>
      </c>
      <c r="BT20" s="55" t="s">
        <v>36</v>
      </c>
      <c r="BU20" s="48">
        <f t="shared" si="0"/>
        <v>5128.6854395604387</v>
      </c>
      <c r="BV20" s="49">
        <f t="shared" si="0"/>
        <v>5128.6854395604387</v>
      </c>
      <c r="BW20" s="46">
        <f>SUMIFS([1]SP2024!$AW$7:$AW$148,[1]SP2024!$L$7:$L$148,$B19,[1]SP2024!$M$7:$M$148,$B20)</f>
        <v>18.5</v>
      </c>
      <c r="BX20" s="46">
        <f>VLOOKUP($B19,[1]!LTV1_RL2[[LTV1]:[Q3]],4,0)</f>
        <v>18.7</v>
      </c>
      <c r="BY20" s="46">
        <f t="shared" ref="BY20:BY21" si="79">IFERROR(BW20/$BW$65*100,0)</f>
        <v>0.83786231884057982</v>
      </c>
      <c r="BZ20" s="46">
        <f t="shared" ref="BZ20" si="80">IFERROR(BX20/$BX$65*100,0)</f>
        <v>0.84691933093372862</v>
      </c>
      <c r="CA20" s="55" t="s">
        <v>36</v>
      </c>
      <c r="CB20" s="55" t="s">
        <v>36</v>
      </c>
      <c r="CC20" s="48">
        <f>CS20*'[2]Pielikums nr. 1.'!$EY$14</f>
        <v>115876.29770609361</v>
      </c>
      <c r="CD20" s="48">
        <v>114573.12</v>
      </c>
      <c r="CE20" s="55" t="s">
        <v>36</v>
      </c>
      <c r="CF20" s="55" t="s">
        <v>36</v>
      </c>
      <c r="CG20" s="48">
        <f>CC20-CK20</f>
        <v>115876.29770609361</v>
      </c>
      <c r="CH20" s="48">
        <f>CD20-CL20</f>
        <v>114573.12</v>
      </c>
      <c r="CI20" s="55" t="s">
        <v>36</v>
      </c>
      <c r="CJ20" s="55" t="s">
        <v>36</v>
      </c>
      <c r="CK20" s="48"/>
      <c r="CL20" s="48"/>
      <c r="CM20" s="55" t="s">
        <v>36</v>
      </c>
      <c r="CN20" s="55" t="s">
        <v>36</v>
      </c>
      <c r="CO20" s="48">
        <f t="shared" si="6"/>
        <v>6263.58</v>
      </c>
      <c r="CP20" s="48">
        <f t="shared" si="6"/>
        <v>6126.9</v>
      </c>
      <c r="CQ20" s="55" t="s">
        <v>36</v>
      </c>
      <c r="CR20" s="55" t="s">
        <v>36</v>
      </c>
      <c r="CS20" s="48">
        <f>SUMIFS([1]SP2024!$BS$7:$BS$148,[1]SP2024!$L$7:$L$148,$B19,[1]SP2024!$M$7:$M$148,$B20)</f>
        <v>116336.75</v>
      </c>
      <c r="CT20" s="48">
        <f>[1]Fakts_Izd!AB45</f>
        <v>108661.37999999995</v>
      </c>
      <c r="CU20" s="55" t="s">
        <v>36</v>
      </c>
      <c r="CV20" s="55" t="s">
        <v>36</v>
      </c>
      <c r="CW20" s="48">
        <f t="shared" ref="CW20:CX21" si="81">CS20-DA20</f>
        <v>116336.75</v>
      </c>
      <c r="CX20" s="48">
        <f t="shared" si="81"/>
        <v>108661.37999999995</v>
      </c>
      <c r="CY20" s="55" t="s">
        <v>36</v>
      </c>
      <c r="CZ20" s="55" t="s">
        <v>36</v>
      </c>
      <c r="DA20" s="48">
        <f>SUMIFS([1]SP2024!$BQ$7:$BQ$148,[1]SP2024!$J$7:$J$148,$B19,[1]SP2024!$K$7:$K$148,$B20)</f>
        <v>0</v>
      </c>
      <c r="DB20" s="48"/>
      <c r="DC20" s="55" t="s">
        <v>36</v>
      </c>
      <c r="DD20" s="55" t="s">
        <v>36</v>
      </c>
      <c r="DE20" s="48">
        <f t="shared" si="1"/>
        <v>6288.4729729729734</v>
      </c>
      <c r="DF20" s="48">
        <f t="shared" si="1"/>
        <v>5810.7689839572167</v>
      </c>
      <c r="DG20" s="46">
        <v>33.6</v>
      </c>
      <c r="DH20" s="46">
        <v>37.4</v>
      </c>
      <c r="DI20" s="46">
        <v>1.5217391304347823</v>
      </c>
      <c r="DJ20" s="46">
        <v>1.693840579710145</v>
      </c>
      <c r="DK20" s="55" t="s">
        <v>36</v>
      </c>
      <c r="DL20" s="55" t="s">
        <v>36</v>
      </c>
      <c r="DM20" s="48">
        <v>208702.8471326631</v>
      </c>
      <c r="DN20" s="48">
        <v>188647.16999999969</v>
      </c>
      <c r="DO20" s="55" t="s">
        <v>36</v>
      </c>
      <c r="DP20" s="55" t="s">
        <v>36</v>
      </c>
      <c r="DQ20" s="48">
        <v>208702.8471326631</v>
      </c>
      <c r="DR20" s="48">
        <v>188647.16999999969</v>
      </c>
      <c r="DS20" s="55" t="s">
        <v>36</v>
      </c>
      <c r="DT20" s="55" t="s">
        <v>36</v>
      </c>
      <c r="DU20" s="48"/>
      <c r="DV20" s="48"/>
      <c r="DW20" s="55" t="s">
        <v>36</v>
      </c>
      <c r="DX20" s="55" t="s">
        <v>36</v>
      </c>
      <c r="DY20" s="48">
        <v>6211.39</v>
      </c>
      <c r="DZ20" s="48">
        <v>5044.04</v>
      </c>
      <c r="EA20" s="55" t="s">
        <v>36</v>
      </c>
      <c r="EB20" s="55" t="s">
        <v>36</v>
      </c>
      <c r="EC20" s="48">
        <v>209532.16000000003</v>
      </c>
      <c r="ED20" s="48">
        <v>180484.40000000014</v>
      </c>
      <c r="EE20" s="55" t="s">
        <v>36</v>
      </c>
      <c r="EF20" s="55" t="s">
        <v>36</v>
      </c>
      <c r="EG20" s="48">
        <v>209532.16000000003</v>
      </c>
      <c r="EH20" s="48">
        <v>180484.40000000014</v>
      </c>
      <c r="EI20" s="55" t="s">
        <v>36</v>
      </c>
      <c r="EJ20" s="55" t="s">
        <v>36</v>
      </c>
      <c r="EK20" s="48">
        <v>0</v>
      </c>
      <c r="EL20" s="55"/>
      <c r="EM20" s="55" t="s">
        <v>36</v>
      </c>
      <c r="EN20" s="55" t="s">
        <v>36</v>
      </c>
      <c r="EO20" s="48">
        <v>6236.0761904761912</v>
      </c>
      <c r="EP20" s="48">
        <v>4825.7860962566883</v>
      </c>
      <c r="EQ20" s="46">
        <v>129.1</v>
      </c>
      <c r="ER20" s="46">
        <v>133.1</v>
      </c>
      <c r="ES20" s="46">
        <v>1.4697176684881601</v>
      </c>
      <c r="ET20" s="46">
        <v>1.5152545778533189</v>
      </c>
      <c r="EU20" s="55" t="s">
        <v>36</v>
      </c>
      <c r="EV20" s="55" t="s">
        <v>36</v>
      </c>
      <c r="EW20" s="48">
        <v>707021.06483875681</v>
      </c>
      <c r="EX20" s="48">
        <v>685662.20999999973</v>
      </c>
      <c r="EY20" s="55" t="s">
        <v>36</v>
      </c>
      <c r="EZ20" s="55" t="s">
        <v>36</v>
      </c>
      <c r="FA20" s="48">
        <v>707021.06483875681</v>
      </c>
      <c r="FB20" s="48">
        <v>685662.20999999973</v>
      </c>
      <c r="FC20" s="55" t="s">
        <v>36</v>
      </c>
      <c r="FD20" s="55" t="s">
        <v>36</v>
      </c>
      <c r="FE20" s="48">
        <v>0</v>
      </c>
      <c r="FF20" s="48">
        <v>0</v>
      </c>
      <c r="FG20" s="55" t="s">
        <v>36</v>
      </c>
      <c r="FH20" s="55" t="s">
        <v>36</v>
      </c>
      <c r="FI20" s="48">
        <v>5476.54</v>
      </c>
      <c r="FJ20" s="48">
        <v>5151.4799999999996</v>
      </c>
      <c r="FK20" s="55" t="s">
        <v>36</v>
      </c>
      <c r="FL20" s="55" t="s">
        <v>36</v>
      </c>
      <c r="FM20" s="48">
        <v>688201.39000000013</v>
      </c>
      <c r="FN20" s="48">
        <v>651478.26000000024</v>
      </c>
      <c r="FO20" s="55" t="s">
        <v>36</v>
      </c>
      <c r="FP20" s="55" t="s">
        <v>36</v>
      </c>
      <c r="FQ20" s="48">
        <v>688201.39000000013</v>
      </c>
      <c r="FR20" s="48">
        <v>651478.26000000024</v>
      </c>
      <c r="FS20" s="55" t="s">
        <v>36</v>
      </c>
      <c r="FT20" s="55" t="s">
        <v>36</v>
      </c>
      <c r="FU20" s="48">
        <v>0</v>
      </c>
      <c r="FV20" s="48">
        <v>0</v>
      </c>
      <c r="FW20" s="55" t="s">
        <v>36</v>
      </c>
      <c r="FX20" s="55" t="s">
        <v>36</v>
      </c>
      <c r="FY20" s="48">
        <v>5330.7621223857486</v>
      </c>
      <c r="FZ20" s="48">
        <v>4894.6525920360655</v>
      </c>
      <c r="GA20" s="50">
        <v>4</v>
      </c>
      <c r="GB20" s="46">
        <v>3.0983733539891478</v>
      </c>
      <c r="GC20" s="55" t="s">
        <v>36</v>
      </c>
      <c r="GD20" s="46" t="s">
        <v>36</v>
      </c>
      <c r="GE20" s="51">
        <v>-21358.854838757077</v>
      </c>
      <c r="GF20" s="46">
        <v>-3.0209644239706179</v>
      </c>
      <c r="GG20" s="55" t="s">
        <v>36</v>
      </c>
      <c r="GH20" s="57" t="s">
        <v>36</v>
      </c>
      <c r="GI20" s="51">
        <v>-21358.854838757077</v>
      </c>
      <c r="GJ20" s="46">
        <v>-3.0209644239706179</v>
      </c>
      <c r="GK20" s="55" t="s">
        <v>36</v>
      </c>
      <c r="GL20" s="58" t="s">
        <v>36</v>
      </c>
      <c r="GM20" s="51">
        <v>0</v>
      </c>
      <c r="GN20" s="46" t="s">
        <v>88</v>
      </c>
      <c r="GO20" s="55" t="s">
        <v>36</v>
      </c>
      <c r="GP20" s="57" t="s">
        <v>36</v>
      </c>
      <c r="GQ20" s="51">
        <v>-325.0600000000004</v>
      </c>
      <c r="GR20" s="44"/>
      <c r="GS20" s="44"/>
      <c r="GT20" s="44"/>
      <c r="GU20" s="44"/>
      <c r="GV20" s="44"/>
      <c r="GW20" s="44"/>
    </row>
    <row r="21" spans="1:205">
      <c r="A21" s="418"/>
      <c r="B21" s="45" t="s">
        <v>39</v>
      </c>
      <c r="C21" s="46">
        <f t="shared" si="68"/>
        <v>0</v>
      </c>
      <c r="D21" s="46">
        <f>VLOOKUP($B19,[1]!LTV7_RL7[[LTV7]:[Q1]],2,0)</f>
        <v>0</v>
      </c>
      <c r="E21" s="46">
        <f t="shared" ref="E21" si="82">IFERROR(C21/$C$66*100,0)</f>
        <v>0</v>
      </c>
      <c r="F21" s="46">
        <f t="shared" ref="F21" si="83">IFERROR(D21/$D$66*100,0)</f>
        <v>0</v>
      </c>
      <c r="G21" s="55" t="s">
        <v>36</v>
      </c>
      <c r="H21" s="55" t="s">
        <v>36</v>
      </c>
      <c r="I21" s="48">
        <f t="shared" si="2"/>
        <v>0</v>
      </c>
      <c r="J21" s="48">
        <v>0</v>
      </c>
      <c r="K21" s="55" t="s">
        <v>36</v>
      </c>
      <c r="L21" s="55" t="s">
        <v>36</v>
      </c>
      <c r="M21" s="48">
        <f t="shared" ref="M21:N21" si="84">I21-Q21</f>
        <v>0</v>
      </c>
      <c r="N21" s="48">
        <f t="shared" si="84"/>
        <v>0</v>
      </c>
      <c r="O21" s="55" t="s">
        <v>36</v>
      </c>
      <c r="P21" s="55" t="s">
        <v>36</v>
      </c>
      <c r="Q21" s="48"/>
      <c r="R21" s="48"/>
      <c r="S21" s="55" t="s">
        <v>36</v>
      </c>
      <c r="T21" s="55" t="s">
        <v>36</v>
      </c>
      <c r="U21" s="48">
        <f t="shared" si="3"/>
        <v>0</v>
      </c>
      <c r="V21" s="48">
        <f t="shared" si="3"/>
        <v>0</v>
      </c>
      <c r="W21" s="55" t="s">
        <v>36</v>
      </c>
      <c r="X21" s="55" t="s">
        <v>36</v>
      </c>
      <c r="Y21" s="48">
        <f t="shared" si="71"/>
        <v>0</v>
      </c>
      <c r="Z21" s="48">
        <f>[1]Fakts_Izd!Z46</f>
        <v>0</v>
      </c>
      <c r="AA21" s="55" t="s">
        <v>36</v>
      </c>
      <c r="AB21" s="55" t="s">
        <v>36</v>
      </c>
      <c r="AC21" s="48">
        <f>Y21-AG21</f>
        <v>0</v>
      </c>
      <c r="AD21" s="48">
        <f t="shared" si="72"/>
        <v>0</v>
      </c>
      <c r="AE21" s="55" t="s">
        <v>36</v>
      </c>
      <c r="AF21" s="55" t="s">
        <v>36</v>
      </c>
      <c r="AG21" s="48">
        <f>SUMIFS([1]SP2024!$BO$7:$BO$148,[1]SP2024!$J$7:$J$148,$B19,[1]SP2024!$K$7:$K$148,$B21)</f>
        <v>0</v>
      </c>
      <c r="AH21" s="55"/>
      <c r="AI21" s="55" t="s">
        <v>36</v>
      </c>
      <c r="AJ21" s="55" t="s">
        <v>36</v>
      </c>
      <c r="AK21" s="48">
        <f t="shared" si="4"/>
        <v>0</v>
      </c>
      <c r="AL21" s="48">
        <f t="shared" si="4"/>
        <v>0</v>
      </c>
      <c r="AM21" s="46">
        <f t="shared" si="73"/>
        <v>0</v>
      </c>
      <c r="AN21" s="46">
        <f>VLOOKUP($B19,[1]!LTV7_RL7[[LTV7]:[Q2]],3,0)</f>
        <v>0</v>
      </c>
      <c r="AO21" s="63">
        <f t="shared" si="74"/>
        <v>0</v>
      </c>
      <c r="AP21" s="46">
        <f t="shared" ref="AP21" si="85">IFERROR(AN21/$AN$66*100,0)</f>
        <v>0</v>
      </c>
      <c r="AQ21" s="55" t="s">
        <v>36</v>
      </c>
      <c r="AR21" s="55" t="s">
        <v>36</v>
      </c>
      <c r="AS21" s="48">
        <f t="shared" si="76"/>
        <v>0</v>
      </c>
      <c r="AT21" s="48"/>
      <c r="AU21" s="55" t="s">
        <v>36</v>
      </c>
      <c r="AV21" s="55" t="s">
        <v>36</v>
      </c>
      <c r="AW21" s="48">
        <f t="shared" ref="AW21:AX21" si="86">AS21-BA21</f>
        <v>0</v>
      </c>
      <c r="AX21" s="48">
        <f t="shared" si="86"/>
        <v>0</v>
      </c>
      <c r="AY21" s="55" t="s">
        <v>36</v>
      </c>
      <c r="AZ21" s="55" t="s">
        <v>36</v>
      </c>
      <c r="BA21" s="48"/>
      <c r="BB21" s="48"/>
      <c r="BC21" s="55" t="s">
        <v>36</v>
      </c>
      <c r="BD21" s="55" t="s">
        <v>36</v>
      </c>
      <c r="BE21" s="48">
        <f t="shared" si="5"/>
        <v>0</v>
      </c>
      <c r="BF21" s="48">
        <f t="shared" si="5"/>
        <v>0</v>
      </c>
      <c r="BG21" s="55" t="s">
        <v>36</v>
      </c>
      <c r="BH21" s="55" t="s">
        <v>36</v>
      </c>
      <c r="BI21" s="48">
        <f t="shared" si="77"/>
        <v>0</v>
      </c>
      <c r="BJ21" s="48">
        <f>[1]Fakts_Izd!AA46</f>
        <v>0</v>
      </c>
      <c r="BK21" s="55" t="s">
        <v>36</v>
      </c>
      <c r="BL21" s="55" t="s">
        <v>36</v>
      </c>
      <c r="BM21" s="48">
        <f t="shared" si="78"/>
        <v>0</v>
      </c>
      <c r="BN21" s="48">
        <f t="shared" si="78"/>
        <v>0</v>
      </c>
      <c r="BO21" s="55" t="s">
        <v>36</v>
      </c>
      <c r="BP21" s="55" t="s">
        <v>36</v>
      </c>
      <c r="BQ21" s="48">
        <f>SUMIFS([1]SP2024!$BP$7:$BP$148,[1]SP2024!$J$7:$J$148,$B19,[1]SP2024!$K$7:$K$148,$B21)</f>
        <v>0</v>
      </c>
      <c r="BR21" s="55"/>
      <c r="BS21" s="55" t="s">
        <v>36</v>
      </c>
      <c r="BT21" s="55" t="s">
        <v>36</v>
      </c>
      <c r="BU21" s="48">
        <f t="shared" si="0"/>
        <v>0</v>
      </c>
      <c r="BV21" s="49">
        <f t="shared" si="0"/>
        <v>0</v>
      </c>
      <c r="BW21" s="46">
        <f>SUMIFS([1]SP2024!$AW$7:$AW$148,[1]SP2024!$L$7:$L$148,$B19,[1]SP2024!$M$7:$M$148,$B21)</f>
        <v>0</v>
      </c>
      <c r="BX21" s="46">
        <f>VLOOKUP($B19,[1]!LTV7_RL7[[LTV7]:[Q3]],4,0)</f>
        <v>0</v>
      </c>
      <c r="BY21" s="46">
        <f t="shared" si="79"/>
        <v>0</v>
      </c>
      <c r="BZ21" s="46">
        <f t="shared" ref="BZ21" si="87">IFERROR(BX21/$BX$66*100,0)</f>
        <v>0</v>
      </c>
      <c r="CA21" s="55" t="s">
        <v>36</v>
      </c>
      <c r="CB21" s="55" t="s">
        <v>36</v>
      </c>
      <c r="CC21" s="48">
        <f>CS21*'[2]Pielikums nr. 1.'!$EY$14</f>
        <v>0</v>
      </c>
      <c r="CD21" s="48">
        <v>0</v>
      </c>
      <c r="CE21" s="55" t="s">
        <v>36</v>
      </c>
      <c r="CF21" s="55" t="s">
        <v>36</v>
      </c>
      <c r="CG21" s="48">
        <f t="shared" ref="CG21:CH21" si="88">CC21-CK21</f>
        <v>0</v>
      </c>
      <c r="CH21" s="48">
        <f t="shared" si="88"/>
        <v>0</v>
      </c>
      <c r="CI21" s="55" t="s">
        <v>36</v>
      </c>
      <c r="CJ21" s="55" t="s">
        <v>36</v>
      </c>
      <c r="CK21" s="48"/>
      <c r="CL21" s="48"/>
      <c r="CM21" s="55" t="s">
        <v>36</v>
      </c>
      <c r="CN21" s="55" t="s">
        <v>36</v>
      </c>
      <c r="CO21" s="48">
        <f t="shared" si="6"/>
        <v>0</v>
      </c>
      <c r="CP21" s="48">
        <f t="shared" si="6"/>
        <v>0</v>
      </c>
      <c r="CQ21" s="55" t="s">
        <v>36</v>
      </c>
      <c r="CR21" s="55" t="s">
        <v>36</v>
      </c>
      <c r="CS21" s="48">
        <f>SUMIFS([1]SP2024!$BS$7:$BS$148,[1]SP2024!$L$7:$L$148,$B19,[1]SP2024!$M$7:$M$148,$B21)</f>
        <v>0</v>
      </c>
      <c r="CT21" s="48">
        <f>[1]Fakts_Izd!AB46</f>
        <v>0</v>
      </c>
      <c r="CU21" s="55" t="s">
        <v>36</v>
      </c>
      <c r="CV21" s="55" t="s">
        <v>36</v>
      </c>
      <c r="CW21" s="48">
        <f t="shared" si="81"/>
        <v>0</v>
      </c>
      <c r="CX21" s="48">
        <f t="shared" si="81"/>
        <v>0</v>
      </c>
      <c r="CY21" s="55" t="s">
        <v>36</v>
      </c>
      <c r="CZ21" s="55" t="s">
        <v>36</v>
      </c>
      <c r="DA21" s="48">
        <f>SUMIFS([1]SP2024!$BQ$7:$BQ$148,[1]SP2024!$J$7:$J$148,$B19,[1]SP2024!$K$7:$K$148,$B21)</f>
        <v>0</v>
      </c>
      <c r="DB21" s="48"/>
      <c r="DC21" s="55" t="s">
        <v>36</v>
      </c>
      <c r="DD21" s="55" t="s">
        <v>36</v>
      </c>
      <c r="DE21" s="48">
        <f t="shared" si="1"/>
        <v>0</v>
      </c>
      <c r="DF21" s="48">
        <f t="shared" si="1"/>
        <v>0</v>
      </c>
      <c r="DG21" s="46">
        <v>0</v>
      </c>
      <c r="DH21" s="46">
        <v>1</v>
      </c>
      <c r="DI21" s="46">
        <v>0</v>
      </c>
      <c r="DJ21" s="46">
        <v>4.5289855072463782E-2</v>
      </c>
      <c r="DK21" s="55" t="s">
        <v>36</v>
      </c>
      <c r="DL21" s="55" t="s">
        <v>36</v>
      </c>
      <c r="DM21" s="48">
        <v>0</v>
      </c>
      <c r="DN21" s="48">
        <v>0</v>
      </c>
      <c r="DO21" s="55" t="s">
        <v>36</v>
      </c>
      <c r="DP21" s="55" t="s">
        <v>36</v>
      </c>
      <c r="DQ21" s="48">
        <v>0</v>
      </c>
      <c r="DR21" s="48">
        <v>0</v>
      </c>
      <c r="DS21" s="55" t="s">
        <v>36</v>
      </c>
      <c r="DT21" s="55" t="s">
        <v>36</v>
      </c>
      <c r="DU21" s="48"/>
      <c r="DV21" s="48"/>
      <c r="DW21" s="55" t="s">
        <v>36</v>
      </c>
      <c r="DX21" s="55" t="s">
        <v>36</v>
      </c>
      <c r="DY21" s="48">
        <v>0</v>
      </c>
      <c r="DZ21" s="48">
        <v>0</v>
      </c>
      <c r="EA21" s="55" t="s">
        <v>36</v>
      </c>
      <c r="EB21" s="55" t="s">
        <v>36</v>
      </c>
      <c r="EC21" s="48">
        <v>0</v>
      </c>
      <c r="ED21" s="48">
        <v>0</v>
      </c>
      <c r="EE21" s="55" t="s">
        <v>36</v>
      </c>
      <c r="EF21" s="55" t="s">
        <v>36</v>
      </c>
      <c r="EG21" s="48">
        <v>0</v>
      </c>
      <c r="EH21" s="48">
        <v>0</v>
      </c>
      <c r="EI21" s="55" t="s">
        <v>36</v>
      </c>
      <c r="EJ21" s="55" t="s">
        <v>36</v>
      </c>
      <c r="EK21" s="48">
        <v>0</v>
      </c>
      <c r="EL21" s="55"/>
      <c r="EM21" s="55" t="s">
        <v>36</v>
      </c>
      <c r="EN21" s="55" t="s">
        <v>36</v>
      </c>
      <c r="EO21" s="48">
        <v>0</v>
      </c>
      <c r="EP21" s="48">
        <v>0</v>
      </c>
      <c r="EQ21" s="46">
        <v>0</v>
      </c>
      <c r="ER21" s="46">
        <v>1</v>
      </c>
      <c r="ES21" s="46">
        <v>0</v>
      </c>
      <c r="ET21" s="46">
        <v>1.1384333714792845E-2</v>
      </c>
      <c r="EU21" s="55" t="s">
        <v>36</v>
      </c>
      <c r="EV21" s="55" t="s">
        <v>36</v>
      </c>
      <c r="EW21" s="48">
        <v>0</v>
      </c>
      <c r="EX21" s="48">
        <v>0</v>
      </c>
      <c r="EY21" s="55" t="s">
        <v>36</v>
      </c>
      <c r="EZ21" s="55" t="s">
        <v>36</v>
      </c>
      <c r="FA21" s="48">
        <v>0</v>
      </c>
      <c r="FB21" s="48">
        <v>0</v>
      </c>
      <c r="FC21" s="55" t="s">
        <v>36</v>
      </c>
      <c r="FD21" s="55" t="s">
        <v>36</v>
      </c>
      <c r="FE21" s="48">
        <v>0</v>
      </c>
      <c r="FF21" s="48">
        <v>0</v>
      </c>
      <c r="FG21" s="55" t="s">
        <v>36</v>
      </c>
      <c r="FH21" s="55" t="s">
        <v>36</v>
      </c>
      <c r="FI21" s="48">
        <v>0</v>
      </c>
      <c r="FJ21" s="48">
        <v>0</v>
      </c>
      <c r="FK21" s="55" t="s">
        <v>36</v>
      </c>
      <c r="FL21" s="55" t="s">
        <v>36</v>
      </c>
      <c r="FM21" s="48">
        <v>0</v>
      </c>
      <c r="FN21" s="48">
        <v>0</v>
      </c>
      <c r="FO21" s="55" t="s">
        <v>36</v>
      </c>
      <c r="FP21" s="55" t="s">
        <v>36</v>
      </c>
      <c r="FQ21" s="48">
        <v>0</v>
      </c>
      <c r="FR21" s="48">
        <v>0</v>
      </c>
      <c r="FS21" s="55" t="s">
        <v>36</v>
      </c>
      <c r="FT21" s="55" t="s">
        <v>36</v>
      </c>
      <c r="FU21" s="48">
        <v>0</v>
      </c>
      <c r="FV21" s="48">
        <v>0</v>
      </c>
      <c r="FW21" s="55" t="s">
        <v>36</v>
      </c>
      <c r="FX21" s="55" t="s">
        <v>36</v>
      </c>
      <c r="FY21" s="48">
        <v>0</v>
      </c>
      <c r="FZ21" s="48">
        <v>0</v>
      </c>
      <c r="GA21" s="50">
        <v>1</v>
      </c>
      <c r="GB21" s="64" t="s">
        <v>88</v>
      </c>
      <c r="GC21" s="55" t="s">
        <v>36</v>
      </c>
      <c r="GD21" s="64" t="s">
        <v>36</v>
      </c>
      <c r="GE21" s="51">
        <v>0</v>
      </c>
      <c r="GF21" s="64" t="s">
        <v>88</v>
      </c>
      <c r="GG21" s="55" t="s">
        <v>36</v>
      </c>
      <c r="GH21" s="57" t="s">
        <v>36</v>
      </c>
      <c r="GI21" s="51">
        <v>0</v>
      </c>
      <c r="GJ21" s="64" t="s">
        <v>88</v>
      </c>
      <c r="GK21" s="55" t="s">
        <v>36</v>
      </c>
      <c r="GL21" s="58" t="s">
        <v>36</v>
      </c>
      <c r="GM21" s="51">
        <v>0</v>
      </c>
      <c r="GN21" s="64" t="s">
        <v>88</v>
      </c>
      <c r="GO21" s="55" t="s">
        <v>36</v>
      </c>
      <c r="GP21" s="57" t="s">
        <v>36</v>
      </c>
      <c r="GQ21" s="51">
        <v>0</v>
      </c>
      <c r="GR21" s="44"/>
      <c r="GS21" s="44"/>
      <c r="GT21" s="44"/>
      <c r="GU21" s="44"/>
      <c r="GV21" s="44"/>
      <c r="GW21" s="44"/>
    </row>
    <row r="22" spans="1:205">
      <c r="A22" s="418"/>
      <c r="B22" s="65" t="s">
        <v>42</v>
      </c>
      <c r="C22" s="35">
        <f>SUM(C23:C24)</f>
        <v>97.5</v>
      </c>
      <c r="D22" s="35">
        <f t="shared" ref="D22" si="89">SUM(D23:D24)</f>
        <v>97.5</v>
      </c>
      <c r="E22" s="35">
        <f t="shared" ref="E22" si="90">IFERROR(C22/$C$64*100,0)</f>
        <v>2.2321428571428572</v>
      </c>
      <c r="F22" s="35">
        <f t="shared" ref="F22" si="91">IFERROR(D22/$D$64*100,0)</f>
        <v>2.2321428571428572</v>
      </c>
      <c r="G22" s="66" t="s">
        <v>36</v>
      </c>
      <c r="H22" s="66" t="s">
        <v>36</v>
      </c>
      <c r="I22" s="67">
        <f t="shared" si="2"/>
        <v>431144.34999999986</v>
      </c>
      <c r="J22" s="67">
        <f>SUM(J23:J24)</f>
        <v>431144.34999999986</v>
      </c>
      <c r="K22" s="66" t="s">
        <v>36</v>
      </c>
      <c r="L22" s="66" t="s">
        <v>36</v>
      </c>
      <c r="M22" s="67">
        <f t="shared" ref="M22:N22" si="92">SUM(M23:M24)</f>
        <v>373510.51999999984</v>
      </c>
      <c r="N22" s="67">
        <f t="shared" si="92"/>
        <v>373510.51999999984</v>
      </c>
      <c r="O22" s="66" t="s">
        <v>36</v>
      </c>
      <c r="P22" s="66" t="s">
        <v>36</v>
      </c>
      <c r="Q22" s="67">
        <f>SUM(Q23:Q24)</f>
        <v>57633.830000000024</v>
      </c>
      <c r="R22" s="67">
        <f>SUM(R23:R24)</f>
        <v>57633.830000000024</v>
      </c>
      <c r="S22" s="66" t="s">
        <v>36</v>
      </c>
      <c r="T22" s="66" t="s">
        <v>36</v>
      </c>
      <c r="U22" s="67">
        <f t="shared" si="3"/>
        <v>4421.99</v>
      </c>
      <c r="V22" s="67">
        <f t="shared" si="3"/>
        <v>4421.99</v>
      </c>
      <c r="W22" s="59" t="s">
        <v>36</v>
      </c>
      <c r="X22" s="59" t="s">
        <v>36</v>
      </c>
      <c r="Y22" s="67">
        <f>SUM(Y23:Y24)</f>
        <v>411407.74000000034</v>
      </c>
      <c r="Z22" s="37">
        <f>SUM(Z23:Z24)</f>
        <v>411407.74000000034</v>
      </c>
      <c r="AA22" s="59" t="s">
        <v>36</v>
      </c>
      <c r="AB22" s="59" t="s">
        <v>36</v>
      </c>
      <c r="AC22" s="67">
        <f>SUM(AC23:AC24)</f>
        <v>333407.74000000034</v>
      </c>
      <c r="AD22" s="37">
        <f t="shared" ref="AD22" si="93">SUM(AD23:AD24)</f>
        <v>333407.74000000034</v>
      </c>
      <c r="AE22" s="59" t="s">
        <v>36</v>
      </c>
      <c r="AF22" s="59" t="s">
        <v>36</v>
      </c>
      <c r="AG22" s="67">
        <f t="shared" ref="AG22" si="94">SUM(AG23:AG24)</f>
        <v>78000</v>
      </c>
      <c r="AH22" s="67">
        <f>AH23</f>
        <v>78000</v>
      </c>
      <c r="AI22" s="59" t="s">
        <v>36</v>
      </c>
      <c r="AJ22" s="59" t="s">
        <v>36</v>
      </c>
      <c r="AK22" s="67">
        <f t="shared" si="4"/>
        <v>4219.566564102568</v>
      </c>
      <c r="AL22" s="67">
        <f t="shared" si="4"/>
        <v>4219.566564102568</v>
      </c>
      <c r="AM22" s="35">
        <f t="shared" ref="AM22:AN22" si="95">SUM(AM23:AM24)</f>
        <v>93.199999999999989</v>
      </c>
      <c r="AN22" s="35">
        <f t="shared" si="95"/>
        <v>93.199999999999989</v>
      </c>
      <c r="AO22" s="35">
        <f t="shared" ref="AO22" si="96">IFERROR(AM22/$AM$64*100,0)</f>
        <v>2.1336996336996332</v>
      </c>
      <c r="AP22" s="35">
        <f t="shared" ref="AP22" si="97">IFERROR(AN22/$AN$64*100,0)</f>
        <v>2.1336996336996332</v>
      </c>
      <c r="AQ22" s="66" t="s">
        <v>36</v>
      </c>
      <c r="AR22" s="66" t="s">
        <v>36</v>
      </c>
      <c r="AS22" s="67">
        <f>SUM(AS23:AS24)</f>
        <v>483459.39999999991</v>
      </c>
      <c r="AT22" s="67">
        <f>SUM(AT23:AT24)</f>
        <v>483459.39999999991</v>
      </c>
      <c r="AU22" s="66" t="s">
        <v>36</v>
      </c>
      <c r="AV22" s="66" t="s">
        <v>36</v>
      </c>
      <c r="AW22" s="67">
        <f t="shared" ref="AW22:AX22" si="98">SUM(AW23:AW24)</f>
        <v>419301.58999999991</v>
      </c>
      <c r="AX22" s="67">
        <f t="shared" si="98"/>
        <v>419301.58999999991</v>
      </c>
      <c r="AY22" s="66" t="s">
        <v>36</v>
      </c>
      <c r="AZ22" s="66" t="s">
        <v>36</v>
      </c>
      <c r="BA22" s="67">
        <f>SUM(BA23:BA24)</f>
        <v>64157.809999999983</v>
      </c>
      <c r="BB22" s="67">
        <f>SUM(BB23:BB24)</f>
        <v>64157.809999999983</v>
      </c>
      <c r="BC22" s="66" t="s">
        <v>36</v>
      </c>
      <c r="BD22" s="66" t="s">
        <v>36</v>
      </c>
      <c r="BE22" s="67">
        <f t="shared" si="5"/>
        <v>5187.33</v>
      </c>
      <c r="BF22" s="67">
        <f t="shared" si="5"/>
        <v>5187.33</v>
      </c>
      <c r="BG22" s="59" t="s">
        <v>36</v>
      </c>
      <c r="BH22" s="59" t="s">
        <v>36</v>
      </c>
      <c r="BI22" s="67">
        <f t="shared" ref="BI22:BJ22" si="99">SUM(BI23:BI24)</f>
        <v>455277.49999999983</v>
      </c>
      <c r="BJ22" s="67">
        <f t="shared" si="99"/>
        <v>455277.49999999983</v>
      </c>
      <c r="BK22" s="59" t="s">
        <v>36</v>
      </c>
      <c r="BL22" s="59" t="s">
        <v>36</v>
      </c>
      <c r="BM22" s="67">
        <f t="shared" ref="BM22:BN22" si="100">SUM(BM23:BM24)</f>
        <v>442509.49999999983</v>
      </c>
      <c r="BN22" s="67">
        <f t="shared" si="100"/>
        <v>442509.49999999983</v>
      </c>
      <c r="BO22" s="59" t="s">
        <v>36</v>
      </c>
      <c r="BP22" s="59" t="s">
        <v>36</v>
      </c>
      <c r="BQ22" s="67">
        <f t="shared" ref="BQ22:BR22" si="101">SUM(BQ23:BQ24)</f>
        <v>12768</v>
      </c>
      <c r="BR22" s="67">
        <f t="shared" si="101"/>
        <v>12768</v>
      </c>
      <c r="BS22" s="59" t="s">
        <v>36</v>
      </c>
      <c r="BT22" s="59" t="s">
        <v>36</v>
      </c>
      <c r="BU22" s="67">
        <f t="shared" si="0"/>
        <v>4884.9517167381964</v>
      </c>
      <c r="BV22" s="68">
        <f t="shared" si="0"/>
        <v>4884.9517167381964</v>
      </c>
      <c r="BW22" s="35">
        <f t="shared" ref="BW22:BX22" si="102">SUM(BW23:BW24)</f>
        <v>59.533333333333331</v>
      </c>
      <c r="BX22" s="35">
        <f t="shared" si="102"/>
        <v>58.1</v>
      </c>
      <c r="BY22" s="35">
        <f t="shared" ref="BY22" si="103">IFERROR(BW22/$BW$64*100,0)</f>
        <v>1.3481280193236715</v>
      </c>
      <c r="BZ22" s="35">
        <f t="shared" ref="BZ22" si="104">IFERROR(BX22/$BX$64*100,0)</f>
        <v>1.3156692139882888</v>
      </c>
      <c r="CA22" s="66" t="s">
        <v>36</v>
      </c>
      <c r="CB22" s="66" t="s">
        <v>36</v>
      </c>
      <c r="CC22" s="67">
        <f>SUM(CC23:CC24)</f>
        <v>279733.86445878778</v>
      </c>
      <c r="CD22" s="67">
        <f>SUM(CD23:CD24)</f>
        <v>337724.19999999984</v>
      </c>
      <c r="CE22" s="66" t="s">
        <v>36</v>
      </c>
      <c r="CF22" s="66" t="s">
        <v>36</v>
      </c>
      <c r="CG22" s="67">
        <f t="shared" ref="CG22:CH22" si="105">SUM(CG23:CG24)</f>
        <v>209233.86445878778</v>
      </c>
      <c r="CH22" s="67">
        <f t="shared" si="105"/>
        <v>280336.14999999985</v>
      </c>
      <c r="CI22" s="66" t="s">
        <v>36</v>
      </c>
      <c r="CJ22" s="66" t="s">
        <v>36</v>
      </c>
      <c r="CK22" s="67">
        <f>SUM(CK23:CK24)</f>
        <v>70500</v>
      </c>
      <c r="CL22" s="67">
        <f>SUM(CL23:CL24)</f>
        <v>57388.05</v>
      </c>
      <c r="CM22" s="66" t="s">
        <v>36</v>
      </c>
      <c r="CN22" s="66" t="s">
        <v>36</v>
      </c>
      <c r="CO22" s="67">
        <f t="shared" si="6"/>
        <v>4698.78</v>
      </c>
      <c r="CP22" s="67">
        <f t="shared" si="6"/>
        <v>5812.81</v>
      </c>
      <c r="CQ22" s="59" t="s">
        <v>36</v>
      </c>
      <c r="CR22" s="59" t="s">
        <v>36</v>
      </c>
      <c r="CS22" s="67">
        <f>SUM(CS23:CS24)</f>
        <v>280845.43000000005</v>
      </c>
      <c r="CT22" s="67">
        <f t="shared" ref="CT22" si="106">SUM(CT23:CT24)</f>
        <v>340902.17999999993</v>
      </c>
      <c r="CU22" s="59" t="s">
        <v>36</v>
      </c>
      <c r="CV22" s="59" t="s">
        <v>36</v>
      </c>
      <c r="CW22" s="67">
        <f t="shared" ref="CW22" si="107">SUM(CW23:CW24)</f>
        <v>210345.43000000005</v>
      </c>
      <c r="CX22" s="67">
        <f>SUM(CX23:CX24)</f>
        <v>270311.57999999996</v>
      </c>
      <c r="CY22" s="59" t="s">
        <v>36</v>
      </c>
      <c r="CZ22" s="59" t="s">
        <v>36</v>
      </c>
      <c r="DA22" s="67">
        <f t="shared" ref="DA22:DB22" si="108">SUM(DA23:DA24)</f>
        <v>70500</v>
      </c>
      <c r="DB22" s="67">
        <f t="shared" si="108"/>
        <v>70590.600000000006</v>
      </c>
      <c r="DC22" s="59" t="s">
        <v>36</v>
      </c>
      <c r="DD22" s="59" t="s">
        <v>36</v>
      </c>
      <c r="DE22" s="67">
        <f t="shared" si="1"/>
        <v>4717.4484322508406</v>
      </c>
      <c r="DF22" s="67">
        <f t="shared" si="1"/>
        <v>5867.5074010327007</v>
      </c>
      <c r="DG22" s="35">
        <v>95.683333333333337</v>
      </c>
      <c r="DH22" s="35">
        <v>124.2</v>
      </c>
      <c r="DI22" s="35">
        <v>2.1667421497584538</v>
      </c>
      <c r="DJ22" s="35">
        <v>2.8125000000000009</v>
      </c>
      <c r="DK22" s="66" t="s">
        <v>36</v>
      </c>
      <c r="DL22" s="66" t="s">
        <v>36</v>
      </c>
      <c r="DM22" s="67">
        <v>421566.17196718155</v>
      </c>
      <c r="DN22" s="67">
        <v>402423.69000000152</v>
      </c>
      <c r="DO22" s="66" t="s">
        <v>36</v>
      </c>
      <c r="DP22" s="66" t="s">
        <v>36</v>
      </c>
      <c r="DQ22" s="67">
        <v>306566.17196718155</v>
      </c>
      <c r="DR22" s="67">
        <v>261477.35000000149</v>
      </c>
      <c r="DS22" s="66" t="s">
        <v>36</v>
      </c>
      <c r="DT22" s="66" t="s">
        <v>36</v>
      </c>
      <c r="DU22" s="67">
        <v>115000</v>
      </c>
      <c r="DV22" s="67">
        <v>140946.34000000003</v>
      </c>
      <c r="DW22" s="66" t="s">
        <v>36</v>
      </c>
      <c r="DX22" s="66" t="s">
        <v>36</v>
      </c>
      <c r="DY22" s="67">
        <v>4405.8500000000004</v>
      </c>
      <c r="DZ22" s="67">
        <v>3240.13</v>
      </c>
      <c r="EA22" s="59" t="s">
        <v>36</v>
      </c>
      <c r="EB22" s="59" t="s">
        <v>36</v>
      </c>
      <c r="EC22" s="67">
        <v>423241.33</v>
      </c>
      <c r="ED22" s="67">
        <v>413435.93999999977</v>
      </c>
      <c r="EE22" s="59" t="s">
        <v>36</v>
      </c>
      <c r="EF22" s="59" t="s">
        <v>36</v>
      </c>
      <c r="EG22" s="67">
        <v>284741.33</v>
      </c>
      <c r="EH22" s="67">
        <v>254298.93999999977</v>
      </c>
      <c r="EI22" s="59" t="s">
        <v>36</v>
      </c>
      <c r="EJ22" s="59" t="s">
        <v>36</v>
      </c>
      <c r="EK22" s="67">
        <v>138500</v>
      </c>
      <c r="EL22" s="67">
        <v>159137</v>
      </c>
      <c r="EM22" s="59" t="s">
        <v>36</v>
      </c>
      <c r="EN22" s="59" t="s">
        <v>36</v>
      </c>
      <c r="EO22" s="67">
        <v>4423.354781396969</v>
      </c>
      <c r="EP22" s="67">
        <v>3328.7917874396117</v>
      </c>
      <c r="EQ22" s="40">
        <v>345.91666666666669</v>
      </c>
      <c r="ER22" s="35">
        <v>373</v>
      </c>
      <c r="ES22" s="40">
        <v>1.9690156344869461</v>
      </c>
      <c r="ET22" s="40">
        <v>2.1231780699549225</v>
      </c>
      <c r="EU22" s="66" t="s">
        <v>36</v>
      </c>
      <c r="EV22" s="66" t="s">
        <v>36</v>
      </c>
      <c r="EW22" s="67">
        <v>1615903.7864259691</v>
      </c>
      <c r="EX22" s="67">
        <v>1654751.6400000013</v>
      </c>
      <c r="EY22" s="66" t="s">
        <v>36</v>
      </c>
      <c r="EZ22" s="66" t="s">
        <v>36</v>
      </c>
      <c r="FA22" s="67">
        <v>1308612.1464259692</v>
      </c>
      <c r="FB22" s="67">
        <v>1334625.610000001</v>
      </c>
      <c r="FC22" s="66" t="s">
        <v>36</v>
      </c>
      <c r="FD22" s="66" t="s">
        <v>36</v>
      </c>
      <c r="FE22" s="67">
        <v>307291.64</v>
      </c>
      <c r="FF22" s="67">
        <v>320126.03000000003</v>
      </c>
      <c r="FG22" s="66" t="s">
        <v>36</v>
      </c>
      <c r="FH22" s="66" t="s">
        <v>36</v>
      </c>
      <c r="FI22" s="67">
        <v>4671.37</v>
      </c>
      <c r="FJ22" s="67">
        <v>4436.33</v>
      </c>
      <c r="FK22" s="59" t="s">
        <v>36</v>
      </c>
      <c r="FL22" s="59" t="s">
        <v>36</v>
      </c>
      <c r="FM22" s="67">
        <v>1570772.0000000005</v>
      </c>
      <c r="FN22" s="67">
        <v>1621023.3599999999</v>
      </c>
      <c r="FO22" s="59" t="s">
        <v>36</v>
      </c>
      <c r="FP22" s="59" t="s">
        <v>36</v>
      </c>
      <c r="FQ22" s="67">
        <v>1271004.0000000002</v>
      </c>
      <c r="FR22" s="67">
        <v>1300527.76</v>
      </c>
      <c r="FS22" s="59" t="s">
        <v>36</v>
      </c>
      <c r="FT22" s="59" t="s">
        <v>36</v>
      </c>
      <c r="FU22" s="67">
        <v>299768</v>
      </c>
      <c r="FV22" s="67">
        <v>320495.59999999998</v>
      </c>
      <c r="FW22" s="59" t="s">
        <v>36</v>
      </c>
      <c r="FX22" s="59" t="s">
        <v>36</v>
      </c>
      <c r="FY22" s="67">
        <v>4540.8971332209121</v>
      </c>
      <c r="FZ22" s="67">
        <v>4345.9071313672921</v>
      </c>
      <c r="GA22" s="39">
        <v>27.083333333333314</v>
      </c>
      <c r="GB22" s="69">
        <v>7.8294386894724122</v>
      </c>
      <c r="GC22" s="66" t="s">
        <v>36</v>
      </c>
      <c r="GD22" s="70" t="s">
        <v>36</v>
      </c>
      <c r="GE22" s="41">
        <v>38847.853574032197</v>
      </c>
      <c r="GF22" s="70">
        <v>2.4040944702503175</v>
      </c>
      <c r="GG22" s="66" t="s">
        <v>36</v>
      </c>
      <c r="GH22" s="71" t="s">
        <v>36</v>
      </c>
      <c r="GI22" s="41">
        <v>26013.463574031834</v>
      </c>
      <c r="GJ22" s="70">
        <v>1.9878665840813659</v>
      </c>
      <c r="GK22" s="66" t="s">
        <v>36</v>
      </c>
      <c r="GL22" s="72" t="s">
        <v>36</v>
      </c>
      <c r="GM22" s="41">
        <v>12834.390000000014</v>
      </c>
      <c r="GN22" s="70">
        <v>4.176615413292728</v>
      </c>
      <c r="GO22" s="66" t="s">
        <v>36</v>
      </c>
      <c r="GP22" s="71" t="s">
        <v>36</v>
      </c>
      <c r="GQ22" s="41">
        <v>-235.03999999999996</v>
      </c>
      <c r="GR22" s="44"/>
      <c r="GS22" s="44"/>
      <c r="GT22" s="44"/>
      <c r="GU22" s="44"/>
      <c r="GV22" s="44"/>
      <c r="GW22" s="44"/>
    </row>
    <row r="23" spans="1:205">
      <c r="A23" s="418"/>
      <c r="B23" s="45" t="s">
        <v>38</v>
      </c>
      <c r="C23" s="46">
        <f t="shared" ref="C23:C24" si="109">D23</f>
        <v>96.5</v>
      </c>
      <c r="D23" s="46">
        <f>VLOOKUP($B22,[1]!LTV1_RL2[[LTV1]:[Q1]],2,0)</f>
        <v>96.5</v>
      </c>
      <c r="E23" s="46">
        <f t="shared" ref="E23" si="110">IFERROR(C23/$C$65*100,0)</f>
        <v>4.4184981684981688</v>
      </c>
      <c r="F23" s="46">
        <f t="shared" ref="F23" si="111">IFERROR(D23/$D$65*100,0)</f>
        <v>4.4184981684981688</v>
      </c>
      <c r="G23" s="55" t="s">
        <v>36</v>
      </c>
      <c r="H23" s="55" t="s">
        <v>36</v>
      </c>
      <c r="I23" s="48">
        <f t="shared" si="2"/>
        <v>431144.34999999986</v>
      </c>
      <c r="J23" s="48">
        <v>431144.34999999986</v>
      </c>
      <c r="K23" s="55" t="s">
        <v>36</v>
      </c>
      <c r="L23" s="55" t="s">
        <v>36</v>
      </c>
      <c r="M23" s="48">
        <f>I23-Q23</f>
        <v>373510.51999999984</v>
      </c>
      <c r="N23" s="48">
        <f>J23-R23</f>
        <v>373510.51999999984</v>
      </c>
      <c r="O23" s="55" t="s">
        <v>36</v>
      </c>
      <c r="P23" s="55" t="s">
        <v>36</v>
      </c>
      <c r="Q23" s="48">
        <f>R23</f>
        <v>57633.830000000024</v>
      </c>
      <c r="R23" s="48">
        <f>[1]Līdzfinansējums!CH28</f>
        <v>57633.830000000024</v>
      </c>
      <c r="S23" s="55" t="s">
        <v>36</v>
      </c>
      <c r="T23" s="55" t="s">
        <v>36</v>
      </c>
      <c r="U23" s="48">
        <f t="shared" si="3"/>
        <v>4467.82</v>
      </c>
      <c r="V23" s="48">
        <f t="shared" si="3"/>
        <v>4467.82</v>
      </c>
      <c r="W23" s="55" t="s">
        <v>36</v>
      </c>
      <c r="X23" s="55" t="s">
        <v>36</v>
      </c>
      <c r="Y23" s="48">
        <f t="shared" ref="Y23:Y24" si="112">Z23</f>
        <v>411407.74000000034</v>
      </c>
      <c r="Z23" s="48">
        <f>[1]Fakts_Izd!Z48</f>
        <v>411407.74000000034</v>
      </c>
      <c r="AA23" s="55" t="s">
        <v>36</v>
      </c>
      <c r="AB23" s="55" t="s">
        <v>36</v>
      </c>
      <c r="AC23" s="48">
        <f>Y23-AG23</f>
        <v>333407.74000000034</v>
      </c>
      <c r="AD23" s="48">
        <f t="shared" ref="AD23:AD24" si="113">Z23-AH23</f>
        <v>333407.74000000034</v>
      </c>
      <c r="AE23" s="55" t="s">
        <v>36</v>
      </c>
      <c r="AF23" s="55" t="s">
        <v>36</v>
      </c>
      <c r="AG23" s="48">
        <f>AH23</f>
        <v>78000</v>
      </c>
      <c r="AH23" s="48">
        <v>78000</v>
      </c>
      <c r="AI23" s="55" t="s">
        <v>36</v>
      </c>
      <c r="AJ23" s="55" t="s">
        <v>36</v>
      </c>
      <c r="AK23" s="48">
        <f t="shared" si="4"/>
        <v>4263.2926424870502</v>
      </c>
      <c r="AL23" s="48">
        <f t="shared" si="4"/>
        <v>4263.2926424870502</v>
      </c>
      <c r="AM23" s="46">
        <f t="shared" ref="AM23:AM24" si="114">AN23</f>
        <v>85.6</v>
      </c>
      <c r="AN23" s="46">
        <f>VLOOKUP($B22,[1]!LTV1_RL2[[LTV1]:[Q2]],3,0)</f>
        <v>85.6</v>
      </c>
      <c r="AO23" s="63">
        <f t="shared" ref="AO23:AO24" si="115">IFERROR(AM23/$AM$65*100,0)</f>
        <v>3.9194139194139193</v>
      </c>
      <c r="AP23" s="46">
        <f t="shared" ref="AP23" si="116">IFERROR(AN23/$AN$65*100,0)</f>
        <v>3.9194139194139193</v>
      </c>
      <c r="AQ23" s="55" t="s">
        <v>36</v>
      </c>
      <c r="AR23" s="55" t="s">
        <v>36</v>
      </c>
      <c r="AS23" s="48">
        <f t="shared" ref="AS23:AS24" si="117">AT23</f>
        <v>483459.39999999991</v>
      </c>
      <c r="AT23" s="48">
        <v>483459.39999999991</v>
      </c>
      <c r="AU23" s="55" t="s">
        <v>36</v>
      </c>
      <c r="AV23" s="55" t="s">
        <v>36</v>
      </c>
      <c r="AW23" s="48">
        <f>AS23-BA23</f>
        <v>419301.58999999991</v>
      </c>
      <c r="AX23" s="48">
        <f>AT23-BB23</f>
        <v>419301.58999999991</v>
      </c>
      <c r="AY23" s="55" t="s">
        <v>36</v>
      </c>
      <c r="AZ23" s="55" t="s">
        <v>36</v>
      </c>
      <c r="BA23" s="48">
        <f>BB23</f>
        <v>64157.809999999983</v>
      </c>
      <c r="BB23" s="48">
        <v>64157.809999999983</v>
      </c>
      <c r="BC23" s="55" t="s">
        <v>36</v>
      </c>
      <c r="BD23" s="55" t="s">
        <v>36</v>
      </c>
      <c r="BE23" s="48">
        <f t="shared" si="5"/>
        <v>5647.89</v>
      </c>
      <c r="BF23" s="48">
        <f t="shared" si="5"/>
        <v>5647.89</v>
      </c>
      <c r="BG23" s="55" t="s">
        <v>36</v>
      </c>
      <c r="BH23" s="55" t="s">
        <v>36</v>
      </c>
      <c r="BI23" s="48">
        <f t="shared" ref="BI23:BI24" si="118">BJ23</f>
        <v>455277.49999999983</v>
      </c>
      <c r="BJ23" s="48">
        <f>[1]Fakts_Izd!AA48</f>
        <v>455277.49999999983</v>
      </c>
      <c r="BK23" s="55" t="s">
        <v>36</v>
      </c>
      <c r="BL23" s="55" t="s">
        <v>36</v>
      </c>
      <c r="BM23" s="48">
        <f t="shared" ref="BM23:BN24" si="119">BI23-BQ23</f>
        <v>442509.49999999983</v>
      </c>
      <c r="BN23" s="48">
        <f t="shared" si="119"/>
        <v>442509.49999999983</v>
      </c>
      <c r="BO23" s="55" t="s">
        <v>36</v>
      </c>
      <c r="BP23" s="55" t="s">
        <v>36</v>
      </c>
      <c r="BQ23" s="48">
        <f>BR23</f>
        <v>12768</v>
      </c>
      <c r="BR23" s="48">
        <v>12768</v>
      </c>
      <c r="BS23" s="55" t="s">
        <v>36</v>
      </c>
      <c r="BT23" s="55" t="s">
        <v>36</v>
      </c>
      <c r="BU23" s="48">
        <f t="shared" si="0"/>
        <v>5318.6623831775687</v>
      </c>
      <c r="BV23" s="49">
        <f t="shared" si="0"/>
        <v>5318.6623831775687</v>
      </c>
      <c r="BW23" s="46">
        <f>SUMIFS([1]SP2024!$AW$7:$AW$148,[1]SP2024!$L$7:$L$148,$B22,[1]SP2024!$M$7:$M$148,$B23)</f>
        <v>59.533333333333331</v>
      </c>
      <c r="BX23" s="46">
        <f>VLOOKUP($B22,[1]!LTV1_RL2[[LTV1]:[Q3]],4,0)</f>
        <v>57.9</v>
      </c>
      <c r="BY23" s="46">
        <f t="shared" ref="BY23:BY24" si="120">IFERROR(BW23/$BW$65*100,0)</f>
        <v>2.6962560386473431</v>
      </c>
      <c r="BZ23" s="46">
        <f t="shared" ref="BZ23" si="121">IFERROR(BX23/$BX$65*100,0)</f>
        <v>2.6222796396290318</v>
      </c>
      <c r="CA23" s="55" t="s">
        <v>36</v>
      </c>
      <c r="CB23" s="55" t="s">
        <v>36</v>
      </c>
      <c r="CC23" s="48">
        <f>CS23*'[2]Pielikums nr. 1.'!$EY$14</f>
        <v>279733.86445878778</v>
      </c>
      <c r="CD23" s="48">
        <v>337724.19999999984</v>
      </c>
      <c r="CE23" s="55" t="s">
        <v>36</v>
      </c>
      <c r="CF23" s="55" t="s">
        <v>36</v>
      </c>
      <c r="CG23" s="48">
        <f>CC23-CK23</f>
        <v>209233.86445878778</v>
      </c>
      <c r="CH23" s="48">
        <f>CD23-CL23</f>
        <v>280336.14999999985</v>
      </c>
      <c r="CI23" s="55" t="s">
        <v>36</v>
      </c>
      <c r="CJ23" s="55" t="s">
        <v>36</v>
      </c>
      <c r="CK23" s="48">
        <v>70500</v>
      </c>
      <c r="CL23" s="48">
        <v>57388.05</v>
      </c>
      <c r="CM23" s="55" t="s">
        <v>36</v>
      </c>
      <c r="CN23" s="55" t="s">
        <v>36</v>
      </c>
      <c r="CO23" s="48">
        <f t="shared" si="6"/>
        <v>4698.78</v>
      </c>
      <c r="CP23" s="48">
        <f t="shared" si="6"/>
        <v>5832.89</v>
      </c>
      <c r="CQ23" s="55" t="s">
        <v>36</v>
      </c>
      <c r="CR23" s="55" t="s">
        <v>36</v>
      </c>
      <c r="CS23" s="48">
        <f>SUMIFS([1]SP2024!$BS$7:$BS$148,[1]SP2024!$L$7:$L$148,$B22,[1]SP2024!$M$7:$M$148,$B23)-10000</f>
        <v>280845.43000000005</v>
      </c>
      <c r="CT23" s="48">
        <f>[1]Fakts_Izd!AB48</f>
        <v>340902.17999999993</v>
      </c>
      <c r="CU23" s="55" t="s">
        <v>36</v>
      </c>
      <c r="CV23" s="55" t="s">
        <v>36</v>
      </c>
      <c r="CW23" s="48">
        <f t="shared" ref="CW23:CX24" si="122">CS23-DA23</f>
        <v>210345.43000000005</v>
      </c>
      <c r="CX23" s="48">
        <f t="shared" si="122"/>
        <v>270311.57999999996</v>
      </c>
      <c r="CY23" s="55" t="s">
        <v>36</v>
      </c>
      <c r="CZ23" s="55" t="s">
        <v>36</v>
      </c>
      <c r="DA23" s="48">
        <f>42500+28000</f>
        <v>70500</v>
      </c>
      <c r="DB23" s="48">
        <v>70590.600000000006</v>
      </c>
      <c r="DC23" s="55" t="s">
        <v>36</v>
      </c>
      <c r="DD23" s="55" t="s">
        <v>36</v>
      </c>
      <c r="DE23" s="48">
        <f t="shared" si="1"/>
        <v>4717.4484322508406</v>
      </c>
      <c r="DF23" s="48">
        <f t="shared" si="1"/>
        <v>5887.7751295336775</v>
      </c>
      <c r="DG23" s="46">
        <v>95.683333333333337</v>
      </c>
      <c r="DH23" s="46">
        <v>123.3</v>
      </c>
      <c r="DI23" s="46">
        <v>4.3334842995169076</v>
      </c>
      <c r="DJ23" s="46">
        <v>5.584239130434784</v>
      </c>
      <c r="DK23" s="55" t="s">
        <v>36</v>
      </c>
      <c r="DL23" s="55" t="s">
        <v>36</v>
      </c>
      <c r="DM23" s="48">
        <v>421566.17196718155</v>
      </c>
      <c r="DN23" s="48">
        <v>402423.69000000152</v>
      </c>
      <c r="DO23" s="55" t="s">
        <v>36</v>
      </c>
      <c r="DP23" s="55" t="s">
        <v>36</v>
      </c>
      <c r="DQ23" s="48">
        <v>306566.17196718155</v>
      </c>
      <c r="DR23" s="48">
        <v>261477.35000000149</v>
      </c>
      <c r="DS23" s="55" t="s">
        <v>36</v>
      </c>
      <c r="DT23" s="55" t="s">
        <v>36</v>
      </c>
      <c r="DU23" s="48">
        <v>115000</v>
      </c>
      <c r="DV23" s="48">
        <v>140946.34000000003</v>
      </c>
      <c r="DW23" s="55" t="s">
        <v>36</v>
      </c>
      <c r="DX23" s="55" t="s">
        <v>36</v>
      </c>
      <c r="DY23" s="48">
        <v>4405.8500000000004</v>
      </c>
      <c r="DZ23" s="48">
        <v>3263.78</v>
      </c>
      <c r="EA23" s="55" t="s">
        <v>36</v>
      </c>
      <c r="EB23" s="55" t="s">
        <v>36</v>
      </c>
      <c r="EC23" s="48">
        <v>423241.33</v>
      </c>
      <c r="ED23" s="48">
        <v>413435.93999999977</v>
      </c>
      <c r="EE23" s="55" t="s">
        <v>36</v>
      </c>
      <c r="EF23" s="55" t="s">
        <v>36</v>
      </c>
      <c r="EG23" s="48">
        <v>284741.33</v>
      </c>
      <c r="EH23" s="48">
        <v>254298.93999999977</v>
      </c>
      <c r="EI23" s="55" t="s">
        <v>36</v>
      </c>
      <c r="EJ23" s="55" t="s">
        <v>36</v>
      </c>
      <c r="EK23" s="48">
        <v>138500</v>
      </c>
      <c r="EL23" s="48">
        <v>159137</v>
      </c>
      <c r="EM23" s="55" t="s">
        <v>36</v>
      </c>
      <c r="EN23" s="55" t="s">
        <v>36</v>
      </c>
      <c r="EO23" s="48">
        <v>4423.354781396969</v>
      </c>
      <c r="EP23" s="48">
        <v>3353.0895377128936</v>
      </c>
      <c r="EQ23" s="46">
        <v>337.31666666666666</v>
      </c>
      <c r="ER23" s="46">
        <v>363.3</v>
      </c>
      <c r="ES23" s="46">
        <v>3.8401259866423803</v>
      </c>
      <c r="ET23" s="46">
        <v>4.1359277846289313</v>
      </c>
      <c r="EU23" s="55" t="s">
        <v>36</v>
      </c>
      <c r="EV23" s="55" t="s">
        <v>36</v>
      </c>
      <c r="EW23" s="48">
        <v>1615903.7864259691</v>
      </c>
      <c r="EX23" s="48">
        <v>1654751.6400000013</v>
      </c>
      <c r="EY23" s="55" t="s">
        <v>36</v>
      </c>
      <c r="EZ23" s="55" t="s">
        <v>36</v>
      </c>
      <c r="FA23" s="48">
        <v>1308612.1464259692</v>
      </c>
      <c r="FB23" s="48">
        <v>1334625.610000001</v>
      </c>
      <c r="FC23" s="55" t="s">
        <v>36</v>
      </c>
      <c r="FD23" s="55" t="s">
        <v>36</v>
      </c>
      <c r="FE23" s="48">
        <v>307291.64</v>
      </c>
      <c r="FF23" s="48">
        <v>320126.03000000003</v>
      </c>
      <c r="FG23" s="55" t="s">
        <v>36</v>
      </c>
      <c r="FH23" s="55" t="s">
        <v>36</v>
      </c>
      <c r="FI23" s="48">
        <v>4790.47</v>
      </c>
      <c r="FJ23" s="48">
        <v>4554.78</v>
      </c>
      <c r="FK23" s="55" t="s">
        <v>36</v>
      </c>
      <c r="FL23" s="55" t="s">
        <v>36</v>
      </c>
      <c r="FM23" s="48">
        <v>1570772.0000000005</v>
      </c>
      <c r="FN23" s="48">
        <v>1621023.3599999999</v>
      </c>
      <c r="FO23" s="55" t="s">
        <v>36</v>
      </c>
      <c r="FP23" s="55" t="s">
        <v>36</v>
      </c>
      <c r="FQ23" s="48">
        <v>1271004.0000000002</v>
      </c>
      <c r="FR23" s="48">
        <v>1300527.76</v>
      </c>
      <c r="FS23" s="55" t="s">
        <v>36</v>
      </c>
      <c r="FT23" s="55" t="s">
        <v>36</v>
      </c>
      <c r="FU23" s="48">
        <v>299768</v>
      </c>
      <c r="FV23" s="48">
        <v>320495.59999999998</v>
      </c>
      <c r="FW23" s="55" t="s">
        <v>36</v>
      </c>
      <c r="FX23" s="55" t="s">
        <v>36</v>
      </c>
      <c r="FY23" s="48">
        <v>4656.66880774742</v>
      </c>
      <c r="FZ23" s="48">
        <v>4461.941535920726</v>
      </c>
      <c r="GA23" s="50">
        <v>25.983333333333348</v>
      </c>
      <c r="GB23" s="46">
        <v>7.7029497504817579</v>
      </c>
      <c r="GC23" s="55" t="s">
        <v>36</v>
      </c>
      <c r="GD23" s="46" t="s">
        <v>36</v>
      </c>
      <c r="GE23" s="51">
        <v>38847.853574032197</v>
      </c>
      <c r="GF23" s="46">
        <v>2.4040944702503175</v>
      </c>
      <c r="GG23" s="55" t="s">
        <v>36</v>
      </c>
      <c r="GH23" s="57" t="s">
        <v>36</v>
      </c>
      <c r="GI23" s="51">
        <v>26013.463574031834</v>
      </c>
      <c r="GJ23" s="46">
        <v>1.9878665840813659</v>
      </c>
      <c r="GK23" s="55" t="s">
        <v>36</v>
      </c>
      <c r="GL23" s="58" t="s">
        <v>36</v>
      </c>
      <c r="GM23" s="51">
        <v>12834.390000000014</v>
      </c>
      <c r="GN23" s="46">
        <v>4.176615413292728</v>
      </c>
      <c r="GO23" s="55" t="s">
        <v>36</v>
      </c>
      <c r="GP23" s="57" t="s">
        <v>36</v>
      </c>
      <c r="GQ23" s="51">
        <v>-235.69000000000051</v>
      </c>
      <c r="GR23" s="44"/>
      <c r="GS23" s="44"/>
      <c r="GT23" s="44"/>
      <c r="GU23" s="44"/>
      <c r="GV23" s="44"/>
      <c r="GW23" s="44"/>
    </row>
    <row r="24" spans="1:205">
      <c r="A24" s="418"/>
      <c r="B24" s="45" t="s">
        <v>39</v>
      </c>
      <c r="C24" s="46">
        <f t="shared" si="109"/>
        <v>1</v>
      </c>
      <c r="D24" s="46">
        <f>VLOOKUP($B22,[1]!LTV7_RL7[[LTV7]:[Q1]],2,0)</f>
        <v>1</v>
      </c>
      <c r="E24" s="46">
        <f t="shared" ref="E24" si="123">IFERROR(C24/$C$66*100,0)</f>
        <v>4.5787545787545784E-2</v>
      </c>
      <c r="F24" s="46">
        <f t="shared" ref="F24" si="124">IFERROR(D24/$D$66*100,0)</f>
        <v>4.5787545787545784E-2</v>
      </c>
      <c r="G24" s="55" t="s">
        <v>36</v>
      </c>
      <c r="H24" s="55" t="s">
        <v>36</v>
      </c>
      <c r="I24" s="48">
        <f t="shared" si="2"/>
        <v>0</v>
      </c>
      <c r="J24" s="48"/>
      <c r="K24" s="55" t="s">
        <v>36</v>
      </c>
      <c r="L24" s="55" t="s">
        <v>36</v>
      </c>
      <c r="M24" s="48">
        <f t="shared" ref="M24:N24" si="125">I24-Q24</f>
        <v>0</v>
      </c>
      <c r="N24" s="48">
        <f t="shared" si="125"/>
        <v>0</v>
      </c>
      <c r="O24" s="55" t="s">
        <v>36</v>
      </c>
      <c r="P24" s="55" t="s">
        <v>36</v>
      </c>
      <c r="Q24" s="48"/>
      <c r="R24" s="48"/>
      <c r="S24" s="55" t="s">
        <v>36</v>
      </c>
      <c r="T24" s="55" t="s">
        <v>36</v>
      </c>
      <c r="U24" s="48">
        <f t="shared" si="3"/>
        <v>0</v>
      </c>
      <c r="V24" s="48">
        <f t="shared" si="3"/>
        <v>0</v>
      </c>
      <c r="W24" s="55" t="s">
        <v>36</v>
      </c>
      <c r="X24" s="55" t="s">
        <v>36</v>
      </c>
      <c r="Y24" s="48">
        <f t="shared" si="112"/>
        <v>0</v>
      </c>
      <c r="Z24" s="55"/>
      <c r="AA24" s="55" t="s">
        <v>36</v>
      </c>
      <c r="AB24" s="55" t="s">
        <v>36</v>
      </c>
      <c r="AC24" s="48">
        <f>Y24-AG24</f>
        <v>0</v>
      </c>
      <c r="AD24" s="48">
        <f t="shared" si="113"/>
        <v>0</v>
      </c>
      <c r="AE24" s="55" t="s">
        <v>36</v>
      </c>
      <c r="AF24" s="55" t="s">
        <v>36</v>
      </c>
      <c r="AG24" s="48">
        <f>SUMIFS([1]SP2024!$BO$7:$BO$148,[1]SP2024!$J$7:$J$148,$B22,[1]SP2024!$K$7:$K$148,$B24)</f>
        <v>0</v>
      </c>
      <c r="AH24" s="48"/>
      <c r="AI24" s="55" t="s">
        <v>36</v>
      </c>
      <c r="AJ24" s="55" t="s">
        <v>36</v>
      </c>
      <c r="AK24" s="48">
        <f t="shared" si="4"/>
        <v>0</v>
      </c>
      <c r="AL24" s="48">
        <f t="shared" si="4"/>
        <v>0</v>
      </c>
      <c r="AM24" s="46">
        <f t="shared" si="114"/>
        <v>7.6</v>
      </c>
      <c r="AN24" s="46">
        <f>VLOOKUP($B22,[1]!LTV7_RL7[[LTV7]:[Q2]],3,0)</f>
        <v>7.6</v>
      </c>
      <c r="AO24" s="63">
        <f t="shared" si="115"/>
        <v>0.34798534798534797</v>
      </c>
      <c r="AP24" s="46">
        <f t="shared" ref="AP24" si="126">IFERROR(AN24/$AN$66*100,0)</f>
        <v>0.34798534798534803</v>
      </c>
      <c r="AQ24" s="55" t="s">
        <v>36</v>
      </c>
      <c r="AR24" s="55" t="s">
        <v>36</v>
      </c>
      <c r="AS24" s="48">
        <f t="shared" si="117"/>
        <v>0</v>
      </c>
      <c r="AT24" s="48"/>
      <c r="AU24" s="55" t="s">
        <v>36</v>
      </c>
      <c r="AV24" s="55" t="s">
        <v>36</v>
      </c>
      <c r="AW24" s="48">
        <f t="shared" ref="AW24:AX24" si="127">AS24-BA24</f>
        <v>0</v>
      </c>
      <c r="AX24" s="48">
        <f t="shared" si="127"/>
        <v>0</v>
      </c>
      <c r="AY24" s="55" t="s">
        <v>36</v>
      </c>
      <c r="AZ24" s="55" t="s">
        <v>36</v>
      </c>
      <c r="BA24" s="48"/>
      <c r="BB24" s="48"/>
      <c r="BC24" s="55" t="s">
        <v>36</v>
      </c>
      <c r="BD24" s="55" t="s">
        <v>36</v>
      </c>
      <c r="BE24" s="48">
        <f t="shared" si="5"/>
        <v>0</v>
      </c>
      <c r="BF24" s="48">
        <f t="shared" si="5"/>
        <v>0</v>
      </c>
      <c r="BG24" s="55" t="s">
        <v>36</v>
      </c>
      <c r="BH24" s="55" t="s">
        <v>36</v>
      </c>
      <c r="BI24" s="48">
        <f t="shared" si="118"/>
        <v>0</v>
      </c>
      <c r="BJ24" s="48"/>
      <c r="BK24" s="55" t="s">
        <v>36</v>
      </c>
      <c r="BL24" s="55" t="s">
        <v>36</v>
      </c>
      <c r="BM24" s="48">
        <f t="shared" si="119"/>
        <v>0</v>
      </c>
      <c r="BN24" s="48">
        <f t="shared" si="119"/>
        <v>0</v>
      </c>
      <c r="BO24" s="55" t="s">
        <v>36</v>
      </c>
      <c r="BP24" s="55" t="s">
        <v>36</v>
      </c>
      <c r="BQ24" s="48">
        <f>SUMIFS([1]SP2024!$BP$7:$BP$148,[1]SP2024!$J$7:$J$148,$B22,[1]SP2024!$K$7:$K$148,$B24)</f>
        <v>0</v>
      </c>
      <c r="BR24" s="48"/>
      <c r="BS24" s="55" t="s">
        <v>36</v>
      </c>
      <c r="BT24" s="55" t="s">
        <v>36</v>
      </c>
      <c r="BU24" s="48">
        <f t="shared" si="0"/>
        <v>0</v>
      </c>
      <c r="BV24" s="49">
        <f t="shared" si="0"/>
        <v>0</v>
      </c>
      <c r="BW24" s="46">
        <f>SUMIFS([1]SP2024!$AW$7:$AW$148,[1]SP2024!$L$7:$L$148,$B22,[1]SP2024!$M$7:$M$148,$B24)</f>
        <v>0</v>
      </c>
      <c r="BX24" s="46">
        <f>VLOOKUP($B22,[1]!LTV7_RL7[[LTV7]:[Q3]],4,0)</f>
        <v>0.2</v>
      </c>
      <c r="BY24" s="46">
        <f t="shared" si="120"/>
        <v>0</v>
      </c>
      <c r="BZ24" s="46">
        <f t="shared" ref="BZ24" si="128">IFERROR(BX24/$BX$66*100,0)</f>
        <v>9.0579664563373331E-3</v>
      </c>
      <c r="CA24" s="55" t="s">
        <v>36</v>
      </c>
      <c r="CB24" s="55" t="s">
        <v>36</v>
      </c>
      <c r="CC24" s="48">
        <f>CS24*'[2]Pielikums nr. 1.'!$EY$14</f>
        <v>0</v>
      </c>
      <c r="CD24" s="48"/>
      <c r="CE24" s="55" t="s">
        <v>36</v>
      </c>
      <c r="CF24" s="55" t="s">
        <v>36</v>
      </c>
      <c r="CG24" s="48">
        <f t="shared" ref="CG24:CH24" si="129">CC24-CK24</f>
        <v>0</v>
      </c>
      <c r="CH24" s="48">
        <f t="shared" si="129"/>
        <v>0</v>
      </c>
      <c r="CI24" s="55" t="s">
        <v>36</v>
      </c>
      <c r="CJ24" s="55" t="s">
        <v>36</v>
      </c>
      <c r="CK24" s="48"/>
      <c r="CL24" s="48"/>
      <c r="CM24" s="55" t="s">
        <v>36</v>
      </c>
      <c r="CN24" s="55" t="s">
        <v>36</v>
      </c>
      <c r="CO24" s="48">
        <f t="shared" si="6"/>
        <v>0</v>
      </c>
      <c r="CP24" s="48">
        <f t="shared" si="6"/>
        <v>0</v>
      </c>
      <c r="CQ24" s="55" t="s">
        <v>36</v>
      </c>
      <c r="CR24" s="55" t="s">
        <v>36</v>
      </c>
      <c r="CS24" s="48">
        <f>SUMIFS([1]SP2024!$BS$7:$BS$148,[1]SP2024!$L$7:$L$148,$B22,[1]SP2024!$M$7:$M$148,$B24)</f>
        <v>0</v>
      </c>
      <c r="CT24" s="48"/>
      <c r="CU24" s="55" t="s">
        <v>36</v>
      </c>
      <c r="CV24" s="55" t="s">
        <v>36</v>
      </c>
      <c r="CW24" s="48">
        <f t="shared" si="122"/>
        <v>0</v>
      </c>
      <c r="CX24" s="48">
        <f t="shared" si="122"/>
        <v>0</v>
      </c>
      <c r="CY24" s="55" t="s">
        <v>36</v>
      </c>
      <c r="CZ24" s="55" t="s">
        <v>36</v>
      </c>
      <c r="DA24" s="48">
        <f>SUMIFS([1]SP2024!$BQ$7:$BQ$148,[1]SP2024!$J$7:$J$148,$B22,[1]SP2024!$K$7:$K$148,$B24)</f>
        <v>0</v>
      </c>
      <c r="DB24" s="48"/>
      <c r="DC24" s="55" t="s">
        <v>36</v>
      </c>
      <c r="DD24" s="55" t="s">
        <v>36</v>
      </c>
      <c r="DE24" s="48">
        <f t="shared" si="1"/>
        <v>0</v>
      </c>
      <c r="DF24" s="48">
        <f t="shared" si="1"/>
        <v>0</v>
      </c>
      <c r="DG24" s="46">
        <v>0</v>
      </c>
      <c r="DH24" s="46">
        <v>0.9</v>
      </c>
      <c r="DI24" s="46">
        <v>0</v>
      </c>
      <c r="DJ24" s="46">
        <v>4.0760869565217399E-2</v>
      </c>
      <c r="DK24" s="55" t="s">
        <v>36</v>
      </c>
      <c r="DL24" s="55" t="s">
        <v>36</v>
      </c>
      <c r="DM24" s="48">
        <v>0</v>
      </c>
      <c r="DN24" s="48"/>
      <c r="DO24" s="55" t="s">
        <v>36</v>
      </c>
      <c r="DP24" s="55" t="s">
        <v>36</v>
      </c>
      <c r="DQ24" s="48">
        <v>0</v>
      </c>
      <c r="DR24" s="48">
        <v>0</v>
      </c>
      <c r="DS24" s="55" t="s">
        <v>36</v>
      </c>
      <c r="DT24" s="55" t="s">
        <v>36</v>
      </c>
      <c r="DU24" s="48"/>
      <c r="DV24" s="48"/>
      <c r="DW24" s="55" t="s">
        <v>36</v>
      </c>
      <c r="DX24" s="55" t="s">
        <v>36</v>
      </c>
      <c r="DY24" s="48">
        <v>0</v>
      </c>
      <c r="DZ24" s="48">
        <v>0</v>
      </c>
      <c r="EA24" s="55" t="s">
        <v>36</v>
      </c>
      <c r="EB24" s="55" t="s">
        <v>36</v>
      </c>
      <c r="EC24" s="48">
        <v>0</v>
      </c>
      <c r="ED24" s="48"/>
      <c r="EE24" s="55" t="s">
        <v>36</v>
      </c>
      <c r="EF24" s="55" t="s">
        <v>36</v>
      </c>
      <c r="EG24" s="48">
        <v>0</v>
      </c>
      <c r="EH24" s="48">
        <v>0</v>
      </c>
      <c r="EI24" s="55" t="s">
        <v>36</v>
      </c>
      <c r="EJ24" s="55" t="s">
        <v>36</v>
      </c>
      <c r="EK24" s="48">
        <v>0</v>
      </c>
      <c r="EL24" s="48"/>
      <c r="EM24" s="55" t="s">
        <v>36</v>
      </c>
      <c r="EN24" s="55" t="s">
        <v>36</v>
      </c>
      <c r="EO24" s="48">
        <v>0</v>
      </c>
      <c r="EP24" s="48">
        <v>0</v>
      </c>
      <c r="EQ24" s="46">
        <v>8.6</v>
      </c>
      <c r="ER24" s="46">
        <v>9.6999999999999993</v>
      </c>
      <c r="ES24" s="46">
        <v>9.7905282331511828E-2</v>
      </c>
      <c r="ET24" s="46">
        <v>0.11042803703349058</v>
      </c>
      <c r="EU24" s="55" t="s">
        <v>36</v>
      </c>
      <c r="EV24" s="55" t="s">
        <v>36</v>
      </c>
      <c r="EW24" s="48">
        <v>0</v>
      </c>
      <c r="EX24" s="48">
        <v>0</v>
      </c>
      <c r="EY24" s="55" t="s">
        <v>36</v>
      </c>
      <c r="EZ24" s="55" t="s">
        <v>36</v>
      </c>
      <c r="FA24" s="48">
        <v>0</v>
      </c>
      <c r="FB24" s="48">
        <v>0</v>
      </c>
      <c r="FC24" s="55" t="s">
        <v>36</v>
      </c>
      <c r="FD24" s="55" t="s">
        <v>36</v>
      </c>
      <c r="FE24" s="48">
        <v>0</v>
      </c>
      <c r="FF24" s="48">
        <v>0</v>
      </c>
      <c r="FG24" s="55" t="s">
        <v>36</v>
      </c>
      <c r="FH24" s="55" t="s">
        <v>36</v>
      </c>
      <c r="FI24" s="48">
        <v>0</v>
      </c>
      <c r="FJ24" s="48">
        <v>0</v>
      </c>
      <c r="FK24" s="55" t="s">
        <v>36</v>
      </c>
      <c r="FL24" s="55" t="s">
        <v>36</v>
      </c>
      <c r="FM24" s="48">
        <v>0</v>
      </c>
      <c r="FN24" s="48">
        <v>0</v>
      </c>
      <c r="FO24" s="55" t="s">
        <v>36</v>
      </c>
      <c r="FP24" s="55" t="s">
        <v>36</v>
      </c>
      <c r="FQ24" s="48">
        <v>0</v>
      </c>
      <c r="FR24" s="48">
        <v>0</v>
      </c>
      <c r="FS24" s="55" t="s">
        <v>36</v>
      </c>
      <c r="FT24" s="55" t="s">
        <v>36</v>
      </c>
      <c r="FU24" s="48">
        <v>0</v>
      </c>
      <c r="FV24" s="48">
        <v>0</v>
      </c>
      <c r="FW24" s="55" t="s">
        <v>36</v>
      </c>
      <c r="FX24" s="55" t="s">
        <v>36</v>
      </c>
      <c r="FY24" s="48">
        <v>0</v>
      </c>
      <c r="FZ24" s="48">
        <v>0</v>
      </c>
      <c r="GA24" s="50">
        <v>1.0999999999999996</v>
      </c>
      <c r="GB24" s="46">
        <v>12.790697674418606</v>
      </c>
      <c r="GC24" s="55" t="s">
        <v>36</v>
      </c>
      <c r="GD24" s="46" t="s">
        <v>36</v>
      </c>
      <c r="GE24" s="51">
        <v>0</v>
      </c>
      <c r="GF24" s="46" t="s">
        <v>88</v>
      </c>
      <c r="GG24" s="55" t="s">
        <v>36</v>
      </c>
      <c r="GH24" s="57" t="s">
        <v>36</v>
      </c>
      <c r="GI24" s="51">
        <v>0</v>
      </c>
      <c r="GJ24" s="46" t="s">
        <v>88</v>
      </c>
      <c r="GK24" s="55" t="s">
        <v>36</v>
      </c>
      <c r="GL24" s="58" t="s">
        <v>36</v>
      </c>
      <c r="GM24" s="51">
        <v>0</v>
      </c>
      <c r="GN24" s="46" t="s">
        <v>88</v>
      </c>
      <c r="GO24" s="55" t="s">
        <v>36</v>
      </c>
      <c r="GP24" s="57" t="s">
        <v>36</v>
      </c>
      <c r="GQ24" s="51">
        <v>0</v>
      </c>
      <c r="GR24" s="44"/>
      <c r="GS24" s="44"/>
      <c r="GT24" s="44"/>
      <c r="GU24" s="44"/>
      <c r="GV24" s="44"/>
      <c r="GW24" s="44"/>
    </row>
    <row r="25" spans="1:205">
      <c r="A25" s="418"/>
      <c r="B25" s="65" t="s">
        <v>43</v>
      </c>
      <c r="C25" s="35">
        <f>SUM(C26:C27)</f>
        <v>64.7</v>
      </c>
      <c r="D25" s="35">
        <f t="shared" ref="D25" si="130">SUM(D26:D27)</f>
        <v>64.7</v>
      </c>
      <c r="E25" s="35">
        <f t="shared" ref="E25" si="131">IFERROR(C25/$C$64*100,0)</f>
        <v>1.4812271062271063</v>
      </c>
      <c r="F25" s="35">
        <f t="shared" ref="F25" si="132">IFERROR(D25/$D$64*100,0)</f>
        <v>1.4812271062271063</v>
      </c>
      <c r="G25" s="59" t="s">
        <v>36</v>
      </c>
      <c r="H25" s="59" t="s">
        <v>36</v>
      </c>
      <c r="I25" s="37">
        <f t="shared" si="2"/>
        <v>222168.13</v>
      </c>
      <c r="J25" s="37">
        <f>SUM(J26:J27)</f>
        <v>222168.13</v>
      </c>
      <c r="K25" s="59" t="s">
        <v>36</v>
      </c>
      <c r="L25" s="59" t="s">
        <v>36</v>
      </c>
      <c r="M25" s="37">
        <f t="shared" ref="M25:N25" si="133">SUM(M26:M27)</f>
        <v>222168.13</v>
      </c>
      <c r="N25" s="37">
        <f t="shared" si="133"/>
        <v>222168.13</v>
      </c>
      <c r="O25" s="59" t="s">
        <v>36</v>
      </c>
      <c r="P25" s="59" t="s">
        <v>36</v>
      </c>
      <c r="Q25" s="37">
        <f>SUM(Q26:Q27)</f>
        <v>0</v>
      </c>
      <c r="R25" s="37">
        <f>SUM(R26:R27)</f>
        <v>0</v>
      </c>
      <c r="S25" s="59" t="s">
        <v>36</v>
      </c>
      <c r="T25" s="59" t="s">
        <v>36</v>
      </c>
      <c r="U25" s="37">
        <f t="shared" si="3"/>
        <v>3433.82</v>
      </c>
      <c r="V25" s="37">
        <f t="shared" si="3"/>
        <v>3433.82</v>
      </c>
      <c r="W25" s="59" t="s">
        <v>36</v>
      </c>
      <c r="X25" s="59" t="s">
        <v>36</v>
      </c>
      <c r="Y25" s="37">
        <f>SUM(Y26:Y27)</f>
        <v>223043.73999999996</v>
      </c>
      <c r="Z25" s="37">
        <f>SUM(Z26:Z27)</f>
        <v>223043.73999999996</v>
      </c>
      <c r="AA25" s="59" t="s">
        <v>36</v>
      </c>
      <c r="AB25" s="59" t="s">
        <v>36</v>
      </c>
      <c r="AC25" s="37">
        <f>SUM(AC26:AC27)</f>
        <v>223043.73999999996</v>
      </c>
      <c r="AD25" s="37">
        <f t="shared" ref="AD25" si="134">SUM(AD26:AD27)</f>
        <v>223043.73999999996</v>
      </c>
      <c r="AE25" s="59" t="s">
        <v>36</v>
      </c>
      <c r="AF25" s="59" t="s">
        <v>36</v>
      </c>
      <c r="AG25" s="37">
        <f t="shared" ref="AG25" si="135">SUM(AG26:AG27)</f>
        <v>0</v>
      </c>
      <c r="AH25" s="59"/>
      <c r="AI25" s="59" t="s">
        <v>36</v>
      </c>
      <c r="AJ25" s="59" t="s">
        <v>36</v>
      </c>
      <c r="AK25" s="37">
        <f t="shared" si="4"/>
        <v>3447.3530139103545</v>
      </c>
      <c r="AL25" s="37">
        <f t="shared" si="4"/>
        <v>3447.3530139103545</v>
      </c>
      <c r="AM25" s="35">
        <f t="shared" ref="AM25:AN25" si="136">SUM(AM26:AM27)</f>
        <v>37.299999999999997</v>
      </c>
      <c r="AN25" s="35">
        <f t="shared" si="136"/>
        <v>37.299999999999997</v>
      </c>
      <c r="AO25" s="35">
        <f t="shared" ref="AO25" si="137">IFERROR(AM25/$AM$64*100,0)</f>
        <v>0.8539377289377289</v>
      </c>
      <c r="AP25" s="35">
        <f t="shared" ref="AP25" si="138">IFERROR(AN25/$AN$64*100,0)</f>
        <v>0.8539377289377289</v>
      </c>
      <c r="AQ25" s="59" t="s">
        <v>36</v>
      </c>
      <c r="AR25" s="59" t="s">
        <v>36</v>
      </c>
      <c r="AS25" s="37">
        <f>SUM(AS26:AS27)</f>
        <v>230938.97999999998</v>
      </c>
      <c r="AT25" s="37">
        <f>SUM(AT26:AT27)</f>
        <v>230938.97999999998</v>
      </c>
      <c r="AU25" s="59" t="s">
        <v>36</v>
      </c>
      <c r="AV25" s="59" t="s">
        <v>36</v>
      </c>
      <c r="AW25" s="37">
        <f t="shared" ref="AW25:AX25" si="139">SUM(AW26:AW27)</f>
        <v>230938.97999999998</v>
      </c>
      <c r="AX25" s="37">
        <f t="shared" si="139"/>
        <v>230938.97999999998</v>
      </c>
      <c r="AY25" s="59" t="s">
        <v>36</v>
      </c>
      <c r="AZ25" s="59" t="s">
        <v>36</v>
      </c>
      <c r="BA25" s="37">
        <f>SUM(BA26:BA27)</f>
        <v>0</v>
      </c>
      <c r="BB25" s="37">
        <f>SUM(BB26:BB27)</f>
        <v>0</v>
      </c>
      <c r="BC25" s="59" t="s">
        <v>36</v>
      </c>
      <c r="BD25" s="59" t="s">
        <v>36</v>
      </c>
      <c r="BE25" s="37">
        <f t="shared" si="5"/>
        <v>6191.39</v>
      </c>
      <c r="BF25" s="37">
        <f t="shared" si="5"/>
        <v>6191.39</v>
      </c>
      <c r="BG25" s="59" t="s">
        <v>36</v>
      </c>
      <c r="BH25" s="59" t="s">
        <v>36</v>
      </c>
      <c r="BI25" s="37">
        <f t="shared" ref="BI25:BJ25" si="140">SUM(BI26:BI27)</f>
        <v>272330.60000000003</v>
      </c>
      <c r="BJ25" s="37">
        <f t="shared" si="140"/>
        <v>272330.60000000003</v>
      </c>
      <c r="BK25" s="59" t="s">
        <v>36</v>
      </c>
      <c r="BL25" s="59" t="s">
        <v>36</v>
      </c>
      <c r="BM25" s="37">
        <f t="shared" ref="BM25:BN25" si="141">SUM(BM26:BM27)</f>
        <v>272330.60000000003</v>
      </c>
      <c r="BN25" s="37">
        <f t="shared" si="141"/>
        <v>272330.60000000003</v>
      </c>
      <c r="BO25" s="59" t="s">
        <v>36</v>
      </c>
      <c r="BP25" s="59" t="s">
        <v>36</v>
      </c>
      <c r="BQ25" s="37">
        <f t="shared" ref="BQ25" si="142">SUM(BQ26:BQ27)</f>
        <v>0</v>
      </c>
      <c r="BR25" s="59"/>
      <c r="BS25" s="59" t="s">
        <v>36</v>
      </c>
      <c r="BT25" s="59" t="s">
        <v>36</v>
      </c>
      <c r="BU25" s="37">
        <f t="shared" si="0"/>
        <v>7301.0884718498673</v>
      </c>
      <c r="BV25" s="60">
        <f t="shared" si="0"/>
        <v>7301.0884718498673</v>
      </c>
      <c r="BW25" s="35">
        <f t="shared" ref="BW25:BX25" si="143">SUM(BW26:BW27)</f>
        <v>19.600000000000001</v>
      </c>
      <c r="BX25" s="35">
        <f t="shared" si="143"/>
        <v>14.2</v>
      </c>
      <c r="BY25" s="35">
        <f t="shared" ref="BY25" si="144">IFERROR(BW25/$BW$64*100,0)</f>
        <v>0.44384057971014496</v>
      </c>
      <c r="BZ25" s="35">
        <f t="shared" ref="BZ25" si="145">IFERROR(BX25/$BX$64*100,0)</f>
        <v>0.32155770806598455</v>
      </c>
      <c r="CA25" s="59" t="s">
        <v>36</v>
      </c>
      <c r="CB25" s="59" t="s">
        <v>36</v>
      </c>
      <c r="CC25" s="37">
        <f>SUM(CC26:CC27)</f>
        <v>144738.75827916386</v>
      </c>
      <c r="CD25" s="37">
        <f>SUM(CD26:CD27)</f>
        <v>166502.07</v>
      </c>
      <c r="CE25" s="59" t="s">
        <v>36</v>
      </c>
      <c r="CF25" s="59" t="s">
        <v>36</v>
      </c>
      <c r="CG25" s="37">
        <f t="shared" ref="CG25:CH25" si="146">SUM(CG26:CG27)</f>
        <v>144738.75827916386</v>
      </c>
      <c r="CH25" s="37">
        <f t="shared" si="146"/>
        <v>166502.07</v>
      </c>
      <c r="CI25" s="59" t="s">
        <v>36</v>
      </c>
      <c r="CJ25" s="59" t="s">
        <v>36</v>
      </c>
      <c r="CK25" s="37">
        <f>SUM(CK26:CK27)</f>
        <v>0</v>
      </c>
      <c r="CL25" s="37">
        <f>SUM(CL26:CL27)</f>
        <v>0</v>
      </c>
      <c r="CM25" s="59" t="s">
        <v>36</v>
      </c>
      <c r="CN25" s="59" t="s">
        <v>36</v>
      </c>
      <c r="CO25" s="37">
        <f t="shared" si="6"/>
        <v>7384.63</v>
      </c>
      <c r="CP25" s="37">
        <f t="shared" si="6"/>
        <v>11725.5</v>
      </c>
      <c r="CQ25" s="59" t="s">
        <v>36</v>
      </c>
      <c r="CR25" s="59" t="s">
        <v>36</v>
      </c>
      <c r="CS25" s="37">
        <f>SUM(CS26:CS27)</f>
        <v>145313.9</v>
      </c>
      <c r="CT25" s="37">
        <f t="shared" ref="CT25" si="147">SUM(CT26:CT27)</f>
        <v>136485.6</v>
      </c>
      <c r="CU25" s="59" t="s">
        <v>36</v>
      </c>
      <c r="CV25" s="59" t="s">
        <v>36</v>
      </c>
      <c r="CW25" s="37">
        <f t="shared" ref="CW25" si="148">SUM(CW26:CW27)</f>
        <v>145313.9</v>
      </c>
      <c r="CX25" s="37">
        <f>SUM(CX26:CX27)</f>
        <v>136485.6</v>
      </c>
      <c r="CY25" s="59" t="s">
        <v>36</v>
      </c>
      <c r="CZ25" s="59" t="s">
        <v>36</v>
      </c>
      <c r="DA25" s="37">
        <f t="shared" ref="DA25" si="149">SUM(DA26:DA27)</f>
        <v>0</v>
      </c>
      <c r="DB25" s="37"/>
      <c r="DC25" s="59" t="s">
        <v>36</v>
      </c>
      <c r="DD25" s="59" t="s">
        <v>36</v>
      </c>
      <c r="DE25" s="37">
        <f t="shared" si="1"/>
        <v>7413.9744897959172</v>
      </c>
      <c r="DF25" s="37">
        <f t="shared" si="1"/>
        <v>9611.6619718309867</v>
      </c>
      <c r="DG25" s="35">
        <v>63.333333333333329</v>
      </c>
      <c r="DH25" s="35">
        <v>74.2</v>
      </c>
      <c r="DI25" s="35">
        <v>1.4341787439613523</v>
      </c>
      <c r="DJ25" s="35">
        <v>1.680253623188406</v>
      </c>
      <c r="DK25" s="59" t="s">
        <v>36</v>
      </c>
      <c r="DL25" s="59" t="s">
        <v>36</v>
      </c>
      <c r="DM25" s="37">
        <v>412209.02403388201</v>
      </c>
      <c r="DN25" s="37">
        <v>343728.12999999989</v>
      </c>
      <c r="DO25" s="59" t="s">
        <v>36</v>
      </c>
      <c r="DP25" s="59" t="s">
        <v>36</v>
      </c>
      <c r="DQ25" s="37">
        <v>412209.02403388201</v>
      </c>
      <c r="DR25" s="37">
        <v>343728.12999999989</v>
      </c>
      <c r="DS25" s="59" t="s">
        <v>36</v>
      </c>
      <c r="DT25" s="59" t="s">
        <v>36</v>
      </c>
      <c r="DU25" s="37">
        <v>0</v>
      </c>
      <c r="DV25" s="37">
        <v>0</v>
      </c>
      <c r="DW25" s="59" t="s">
        <v>36</v>
      </c>
      <c r="DX25" s="59" t="s">
        <v>36</v>
      </c>
      <c r="DY25" s="37">
        <v>6508.56</v>
      </c>
      <c r="DZ25" s="37">
        <v>4632.45</v>
      </c>
      <c r="EA25" s="59" t="s">
        <v>36</v>
      </c>
      <c r="EB25" s="59" t="s">
        <v>36</v>
      </c>
      <c r="EC25" s="37">
        <v>413847</v>
      </c>
      <c r="ED25" s="37">
        <v>424206.44000000006</v>
      </c>
      <c r="EE25" s="59" t="s">
        <v>36</v>
      </c>
      <c r="EF25" s="59" t="s">
        <v>36</v>
      </c>
      <c r="EG25" s="37">
        <v>413847</v>
      </c>
      <c r="EH25" s="37">
        <v>424206.44000000006</v>
      </c>
      <c r="EI25" s="59" t="s">
        <v>36</v>
      </c>
      <c r="EJ25" s="59" t="s">
        <v>36</v>
      </c>
      <c r="EK25" s="37">
        <v>0</v>
      </c>
      <c r="EL25" s="59"/>
      <c r="EM25" s="59" t="s">
        <v>36</v>
      </c>
      <c r="EN25" s="59" t="s">
        <v>36</v>
      </c>
      <c r="EO25" s="37">
        <v>6534.4263157894738</v>
      </c>
      <c r="EP25" s="37">
        <v>5717.0679245283027</v>
      </c>
      <c r="EQ25" s="40">
        <v>184.93333333333334</v>
      </c>
      <c r="ER25" s="35">
        <v>190.4</v>
      </c>
      <c r="ES25" s="40">
        <v>1.0526715239829993</v>
      </c>
      <c r="ET25" s="40">
        <v>1.0837884839662661</v>
      </c>
      <c r="EU25" s="59" t="s">
        <v>36</v>
      </c>
      <c r="EV25" s="59" t="s">
        <v>36</v>
      </c>
      <c r="EW25" s="37">
        <v>1010054.8923130459</v>
      </c>
      <c r="EX25" s="37">
        <v>963337.30999999982</v>
      </c>
      <c r="EY25" s="59" t="s">
        <v>36</v>
      </c>
      <c r="EZ25" s="59" t="s">
        <v>36</v>
      </c>
      <c r="FA25" s="37">
        <v>1010054.8923130459</v>
      </c>
      <c r="FB25" s="37">
        <v>963337.30999999982</v>
      </c>
      <c r="FC25" s="59" t="s">
        <v>36</v>
      </c>
      <c r="FD25" s="59" t="s">
        <v>36</v>
      </c>
      <c r="FE25" s="37">
        <v>0</v>
      </c>
      <c r="FF25" s="37">
        <v>0</v>
      </c>
      <c r="FG25" s="59" t="s">
        <v>36</v>
      </c>
      <c r="FH25" s="59" t="s">
        <v>36</v>
      </c>
      <c r="FI25" s="37">
        <v>5461.72</v>
      </c>
      <c r="FJ25" s="37">
        <v>5059.54</v>
      </c>
      <c r="FK25" s="59" t="s">
        <v>36</v>
      </c>
      <c r="FL25" s="59" t="s">
        <v>36</v>
      </c>
      <c r="FM25" s="37">
        <v>1054535.24</v>
      </c>
      <c r="FN25" s="37">
        <v>1056066.3799999999</v>
      </c>
      <c r="FO25" s="59" t="s">
        <v>36</v>
      </c>
      <c r="FP25" s="59" t="s">
        <v>36</v>
      </c>
      <c r="FQ25" s="37">
        <v>1054535.24</v>
      </c>
      <c r="FR25" s="37">
        <v>1056066.3799999999</v>
      </c>
      <c r="FS25" s="59" t="s">
        <v>36</v>
      </c>
      <c r="FT25" s="59" t="s">
        <v>36</v>
      </c>
      <c r="FU25" s="37">
        <v>0</v>
      </c>
      <c r="FV25" s="37">
        <v>0</v>
      </c>
      <c r="FW25" s="59" t="s">
        <v>36</v>
      </c>
      <c r="FX25" s="59" t="s">
        <v>36</v>
      </c>
      <c r="FY25" s="37">
        <v>5702.2453496755588</v>
      </c>
      <c r="FZ25" s="37">
        <v>5546.5671218487387</v>
      </c>
      <c r="GA25" s="39">
        <v>5.4666666666666686</v>
      </c>
      <c r="GB25" s="35">
        <v>2.956020187454933</v>
      </c>
      <c r="GC25" s="59" t="s">
        <v>36</v>
      </c>
      <c r="GD25" s="40" t="s">
        <v>36</v>
      </c>
      <c r="GE25" s="41">
        <v>-46717.582313046092</v>
      </c>
      <c r="GF25" s="40">
        <v>-4.6252518223105614</v>
      </c>
      <c r="GG25" s="59" t="s">
        <v>36</v>
      </c>
      <c r="GH25" s="61" t="s">
        <v>36</v>
      </c>
      <c r="GI25" s="41">
        <v>-46717.582313046092</v>
      </c>
      <c r="GJ25" s="40">
        <v>-4.6252518223105614</v>
      </c>
      <c r="GK25" s="59" t="s">
        <v>36</v>
      </c>
      <c r="GL25" s="62" t="s">
        <v>36</v>
      </c>
      <c r="GM25" s="41">
        <v>0</v>
      </c>
      <c r="GN25" s="40" t="s">
        <v>88</v>
      </c>
      <c r="GO25" s="59" t="s">
        <v>36</v>
      </c>
      <c r="GP25" s="61" t="s">
        <v>36</v>
      </c>
      <c r="GQ25" s="41">
        <v>-402.18000000000029</v>
      </c>
      <c r="GR25" s="44"/>
      <c r="GS25" s="44"/>
      <c r="GT25" s="44"/>
      <c r="GU25" s="44"/>
      <c r="GV25" s="44"/>
      <c r="GW25" s="44"/>
    </row>
    <row r="26" spans="1:205">
      <c r="A26" s="418"/>
      <c r="B26" s="45" t="s">
        <v>38</v>
      </c>
      <c r="C26" s="46">
        <f t="shared" ref="C26:C27" si="150">D26</f>
        <v>64.7</v>
      </c>
      <c r="D26" s="46">
        <f>VLOOKUP($B25,[1]!LTV1_RL2[[LTV1]:[Q1]],2,0)</f>
        <v>64.7</v>
      </c>
      <c r="E26" s="46">
        <f t="shared" ref="E26" si="151">IFERROR(C26/$C$65*100,0)</f>
        <v>2.9624542124542126</v>
      </c>
      <c r="F26" s="46">
        <f>IFERROR(D26/$D$65*100,0)</f>
        <v>2.9624542124542126</v>
      </c>
      <c r="G26" s="55" t="s">
        <v>36</v>
      </c>
      <c r="H26" s="55" t="s">
        <v>36</v>
      </c>
      <c r="I26" s="48">
        <f t="shared" si="2"/>
        <v>222168.13</v>
      </c>
      <c r="J26" s="48">
        <v>222168.13</v>
      </c>
      <c r="K26" s="55" t="s">
        <v>36</v>
      </c>
      <c r="L26" s="55" t="s">
        <v>36</v>
      </c>
      <c r="M26" s="48">
        <f t="shared" ref="M26:N27" si="152">I26-Q26</f>
        <v>222168.13</v>
      </c>
      <c r="N26" s="48">
        <f t="shared" si="152"/>
        <v>222168.13</v>
      </c>
      <c r="O26" s="55" t="s">
        <v>36</v>
      </c>
      <c r="P26" s="55" t="s">
        <v>36</v>
      </c>
      <c r="Q26" s="48"/>
      <c r="R26" s="48"/>
      <c r="S26" s="55" t="s">
        <v>36</v>
      </c>
      <c r="T26" s="55" t="s">
        <v>36</v>
      </c>
      <c r="U26" s="48">
        <f t="shared" si="3"/>
        <v>3433.82</v>
      </c>
      <c r="V26" s="48">
        <f t="shared" si="3"/>
        <v>3433.82</v>
      </c>
      <c r="W26" s="55" t="s">
        <v>36</v>
      </c>
      <c r="X26" s="55" t="s">
        <v>36</v>
      </c>
      <c r="Y26" s="48">
        <f>Z26</f>
        <v>223043.73999999996</v>
      </c>
      <c r="Z26" s="48">
        <f>[1]Fakts_Izd!Z50</f>
        <v>223043.73999999996</v>
      </c>
      <c r="AA26" s="55" t="s">
        <v>36</v>
      </c>
      <c r="AB26" s="55" t="s">
        <v>36</v>
      </c>
      <c r="AC26" s="48">
        <f>Y26-AG26</f>
        <v>223043.73999999996</v>
      </c>
      <c r="AD26" s="48">
        <f t="shared" ref="AD26:AD27" si="153">Z26-AH26</f>
        <v>223043.73999999996</v>
      </c>
      <c r="AE26" s="55" t="s">
        <v>36</v>
      </c>
      <c r="AF26" s="55" t="s">
        <v>36</v>
      </c>
      <c r="AG26" s="48">
        <f>SUMIFS([1]SP2024!$BO$7:$BO$148,[1]SP2024!$J$7:$J$148,$B25,[1]SP2024!$K$7:$K$148,$B26)</f>
        <v>0</v>
      </c>
      <c r="AH26" s="55"/>
      <c r="AI26" s="55" t="s">
        <v>36</v>
      </c>
      <c r="AJ26" s="55" t="s">
        <v>36</v>
      </c>
      <c r="AK26" s="48">
        <f t="shared" si="4"/>
        <v>3447.3530139103545</v>
      </c>
      <c r="AL26" s="48">
        <f t="shared" si="4"/>
        <v>3447.3530139103545</v>
      </c>
      <c r="AM26" s="46">
        <f t="shared" ref="AM26:AM27" si="154">AN26</f>
        <v>37.299999999999997</v>
      </c>
      <c r="AN26" s="46">
        <f>VLOOKUP($B25,[1]!LTV1_RL2[[LTV1]:[Q2]],3,0)</f>
        <v>37.299999999999997</v>
      </c>
      <c r="AO26" s="63">
        <f t="shared" ref="AO26:AO27" si="155">IFERROR(AM26/$AM$65*100,0)</f>
        <v>1.7078754578754578</v>
      </c>
      <c r="AP26" s="46">
        <f t="shared" ref="AP26" si="156">IFERROR(AN26/$AN$65*100,0)</f>
        <v>1.7078754578754578</v>
      </c>
      <c r="AQ26" s="55" t="s">
        <v>36</v>
      </c>
      <c r="AR26" s="55" t="s">
        <v>36</v>
      </c>
      <c r="AS26" s="48">
        <f t="shared" ref="AS26:AS27" si="157">AT26</f>
        <v>230938.97999999998</v>
      </c>
      <c r="AT26" s="48">
        <v>230938.97999999998</v>
      </c>
      <c r="AU26" s="55" t="s">
        <v>36</v>
      </c>
      <c r="AV26" s="55" t="s">
        <v>36</v>
      </c>
      <c r="AW26" s="48">
        <f t="shared" ref="AW26:AX27" si="158">AS26-BA26</f>
        <v>230938.97999999998</v>
      </c>
      <c r="AX26" s="48">
        <f t="shared" si="158"/>
        <v>230938.97999999998</v>
      </c>
      <c r="AY26" s="55" t="s">
        <v>36</v>
      </c>
      <c r="AZ26" s="55" t="s">
        <v>36</v>
      </c>
      <c r="BA26" s="48"/>
      <c r="BB26" s="48"/>
      <c r="BC26" s="55" t="s">
        <v>36</v>
      </c>
      <c r="BD26" s="55" t="s">
        <v>36</v>
      </c>
      <c r="BE26" s="48">
        <f t="shared" si="5"/>
        <v>6191.39</v>
      </c>
      <c r="BF26" s="48">
        <f t="shared" si="5"/>
        <v>6191.39</v>
      </c>
      <c r="BG26" s="55" t="s">
        <v>36</v>
      </c>
      <c r="BH26" s="55" t="s">
        <v>36</v>
      </c>
      <c r="BI26" s="48">
        <f t="shared" ref="BI26:BI27" si="159">BJ26</f>
        <v>272330.60000000003</v>
      </c>
      <c r="BJ26" s="48">
        <f>[1]Fakts_Izd!AA50</f>
        <v>272330.60000000003</v>
      </c>
      <c r="BK26" s="55" t="s">
        <v>36</v>
      </c>
      <c r="BL26" s="55" t="s">
        <v>36</v>
      </c>
      <c r="BM26" s="48">
        <f t="shared" ref="BM26:BN27" si="160">BI26-BQ26</f>
        <v>272330.60000000003</v>
      </c>
      <c r="BN26" s="48">
        <f t="shared" si="160"/>
        <v>272330.60000000003</v>
      </c>
      <c r="BO26" s="55" t="s">
        <v>36</v>
      </c>
      <c r="BP26" s="55" t="s">
        <v>36</v>
      </c>
      <c r="BQ26" s="48">
        <f>SUMIFS([1]SP2024!$BP$7:$BP$148,[1]SP2024!$J$7:$J$148,$B25,[1]SP2024!$K$7:$K$148,$B26)</f>
        <v>0</v>
      </c>
      <c r="BR26" s="55"/>
      <c r="BS26" s="55" t="s">
        <v>36</v>
      </c>
      <c r="BT26" s="55" t="s">
        <v>36</v>
      </c>
      <c r="BU26" s="48">
        <f t="shared" si="0"/>
        <v>7301.0884718498673</v>
      </c>
      <c r="BV26" s="49">
        <f t="shared" si="0"/>
        <v>7301.0884718498673</v>
      </c>
      <c r="BW26" s="46">
        <f>SUMIFS([1]SP2024!$AW$7:$AW$148,[1]SP2024!$L$7:$L$148,$B25,[1]SP2024!$M$7:$M$148,$B26)</f>
        <v>19.600000000000001</v>
      </c>
      <c r="BX26" s="46">
        <f>VLOOKUP($B25,[1]!LTV1_RL2[[LTV1]:[Q3]],4,0)</f>
        <v>13</v>
      </c>
      <c r="BY26" s="46">
        <f t="shared" ref="BY26:BY27" si="161">IFERROR(BW26/$BW$65*100,0)</f>
        <v>0.88768115942028991</v>
      </c>
      <c r="BZ26" s="46">
        <f t="shared" ref="BZ26" si="162">IFERROR(BX26/$BX$65*100,0)</f>
        <v>0.58876744931221781</v>
      </c>
      <c r="CA26" s="55" t="s">
        <v>36</v>
      </c>
      <c r="CB26" s="55" t="s">
        <v>36</v>
      </c>
      <c r="CC26" s="48">
        <f>CS26*'[2]Pielikums nr. 1.'!$EY$14</f>
        <v>144738.75827916386</v>
      </c>
      <c r="CD26" s="48">
        <v>166502.07</v>
      </c>
      <c r="CE26" s="55" t="s">
        <v>36</v>
      </c>
      <c r="CF26" s="55" t="s">
        <v>36</v>
      </c>
      <c r="CG26" s="48">
        <f t="shared" ref="CG26:CH27" si="163">CC26-CK26</f>
        <v>144738.75827916386</v>
      </c>
      <c r="CH26" s="48">
        <f t="shared" si="163"/>
        <v>166502.07</v>
      </c>
      <c r="CI26" s="55" t="s">
        <v>36</v>
      </c>
      <c r="CJ26" s="55" t="s">
        <v>36</v>
      </c>
      <c r="CK26" s="48"/>
      <c r="CL26" s="48"/>
      <c r="CM26" s="55" t="s">
        <v>36</v>
      </c>
      <c r="CN26" s="55" t="s">
        <v>36</v>
      </c>
      <c r="CO26" s="48">
        <f t="shared" si="6"/>
        <v>7384.63</v>
      </c>
      <c r="CP26" s="48">
        <f t="shared" si="6"/>
        <v>12807.85</v>
      </c>
      <c r="CQ26" s="55" t="s">
        <v>36</v>
      </c>
      <c r="CR26" s="55" t="s">
        <v>36</v>
      </c>
      <c r="CS26" s="48">
        <f>SUMIFS([1]SP2024!$BS$7:$BS$148,[1]SP2024!$L$7:$L$148,$B25,[1]SP2024!$M$7:$M$148,$B26)</f>
        <v>145313.9</v>
      </c>
      <c r="CT26" s="48">
        <f>[1]Fakts_Izd!AB50</f>
        <v>136485.6</v>
      </c>
      <c r="CU26" s="55" t="s">
        <v>36</v>
      </c>
      <c r="CV26" s="55" t="s">
        <v>36</v>
      </c>
      <c r="CW26" s="48">
        <f t="shared" ref="CW26:CX27" si="164">CS26-DA26</f>
        <v>145313.9</v>
      </c>
      <c r="CX26" s="48">
        <f t="shared" si="164"/>
        <v>136485.6</v>
      </c>
      <c r="CY26" s="55" t="s">
        <v>36</v>
      </c>
      <c r="CZ26" s="55" t="s">
        <v>36</v>
      </c>
      <c r="DA26" s="48">
        <f>SUMIFS([1]SP2024!$BQ$7:$BQ$148,[1]SP2024!$J$7:$J$148,$B25,[1]SP2024!$K$7:$K$148,$B26)</f>
        <v>0</v>
      </c>
      <c r="DB26" s="48"/>
      <c r="DC26" s="55" t="s">
        <v>36</v>
      </c>
      <c r="DD26" s="55" t="s">
        <v>36</v>
      </c>
      <c r="DE26" s="48">
        <f t="shared" si="1"/>
        <v>7413.9744897959172</v>
      </c>
      <c r="DF26" s="48">
        <f t="shared" si="1"/>
        <v>10498.892307692307</v>
      </c>
      <c r="DG26" s="46">
        <v>63.333333333333329</v>
      </c>
      <c r="DH26" s="46">
        <v>67.900000000000006</v>
      </c>
      <c r="DI26" s="46">
        <v>2.8683574879227045</v>
      </c>
      <c r="DJ26" s="46">
        <v>3.0751811594202905</v>
      </c>
      <c r="DK26" s="55" t="s">
        <v>36</v>
      </c>
      <c r="DL26" s="55" t="s">
        <v>36</v>
      </c>
      <c r="DM26" s="48">
        <v>412209.02403388201</v>
      </c>
      <c r="DN26" s="48">
        <v>343728.12999999989</v>
      </c>
      <c r="DO26" s="55" t="s">
        <v>36</v>
      </c>
      <c r="DP26" s="55" t="s">
        <v>36</v>
      </c>
      <c r="DQ26" s="48">
        <v>412209.02403388201</v>
      </c>
      <c r="DR26" s="48">
        <v>343728.12999999989</v>
      </c>
      <c r="DS26" s="55" t="s">
        <v>36</v>
      </c>
      <c r="DT26" s="55" t="s">
        <v>36</v>
      </c>
      <c r="DU26" s="48"/>
      <c r="DV26" s="48"/>
      <c r="DW26" s="55" t="s">
        <v>36</v>
      </c>
      <c r="DX26" s="55" t="s">
        <v>36</v>
      </c>
      <c r="DY26" s="48">
        <v>6508.56</v>
      </c>
      <c r="DZ26" s="48">
        <v>5062.2700000000004</v>
      </c>
      <c r="EA26" s="55" t="s">
        <v>36</v>
      </c>
      <c r="EB26" s="55" t="s">
        <v>36</v>
      </c>
      <c r="EC26" s="48">
        <v>413847</v>
      </c>
      <c r="ED26" s="48">
        <v>424206.44000000006</v>
      </c>
      <c r="EE26" s="55" t="s">
        <v>36</v>
      </c>
      <c r="EF26" s="55" t="s">
        <v>36</v>
      </c>
      <c r="EG26" s="48">
        <v>413847</v>
      </c>
      <c r="EH26" s="48">
        <v>424206.44000000006</v>
      </c>
      <c r="EI26" s="55" t="s">
        <v>36</v>
      </c>
      <c r="EJ26" s="55" t="s">
        <v>36</v>
      </c>
      <c r="EK26" s="48">
        <v>0</v>
      </c>
      <c r="EL26" s="55"/>
      <c r="EM26" s="55" t="s">
        <v>36</v>
      </c>
      <c r="EN26" s="55" t="s">
        <v>36</v>
      </c>
      <c r="EO26" s="48">
        <v>6534.4263157894738</v>
      </c>
      <c r="EP26" s="48">
        <v>6247.5175257731962</v>
      </c>
      <c r="EQ26" s="46">
        <v>184.93333333333334</v>
      </c>
      <c r="ER26" s="46">
        <v>182.9</v>
      </c>
      <c r="ES26" s="46">
        <v>2.1053430479659987</v>
      </c>
      <c r="ET26" s="46">
        <v>2.0821943072079043</v>
      </c>
      <c r="EU26" s="55" t="s">
        <v>36</v>
      </c>
      <c r="EV26" s="55" t="s">
        <v>36</v>
      </c>
      <c r="EW26" s="48">
        <v>1010054.8923130459</v>
      </c>
      <c r="EX26" s="48">
        <v>963337.30999999982</v>
      </c>
      <c r="EY26" s="55" t="s">
        <v>36</v>
      </c>
      <c r="EZ26" s="55" t="s">
        <v>36</v>
      </c>
      <c r="FA26" s="48">
        <v>1010054.8923130459</v>
      </c>
      <c r="FB26" s="48">
        <v>963337.30999999982</v>
      </c>
      <c r="FC26" s="55" t="s">
        <v>36</v>
      </c>
      <c r="FD26" s="55" t="s">
        <v>36</v>
      </c>
      <c r="FE26" s="48">
        <v>0</v>
      </c>
      <c r="FF26" s="48">
        <v>0</v>
      </c>
      <c r="FG26" s="55" t="s">
        <v>36</v>
      </c>
      <c r="FH26" s="55" t="s">
        <v>36</v>
      </c>
      <c r="FI26" s="48">
        <v>5461.72</v>
      </c>
      <c r="FJ26" s="48">
        <v>5267.02</v>
      </c>
      <c r="FK26" s="55" t="s">
        <v>36</v>
      </c>
      <c r="FL26" s="55" t="s">
        <v>36</v>
      </c>
      <c r="FM26" s="48">
        <v>1054535.24</v>
      </c>
      <c r="FN26" s="48">
        <v>1056066.3799999999</v>
      </c>
      <c r="FO26" s="55" t="s">
        <v>36</v>
      </c>
      <c r="FP26" s="55" t="s">
        <v>36</v>
      </c>
      <c r="FQ26" s="48">
        <v>1054535.24</v>
      </c>
      <c r="FR26" s="48">
        <v>1056066.3799999999</v>
      </c>
      <c r="FS26" s="55" t="s">
        <v>36</v>
      </c>
      <c r="FT26" s="55" t="s">
        <v>36</v>
      </c>
      <c r="FU26" s="48">
        <v>0</v>
      </c>
      <c r="FV26" s="48">
        <v>0</v>
      </c>
      <c r="FW26" s="55" t="s">
        <v>36</v>
      </c>
      <c r="FX26" s="55" t="s">
        <v>36</v>
      </c>
      <c r="FY26" s="48">
        <v>5702.2453496755588</v>
      </c>
      <c r="FZ26" s="48">
        <v>5774.0097320940395</v>
      </c>
      <c r="GA26" s="50">
        <v>-2.0333333333333314</v>
      </c>
      <c r="GB26" s="46">
        <v>-1.0994953136265306</v>
      </c>
      <c r="GC26" s="55" t="s">
        <v>36</v>
      </c>
      <c r="GD26" s="46" t="s">
        <v>36</v>
      </c>
      <c r="GE26" s="51">
        <v>-46717.582313046092</v>
      </c>
      <c r="GF26" s="46">
        <v>-4.6252518223105614</v>
      </c>
      <c r="GG26" s="55" t="s">
        <v>36</v>
      </c>
      <c r="GH26" s="57" t="s">
        <v>36</v>
      </c>
      <c r="GI26" s="51">
        <v>-46717.582313046092</v>
      </c>
      <c r="GJ26" s="46">
        <v>-4.6252518223105614</v>
      </c>
      <c r="GK26" s="55" t="s">
        <v>36</v>
      </c>
      <c r="GL26" s="58" t="s">
        <v>36</v>
      </c>
      <c r="GM26" s="51">
        <v>0</v>
      </c>
      <c r="GN26" s="46" t="s">
        <v>88</v>
      </c>
      <c r="GO26" s="55" t="s">
        <v>36</v>
      </c>
      <c r="GP26" s="57" t="s">
        <v>36</v>
      </c>
      <c r="GQ26" s="51">
        <v>-194.69999999999982</v>
      </c>
      <c r="GR26" s="44"/>
      <c r="GS26" s="44"/>
      <c r="GT26" s="44"/>
      <c r="GU26" s="44"/>
      <c r="GV26" s="44"/>
      <c r="GW26" s="44"/>
    </row>
    <row r="27" spans="1:205">
      <c r="A27" s="418"/>
      <c r="B27" s="45" t="s">
        <v>39</v>
      </c>
      <c r="C27" s="46">
        <f t="shared" si="150"/>
        <v>0</v>
      </c>
      <c r="D27" s="46">
        <f>IFERROR(VLOOKUP($B25,[1]!LTV7_RL7[[LTV7]:[Q1]],2,0),0)</f>
        <v>0</v>
      </c>
      <c r="E27" s="46">
        <f t="shared" ref="E27" si="165">IFERROR(C27/$C$66*100,0)</f>
        <v>0</v>
      </c>
      <c r="F27" s="46">
        <f t="shared" ref="F27" si="166">IFERROR(D27/$D$66*100,0)</f>
        <v>0</v>
      </c>
      <c r="G27" s="55" t="s">
        <v>36</v>
      </c>
      <c r="H27" s="55" t="s">
        <v>36</v>
      </c>
      <c r="I27" s="48">
        <f t="shared" si="2"/>
        <v>0</v>
      </c>
      <c r="J27" s="48">
        <v>0</v>
      </c>
      <c r="K27" s="55" t="s">
        <v>36</v>
      </c>
      <c r="L27" s="55" t="s">
        <v>36</v>
      </c>
      <c r="M27" s="48">
        <f t="shared" si="152"/>
        <v>0</v>
      </c>
      <c r="N27" s="48">
        <f t="shared" si="152"/>
        <v>0</v>
      </c>
      <c r="O27" s="55" t="s">
        <v>36</v>
      </c>
      <c r="P27" s="55" t="s">
        <v>36</v>
      </c>
      <c r="Q27" s="48"/>
      <c r="R27" s="48"/>
      <c r="S27" s="55" t="s">
        <v>36</v>
      </c>
      <c r="T27" s="55" t="s">
        <v>36</v>
      </c>
      <c r="U27" s="48">
        <f t="shared" si="3"/>
        <v>0</v>
      </c>
      <c r="V27" s="48">
        <f t="shared" si="3"/>
        <v>0</v>
      </c>
      <c r="W27" s="55" t="s">
        <v>36</v>
      </c>
      <c r="X27" s="55" t="s">
        <v>36</v>
      </c>
      <c r="Y27" s="48">
        <f>Z27</f>
        <v>0</v>
      </c>
      <c r="Z27" s="48">
        <f>[1]Fakts_Izd!Z51</f>
        <v>0</v>
      </c>
      <c r="AA27" s="55" t="s">
        <v>36</v>
      </c>
      <c r="AB27" s="55" t="s">
        <v>36</v>
      </c>
      <c r="AC27" s="48">
        <f>Y27-AG27</f>
        <v>0</v>
      </c>
      <c r="AD27" s="48">
        <f t="shared" si="153"/>
        <v>0</v>
      </c>
      <c r="AE27" s="55" t="s">
        <v>36</v>
      </c>
      <c r="AF27" s="55" t="s">
        <v>36</v>
      </c>
      <c r="AG27" s="48">
        <f>SUMIFS([1]SP2024!$BO$7:$BO$148,[1]SP2024!$J$7:$J$148,$B25,[1]SP2024!$K$7:$K$148,$B27)</f>
        <v>0</v>
      </c>
      <c r="AH27" s="55"/>
      <c r="AI27" s="55" t="s">
        <v>36</v>
      </c>
      <c r="AJ27" s="55" t="s">
        <v>36</v>
      </c>
      <c r="AK27" s="48">
        <f t="shared" si="4"/>
        <v>0</v>
      </c>
      <c r="AL27" s="48">
        <f t="shared" si="4"/>
        <v>0</v>
      </c>
      <c r="AM27" s="46">
        <f t="shared" si="154"/>
        <v>0</v>
      </c>
      <c r="AN27" s="46">
        <f>VLOOKUP($B25,[1]!LTV7_RL7[[LTV7]:[Q2]],3,0)</f>
        <v>0</v>
      </c>
      <c r="AO27" s="63">
        <f t="shared" si="155"/>
        <v>0</v>
      </c>
      <c r="AP27" s="46">
        <f t="shared" ref="AP27" si="167">IFERROR(AN27/$AN$66*100,0)</f>
        <v>0</v>
      </c>
      <c r="AQ27" s="55" t="s">
        <v>36</v>
      </c>
      <c r="AR27" s="55" t="s">
        <v>36</v>
      </c>
      <c r="AS27" s="48">
        <f t="shared" si="157"/>
        <v>0</v>
      </c>
      <c r="AT27" s="48">
        <v>0</v>
      </c>
      <c r="AU27" s="55" t="s">
        <v>36</v>
      </c>
      <c r="AV27" s="55" t="s">
        <v>36</v>
      </c>
      <c r="AW27" s="48">
        <f t="shared" si="158"/>
        <v>0</v>
      </c>
      <c r="AX27" s="48">
        <f t="shared" si="158"/>
        <v>0</v>
      </c>
      <c r="AY27" s="55" t="s">
        <v>36</v>
      </c>
      <c r="AZ27" s="55" t="s">
        <v>36</v>
      </c>
      <c r="BA27" s="48"/>
      <c r="BB27" s="48"/>
      <c r="BC27" s="55" t="s">
        <v>36</v>
      </c>
      <c r="BD27" s="55" t="s">
        <v>36</v>
      </c>
      <c r="BE27" s="48">
        <f t="shared" si="5"/>
        <v>0</v>
      </c>
      <c r="BF27" s="48">
        <f t="shared" si="5"/>
        <v>0</v>
      </c>
      <c r="BG27" s="55" t="s">
        <v>36</v>
      </c>
      <c r="BH27" s="55" t="s">
        <v>36</v>
      </c>
      <c r="BI27" s="48">
        <f t="shared" si="159"/>
        <v>0</v>
      </c>
      <c r="BJ27" s="48">
        <f>[1]Fakts_Izd!AA51</f>
        <v>0</v>
      </c>
      <c r="BK27" s="55" t="s">
        <v>36</v>
      </c>
      <c r="BL27" s="55" t="s">
        <v>36</v>
      </c>
      <c r="BM27" s="48">
        <f t="shared" si="160"/>
        <v>0</v>
      </c>
      <c r="BN27" s="48">
        <f t="shared" si="160"/>
        <v>0</v>
      </c>
      <c r="BO27" s="55" t="s">
        <v>36</v>
      </c>
      <c r="BP27" s="55" t="s">
        <v>36</v>
      </c>
      <c r="BQ27" s="48">
        <f>SUMIFS([1]SP2024!$BP$7:$BP$148,[1]SP2024!$J$7:$J$148,$B25,[1]SP2024!$K$7:$K$148,$B27)</f>
        <v>0</v>
      </c>
      <c r="BR27" s="55"/>
      <c r="BS27" s="55" t="s">
        <v>36</v>
      </c>
      <c r="BT27" s="55" t="s">
        <v>36</v>
      </c>
      <c r="BU27" s="48">
        <f t="shared" si="0"/>
        <v>0</v>
      </c>
      <c r="BV27" s="49">
        <f t="shared" si="0"/>
        <v>0</v>
      </c>
      <c r="BW27" s="46">
        <f>SUMIFS([1]SP2024!$AW$7:$AW$148,[1]SP2024!$L$7:$L$148,$B25,[1]SP2024!$M$7:$M$148,$B27)</f>
        <v>0</v>
      </c>
      <c r="BX27" s="46">
        <f>VLOOKUP($B25,[1]!LTV7_RL7[[LTV7]:[Q3]],4,0)</f>
        <v>1.2</v>
      </c>
      <c r="BY27" s="46">
        <f t="shared" si="161"/>
        <v>0</v>
      </c>
      <c r="BZ27" s="46">
        <f t="shared" ref="BZ27" si="168">IFERROR(BX27/$BX$66*100,0)</f>
        <v>5.4347798738023999E-2</v>
      </c>
      <c r="CA27" s="55" t="s">
        <v>36</v>
      </c>
      <c r="CB27" s="55" t="s">
        <v>36</v>
      </c>
      <c r="CC27" s="48">
        <f>CS27*'[2]Pielikums nr. 1.'!$EY$14</f>
        <v>0</v>
      </c>
      <c r="CD27" s="48"/>
      <c r="CE27" s="55" t="s">
        <v>36</v>
      </c>
      <c r="CF27" s="55" t="s">
        <v>36</v>
      </c>
      <c r="CG27" s="48">
        <f t="shared" si="163"/>
        <v>0</v>
      </c>
      <c r="CH27" s="48">
        <f t="shared" si="163"/>
        <v>0</v>
      </c>
      <c r="CI27" s="55" t="s">
        <v>36</v>
      </c>
      <c r="CJ27" s="55" t="s">
        <v>36</v>
      </c>
      <c r="CK27" s="48"/>
      <c r="CL27" s="48"/>
      <c r="CM27" s="55" t="s">
        <v>36</v>
      </c>
      <c r="CN27" s="55" t="s">
        <v>36</v>
      </c>
      <c r="CO27" s="48">
        <f t="shared" si="6"/>
        <v>0</v>
      </c>
      <c r="CP27" s="48">
        <f t="shared" si="6"/>
        <v>0</v>
      </c>
      <c r="CQ27" s="55" t="s">
        <v>36</v>
      </c>
      <c r="CR27" s="55" t="s">
        <v>36</v>
      </c>
      <c r="CS27" s="48">
        <f>SUMIFS([1]SP2024!$BS$7:$BS$148,[1]SP2024!$L$7:$L$148,$B25,[1]SP2024!$M$7:$M$148,$B27)</f>
        <v>0</v>
      </c>
      <c r="CT27" s="48">
        <f>[1]Fakts_Izd!AB51</f>
        <v>0</v>
      </c>
      <c r="CU27" s="55" t="s">
        <v>36</v>
      </c>
      <c r="CV27" s="55" t="s">
        <v>36</v>
      </c>
      <c r="CW27" s="48">
        <f t="shared" si="164"/>
        <v>0</v>
      </c>
      <c r="CX27" s="48">
        <f t="shared" si="164"/>
        <v>0</v>
      </c>
      <c r="CY27" s="55" t="s">
        <v>36</v>
      </c>
      <c r="CZ27" s="55" t="s">
        <v>36</v>
      </c>
      <c r="DA27" s="48">
        <f>SUMIFS([1]SP2024!$BQ$7:$BQ$148,[1]SP2024!$J$7:$J$148,$B25,[1]SP2024!$K$7:$K$148,$B27)</f>
        <v>0</v>
      </c>
      <c r="DB27" s="48"/>
      <c r="DC27" s="55" t="s">
        <v>36</v>
      </c>
      <c r="DD27" s="55" t="s">
        <v>36</v>
      </c>
      <c r="DE27" s="48">
        <f t="shared" si="1"/>
        <v>0</v>
      </c>
      <c r="DF27" s="48">
        <f t="shared" si="1"/>
        <v>0</v>
      </c>
      <c r="DG27" s="46">
        <v>0</v>
      </c>
      <c r="DH27" s="46">
        <v>6.3</v>
      </c>
      <c r="DI27" s="46">
        <v>0</v>
      </c>
      <c r="DJ27" s="46">
        <v>0.28532608695652178</v>
      </c>
      <c r="DK27" s="55" t="s">
        <v>36</v>
      </c>
      <c r="DL27" s="55" t="s">
        <v>36</v>
      </c>
      <c r="DM27" s="48">
        <v>0</v>
      </c>
      <c r="DN27" s="48"/>
      <c r="DO27" s="55" t="s">
        <v>36</v>
      </c>
      <c r="DP27" s="55" t="s">
        <v>36</v>
      </c>
      <c r="DQ27" s="48">
        <v>0</v>
      </c>
      <c r="DR27" s="48">
        <v>0</v>
      </c>
      <c r="DS27" s="55" t="s">
        <v>36</v>
      </c>
      <c r="DT27" s="55" t="s">
        <v>36</v>
      </c>
      <c r="DU27" s="48"/>
      <c r="DV27" s="48"/>
      <c r="DW27" s="55" t="s">
        <v>36</v>
      </c>
      <c r="DX27" s="55" t="s">
        <v>36</v>
      </c>
      <c r="DY27" s="48">
        <v>0</v>
      </c>
      <c r="DZ27" s="48">
        <v>0</v>
      </c>
      <c r="EA27" s="55" t="s">
        <v>36</v>
      </c>
      <c r="EB27" s="55" t="s">
        <v>36</v>
      </c>
      <c r="EC27" s="48">
        <v>0</v>
      </c>
      <c r="ED27" s="48">
        <v>0</v>
      </c>
      <c r="EE27" s="55" t="s">
        <v>36</v>
      </c>
      <c r="EF27" s="55" t="s">
        <v>36</v>
      </c>
      <c r="EG27" s="48">
        <v>0</v>
      </c>
      <c r="EH27" s="48">
        <v>0</v>
      </c>
      <c r="EI27" s="55" t="s">
        <v>36</v>
      </c>
      <c r="EJ27" s="55" t="s">
        <v>36</v>
      </c>
      <c r="EK27" s="48">
        <v>0</v>
      </c>
      <c r="EL27" s="55"/>
      <c r="EM27" s="55" t="s">
        <v>36</v>
      </c>
      <c r="EN27" s="55" t="s">
        <v>36</v>
      </c>
      <c r="EO27" s="48">
        <v>0</v>
      </c>
      <c r="EP27" s="48">
        <v>0</v>
      </c>
      <c r="EQ27" s="46">
        <v>0</v>
      </c>
      <c r="ER27" s="46">
        <v>7.5</v>
      </c>
      <c r="ES27" s="46">
        <v>0</v>
      </c>
      <c r="ET27" s="46">
        <v>8.5382502860946327E-2</v>
      </c>
      <c r="EU27" s="55" t="s">
        <v>36</v>
      </c>
      <c r="EV27" s="55" t="s">
        <v>36</v>
      </c>
      <c r="EW27" s="48">
        <v>0</v>
      </c>
      <c r="EX27" s="48">
        <v>0</v>
      </c>
      <c r="EY27" s="55" t="s">
        <v>36</v>
      </c>
      <c r="EZ27" s="55" t="s">
        <v>36</v>
      </c>
      <c r="FA27" s="48">
        <v>0</v>
      </c>
      <c r="FB27" s="48">
        <v>0</v>
      </c>
      <c r="FC27" s="55" t="s">
        <v>36</v>
      </c>
      <c r="FD27" s="55" t="s">
        <v>36</v>
      </c>
      <c r="FE27" s="48">
        <v>0</v>
      </c>
      <c r="FF27" s="48">
        <v>0</v>
      </c>
      <c r="FG27" s="55" t="s">
        <v>36</v>
      </c>
      <c r="FH27" s="55" t="s">
        <v>36</v>
      </c>
      <c r="FI27" s="48">
        <v>0</v>
      </c>
      <c r="FJ27" s="48">
        <v>0</v>
      </c>
      <c r="FK27" s="55" t="s">
        <v>36</v>
      </c>
      <c r="FL27" s="55" t="s">
        <v>36</v>
      </c>
      <c r="FM27" s="48">
        <v>0</v>
      </c>
      <c r="FN27" s="48">
        <v>0</v>
      </c>
      <c r="FO27" s="55" t="s">
        <v>36</v>
      </c>
      <c r="FP27" s="55" t="s">
        <v>36</v>
      </c>
      <c r="FQ27" s="48">
        <v>0</v>
      </c>
      <c r="FR27" s="48">
        <v>0</v>
      </c>
      <c r="FS27" s="55" t="s">
        <v>36</v>
      </c>
      <c r="FT27" s="55" t="s">
        <v>36</v>
      </c>
      <c r="FU27" s="48">
        <v>0</v>
      </c>
      <c r="FV27" s="48">
        <v>0</v>
      </c>
      <c r="FW27" s="55" t="s">
        <v>36</v>
      </c>
      <c r="FX27" s="55" t="s">
        <v>36</v>
      </c>
      <c r="FY27" s="48">
        <v>0</v>
      </c>
      <c r="FZ27" s="48">
        <v>0</v>
      </c>
      <c r="GA27" s="50">
        <v>7.5</v>
      </c>
      <c r="GB27" s="46" t="s">
        <v>88</v>
      </c>
      <c r="GC27" s="55" t="s">
        <v>36</v>
      </c>
      <c r="GD27" s="46" t="s">
        <v>36</v>
      </c>
      <c r="GE27" s="51">
        <v>0</v>
      </c>
      <c r="GF27" s="46" t="s">
        <v>88</v>
      </c>
      <c r="GG27" s="55" t="s">
        <v>36</v>
      </c>
      <c r="GH27" s="57" t="s">
        <v>36</v>
      </c>
      <c r="GI27" s="51">
        <v>0</v>
      </c>
      <c r="GJ27" s="46" t="s">
        <v>88</v>
      </c>
      <c r="GK27" s="55" t="s">
        <v>36</v>
      </c>
      <c r="GL27" s="58" t="s">
        <v>36</v>
      </c>
      <c r="GM27" s="51">
        <v>0</v>
      </c>
      <c r="GN27" s="46" t="s">
        <v>88</v>
      </c>
      <c r="GO27" s="55" t="s">
        <v>36</v>
      </c>
      <c r="GP27" s="57" t="s">
        <v>36</v>
      </c>
      <c r="GQ27" s="51">
        <v>0</v>
      </c>
      <c r="GR27" s="44"/>
      <c r="GS27" s="44"/>
      <c r="GT27" s="44"/>
      <c r="GU27" s="44"/>
      <c r="GV27" s="44"/>
      <c r="GW27" s="44"/>
    </row>
    <row r="28" spans="1:205">
      <c r="A28" s="418"/>
      <c r="B28" s="65" t="s">
        <v>44</v>
      </c>
      <c r="C28" s="35">
        <f>SUM(C29:C30)</f>
        <v>16.5</v>
      </c>
      <c r="D28" s="35">
        <f t="shared" ref="D28" si="169">SUM(D29:D30)</f>
        <v>16.5</v>
      </c>
      <c r="E28" s="35">
        <f t="shared" ref="E28" si="170">IFERROR(C28/$C$64*100,0)</f>
        <v>0.37774725274725274</v>
      </c>
      <c r="F28" s="35">
        <f t="shared" ref="F28" si="171">IFERROR(D28/$D$64*100,0)</f>
        <v>0.37774725274725274</v>
      </c>
      <c r="G28" s="59" t="s">
        <v>36</v>
      </c>
      <c r="H28" s="59" t="s">
        <v>36</v>
      </c>
      <c r="I28" s="37">
        <f t="shared" si="2"/>
        <v>62752.100000000013</v>
      </c>
      <c r="J28" s="37">
        <f>SUM(J29:J30)</f>
        <v>62752.100000000013</v>
      </c>
      <c r="K28" s="59" t="s">
        <v>36</v>
      </c>
      <c r="L28" s="59" t="s">
        <v>36</v>
      </c>
      <c r="M28" s="37">
        <f t="shared" ref="M28:N28" si="172">SUM(M29:M30)</f>
        <v>62752.100000000013</v>
      </c>
      <c r="N28" s="37">
        <f t="shared" si="172"/>
        <v>62752.100000000013</v>
      </c>
      <c r="O28" s="59" t="s">
        <v>36</v>
      </c>
      <c r="P28" s="59" t="s">
        <v>36</v>
      </c>
      <c r="Q28" s="37">
        <f>SUM(Q29:Q30)</f>
        <v>0</v>
      </c>
      <c r="R28" s="37">
        <f>SUM(R29:R30)</f>
        <v>0</v>
      </c>
      <c r="S28" s="59" t="s">
        <v>36</v>
      </c>
      <c r="T28" s="59" t="s">
        <v>36</v>
      </c>
      <c r="U28" s="37">
        <f>IFERROR(ROUND(I28/C28,2),0)</f>
        <v>3803.16</v>
      </c>
      <c r="V28" s="37">
        <f t="shared" si="3"/>
        <v>3803.16</v>
      </c>
      <c r="W28" s="59" t="s">
        <v>36</v>
      </c>
      <c r="X28" s="59" t="s">
        <v>36</v>
      </c>
      <c r="Y28" s="37">
        <f>SUM(Y29:Y30)</f>
        <v>80574.749999999985</v>
      </c>
      <c r="Z28" s="37">
        <f>SUM(Z29:Z30)</f>
        <v>80574.749999999985</v>
      </c>
      <c r="AA28" s="59" t="s">
        <v>36</v>
      </c>
      <c r="AB28" s="59" t="s">
        <v>36</v>
      </c>
      <c r="AC28" s="37">
        <f>SUM(AC29:AC30)</f>
        <v>80574.749999999985</v>
      </c>
      <c r="AD28" s="37">
        <f t="shared" ref="AD28" si="173">SUM(AD29:AD30)</f>
        <v>80574.749999999985</v>
      </c>
      <c r="AE28" s="59" t="s">
        <v>36</v>
      </c>
      <c r="AF28" s="59" t="s">
        <v>36</v>
      </c>
      <c r="AG28" s="37">
        <f t="shared" ref="AG28" si="174">SUM(AG29:AG30)</f>
        <v>0</v>
      </c>
      <c r="AH28" s="59"/>
      <c r="AI28" s="59" t="s">
        <v>36</v>
      </c>
      <c r="AJ28" s="59" t="s">
        <v>36</v>
      </c>
      <c r="AK28" s="37">
        <f>IFERROR(Y28/C28,0)</f>
        <v>4883.3181818181811</v>
      </c>
      <c r="AL28" s="37">
        <f>IFERROR(Z28/D28,0)</f>
        <v>4883.3181818181811</v>
      </c>
      <c r="AM28" s="35">
        <f t="shared" ref="AM28:AN28" si="175">SUM(AM29:AM30)</f>
        <v>16.2</v>
      </c>
      <c r="AN28" s="35">
        <f t="shared" si="175"/>
        <v>16.2</v>
      </c>
      <c r="AO28" s="35">
        <f t="shared" ref="AO28" si="176">IFERROR(AM28/$AM$64*100,0)</f>
        <v>0.37087912087912084</v>
      </c>
      <c r="AP28" s="35">
        <f t="shared" ref="AP28" si="177">IFERROR(AN28/$AN$64*100,0)</f>
        <v>0.37087912087912084</v>
      </c>
      <c r="AQ28" s="59" t="s">
        <v>36</v>
      </c>
      <c r="AR28" s="59" t="s">
        <v>36</v>
      </c>
      <c r="AS28" s="37">
        <f>SUM(AS29:AS30)</f>
        <v>109860.07000000002</v>
      </c>
      <c r="AT28" s="37">
        <f>SUM(AT29:AT30)</f>
        <v>109860.07000000002</v>
      </c>
      <c r="AU28" s="59" t="s">
        <v>36</v>
      </c>
      <c r="AV28" s="59" t="s">
        <v>36</v>
      </c>
      <c r="AW28" s="37">
        <f t="shared" ref="AW28:AX28" si="178">SUM(AW29:AW30)</f>
        <v>109860.07000000002</v>
      </c>
      <c r="AX28" s="37">
        <f t="shared" si="178"/>
        <v>109860.07000000002</v>
      </c>
      <c r="AY28" s="59" t="s">
        <v>36</v>
      </c>
      <c r="AZ28" s="59" t="s">
        <v>36</v>
      </c>
      <c r="BA28" s="37">
        <f>SUM(BA29:BA30)</f>
        <v>0</v>
      </c>
      <c r="BB28" s="37">
        <f>SUM(BB29:BB30)</f>
        <v>0</v>
      </c>
      <c r="BC28" s="59" t="s">
        <v>36</v>
      </c>
      <c r="BD28" s="59" t="s">
        <v>36</v>
      </c>
      <c r="BE28" s="37">
        <f t="shared" si="5"/>
        <v>6781.49</v>
      </c>
      <c r="BF28" s="37">
        <f t="shared" si="5"/>
        <v>6781.49</v>
      </c>
      <c r="BG28" s="59" t="s">
        <v>36</v>
      </c>
      <c r="BH28" s="59" t="s">
        <v>36</v>
      </c>
      <c r="BI28" s="37">
        <f t="shared" ref="BI28:BJ28" si="179">SUM(BI29:BI30)</f>
        <v>122575.02999999998</v>
      </c>
      <c r="BJ28" s="37">
        <f t="shared" si="179"/>
        <v>122575.02999999998</v>
      </c>
      <c r="BK28" s="59" t="s">
        <v>36</v>
      </c>
      <c r="BL28" s="59" t="s">
        <v>36</v>
      </c>
      <c r="BM28" s="37">
        <f t="shared" ref="BM28:BN28" si="180">SUM(BM29:BM30)</f>
        <v>122575.02999999998</v>
      </c>
      <c r="BN28" s="37">
        <f t="shared" si="180"/>
        <v>122575.02999999998</v>
      </c>
      <c r="BO28" s="59" t="s">
        <v>36</v>
      </c>
      <c r="BP28" s="59" t="s">
        <v>36</v>
      </c>
      <c r="BQ28" s="37">
        <f t="shared" ref="BQ28" si="181">SUM(BQ29:BQ30)</f>
        <v>0</v>
      </c>
      <c r="BR28" s="59"/>
      <c r="BS28" s="59" t="s">
        <v>36</v>
      </c>
      <c r="BT28" s="59" t="s">
        <v>36</v>
      </c>
      <c r="BU28" s="37">
        <f>IFERROR(BI28/AM28,0)</f>
        <v>7566.3598765432089</v>
      </c>
      <c r="BV28" s="60">
        <f t="shared" si="0"/>
        <v>7566.3598765432089</v>
      </c>
      <c r="BW28" s="35">
        <f t="shared" ref="BW28:BX28" si="182">SUM(BW29:BW30)</f>
        <v>3.2</v>
      </c>
      <c r="BX28" s="35">
        <f t="shared" si="182"/>
        <v>16.7</v>
      </c>
      <c r="BY28" s="35">
        <f t="shared" ref="BY28" si="183">IFERROR(BW28/$BW$64*100,0)</f>
        <v>7.2463768115942032E-2</v>
      </c>
      <c r="BZ28" s="35">
        <f t="shared" ref="BZ28" si="184">IFERROR(BX28/$BX$64*100,0)</f>
        <v>0.37816998061281282</v>
      </c>
      <c r="CA28" s="59" t="s">
        <v>36</v>
      </c>
      <c r="CB28" s="59" t="s">
        <v>36</v>
      </c>
      <c r="CC28" s="37">
        <f>SUM(CC29:CC30)</f>
        <v>35673.446074462998</v>
      </c>
      <c r="CD28" s="37">
        <f>SUM(CD29:CD30)</f>
        <v>29017.07</v>
      </c>
      <c r="CE28" s="59" t="s">
        <v>36</v>
      </c>
      <c r="CF28" s="59" t="s">
        <v>36</v>
      </c>
      <c r="CG28" s="37">
        <f t="shared" ref="CG28:CH28" si="185">SUM(CG29:CG30)</f>
        <v>35673.446074462998</v>
      </c>
      <c r="CH28" s="37">
        <f t="shared" si="185"/>
        <v>29017.07</v>
      </c>
      <c r="CI28" s="59" t="s">
        <v>36</v>
      </c>
      <c r="CJ28" s="59" t="s">
        <v>36</v>
      </c>
      <c r="CK28" s="37">
        <f>SUM(CK29:CK30)</f>
        <v>0</v>
      </c>
      <c r="CL28" s="37">
        <f>SUM(CL29:CL30)</f>
        <v>0</v>
      </c>
      <c r="CM28" s="59" t="s">
        <v>36</v>
      </c>
      <c r="CN28" s="59" t="s">
        <v>36</v>
      </c>
      <c r="CO28" s="37">
        <f t="shared" si="6"/>
        <v>11147.95</v>
      </c>
      <c r="CP28" s="37">
        <f t="shared" si="6"/>
        <v>1737.55</v>
      </c>
      <c r="CQ28" s="59" t="s">
        <v>36</v>
      </c>
      <c r="CR28" s="59" t="s">
        <v>36</v>
      </c>
      <c r="CS28" s="37">
        <f>SUM(CS29:CS30)</f>
        <v>35815.199999999997</v>
      </c>
      <c r="CT28" s="37">
        <f t="shared" ref="CT28" si="186">SUM(CT29:CT30)</f>
        <v>26295.729999999996</v>
      </c>
      <c r="CU28" s="59" t="s">
        <v>36</v>
      </c>
      <c r="CV28" s="59" t="s">
        <v>36</v>
      </c>
      <c r="CW28" s="37">
        <f t="shared" ref="CW28" si="187">SUM(CW29:CW30)</f>
        <v>35815.199999999997</v>
      </c>
      <c r="CX28" s="37">
        <f>SUM(CX29:CX30)</f>
        <v>26295.729999999996</v>
      </c>
      <c r="CY28" s="59" t="s">
        <v>36</v>
      </c>
      <c r="CZ28" s="59" t="s">
        <v>36</v>
      </c>
      <c r="DA28" s="37">
        <f t="shared" ref="DA28" si="188">SUM(DA29:DA30)</f>
        <v>0</v>
      </c>
      <c r="DB28" s="37"/>
      <c r="DC28" s="59" t="s">
        <v>36</v>
      </c>
      <c r="DD28" s="59" t="s">
        <v>36</v>
      </c>
      <c r="DE28" s="37">
        <f>IFERROR(CS28/BW28,0)</f>
        <v>11192.249999999998</v>
      </c>
      <c r="DF28" s="37">
        <f>IFERROR(CT28/BX28,0)</f>
        <v>1574.594610778443</v>
      </c>
      <c r="DG28" s="35">
        <v>24.766666666666666</v>
      </c>
      <c r="DH28" s="35">
        <v>70.2</v>
      </c>
      <c r="DI28" s="35">
        <v>0.56083937198067613</v>
      </c>
      <c r="DJ28" s="35">
        <v>1.5896739130434787</v>
      </c>
      <c r="DK28" s="59" t="s">
        <v>36</v>
      </c>
      <c r="DL28" s="59" t="s">
        <v>36</v>
      </c>
      <c r="DM28" s="37">
        <v>153267.98608046485</v>
      </c>
      <c r="DN28" s="37">
        <v>111916.5400000001</v>
      </c>
      <c r="DO28" s="59" t="s">
        <v>36</v>
      </c>
      <c r="DP28" s="59" t="s">
        <v>36</v>
      </c>
      <c r="DQ28" s="37">
        <v>153267.98608046485</v>
      </c>
      <c r="DR28" s="37">
        <v>111916.5400000001</v>
      </c>
      <c r="DS28" s="59" t="s">
        <v>36</v>
      </c>
      <c r="DT28" s="59" t="s">
        <v>36</v>
      </c>
      <c r="DU28" s="37">
        <v>0</v>
      </c>
      <c r="DV28" s="37">
        <v>0</v>
      </c>
      <c r="DW28" s="59" t="s">
        <v>36</v>
      </c>
      <c r="DX28" s="59" t="s">
        <v>36</v>
      </c>
      <c r="DY28" s="37">
        <v>6188.48</v>
      </c>
      <c r="DZ28" s="37">
        <v>1594.25</v>
      </c>
      <c r="EA28" s="59" t="s">
        <v>36</v>
      </c>
      <c r="EB28" s="59" t="s">
        <v>36</v>
      </c>
      <c r="EC28" s="37">
        <v>153877.01999999999</v>
      </c>
      <c r="ED28" s="37">
        <v>113328.75</v>
      </c>
      <c r="EE28" s="59" t="s">
        <v>36</v>
      </c>
      <c r="EF28" s="59" t="s">
        <v>36</v>
      </c>
      <c r="EG28" s="37">
        <v>153877.01999999999</v>
      </c>
      <c r="EH28" s="37">
        <v>113328.75</v>
      </c>
      <c r="EI28" s="59" t="s">
        <v>36</v>
      </c>
      <c r="EJ28" s="59" t="s">
        <v>36</v>
      </c>
      <c r="EK28" s="37">
        <v>0</v>
      </c>
      <c r="EL28" s="59"/>
      <c r="EM28" s="59" t="s">
        <v>36</v>
      </c>
      <c r="EN28" s="59" t="s">
        <v>36</v>
      </c>
      <c r="EO28" s="37">
        <v>6213.0694481830415</v>
      </c>
      <c r="EP28" s="37">
        <v>1614.369658119658</v>
      </c>
      <c r="EQ28" s="40">
        <v>60.666666666666664</v>
      </c>
      <c r="ER28" s="35">
        <v>119.6</v>
      </c>
      <c r="ES28" s="40">
        <v>0.34532483302975103</v>
      </c>
      <c r="ET28" s="40">
        <v>0.68078310232334782</v>
      </c>
      <c r="EU28" s="59" t="s">
        <v>36</v>
      </c>
      <c r="EV28" s="59" t="s">
        <v>36</v>
      </c>
      <c r="EW28" s="37">
        <v>361553.60215492791</v>
      </c>
      <c r="EX28" s="37">
        <v>313545.78000000014</v>
      </c>
      <c r="EY28" s="59" t="s">
        <v>36</v>
      </c>
      <c r="EZ28" s="59" t="s">
        <v>36</v>
      </c>
      <c r="FA28" s="37">
        <v>361553.60215492791</v>
      </c>
      <c r="FB28" s="37">
        <v>313545.78000000014</v>
      </c>
      <c r="FC28" s="59" t="s">
        <v>36</v>
      </c>
      <c r="FD28" s="59" t="s">
        <v>36</v>
      </c>
      <c r="FE28" s="37">
        <v>0</v>
      </c>
      <c r="FF28" s="37">
        <v>0</v>
      </c>
      <c r="FG28" s="59" t="s">
        <v>36</v>
      </c>
      <c r="FH28" s="59" t="s">
        <v>36</v>
      </c>
      <c r="FI28" s="37">
        <v>5959.67</v>
      </c>
      <c r="FJ28" s="37">
        <v>2621.62</v>
      </c>
      <c r="FK28" s="59" t="s">
        <v>36</v>
      </c>
      <c r="FL28" s="59" t="s">
        <v>36</v>
      </c>
      <c r="FM28" s="37">
        <v>392842</v>
      </c>
      <c r="FN28" s="37">
        <v>342774.26</v>
      </c>
      <c r="FO28" s="59" t="s">
        <v>36</v>
      </c>
      <c r="FP28" s="59" t="s">
        <v>36</v>
      </c>
      <c r="FQ28" s="37">
        <v>392842</v>
      </c>
      <c r="FR28" s="37">
        <v>342774.26</v>
      </c>
      <c r="FS28" s="59" t="s">
        <v>36</v>
      </c>
      <c r="FT28" s="59" t="s">
        <v>36</v>
      </c>
      <c r="FU28" s="37">
        <v>0</v>
      </c>
      <c r="FV28" s="37">
        <v>0</v>
      </c>
      <c r="FW28" s="59" t="s">
        <v>36</v>
      </c>
      <c r="FX28" s="59" t="s">
        <v>36</v>
      </c>
      <c r="FY28" s="37">
        <v>6475.4175824175827</v>
      </c>
      <c r="FZ28" s="37">
        <v>2866.0055183946492</v>
      </c>
      <c r="GA28" s="39">
        <v>58.93333333333333</v>
      </c>
      <c r="GB28" s="35">
        <v>97.142857142857125</v>
      </c>
      <c r="GC28" s="59" t="s">
        <v>36</v>
      </c>
      <c r="GD28" s="40" t="s">
        <v>36</v>
      </c>
      <c r="GE28" s="41">
        <v>-48007.822154927766</v>
      </c>
      <c r="GF28" s="40">
        <v>-13.278203250857423</v>
      </c>
      <c r="GG28" s="59" t="s">
        <v>36</v>
      </c>
      <c r="GH28" s="61" t="s">
        <v>36</v>
      </c>
      <c r="GI28" s="41">
        <v>-48007.822154927766</v>
      </c>
      <c r="GJ28" s="40">
        <v>-13.278203250857423</v>
      </c>
      <c r="GK28" s="59" t="s">
        <v>36</v>
      </c>
      <c r="GL28" s="62" t="s">
        <v>36</v>
      </c>
      <c r="GM28" s="41">
        <v>0</v>
      </c>
      <c r="GN28" s="40" t="s">
        <v>88</v>
      </c>
      <c r="GO28" s="59" t="s">
        <v>36</v>
      </c>
      <c r="GP28" s="61" t="s">
        <v>36</v>
      </c>
      <c r="GQ28" s="41">
        <v>-3338.05</v>
      </c>
      <c r="GR28" s="44"/>
      <c r="GS28" s="44"/>
      <c r="GT28" s="44"/>
      <c r="GU28" s="44"/>
      <c r="GV28" s="44"/>
      <c r="GW28" s="44"/>
    </row>
    <row r="29" spans="1:205">
      <c r="A29" s="418"/>
      <c r="B29" s="45" t="s">
        <v>38</v>
      </c>
      <c r="C29" s="46">
        <f t="shared" ref="C29:C30" si="189">D29</f>
        <v>7.4</v>
      </c>
      <c r="D29" s="46">
        <f>VLOOKUP($B28,[1]!LTV1_RL2[[LTV1]:[Q1]],2,0)</f>
        <v>7.4</v>
      </c>
      <c r="E29" s="46">
        <f t="shared" ref="E29" si="190">IFERROR(C29/$C$65*100,0)</f>
        <v>0.33882783882783885</v>
      </c>
      <c r="F29" s="46">
        <f t="shared" ref="F29" si="191">IFERROR(D29/$D$65*100,0)</f>
        <v>0.33882783882783885</v>
      </c>
      <c r="G29" s="55" t="s">
        <v>36</v>
      </c>
      <c r="H29" s="55" t="s">
        <v>36</v>
      </c>
      <c r="I29" s="48">
        <f t="shared" si="2"/>
        <v>62748.740000000013</v>
      </c>
      <c r="J29" s="48">
        <v>62748.740000000013</v>
      </c>
      <c r="K29" s="55" t="s">
        <v>36</v>
      </c>
      <c r="L29" s="55" t="s">
        <v>36</v>
      </c>
      <c r="M29" s="48">
        <f t="shared" ref="M29:N30" si="192">I29-Q29</f>
        <v>62748.740000000013</v>
      </c>
      <c r="N29" s="48">
        <f t="shared" si="192"/>
        <v>62748.740000000013</v>
      </c>
      <c r="O29" s="55" t="s">
        <v>36</v>
      </c>
      <c r="P29" s="55" t="s">
        <v>36</v>
      </c>
      <c r="Q29" s="48"/>
      <c r="R29" s="48"/>
      <c r="S29" s="55" t="s">
        <v>36</v>
      </c>
      <c r="T29" s="55" t="s">
        <v>36</v>
      </c>
      <c r="U29" s="48">
        <f t="shared" si="3"/>
        <v>8479.56</v>
      </c>
      <c r="V29" s="48">
        <f t="shared" si="3"/>
        <v>8479.56</v>
      </c>
      <c r="W29" s="55" t="s">
        <v>36</v>
      </c>
      <c r="X29" s="55" t="s">
        <v>36</v>
      </c>
      <c r="Y29" s="48">
        <f>Z29</f>
        <v>75126.389999999985</v>
      </c>
      <c r="Z29" s="48">
        <f>[1]Fakts_Izd!Z53</f>
        <v>75126.389999999985</v>
      </c>
      <c r="AA29" s="55" t="s">
        <v>36</v>
      </c>
      <c r="AB29" s="55" t="s">
        <v>36</v>
      </c>
      <c r="AC29" s="48">
        <f>Y29-AG29</f>
        <v>75126.389999999985</v>
      </c>
      <c r="AD29" s="48">
        <f t="shared" ref="AD29:AD30" si="193">Z29-AH29</f>
        <v>75126.389999999985</v>
      </c>
      <c r="AE29" s="55" t="s">
        <v>36</v>
      </c>
      <c r="AF29" s="55" t="s">
        <v>36</v>
      </c>
      <c r="AG29" s="48">
        <f>SUMIFS([1]SP2024!$BO$7:$BO$148,[1]SP2024!$J$7:$J$148,$B28,[1]SP2024!$K$7:$K$148,$B29)</f>
        <v>0</v>
      </c>
      <c r="AH29" s="48"/>
      <c r="AI29" s="55" t="s">
        <v>36</v>
      </c>
      <c r="AJ29" s="55" t="s">
        <v>36</v>
      </c>
      <c r="AK29" s="48">
        <f t="shared" si="4"/>
        <v>10152.214864864862</v>
      </c>
      <c r="AL29" s="48">
        <f t="shared" si="4"/>
        <v>10152.214864864862</v>
      </c>
      <c r="AM29" s="46">
        <f t="shared" ref="AM29:AM30" si="194">AN29</f>
        <v>7.6</v>
      </c>
      <c r="AN29" s="46">
        <f>VLOOKUP($B28,[1]!LTV1_RL2[[LTV1]:[Q2]],3,0)</f>
        <v>7.6</v>
      </c>
      <c r="AO29" s="63">
        <f t="shared" ref="AO29:AO30" si="195">IFERROR(AM29/$AM$65*100,0)</f>
        <v>0.34798534798534797</v>
      </c>
      <c r="AP29" s="46">
        <f t="shared" ref="AP29" si="196">IFERROR(AN29/$AN$65*100,0)</f>
        <v>0.34798534798534797</v>
      </c>
      <c r="AQ29" s="55" t="s">
        <v>36</v>
      </c>
      <c r="AR29" s="55" t="s">
        <v>36</v>
      </c>
      <c r="AS29" s="48">
        <f t="shared" ref="AS29:AS30" si="197">AT29</f>
        <v>109856.20000000003</v>
      </c>
      <c r="AT29" s="48">
        <v>109856.20000000003</v>
      </c>
      <c r="AU29" s="55" t="s">
        <v>36</v>
      </c>
      <c r="AV29" s="55" t="s">
        <v>36</v>
      </c>
      <c r="AW29" s="48">
        <f t="shared" ref="AW29:AX30" si="198">AS29-BA29</f>
        <v>109856.20000000003</v>
      </c>
      <c r="AX29" s="48">
        <f t="shared" si="198"/>
        <v>109856.20000000003</v>
      </c>
      <c r="AY29" s="55" t="s">
        <v>36</v>
      </c>
      <c r="AZ29" s="55" t="s">
        <v>36</v>
      </c>
      <c r="BA29" s="48"/>
      <c r="BB29" s="48"/>
      <c r="BC29" s="55" t="s">
        <v>36</v>
      </c>
      <c r="BD29" s="55" t="s">
        <v>36</v>
      </c>
      <c r="BE29" s="48">
        <f t="shared" si="5"/>
        <v>14454.76</v>
      </c>
      <c r="BF29" s="48">
        <f t="shared" si="5"/>
        <v>14454.76</v>
      </c>
      <c r="BG29" s="55" t="s">
        <v>36</v>
      </c>
      <c r="BH29" s="55" t="s">
        <v>36</v>
      </c>
      <c r="BI29" s="48">
        <f t="shared" ref="BI29:BI30" si="199">BJ29</f>
        <v>122571.15999999999</v>
      </c>
      <c r="BJ29" s="48">
        <f>[1]Fakts_Izd!AA53</f>
        <v>122571.15999999999</v>
      </c>
      <c r="BK29" s="55" t="s">
        <v>36</v>
      </c>
      <c r="BL29" s="55" t="s">
        <v>36</v>
      </c>
      <c r="BM29" s="48">
        <f t="shared" ref="BM29:BN30" si="200">BI29-BQ29</f>
        <v>122571.15999999999</v>
      </c>
      <c r="BN29" s="48">
        <f t="shared" si="200"/>
        <v>122571.15999999999</v>
      </c>
      <c r="BO29" s="55" t="s">
        <v>36</v>
      </c>
      <c r="BP29" s="55" t="s">
        <v>36</v>
      </c>
      <c r="BQ29" s="48">
        <f>SUMIFS([1]SP2024!$BP$7:$BP$148,[1]SP2024!$J$7:$J$148,$B28,[1]SP2024!$K$7:$K$148,$B29)</f>
        <v>0</v>
      </c>
      <c r="BR29" s="55"/>
      <c r="BS29" s="55" t="s">
        <v>36</v>
      </c>
      <c r="BT29" s="55" t="s">
        <v>36</v>
      </c>
      <c r="BU29" s="48">
        <f t="shared" si="0"/>
        <v>16127.784210526315</v>
      </c>
      <c r="BV29" s="49">
        <f t="shared" si="0"/>
        <v>16127.784210526315</v>
      </c>
      <c r="BW29" s="46">
        <f>SUMIFS([1]SP2024!$AW$7:$AW$148,[1]SP2024!$L$7:$L$148,$B28,[1]SP2024!$M$7:$M$148,$B29)</f>
        <v>2.3333333333333335</v>
      </c>
      <c r="BX29" s="46">
        <f>VLOOKUP($B28,[1]!LTV1_RL2[[LTV1]:[Q3]],4,0)</f>
        <v>13.6</v>
      </c>
      <c r="BY29" s="46">
        <f t="shared" ref="BY29:BY30" si="201">IFERROR(BW29/$BW$65*100,0)</f>
        <v>0.10567632850241547</v>
      </c>
      <c r="BZ29" s="46">
        <f t="shared" ref="BZ29" si="202">IFERROR(BX29/$BX$65*100,0)</f>
        <v>0.61594133158816633</v>
      </c>
      <c r="CA29" s="55" t="s">
        <v>36</v>
      </c>
      <c r="CB29" s="55" t="s">
        <v>36</v>
      </c>
      <c r="CC29" s="48">
        <f>CS29*'[2]Pielikums nr. 1.'!$EY$14</f>
        <v>35673.446074462998</v>
      </c>
      <c r="CD29" s="48">
        <v>29017.07</v>
      </c>
      <c r="CE29" s="55" t="s">
        <v>36</v>
      </c>
      <c r="CF29" s="55" t="s">
        <v>36</v>
      </c>
      <c r="CG29" s="48">
        <f t="shared" ref="CG29:CH30" si="203">CC29-CK29</f>
        <v>35673.446074462998</v>
      </c>
      <c r="CH29" s="48">
        <f t="shared" si="203"/>
        <v>29017.07</v>
      </c>
      <c r="CI29" s="55" t="s">
        <v>36</v>
      </c>
      <c r="CJ29" s="55" t="s">
        <v>36</v>
      </c>
      <c r="CK29" s="48"/>
      <c r="CL29" s="48"/>
      <c r="CM29" s="55" t="s">
        <v>36</v>
      </c>
      <c r="CN29" s="55" t="s">
        <v>36</v>
      </c>
      <c r="CO29" s="48">
        <f t="shared" si="6"/>
        <v>15288.62</v>
      </c>
      <c r="CP29" s="48">
        <f t="shared" si="6"/>
        <v>2133.61</v>
      </c>
      <c r="CQ29" s="55" t="s">
        <v>36</v>
      </c>
      <c r="CR29" s="55" t="s">
        <v>36</v>
      </c>
      <c r="CS29" s="48">
        <f>SUMIFS([1]SP2024!$BS$7:$BS$148,[1]SP2024!$L$7:$L$148,$B28,[1]SP2024!$M$7:$M$148,$B29)</f>
        <v>35815.199999999997</v>
      </c>
      <c r="CT29" s="48">
        <f>[1]Fakts_Izd!AB53</f>
        <v>26295.729999999996</v>
      </c>
      <c r="CU29" s="55" t="s">
        <v>36</v>
      </c>
      <c r="CV29" s="55" t="s">
        <v>36</v>
      </c>
      <c r="CW29" s="48">
        <f t="shared" ref="CW29:CX30" si="204">CS29-DA29</f>
        <v>35815.199999999997</v>
      </c>
      <c r="CX29" s="48">
        <f t="shared" si="204"/>
        <v>26295.729999999996</v>
      </c>
      <c r="CY29" s="55" t="s">
        <v>36</v>
      </c>
      <c r="CZ29" s="55" t="s">
        <v>36</v>
      </c>
      <c r="DA29" s="48">
        <f>SUMIFS([1]SP2024!$BQ$7:$BQ$148,[1]SP2024!$J$7:$J$148,$B28,[1]SP2024!$K$7:$K$148,$B29)</f>
        <v>0</v>
      </c>
      <c r="DB29" s="48"/>
      <c r="DC29" s="55" t="s">
        <v>36</v>
      </c>
      <c r="DD29" s="55" t="s">
        <v>36</v>
      </c>
      <c r="DE29" s="48">
        <f t="shared" si="1"/>
        <v>15349.371428571427</v>
      </c>
      <c r="DF29" s="48">
        <f t="shared" si="1"/>
        <v>1933.5095588235292</v>
      </c>
      <c r="DG29" s="46">
        <v>7.4333333333333336</v>
      </c>
      <c r="DH29" s="46">
        <v>55.6</v>
      </c>
      <c r="DI29" s="46">
        <v>0.33665458937198062</v>
      </c>
      <c r="DJ29" s="46">
        <v>2.5181159420289858</v>
      </c>
      <c r="DK29" s="55" t="s">
        <v>36</v>
      </c>
      <c r="DL29" s="55" t="s">
        <v>36</v>
      </c>
      <c r="DM29" s="48">
        <v>113856.82240186597</v>
      </c>
      <c r="DN29" s="48">
        <v>81811.520000000091</v>
      </c>
      <c r="DO29" s="55" t="s">
        <v>36</v>
      </c>
      <c r="DP29" s="55" t="s">
        <v>36</v>
      </c>
      <c r="DQ29" s="48">
        <v>113856.82240186597</v>
      </c>
      <c r="DR29" s="48">
        <v>81811.520000000091</v>
      </c>
      <c r="DS29" s="55" t="s">
        <v>36</v>
      </c>
      <c r="DT29" s="55" t="s">
        <v>36</v>
      </c>
      <c r="DU29" s="48"/>
      <c r="DV29" s="48"/>
      <c r="DW29" s="55" t="s">
        <v>36</v>
      </c>
      <c r="DX29" s="55" t="s">
        <v>36</v>
      </c>
      <c r="DY29" s="48">
        <v>15317.06</v>
      </c>
      <c r="DZ29" s="48">
        <v>1471.43</v>
      </c>
      <c r="EA29" s="55" t="s">
        <v>36</v>
      </c>
      <c r="EB29" s="55" t="s">
        <v>36</v>
      </c>
      <c r="EC29" s="48">
        <v>114309.25</v>
      </c>
      <c r="ED29" s="48">
        <v>83888.45</v>
      </c>
      <c r="EE29" s="55" t="s">
        <v>36</v>
      </c>
      <c r="EF29" s="55" t="s">
        <v>36</v>
      </c>
      <c r="EG29" s="48">
        <v>114309.25</v>
      </c>
      <c r="EH29" s="48">
        <v>83888.45</v>
      </c>
      <c r="EI29" s="55" t="s">
        <v>36</v>
      </c>
      <c r="EJ29" s="55" t="s">
        <v>36</v>
      </c>
      <c r="EK29" s="48">
        <v>0</v>
      </c>
      <c r="EL29" s="55"/>
      <c r="EM29" s="55" t="s">
        <v>36</v>
      </c>
      <c r="EN29" s="55" t="s">
        <v>36</v>
      </c>
      <c r="EO29" s="48">
        <v>15377.926008968609</v>
      </c>
      <c r="EP29" s="48">
        <v>1508.7850719424459</v>
      </c>
      <c r="EQ29" s="46">
        <v>24.766666666666666</v>
      </c>
      <c r="ER29" s="46">
        <v>84.2</v>
      </c>
      <c r="ES29" s="46">
        <v>0.28195203400121432</v>
      </c>
      <c r="ET29" s="46">
        <v>0.95856074722200957</v>
      </c>
      <c r="EU29" s="55" t="s">
        <v>36</v>
      </c>
      <c r="EV29" s="55" t="s">
        <v>36</v>
      </c>
      <c r="EW29" s="48">
        <v>322135.20847632899</v>
      </c>
      <c r="EX29" s="48">
        <v>283433.53000000014</v>
      </c>
      <c r="EY29" s="55" t="s">
        <v>36</v>
      </c>
      <c r="EZ29" s="55" t="s">
        <v>36</v>
      </c>
      <c r="FA29" s="48">
        <v>322135.20847632899</v>
      </c>
      <c r="FB29" s="48">
        <v>283433.53000000014</v>
      </c>
      <c r="FC29" s="55" t="s">
        <v>36</v>
      </c>
      <c r="FD29" s="55" t="s">
        <v>36</v>
      </c>
      <c r="FE29" s="48">
        <v>0</v>
      </c>
      <c r="FF29" s="48">
        <v>0</v>
      </c>
      <c r="FG29" s="55" t="s">
        <v>36</v>
      </c>
      <c r="FH29" s="55" t="s">
        <v>36</v>
      </c>
      <c r="FI29" s="48">
        <v>13006.81</v>
      </c>
      <c r="FJ29" s="48">
        <v>3366.19</v>
      </c>
      <c r="FK29" s="55" t="s">
        <v>36</v>
      </c>
      <c r="FL29" s="55" t="s">
        <v>36</v>
      </c>
      <c r="FM29" s="48">
        <v>347822</v>
      </c>
      <c r="FN29" s="48">
        <v>307881.73</v>
      </c>
      <c r="FO29" s="55" t="s">
        <v>36</v>
      </c>
      <c r="FP29" s="55" t="s">
        <v>36</v>
      </c>
      <c r="FQ29" s="48">
        <v>347822</v>
      </c>
      <c r="FR29" s="48">
        <v>307881.73</v>
      </c>
      <c r="FS29" s="55" t="s">
        <v>36</v>
      </c>
      <c r="FT29" s="55" t="s">
        <v>36</v>
      </c>
      <c r="FU29" s="48">
        <v>0</v>
      </c>
      <c r="FV29" s="48">
        <v>0</v>
      </c>
      <c r="FW29" s="55" t="s">
        <v>36</v>
      </c>
      <c r="FX29" s="55" t="s">
        <v>36</v>
      </c>
      <c r="FY29" s="48">
        <v>14043.956931359355</v>
      </c>
      <c r="FZ29" s="48">
        <v>3656.5526128266029</v>
      </c>
      <c r="GA29" s="50">
        <v>59.433333333333337</v>
      </c>
      <c r="GB29" s="46">
        <v>239.97308209959627</v>
      </c>
      <c r="GC29" s="55" t="s">
        <v>36</v>
      </c>
      <c r="GD29" s="46" t="s">
        <v>36</v>
      </c>
      <c r="GE29" s="51">
        <v>-38701.678476328845</v>
      </c>
      <c r="GF29" s="46">
        <v>-12.014110056266237</v>
      </c>
      <c r="GG29" s="55" t="s">
        <v>36</v>
      </c>
      <c r="GH29" s="57" t="s">
        <v>36</v>
      </c>
      <c r="GI29" s="51">
        <v>-38701.678476328845</v>
      </c>
      <c r="GJ29" s="46">
        <v>-12.014110056266237</v>
      </c>
      <c r="GK29" s="55" t="s">
        <v>36</v>
      </c>
      <c r="GL29" s="58" t="s">
        <v>36</v>
      </c>
      <c r="GM29" s="51">
        <v>0</v>
      </c>
      <c r="GN29" s="46" t="s">
        <v>88</v>
      </c>
      <c r="GO29" s="55" t="s">
        <v>36</v>
      </c>
      <c r="GP29" s="57" t="s">
        <v>36</v>
      </c>
      <c r="GQ29" s="51">
        <v>-9640.619999999999</v>
      </c>
      <c r="GR29" s="44"/>
      <c r="GS29" s="44"/>
      <c r="GT29" s="44"/>
      <c r="GU29" s="44"/>
      <c r="GV29" s="44"/>
      <c r="GW29" s="44"/>
    </row>
    <row r="30" spans="1:205">
      <c r="A30" s="418"/>
      <c r="B30" s="45" t="s">
        <v>39</v>
      </c>
      <c r="C30" s="46">
        <f t="shared" si="189"/>
        <v>9.1</v>
      </c>
      <c r="D30" s="46">
        <f>VLOOKUP($B28,[1]!LTV7_RL7[[LTV7]:[Q1]],2,0)</f>
        <v>9.1</v>
      </c>
      <c r="E30" s="46">
        <f t="shared" ref="E30" si="205">IFERROR(C30/$C$66*100,0)</f>
        <v>0.41666666666666669</v>
      </c>
      <c r="F30" s="46">
        <f t="shared" ref="F30" si="206">IFERROR(D30/$D$66*100,0)</f>
        <v>0.41666666666666669</v>
      </c>
      <c r="G30" s="55" t="s">
        <v>36</v>
      </c>
      <c r="H30" s="55" t="s">
        <v>36</v>
      </c>
      <c r="I30" s="48">
        <f t="shared" si="2"/>
        <v>3.36</v>
      </c>
      <c r="J30" s="48">
        <v>3.36</v>
      </c>
      <c r="K30" s="55" t="s">
        <v>36</v>
      </c>
      <c r="L30" s="55" t="s">
        <v>36</v>
      </c>
      <c r="M30" s="48">
        <f t="shared" si="192"/>
        <v>3.36</v>
      </c>
      <c r="N30" s="48">
        <f t="shared" si="192"/>
        <v>3.36</v>
      </c>
      <c r="O30" s="55" t="s">
        <v>36</v>
      </c>
      <c r="P30" s="55" t="s">
        <v>36</v>
      </c>
      <c r="Q30" s="48"/>
      <c r="R30" s="48"/>
      <c r="S30" s="55" t="s">
        <v>36</v>
      </c>
      <c r="T30" s="55" t="s">
        <v>36</v>
      </c>
      <c r="U30" s="48">
        <f t="shared" si="3"/>
        <v>0.37</v>
      </c>
      <c r="V30" s="48">
        <f t="shared" si="3"/>
        <v>0.37</v>
      </c>
      <c r="W30" s="55" t="s">
        <v>36</v>
      </c>
      <c r="X30" s="55" t="s">
        <v>36</v>
      </c>
      <c r="Y30" s="48">
        <f>Z30</f>
        <v>5448.36</v>
      </c>
      <c r="Z30" s="48">
        <f>[1]Fakts_Izd!Z54</f>
        <v>5448.36</v>
      </c>
      <c r="AA30" s="55" t="s">
        <v>36</v>
      </c>
      <c r="AB30" s="55" t="s">
        <v>36</v>
      </c>
      <c r="AC30" s="48">
        <f>Y30-AG30</f>
        <v>5448.36</v>
      </c>
      <c r="AD30" s="48">
        <f t="shared" si="193"/>
        <v>5448.36</v>
      </c>
      <c r="AE30" s="55" t="s">
        <v>36</v>
      </c>
      <c r="AF30" s="55" t="s">
        <v>36</v>
      </c>
      <c r="AG30" s="48">
        <f>SUMIFS([1]SP2024!$BO$7:$BO$148,[1]SP2024!$J$7:$J$148,$B28,[1]SP2024!$K$7:$K$148,$B30)</f>
        <v>0</v>
      </c>
      <c r="AH30" s="48"/>
      <c r="AI30" s="55" t="s">
        <v>36</v>
      </c>
      <c r="AJ30" s="55" t="s">
        <v>36</v>
      </c>
      <c r="AK30" s="48">
        <f t="shared" si="4"/>
        <v>598.72087912087909</v>
      </c>
      <c r="AL30" s="48">
        <f t="shared" si="4"/>
        <v>598.72087912087909</v>
      </c>
      <c r="AM30" s="46">
        <f t="shared" si="194"/>
        <v>8.6</v>
      </c>
      <c r="AN30" s="46">
        <f>VLOOKUP($B28,[1]!LTV7_RL7[[LTV7]:[Q2]],3,0)</f>
        <v>8.6</v>
      </c>
      <c r="AO30" s="63">
        <f t="shared" si="195"/>
        <v>0.39377289377289376</v>
      </c>
      <c r="AP30" s="46">
        <f t="shared" ref="AP30" si="207">IFERROR(AN30/$AN$66*100,0)</f>
        <v>0.39377289377289387</v>
      </c>
      <c r="AQ30" s="55" t="s">
        <v>36</v>
      </c>
      <c r="AR30" s="55" t="s">
        <v>36</v>
      </c>
      <c r="AS30" s="48">
        <f t="shared" si="197"/>
        <v>3.87</v>
      </c>
      <c r="AT30" s="48">
        <v>3.87</v>
      </c>
      <c r="AU30" s="55" t="s">
        <v>36</v>
      </c>
      <c r="AV30" s="55" t="s">
        <v>36</v>
      </c>
      <c r="AW30" s="48">
        <f t="shared" si="198"/>
        <v>3.87</v>
      </c>
      <c r="AX30" s="48">
        <f t="shared" si="198"/>
        <v>3.87</v>
      </c>
      <c r="AY30" s="55" t="s">
        <v>36</v>
      </c>
      <c r="AZ30" s="55" t="s">
        <v>36</v>
      </c>
      <c r="BA30" s="48"/>
      <c r="BB30" s="48"/>
      <c r="BC30" s="55" t="s">
        <v>36</v>
      </c>
      <c r="BD30" s="55" t="s">
        <v>36</v>
      </c>
      <c r="BE30" s="48">
        <f t="shared" si="5"/>
        <v>0.45</v>
      </c>
      <c r="BF30" s="48">
        <f t="shared" si="5"/>
        <v>0.45</v>
      </c>
      <c r="BG30" s="55" t="s">
        <v>36</v>
      </c>
      <c r="BH30" s="55" t="s">
        <v>36</v>
      </c>
      <c r="BI30" s="48">
        <f t="shared" si="199"/>
        <v>3.87</v>
      </c>
      <c r="BJ30" s="48">
        <f>[1]Fakts_Izd!AA54</f>
        <v>3.87</v>
      </c>
      <c r="BK30" s="55" t="s">
        <v>36</v>
      </c>
      <c r="BL30" s="55" t="s">
        <v>36</v>
      </c>
      <c r="BM30" s="48">
        <f t="shared" si="200"/>
        <v>3.87</v>
      </c>
      <c r="BN30" s="48">
        <f t="shared" si="200"/>
        <v>3.87</v>
      </c>
      <c r="BO30" s="55" t="s">
        <v>36</v>
      </c>
      <c r="BP30" s="55" t="s">
        <v>36</v>
      </c>
      <c r="BQ30" s="48">
        <f>SUMIFS([1]SP2024!$BP$7:$BP$148,[1]SP2024!$J$7:$J$148,$B28,[1]SP2024!$K$7:$K$148,$B30)</f>
        <v>0</v>
      </c>
      <c r="BR30" s="55"/>
      <c r="BS30" s="55" t="s">
        <v>36</v>
      </c>
      <c r="BT30" s="55" t="s">
        <v>36</v>
      </c>
      <c r="BU30" s="48">
        <f t="shared" si="0"/>
        <v>0.45</v>
      </c>
      <c r="BV30" s="49">
        <f t="shared" si="0"/>
        <v>0.45</v>
      </c>
      <c r="BW30" s="46">
        <f>SUMIFS([1]SP2024!$AW$7:$AW$148,[1]SP2024!$L$7:$L$148,$B28,[1]SP2024!$M$7:$M$148,$B30)</f>
        <v>0.8666666666666667</v>
      </c>
      <c r="BX30" s="46">
        <f>VLOOKUP($B28,[1]!LTV7_RL7[[LTV7]:[Q3]],4,0)</f>
        <v>3.1</v>
      </c>
      <c r="BY30" s="46">
        <f t="shared" si="201"/>
        <v>3.92512077294686E-2</v>
      </c>
      <c r="BZ30" s="46">
        <f t="shared" ref="BZ30" si="208">IFERROR(BX30/$BX$66*100,0)</f>
        <v>0.14039848007322864</v>
      </c>
      <c r="CA30" s="55" t="s">
        <v>36</v>
      </c>
      <c r="CB30" s="55" t="s">
        <v>36</v>
      </c>
      <c r="CC30" s="48">
        <f>CS30*'[2]Pielikums nr. 1.'!$EY$14</f>
        <v>0</v>
      </c>
      <c r="CD30" s="48">
        <v>0</v>
      </c>
      <c r="CE30" s="55" t="s">
        <v>36</v>
      </c>
      <c r="CF30" s="55" t="s">
        <v>36</v>
      </c>
      <c r="CG30" s="48">
        <f t="shared" si="203"/>
        <v>0</v>
      </c>
      <c r="CH30" s="48">
        <f t="shared" si="203"/>
        <v>0</v>
      </c>
      <c r="CI30" s="55" t="s">
        <v>36</v>
      </c>
      <c r="CJ30" s="55" t="s">
        <v>36</v>
      </c>
      <c r="CK30" s="48"/>
      <c r="CL30" s="48"/>
      <c r="CM30" s="55" t="s">
        <v>36</v>
      </c>
      <c r="CN30" s="55" t="s">
        <v>36</v>
      </c>
      <c r="CO30" s="48">
        <f t="shared" si="6"/>
        <v>0</v>
      </c>
      <c r="CP30" s="48">
        <f t="shared" si="6"/>
        <v>0</v>
      </c>
      <c r="CQ30" s="55" t="s">
        <v>36</v>
      </c>
      <c r="CR30" s="55" t="s">
        <v>36</v>
      </c>
      <c r="CS30" s="48">
        <f>SUMIFS([1]SP2024!$BS$7:$BS$148,[1]SP2024!$L$7:$L$148,$B28,[1]SP2024!$M$7:$M$148,$B30)</f>
        <v>0</v>
      </c>
      <c r="CT30" s="48">
        <f>[1]Fakts_Izd!AB54</f>
        <v>0</v>
      </c>
      <c r="CU30" s="55" t="s">
        <v>36</v>
      </c>
      <c r="CV30" s="55" t="s">
        <v>36</v>
      </c>
      <c r="CW30" s="48">
        <f t="shared" si="204"/>
        <v>0</v>
      </c>
      <c r="CX30" s="48">
        <f t="shared" si="204"/>
        <v>0</v>
      </c>
      <c r="CY30" s="55" t="s">
        <v>36</v>
      </c>
      <c r="CZ30" s="55" t="s">
        <v>36</v>
      </c>
      <c r="DA30" s="48">
        <f>SUMIFS([1]SP2024!$BQ$7:$BQ$148,[1]SP2024!$J$7:$J$148,$B28,[1]SP2024!$K$7:$K$148,$B30)</f>
        <v>0</v>
      </c>
      <c r="DB30" s="48"/>
      <c r="DC30" s="55" t="s">
        <v>36</v>
      </c>
      <c r="DD30" s="55" t="s">
        <v>36</v>
      </c>
      <c r="DE30" s="48">
        <f t="shared" si="1"/>
        <v>0</v>
      </c>
      <c r="DF30" s="48">
        <f t="shared" si="1"/>
        <v>0</v>
      </c>
      <c r="DG30" s="46">
        <v>17.333333333333332</v>
      </c>
      <c r="DH30" s="46">
        <v>14.6</v>
      </c>
      <c r="DI30" s="46">
        <v>0.7850241545893718</v>
      </c>
      <c r="DJ30" s="46">
        <v>0.66123188405797118</v>
      </c>
      <c r="DK30" s="55" t="s">
        <v>36</v>
      </c>
      <c r="DL30" s="55" t="s">
        <v>36</v>
      </c>
      <c r="DM30" s="48">
        <v>39411.163678598889</v>
      </c>
      <c r="DN30" s="48">
        <v>30105.02</v>
      </c>
      <c r="DO30" s="55" t="s">
        <v>36</v>
      </c>
      <c r="DP30" s="55" t="s">
        <v>36</v>
      </c>
      <c r="DQ30" s="48">
        <v>39411.163678598889</v>
      </c>
      <c r="DR30" s="48">
        <v>30105.02</v>
      </c>
      <c r="DS30" s="55" t="s">
        <v>36</v>
      </c>
      <c r="DT30" s="55" t="s">
        <v>36</v>
      </c>
      <c r="DU30" s="48"/>
      <c r="DV30" s="48"/>
      <c r="DW30" s="55" t="s">
        <v>36</v>
      </c>
      <c r="DX30" s="55" t="s">
        <v>36</v>
      </c>
      <c r="DY30" s="48">
        <v>2273.7199999999998</v>
      </c>
      <c r="DZ30" s="48">
        <v>2061.9899999999998</v>
      </c>
      <c r="EA30" s="55" t="s">
        <v>36</v>
      </c>
      <c r="EB30" s="55" t="s">
        <v>36</v>
      </c>
      <c r="EC30" s="48">
        <v>39567.769999999997</v>
      </c>
      <c r="ED30" s="48">
        <v>29440.299999999996</v>
      </c>
      <c r="EE30" s="55" t="s">
        <v>36</v>
      </c>
      <c r="EF30" s="55" t="s">
        <v>36</v>
      </c>
      <c r="EG30" s="48">
        <v>39567.769999999997</v>
      </c>
      <c r="EH30" s="48">
        <v>29440.299999999996</v>
      </c>
      <c r="EI30" s="55" t="s">
        <v>36</v>
      </c>
      <c r="EJ30" s="55" t="s">
        <v>36</v>
      </c>
      <c r="EK30" s="48">
        <v>0</v>
      </c>
      <c r="EL30" s="55"/>
      <c r="EM30" s="55" t="s">
        <v>36</v>
      </c>
      <c r="EN30" s="55" t="s">
        <v>36</v>
      </c>
      <c r="EO30" s="48">
        <v>2282.7559615384616</v>
      </c>
      <c r="EP30" s="48">
        <v>2016.4589041095887</v>
      </c>
      <c r="EQ30" s="46">
        <v>35.9</v>
      </c>
      <c r="ER30" s="46">
        <v>35.4</v>
      </c>
      <c r="ES30" s="46">
        <v>0.4086976320582878</v>
      </c>
      <c r="ET30" s="46">
        <v>0.40300541350366664</v>
      </c>
      <c r="EU30" s="55" t="s">
        <v>36</v>
      </c>
      <c r="EV30" s="55" t="s">
        <v>36</v>
      </c>
      <c r="EW30" s="48">
        <v>39418.393678598892</v>
      </c>
      <c r="EX30" s="48">
        <v>30112.25</v>
      </c>
      <c r="EY30" s="55" t="s">
        <v>36</v>
      </c>
      <c r="EZ30" s="55" t="s">
        <v>36</v>
      </c>
      <c r="FA30" s="48">
        <v>39418.393678598892</v>
      </c>
      <c r="FB30" s="48">
        <v>30112.25</v>
      </c>
      <c r="FC30" s="55" t="s">
        <v>36</v>
      </c>
      <c r="FD30" s="55" t="s">
        <v>36</v>
      </c>
      <c r="FE30" s="48">
        <v>0</v>
      </c>
      <c r="FF30" s="48">
        <v>0</v>
      </c>
      <c r="FG30" s="55" t="s">
        <v>36</v>
      </c>
      <c r="FH30" s="55" t="s">
        <v>36</v>
      </c>
      <c r="FI30" s="48">
        <v>1098.01</v>
      </c>
      <c r="FJ30" s="48">
        <v>850.63</v>
      </c>
      <c r="FK30" s="55" t="s">
        <v>36</v>
      </c>
      <c r="FL30" s="55" t="s">
        <v>36</v>
      </c>
      <c r="FM30" s="48">
        <v>45020</v>
      </c>
      <c r="FN30" s="48">
        <v>34892.53</v>
      </c>
      <c r="FO30" s="55" t="s">
        <v>36</v>
      </c>
      <c r="FP30" s="55" t="s">
        <v>36</v>
      </c>
      <c r="FQ30" s="48">
        <v>45020</v>
      </c>
      <c r="FR30" s="48">
        <v>34892.53</v>
      </c>
      <c r="FS30" s="55" t="s">
        <v>36</v>
      </c>
      <c r="FT30" s="55" t="s">
        <v>36</v>
      </c>
      <c r="FU30" s="48">
        <v>0</v>
      </c>
      <c r="FV30" s="48">
        <v>0</v>
      </c>
      <c r="FW30" s="55" t="s">
        <v>36</v>
      </c>
      <c r="FX30" s="55" t="s">
        <v>36</v>
      </c>
      <c r="FY30" s="48">
        <v>1254.0389972144847</v>
      </c>
      <c r="FZ30" s="48">
        <v>985.66468926553671</v>
      </c>
      <c r="GA30" s="50">
        <v>-0.5</v>
      </c>
      <c r="GB30" s="46">
        <v>-1.3927576601671321</v>
      </c>
      <c r="GC30" s="55" t="s">
        <v>36</v>
      </c>
      <c r="GD30" s="46" t="s">
        <v>36</v>
      </c>
      <c r="GE30" s="51">
        <v>-9306.1436785988917</v>
      </c>
      <c r="GF30" s="46">
        <v>-23.608632443212418</v>
      </c>
      <c r="GG30" s="55" t="s">
        <v>36</v>
      </c>
      <c r="GH30" s="57" t="s">
        <v>36</v>
      </c>
      <c r="GI30" s="51">
        <v>-9306.1436785988917</v>
      </c>
      <c r="GJ30" s="46">
        <v>-23.608632443212418</v>
      </c>
      <c r="GK30" s="55" t="s">
        <v>36</v>
      </c>
      <c r="GL30" s="58" t="s">
        <v>36</v>
      </c>
      <c r="GM30" s="51">
        <v>0</v>
      </c>
      <c r="GN30" s="46" t="s">
        <v>88</v>
      </c>
      <c r="GO30" s="55" t="s">
        <v>36</v>
      </c>
      <c r="GP30" s="57" t="s">
        <v>36</v>
      </c>
      <c r="GQ30" s="51">
        <v>-247.38</v>
      </c>
      <c r="GR30" s="44"/>
      <c r="GS30" s="44"/>
      <c r="GT30" s="44"/>
      <c r="GU30" s="44"/>
      <c r="GV30" s="44"/>
      <c r="GW30" s="44"/>
    </row>
    <row r="31" spans="1:205">
      <c r="A31" s="418"/>
      <c r="B31" s="65" t="s">
        <v>45</v>
      </c>
      <c r="C31" s="35">
        <f>SUM(C32:C33)</f>
        <v>252.5</v>
      </c>
      <c r="D31" s="35">
        <f t="shared" ref="D31" si="209">SUM(D32:D33)</f>
        <v>252.5</v>
      </c>
      <c r="E31" s="35">
        <f t="shared" ref="E31" si="210">IFERROR(C31/$C$64*100,0)</f>
        <v>5.780677655677656</v>
      </c>
      <c r="F31" s="35">
        <f t="shared" ref="F31" si="211">IFERROR(D31/$D$64*100,0)</f>
        <v>5.780677655677656</v>
      </c>
      <c r="G31" s="59" t="s">
        <v>36</v>
      </c>
      <c r="H31" s="59" t="s">
        <v>36</v>
      </c>
      <c r="I31" s="37">
        <f t="shared" si="2"/>
        <v>274957.85999999987</v>
      </c>
      <c r="J31" s="37">
        <f>SUM(J32:J33)</f>
        <v>274957.85999999987</v>
      </c>
      <c r="K31" s="59" t="s">
        <v>36</v>
      </c>
      <c r="L31" s="59" t="s">
        <v>36</v>
      </c>
      <c r="M31" s="37">
        <f t="shared" ref="M31:N31" si="212">SUM(M32:M33)</f>
        <v>274957.85999999987</v>
      </c>
      <c r="N31" s="37">
        <f t="shared" si="212"/>
        <v>274957.85999999987</v>
      </c>
      <c r="O31" s="59" t="s">
        <v>36</v>
      </c>
      <c r="P31" s="59" t="s">
        <v>36</v>
      </c>
      <c r="Q31" s="37">
        <f>SUM(Q32:Q33)</f>
        <v>0</v>
      </c>
      <c r="R31" s="37">
        <f>SUM(R32:R33)</f>
        <v>0</v>
      </c>
      <c r="S31" s="59" t="s">
        <v>36</v>
      </c>
      <c r="T31" s="59" t="s">
        <v>36</v>
      </c>
      <c r="U31" s="37">
        <f t="shared" si="3"/>
        <v>1088.94</v>
      </c>
      <c r="V31" s="37">
        <f t="shared" si="3"/>
        <v>1088.94</v>
      </c>
      <c r="W31" s="59" t="s">
        <v>36</v>
      </c>
      <c r="X31" s="59" t="s">
        <v>36</v>
      </c>
      <c r="Y31" s="37">
        <f>SUM(Y32:Y33)</f>
        <v>779037.47000000009</v>
      </c>
      <c r="Z31" s="37">
        <f>SUM(Z32:Z33)</f>
        <v>779037.47000000009</v>
      </c>
      <c r="AA31" s="59" t="s">
        <v>36</v>
      </c>
      <c r="AB31" s="59" t="s">
        <v>36</v>
      </c>
      <c r="AC31" s="37">
        <f>SUM(AC32:AC33)</f>
        <v>779037.47000000009</v>
      </c>
      <c r="AD31" s="37">
        <f t="shared" ref="AD31" si="213">SUM(AD32:AD33)</f>
        <v>779037.47000000009</v>
      </c>
      <c r="AE31" s="59" t="s">
        <v>36</v>
      </c>
      <c r="AF31" s="59" t="s">
        <v>36</v>
      </c>
      <c r="AG31" s="37">
        <f t="shared" ref="AG31" si="214">SUM(AG32:AG33)</f>
        <v>0</v>
      </c>
      <c r="AH31" s="37"/>
      <c r="AI31" s="59" t="s">
        <v>36</v>
      </c>
      <c r="AJ31" s="59" t="s">
        <v>36</v>
      </c>
      <c r="AK31" s="37">
        <f t="shared" si="4"/>
        <v>3085.2969108910893</v>
      </c>
      <c r="AL31" s="37">
        <f t="shared" si="4"/>
        <v>3085.2969108910893</v>
      </c>
      <c r="AM31" s="35">
        <f t="shared" ref="AM31:AN31" si="215">SUM(AM32:AM33)</f>
        <v>362.9</v>
      </c>
      <c r="AN31" s="35">
        <f t="shared" si="215"/>
        <v>362.9</v>
      </c>
      <c r="AO31" s="35">
        <f t="shared" ref="AO31" si="216">IFERROR(AM31/$AM$64*100,0)</f>
        <v>8.3081501831501825</v>
      </c>
      <c r="AP31" s="35">
        <f t="shared" ref="AP31" si="217">IFERROR(AN31/$AN$64*100,0)</f>
        <v>8.3081501831501825</v>
      </c>
      <c r="AQ31" s="59" t="s">
        <v>36</v>
      </c>
      <c r="AR31" s="59" t="s">
        <v>36</v>
      </c>
      <c r="AS31" s="37">
        <f>SUM(AS32:AS33)</f>
        <v>981892.68</v>
      </c>
      <c r="AT31" s="37">
        <f>SUM(AT32:AT33)</f>
        <v>981892.68</v>
      </c>
      <c r="AU31" s="59" t="s">
        <v>36</v>
      </c>
      <c r="AV31" s="59" t="s">
        <v>36</v>
      </c>
      <c r="AW31" s="37">
        <f t="shared" ref="AW31:AX31" si="218">SUM(AW32:AW33)</f>
        <v>980362.70000000007</v>
      </c>
      <c r="AX31" s="37">
        <f t="shared" si="218"/>
        <v>980362.70000000007</v>
      </c>
      <c r="AY31" s="59" t="s">
        <v>36</v>
      </c>
      <c r="AZ31" s="59" t="s">
        <v>36</v>
      </c>
      <c r="BA31" s="37">
        <f>SUM(BA32:BA33)</f>
        <v>1529.98</v>
      </c>
      <c r="BB31" s="37">
        <f>SUM(BB32:BB33)</f>
        <v>1529.98</v>
      </c>
      <c r="BC31" s="59" t="s">
        <v>36</v>
      </c>
      <c r="BD31" s="59" t="s">
        <v>36</v>
      </c>
      <c r="BE31" s="37">
        <f t="shared" si="5"/>
        <v>2705.68</v>
      </c>
      <c r="BF31" s="37">
        <f t="shared" si="5"/>
        <v>2705.68</v>
      </c>
      <c r="BG31" s="59" t="s">
        <v>36</v>
      </c>
      <c r="BH31" s="59" t="s">
        <v>36</v>
      </c>
      <c r="BI31" s="37">
        <f t="shared" ref="BI31:BJ31" si="219">SUM(BI32:BI33)</f>
        <v>745380.78000000014</v>
      </c>
      <c r="BJ31" s="37">
        <f t="shared" si="219"/>
        <v>745380.78000000014</v>
      </c>
      <c r="BK31" s="59" t="s">
        <v>36</v>
      </c>
      <c r="BL31" s="59" t="s">
        <v>36</v>
      </c>
      <c r="BM31" s="37">
        <f t="shared" ref="BM31:BN31" si="220">SUM(BM32:BM33)</f>
        <v>743850.8</v>
      </c>
      <c r="BN31" s="37">
        <f t="shared" si="220"/>
        <v>743850.8</v>
      </c>
      <c r="BO31" s="59" t="s">
        <v>36</v>
      </c>
      <c r="BP31" s="59" t="s">
        <v>36</v>
      </c>
      <c r="BQ31" s="37">
        <f t="shared" ref="BQ31:BR31" si="221">SUM(BQ32:BQ33)</f>
        <v>1529.98</v>
      </c>
      <c r="BR31" s="37">
        <f t="shared" si="221"/>
        <v>1529.98</v>
      </c>
      <c r="BS31" s="59" t="s">
        <v>36</v>
      </c>
      <c r="BT31" s="59" t="s">
        <v>36</v>
      </c>
      <c r="BU31" s="37">
        <f t="shared" si="0"/>
        <v>2053.9564067236161</v>
      </c>
      <c r="BV31" s="60">
        <f t="shared" si="0"/>
        <v>2053.9564067236161</v>
      </c>
      <c r="BW31" s="35">
        <f t="shared" ref="BW31:BX31" si="222">SUM(BW32:BW33)</f>
        <v>507.69999999999993</v>
      </c>
      <c r="BX31" s="35">
        <f t="shared" si="222"/>
        <v>550</v>
      </c>
      <c r="BY31" s="35">
        <f t="shared" ref="BY31" si="223">IFERROR(BW31/$BW$64*100,0)</f>
        <v>11.496829710144926</v>
      </c>
      <c r="BZ31" s="35">
        <f t="shared" ref="BZ31" si="224">IFERROR(BX31/$BX$64*100,0)</f>
        <v>12.45469996030222</v>
      </c>
      <c r="CA31" s="59" t="s">
        <v>36</v>
      </c>
      <c r="CB31" s="59" t="s">
        <v>36</v>
      </c>
      <c r="CC31" s="37">
        <f>SUM(CC32:CC33)</f>
        <v>585411.04914385802</v>
      </c>
      <c r="CD31" s="37">
        <f>SUM(CD32:CD33)</f>
        <v>1041691.69</v>
      </c>
      <c r="CE31" s="59" t="s">
        <v>36</v>
      </c>
      <c r="CF31" s="59" t="s">
        <v>36</v>
      </c>
      <c r="CG31" s="37">
        <f t="shared" ref="CG31:CH31" si="225">SUM(CG32:CG33)</f>
        <v>568911.04914385802</v>
      </c>
      <c r="CH31" s="37">
        <f t="shared" si="225"/>
        <v>1024564.99</v>
      </c>
      <c r="CI31" s="59" t="s">
        <v>36</v>
      </c>
      <c r="CJ31" s="59" t="s">
        <v>36</v>
      </c>
      <c r="CK31" s="37">
        <f>SUM(CK32:CK33)</f>
        <v>16500</v>
      </c>
      <c r="CL31" s="37">
        <f>SUM(CL32:CL33)</f>
        <v>17126.7</v>
      </c>
      <c r="CM31" s="59" t="s">
        <v>36</v>
      </c>
      <c r="CN31" s="59" t="s">
        <v>36</v>
      </c>
      <c r="CO31" s="37">
        <f t="shared" si="6"/>
        <v>1153.06</v>
      </c>
      <c r="CP31" s="37">
        <f t="shared" si="6"/>
        <v>1893.98</v>
      </c>
      <c r="CQ31" s="59" t="s">
        <v>36</v>
      </c>
      <c r="CR31" s="59" t="s">
        <v>36</v>
      </c>
      <c r="CS31" s="37">
        <f>SUM(CS32:CS33)</f>
        <v>587737.27</v>
      </c>
      <c r="CT31" s="37">
        <f t="shared" ref="CT31" si="226">SUM(CT32:CT33)</f>
        <v>512209.69000000006</v>
      </c>
      <c r="CU31" s="59" t="s">
        <v>36</v>
      </c>
      <c r="CV31" s="59" t="s">
        <v>36</v>
      </c>
      <c r="CW31" s="37">
        <f t="shared" ref="CW31" si="227">SUM(CW32:CW33)</f>
        <v>567937.27</v>
      </c>
      <c r="CX31" s="37">
        <f>SUM(CX32:CX33)</f>
        <v>488070.19000000006</v>
      </c>
      <c r="CY31" s="59" t="s">
        <v>36</v>
      </c>
      <c r="CZ31" s="59" t="s">
        <v>36</v>
      </c>
      <c r="DA31" s="37">
        <f t="shared" ref="DA31:DB31" si="228">SUM(DA32:DA33)</f>
        <v>19800</v>
      </c>
      <c r="DB31" s="37">
        <f t="shared" si="228"/>
        <v>24139.5</v>
      </c>
      <c r="DC31" s="59" t="s">
        <v>36</v>
      </c>
      <c r="DD31" s="59" t="s">
        <v>36</v>
      </c>
      <c r="DE31" s="37">
        <f t="shared" si="1"/>
        <v>1157.6467795942488</v>
      </c>
      <c r="DF31" s="37">
        <f t="shared" si="1"/>
        <v>931.29034545454556</v>
      </c>
      <c r="DG31" s="35">
        <v>130.73333333333335</v>
      </c>
      <c r="DH31" s="35">
        <v>172.3</v>
      </c>
      <c r="DI31" s="35">
        <v>2.9604468599033815</v>
      </c>
      <c r="DJ31" s="35">
        <v>3.9017210144927548</v>
      </c>
      <c r="DK31" s="59" t="s">
        <v>36</v>
      </c>
      <c r="DL31" s="59" t="s">
        <v>36</v>
      </c>
      <c r="DM31" s="37">
        <v>181228.84928935222</v>
      </c>
      <c r="DN31" s="37">
        <v>288696.62999999983</v>
      </c>
      <c r="DO31" s="59" t="s">
        <v>36</v>
      </c>
      <c r="DP31" s="59" t="s">
        <v>36</v>
      </c>
      <c r="DQ31" s="37">
        <v>181228.84928935222</v>
      </c>
      <c r="DR31" s="37">
        <v>283274.12999999983</v>
      </c>
      <c r="DS31" s="59" t="s">
        <v>36</v>
      </c>
      <c r="DT31" s="59" t="s">
        <v>36</v>
      </c>
      <c r="DU31" s="37">
        <v>0</v>
      </c>
      <c r="DV31" s="37">
        <v>5422.5</v>
      </c>
      <c r="DW31" s="59" t="s">
        <v>36</v>
      </c>
      <c r="DX31" s="59" t="s">
        <v>36</v>
      </c>
      <c r="DY31" s="37">
        <v>1386.25</v>
      </c>
      <c r="DZ31" s="37">
        <v>1675.55</v>
      </c>
      <c r="EA31" s="59" t="s">
        <v>36</v>
      </c>
      <c r="EB31" s="59" t="s">
        <v>36</v>
      </c>
      <c r="EC31" s="37">
        <v>181948.99</v>
      </c>
      <c r="ED31" s="37">
        <v>527999.49</v>
      </c>
      <c r="EE31" s="59" t="s">
        <v>36</v>
      </c>
      <c r="EF31" s="59" t="s">
        <v>36</v>
      </c>
      <c r="EG31" s="37">
        <v>181948.99</v>
      </c>
      <c r="EH31" s="37">
        <v>517818.49</v>
      </c>
      <c r="EI31" s="59" t="s">
        <v>36</v>
      </c>
      <c r="EJ31" s="59" t="s">
        <v>36</v>
      </c>
      <c r="EK31" s="37">
        <v>0</v>
      </c>
      <c r="EL31" s="37">
        <v>10181</v>
      </c>
      <c r="EM31" s="59" t="s">
        <v>36</v>
      </c>
      <c r="EN31" s="59" t="s">
        <v>36</v>
      </c>
      <c r="EO31" s="37">
        <v>1391.7566802651706</v>
      </c>
      <c r="EP31" s="37">
        <v>3064.4195589088795</v>
      </c>
      <c r="EQ31" s="40">
        <v>1253.8333333333335</v>
      </c>
      <c r="ER31" s="35">
        <v>1337.7</v>
      </c>
      <c r="ES31" s="40">
        <v>7.137029447480268</v>
      </c>
      <c r="ET31" s="40">
        <v>7.614411003160054</v>
      </c>
      <c r="EU31" s="59" t="s">
        <v>36</v>
      </c>
      <c r="EV31" s="59" t="s">
        <v>36</v>
      </c>
      <c r="EW31" s="37">
        <v>2023490.4384332101</v>
      </c>
      <c r="EX31" s="37">
        <v>2587238.8599999994</v>
      </c>
      <c r="EY31" s="59" t="s">
        <v>36</v>
      </c>
      <c r="EZ31" s="59" t="s">
        <v>36</v>
      </c>
      <c r="FA31" s="37">
        <v>2005460.4584332102</v>
      </c>
      <c r="FB31" s="37">
        <v>2563159.6799999997</v>
      </c>
      <c r="FC31" s="59" t="s">
        <v>36</v>
      </c>
      <c r="FD31" s="59" t="s">
        <v>36</v>
      </c>
      <c r="FE31" s="37">
        <v>18029.98</v>
      </c>
      <c r="FF31" s="37">
        <v>24079.18</v>
      </c>
      <c r="FG31" s="59" t="s">
        <v>36</v>
      </c>
      <c r="FH31" s="59" t="s">
        <v>36</v>
      </c>
      <c r="FI31" s="37">
        <v>1613.84</v>
      </c>
      <c r="FJ31" s="37">
        <v>1934.09</v>
      </c>
      <c r="FK31" s="59" t="s">
        <v>36</v>
      </c>
      <c r="FL31" s="59" t="s">
        <v>36</v>
      </c>
      <c r="FM31" s="37">
        <v>2294104.5100000002</v>
      </c>
      <c r="FN31" s="37">
        <v>2564627.4300000006</v>
      </c>
      <c r="FO31" s="59" t="s">
        <v>36</v>
      </c>
      <c r="FP31" s="59" t="s">
        <v>36</v>
      </c>
      <c r="FQ31" s="37">
        <v>2272774.5300000003</v>
      </c>
      <c r="FR31" s="37">
        <v>2528776.9500000002</v>
      </c>
      <c r="FS31" s="59" t="s">
        <v>36</v>
      </c>
      <c r="FT31" s="59" t="s">
        <v>36</v>
      </c>
      <c r="FU31" s="37">
        <v>21329.98</v>
      </c>
      <c r="FV31" s="37">
        <v>35850.479999999996</v>
      </c>
      <c r="FW31" s="59" t="s">
        <v>36</v>
      </c>
      <c r="FX31" s="59" t="s">
        <v>36</v>
      </c>
      <c r="FY31" s="37">
        <v>1829.6726119898976</v>
      </c>
      <c r="FZ31" s="37">
        <v>1917.1917694550352</v>
      </c>
      <c r="GA31" s="39">
        <v>83.866666666666561</v>
      </c>
      <c r="GB31" s="35">
        <v>6.6888209490894468</v>
      </c>
      <c r="GC31" s="59" t="s">
        <v>36</v>
      </c>
      <c r="GD31" s="40" t="s">
        <v>36</v>
      </c>
      <c r="GE31" s="41">
        <v>563748.42156678927</v>
      </c>
      <c r="GF31" s="40">
        <v>27.860196957654026</v>
      </c>
      <c r="GG31" s="59" t="s">
        <v>36</v>
      </c>
      <c r="GH31" s="61" t="s">
        <v>36</v>
      </c>
      <c r="GI31" s="41">
        <v>557699.22156678955</v>
      </c>
      <c r="GJ31" s="40">
        <v>27.809036035669266</v>
      </c>
      <c r="GK31" s="59" t="s">
        <v>36</v>
      </c>
      <c r="GL31" s="62" t="s">
        <v>36</v>
      </c>
      <c r="GM31" s="41">
        <v>6049.2000000000007</v>
      </c>
      <c r="GN31" s="40">
        <v>33.550785968703245</v>
      </c>
      <c r="GO31" s="59" t="s">
        <v>36</v>
      </c>
      <c r="GP31" s="61" t="s">
        <v>36</v>
      </c>
      <c r="GQ31" s="41">
        <v>320.25</v>
      </c>
      <c r="GR31" s="44"/>
      <c r="GS31" s="44"/>
      <c r="GT31" s="44"/>
      <c r="GU31" s="44"/>
      <c r="GV31" s="44"/>
      <c r="GW31" s="44"/>
    </row>
    <row r="32" spans="1:205">
      <c r="A32" s="418"/>
      <c r="B32" s="45" t="s">
        <v>38</v>
      </c>
      <c r="C32" s="46">
        <f t="shared" ref="C32:C33" si="229">D32</f>
        <v>40.799999999999997</v>
      </c>
      <c r="D32" s="46">
        <f>VLOOKUP($B31,[1]!LTV1_RL2[[LTV1]:[Q1]],2,0)</f>
        <v>40.799999999999997</v>
      </c>
      <c r="E32" s="46">
        <f t="shared" ref="E32" si="230">IFERROR(C32/$C$65*100,0)</f>
        <v>1.8681318681318682</v>
      </c>
      <c r="F32" s="46">
        <f t="shared" ref="F32" si="231">IFERROR(D32/$D$65*100,0)</f>
        <v>1.8681318681318682</v>
      </c>
      <c r="G32" s="55" t="s">
        <v>36</v>
      </c>
      <c r="H32" s="55" t="s">
        <v>36</v>
      </c>
      <c r="I32" s="48">
        <f t="shared" si="2"/>
        <v>162349.9499999999</v>
      </c>
      <c r="J32" s="48">
        <v>162349.9499999999</v>
      </c>
      <c r="K32" s="55" t="s">
        <v>36</v>
      </c>
      <c r="L32" s="55" t="s">
        <v>36</v>
      </c>
      <c r="M32" s="48">
        <f t="shared" ref="M32:N33" si="232">I32-Q32</f>
        <v>162349.9499999999</v>
      </c>
      <c r="N32" s="48">
        <f t="shared" si="232"/>
        <v>162349.9499999999</v>
      </c>
      <c r="O32" s="55" t="s">
        <v>36</v>
      </c>
      <c r="P32" s="55" t="s">
        <v>36</v>
      </c>
      <c r="Q32" s="48"/>
      <c r="R32" s="48"/>
      <c r="S32" s="55" t="s">
        <v>36</v>
      </c>
      <c r="T32" s="55" t="s">
        <v>36</v>
      </c>
      <c r="U32" s="48">
        <f t="shared" si="3"/>
        <v>3979.17</v>
      </c>
      <c r="V32" s="48">
        <f t="shared" si="3"/>
        <v>3979.17</v>
      </c>
      <c r="W32" s="55" t="s">
        <v>36</v>
      </c>
      <c r="X32" s="55" t="s">
        <v>36</v>
      </c>
      <c r="Y32" s="48">
        <f>Z32</f>
        <v>153603.86000000007</v>
      </c>
      <c r="Z32" s="48">
        <f>[1]Fakts_Izd!Z56</f>
        <v>153603.86000000007</v>
      </c>
      <c r="AA32" s="55" t="s">
        <v>36</v>
      </c>
      <c r="AB32" s="55" t="s">
        <v>36</v>
      </c>
      <c r="AC32" s="48">
        <f>Y32-AG32</f>
        <v>153603.86000000007</v>
      </c>
      <c r="AD32" s="48">
        <f t="shared" ref="AD32:AD33" si="233">Z32-AH32</f>
        <v>153603.86000000007</v>
      </c>
      <c r="AE32" s="55" t="s">
        <v>36</v>
      </c>
      <c r="AF32" s="55" t="s">
        <v>36</v>
      </c>
      <c r="AG32" s="48">
        <f>SUMIFS([1]SP2024!$BO$7:$BO$148,[1]SP2024!$J$7:$J$148,$B31,[1]SP2024!$K$7:$K$148,$B32)</f>
        <v>0</v>
      </c>
      <c r="AH32" s="48"/>
      <c r="AI32" s="55" t="s">
        <v>36</v>
      </c>
      <c r="AJ32" s="55" t="s">
        <v>36</v>
      </c>
      <c r="AK32" s="48">
        <f t="shared" si="4"/>
        <v>3764.8004901960803</v>
      </c>
      <c r="AL32" s="48">
        <f t="shared" si="4"/>
        <v>3764.8004901960803</v>
      </c>
      <c r="AM32" s="46">
        <f t="shared" ref="AM32:AM33" si="234">AN32</f>
        <v>41.4</v>
      </c>
      <c r="AN32" s="46">
        <f>VLOOKUP($B31,[1]!LTV1_RL2[[LTV1]:[Q2]],3,0)</f>
        <v>41.4</v>
      </c>
      <c r="AO32" s="63">
        <f t="shared" ref="AO32:AO33" si="235">IFERROR(AM32/$AM$65*100,0)</f>
        <v>1.8956043956043955</v>
      </c>
      <c r="AP32" s="46">
        <f t="shared" ref="AP32" si="236">IFERROR(AN32/$AN$65*100,0)</f>
        <v>1.8956043956043955</v>
      </c>
      <c r="AQ32" s="55" t="s">
        <v>36</v>
      </c>
      <c r="AR32" s="55" t="s">
        <v>36</v>
      </c>
      <c r="AS32" s="48">
        <f t="shared" ref="AS32:AS33" si="237">AT32</f>
        <v>185812.75000000012</v>
      </c>
      <c r="AT32" s="48">
        <v>185812.75000000012</v>
      </c>
      <c r="AU32" s="55" t="s">
        <v>36</v>
      </c>
      <c r="AV32" s="55" t="s">
        <v>36</v>
      </c>
      <c r="AW32" s="48">
        <f t="shared" ref="AW32:AX33" si="238">AS32-BA32</f>
        <v>184282.77000000011</v>
      </c>
      <c r="AX32" s="48">
        <f t="shared" si="238"/>
        <v>184282.77000000011</v>
      </c>
      <c r="AY32" s="55" t="s">
        <v>36</v>
      </c>
      <c r="AZ32" s="55" t="s">
        <v>36</v>
      </c>
      <c r="BA32" s="48">
        <f>BB32</f>
        <v>1529.98</v>
      </c>
      <c r="BB32" s="48">
        <v>1529.98</v>
      </c>
      <c r="BC32" s="55" t="s">
        <v>36</v>
      </c>
      <c r="BD32" s="55" t="s">
        <v>36</v>
      </c>
      <c r="BE32" s="48">
        <f t="shared" si="5"/>
        <v>4488.2299999999996</v>
      </c>
      <c r="BF32" s="48">
        <f t="shared" si="5"/>
        <v>4488.2299999999996</v>
      </c>
      <c r="BG32" s="55" t="s">
        <v>36</v>
      </c>
      <c r="BH32" s="55" t="s">
        <v>36</v>
      </c>
      <c r="BI32" s="48">
        <f t="shared" ref="BI32:BI33" si="239">BJ32</f>
        <v>163661.17000000001</v>
      </c>
      <c r="BJ32" s="48">
        <f>[1]Fakts_Izd!AA56</f>
        <v>163661.17000000001</v>
      </c>
      <c r="BK32" s="55" t="s">
        <v>36</v>
      </c>
      <c r="BL32" s="55" t="s">
        <v>36</v>
      </c>
      <c r="BM32" s="48">
        <f t="shared" ref="BM32:BN33" si="240">BI32-BQ32</f>
        <v>162131.19</v>
      </c>
      <c r="BN32" s="48">
        <f t="shared" si="240"/>
        <v>162131.19</v>
      </c>
      <c r="BO32" s="55" t="s">
        <v>36</v>
      </c>
      <c r="BP32" s="55" t="s">
        <v>36</v>
      </c>
      <c r="BQ32" s="48">
        <f>BR32</f>
        <v>1529.98</v>
      </c>
      <c r="BR32" s="48">
        <v>1529.98</v>
      </c>
      <c r="BS32" s="55" t="s">
        <v>36</v>
      </c>
      <c r="BT32" s="55" t="s">
        <v>36</v>
      </c>
      <c r="BU32" s="48">
        <f t="shared" si="0"/>
        <v>3953.168357487923</v>
      </c>
      <c r="BV32" s="49">
        <f t="shared" si="0"/>
        <v>3953.168357487923</v>
      </c>
      <c r="BW32" s="46">
        <f>SUMIFS([1]SP2024!$AW$7:$AW$148,[1]SP2024!$L$7:$L$148,$B31,[1]SP2024!$M$7:$M$148,$B32)</f>
        <v>28.533333333333331</v>
      </c>
      <c r="BX32" s="46">
        <f>VLOOKUP($B31,[1]!LTV1_RL2[[LTV1]:[Q3]],4,0)</f>
        <v>51.2</v>
      </c>
      <c r="BY32" s="46">
        <f t="shared" ref="BY32:BY33" si="241">IFERROR(BW32/$BW$65*100,0)</f>
        <v>1.2922705314009661</v>
      </c>
      <c r="BZ32" s="46">
        <f t="shared" ref="BZ32" si="242">IFERROR(BX32/$BX$65*100,0)</f>
        <v>2.3188379542142736</v>
      </c>
      <c r="CA32" s="55" t="s">
        <v>36</v>
      </c>
      <c r="CB32" s="55" t="s">
        <v>36</v>
      </c>
      <c r="CC32" s="48">
        <f>CS32*'[2]Pielikums nr. 1.'!$EY$14</f>
        <v>152920.76581360726</v>
      </c>
      <c r="CD32" s="48">
        <v>578651.83000000007</v>
      </c>
      <c r="CE32" s="55" t="s">
        <v>36</v>
      </c>
      <c r="CF32" s="55" t="s">
        <v>36</v>
      </c>
      <c r="CG32" s="48">
        <f t="shared" ref="CG32:CH33" si="243">CC32-CK32</f>
        <v>136420.76581360726</v>
      </c>
      <c r="CH32" s="48">
        <f t="shared" si="243"/>
        <v>561525.13000000012</v>
      </c>
      <c r="CI32" s="55" t="s">
        <v>36</v>
      </c>
      <c r="CJ32" s="55" t="s">
        <v>36</v>
      </c>
      <c r="CK32" s="48">
        <v>16500</v>
      </c>
      <c r="CL32" s="48">
        <v>17126.7</v>
      </c>
      <c r="CM32" s="55" t="s">
        <v>36</v>
      </c>
      <c r="CN32" s="55" t="s">
        <v>36</v>
      </c>
      <c r="CO32" s="48">
        <f t="shared" si="6"/>
        <v>5359.37</v>
      </c>
      <c r="CP32" s="48">
        <f t="shared" si="6"/>
        <v>11301.79</v>
      </c>
      <c r="CQ32" s="55" t="s">
        <v>36</v>
      </c>
      <c r="CR32" s="55" t="s">
        <v>36</v>
      </c>
      <c r="CS32" s="48">
        <f>SUMIFS([1]SP2024!$BS$7:$BS$148,[1]SP2024!$L$7:$L$148,$B31,[1]SP2024!$M$7:$M$148,$B32)</f>
        <v>153528.41999999998</v>
      </c>
      <c r="CT32" s="48">
        <f>[1]Fakts_Izd!AB56</f>
        <v>211537.53000000006</v>
      </c>
      <c r="CU32" s="55" t="s">
        <v>36</v>
      </c>
      <c r="CV32" s="55" t="s">
        <v>36</v>
      </c>
      <c r="CW32" s="48">
        <f t="shared" ref="CW32:CX33" si="244">CS32-DA32</f>
        <v>133728.41999999998</v>
      </c>
      <c r="CX32" s="48">
        <f t="shared" si="244"/>
        <v>211537.53000000006</v>
      </c>
      <c r="CY32" s="55" t="s">
        <v>36</v>
      </c>
      <c r="CZ32" s="55" t="s">
        <v>36</v>
      </c>
      <c r="DA32" s="48">
        <v>19800</v>
      </c>
      <c r="DB32" s="48"/>
      <c r="DC32" s="55" t="s">
        <v>36</v>
      </c>
      <c r="DD32" s="55" t="s">
        <v>36</v>
      </c>
      <c r="DE32" s="48">
        <f t="shared" si="1"/>
        <v>5380.6689252336446</v>
      </c>
      <c r="DF32" s="48">
        <f t="shared" si="1"/>
        <v>4131.5923828125005</v>
      </c>
      <c r="DG32" s="46">
        <v>35.700000000000003</v>
      </c>
      <c r="DH32" s="46">
        <v>35.799999999999997</v>
      </c>
      <c r="DI32" s="46">
        <v>1.6168478260869561</v>
      </c>
      <c r="DJ32" s="46">
        <v>1.6213768115942031</v>
      </c>
      <c r="DK32" s="55" t="s">
        <v>36</v>
      </c>
      <c r="DL32" s="55" t="s">
        <v>36</v>
      </c>
      <c r="DM32" s="48">
        <v>196017.65370010003</v>
      </c>
      <c r="DN32" s="48">
        <v>-259992.84000000037</v>
      </c>
      <c r="DO32" s="55" t="s">
        <v>36</v>
      </c>
      <c r="DP32" s="55" t="s">
        <v>36</v>
      </c>
      <c r="DQ32" s="48">
        <v>196017.65370010003</v>
      </c>
      <c r="DR32" s="48">
        <v>-259992.84000000037</v>
      </c>
      <c r="DS32" s="55" t="s">
        <v>36</v>
      </c>
      <c r="DT32" s="55" t="s">
        <v>36</v>
      </c>
      <c r="DU32" s="48"/>
      <c r="DV32" s="48"/>
      <c r="DW32" s="55" t="s">
        <v>36</v>
      </c>
      <c r="DX32" s="55" t="s">
        <v>36</v>
      </c>
      <c r="DY32" s="48">
        <v>5490.69</v>
      </c>
      <c r="DZ32" s="48">
        <v>-7262.37</v>
      </c>
      <c r="EA32" s="55" t="s">
        <v>36</v>
      </c>
      <c r="EB32" s="55" t="s">
        <v>36</v>
      </c>
      <c r="EC32" s="48">
        <v>196796.56</v>
      </c>
      <c r="ED32" s="48">
        <v>136510.29999999999</v>
      </c>
      <c r="EE32" s="55" t="s">
        <v>36</v>
      </c>
      <c r="EF32" s="55" t="s">
        <v>36</v>
      </c>
      <c r="EG32" s="48">
        <v>196796.56</v>
      </c>
      <c r="EH32" s="48">
        <v>126329.29999999999</v>
      </c>
      <c r="EI32" s="55" t="s">
        <v>36</v>
      </c>
      <c r="EJ32" s="55" t="s">
        <v>36</v>
      </c>
      <c r="EK32" s="48">
        <v>0</v>
      </c>
      <c r="EL32" s="48">
        <v>10181</v>
      </c>
      <c r="EM32" s="55" t="s">
        <v>36</v>
      </c>
      <c r="EN32" s="55" t="s">
        <v>36</v>
      </c>
      <c r="EO32" s="48">
        <v>5512.5086834733893</v>
      </c>
      <c r="EP32" s="48">
        <v>3813.13687150838</v>
      </c>
      <c r="EQ32" s="46">
        <v>146.43333333333334</v>
      </c>
      <c r="ER32" s="46">
        <v>169.2</v>
      </c>
      <c r="ES32" s="46">
        <v>1.6670461445051612</v>
      </c>
      <c r="ET32" s="46">
        <v>1.9262289599758193</v>
      </c>
      <c r="EU32" s="55" t="s">
        <v>36</v>
      </c>
      <c r="EV32" s="55" t="s">
        <v>36</v>
      </c>
      <c r="EW32" s="48">
        <v>697101.11951370724</v>
      </c>
      <c r="EX32" s="48">
        <v>666821.68999999971</v>
      </c>
      <c r="EY32" s="55" t="s">
        <v>36</v>
      </c>
      <c r="EZ32" s="55" t="s">
        <v>36</v>
      </c>
      <c r="FA32" s="48">
        <v>679071.13951370725</v>
      </c>
      <c r="FB32" s="48">
        <v>648165.00999999978</v>
      </c>
      <c r="FC32" s="55" t="s">
        <v>36</v>
      </c>
      <c r="FD32" s="55" t="s">
        <v>36</v>
      </c>
      <c r="FE32" s="48">
        <v>18029.98</v>
      </c>
      <c r="FF32" s="48">
        <v>18656.68</v>
      </c>
      <c r="FG32" s="55" t="s">
        <v>36</v>
      </c>
      <c r="FH32" s="55" t="s">
        <v>36</v>
      </c>
      <c r="FI32" s="48">
        <v>4760.54</v>
      </c>
      <c r="FJ32" s="48">
        <v>3941.03</v>
      </c>
      <c r="FK32" s="55" t="s">
        <v>36</v>
      </c>
      <c r="FL32" s="55" t="s">
        <v>36</v>
      </c>
      <c r="FM32" s="48">
        <v>667590.01</v>
      </c>
      <c r="FN32" s="48">
        <v>665312.8600000001</v>
      </c>
      <c r="FO32" s="55" t="s">
        <v>36</v>
      </c>
      <c r="FP32" s="55" t="s">
        <v>36</v>
      </c>
      <c r="FQ32" s="48">
        <v>646260.03</v>
      </c>
      <c r="FR32" s="48">
        <v>653601.88000000012</v>
      </c>
      <c r="FS32" s="55" t="s">
        <v>36</v>
      </c>
      <c r="FT32" s="55" t="s">
        <v>36</v>
      </c>
      <c r="FU32" s="48">
        <v>21329.98</v>
      </c>
      <c r="FV32" s="48">
        <v>11710.98</v>
      </c>
      <c r="FW32" s="55" t="s">
        <v>36</v>
      </c>
      <c r="FX32" s="55" t="s">
        <v>36</v>
      </c>
      <c r="FY32" s="48">
        <v>4559.0030275438194</v>
      </c>
      <c r="FZ32" s="48">
        <v>3932.1091016548471</v>
      </c>
      <c r="GA32" s="50">
        <v>22.766666666666652</v>
      </c>
      <c r="GB32" s="46">
        <v>15.547461871158653</v>
      </c>
      <c r="GC32" s="55" t="s">
        <v>36</v>
      </c>
      <c r="GD32" s="46" t="s">
        <v>36</v>
      </c>
      <c r="GE32" s="51">
        <v>-30279.429513707524</v>
      </c>
      <c r="GF32" s="46">
        <v>-4.3436208415258637</v>
      </c>
      <c r="GG32" s="55" t="s">
        <v>36</v>
      </c>
      <c r="GH32" s="57" t="s">
        <v>36</v>
      </c>
      <c r="GI32" s="51">
        <v>-30906.129513707478</v>
      </c>
      <c r="GJ32" s="46">
        <v>-4.5512359037728771</v>
      </c>
      <c r="GK32" s="55" t="s">
        <v>36</v>
      </c>
      <c r="GL32" s="58" t="s">
        <v>36</v>
      </c>
      <c r="GM32" s="51">
        <v>626.70000000000073</v>
      </c>
      <c r="GN32" s="46">
        <v>3.4758773997530801</v>
      </c>
      <c r="GO32" s="55" t="s">
        <v>36</v>
      </c>
      <c r="GP32" s="57" t="s">
        <v>36</v>
      </c>
      <c r="GQ32" s="51">
        <v>-819.50999999999976</v>
      </c>
      <c r="GR32" s="44"/>
      <c r="GS32" s="44"/>
      <c r="GT32" s="44"/>
      <c r="GU32" s="44"/>
      <c r="GV32" s="44"/>
      <c r="GW32" s="44"/>
    </row>
    <row r="33" spans="1:205">
      <c r="A33" s="418"/>
      <c r="B33" s="45" t="s">
        <v>39</v>
      </c>
      <c r="C33" s="46">
        <f t="shared" si="229"/>
        <v>211.7</v>
      </c>
      <c r="D33" s="46">
        <f>VLOOKUP($B31,[1]!LTV7_RL7[[LTV7]:[Q1]],2,0)</f>
        <v>211.7</v>
      </c>
      <c r="E33" s="46">
        <f t="shared" ref="E33" si="245">IFERROR(C33/$C$66*100,0)</f>
        <v>9.6932234432234416</v>
      </c>
      <c r="F33" s="46">
        <f t="shared" ref="F33" si="246">IFERROR(D33/$D$66*100,0)</f>
        <v>9.6932234432234416</v>
      </c>
      <c r="G33" s="55" t="s">
        <v>36</v>
      </c>
      <c r="H33" s="55" t="s">
        <v>36</v>
      </c>
      <c r="I33" s="48">
        <f t="shared" si="2"/>
        <v>112607.90999999999</v>
      </c>
      <c r="J33" s="48">
        <v>112607.90999999999</v>
      </c>
      <c r="K33" s="55" t="s">
        <v>36</v>
      </c>
      <c r="L33" s="55" t="s">
        <v>36</v>
      </c>
      <c r="M33" s="48">
        <f t="shared" si="232"/>
        <v>112607.90999999999</v>
      </c>
      <c r="N33" s="48">
        <f t="shared" si="232"/>
        <v>112607.90999999999</v>
      </c>
      <c r="O33" s="55" t="s">
        <v>36</v>
      </c>
      <c r="P33" s="55" t="s">
        <v>36</v>
      </c>
      <c r="Q33" s="48"/>
      <c r="R33" s="48"/>
      <c r="S33" s="55" t="s">
        <v>36</v>
      </c>
      <c r="T33" s="55" t="s">
        <v>36</v>
      </c>
      <c r="U33" s="48">
        <f t="shared" si="3"/>
        <v>531.91999999999996</v>
      </c>
      <c r="V33" s="48">
        <f t="shared" si="3"/>
        <v>531.91999999999996</v>
      </c>
      <c r="W33" s="55" t="s">
        <v>36</v>
      </c>
      <c r="X33" s="55" t="s">
        <v>36</v>
      </c>
      <c r="Y33" s="48">
        <f>Z33</f>
        <v>625433.61</v>
      </c>
      <c r="Z33" s="48">
        <f>[1]Fakts_Izd!Z57</f>
        <v>625433.61</v>
      </c>
      <c r="AA33" s="55" t="s">
        <v>36</v>
      </c>
      <c r="AB33" s="55" t="s">
        <v>36</v>
      </c>
      <c r="AC33" s="48">
        <f>Y33-AG33</f>
        <v>625433.61</v>
      </c>
      <c r="AD33" s="48">
        <f t="shared" si="233"/>
        <v>625433.61</v>
      </c>
      <c r="AE33" s="55" t="s">
        <v>36</v>
      </c>
      <c r="AF33" s="55" t="s">
        <v>36</v>
      </c>
      <c r="AG33" s="48">
        <f>AH33</f>
        <v>0</v>
      </c>
      <c r="AH33" s="48"/>
      <c r="AI33" s="55" t="s">
        <v>36</v>
      </c>
      <c r="AJ33" s="55" t="s">
        <v>36</v>
      </c>
      <c r="AK33" s="48">
        <f t="shared" si="4"/>
        <v>2954.3392064241852</v>
      </c>
      <c r="AL33" s="48">
        <f t="shared" si="4"/>
        <v>2954.3392064241852</v>
      </c>
      <c r="AM33" s="46">
        <f t="shared" si="234"/>
        <v>321.5</v>
      </c>
      <c r="AN33" s="46">
        <f>VLOOKUP($B31,[1]!LTV7_RL7[[LTV7]:[Q2]],3,0)</f>
        <v>321.5</v>
      </c>
      <c r="AO33" s="63">
        <f t="shared" si="235"/>
        <v>14.720695970695971</v>
      </c>
      <c r="AP33" s="46">
        <f t="shared" ref="AP33" si="247">IFERROR(AN33/$AN$66*100,0)</f>
        <v>14.720695970695974</v>
      </c>
      <c r="AQ33" s="55" t="s">
        <v>36</v>
      </c>
      <c r="AR33" s="55" t="s">
        <v>36</v>
      </c>
      <c r="AS33" s="48">
        <f t="shared" si="237"/>
        <v>796079.92999999993</v>
      </c>
      <c r="AT33" s="48">
        <v>796079.92999999993</v>
      </c>
      <c r="AU33" s="55" t="s">
        <v>36</v>
      </c>
      <c r="AV33" s="55" t="s">
        <v>36</v>
      </c>
      <c r="AW33" s="48">
        <f t="shared" si="238"/>
        <v>796079.92999999993</v>
      </c>
      <c r="AX33" s="48">
        <f t="shared" si="238"/>
        <v>796079.92999999993</v>
      </c>
      <c r="AY33" s="55" t="s">
        <v>36</v>
      </c>
      <c r="AZ33" s="55" t="s">
        <v>36</v>
      </c>
      <c r="BA33" s="48"/>
      <c r="BB33" s="48"/>
      <c r="BC33" s="55" t="s">
        <v>36</v>
      </c>
      <c r="BD33" s="55" t="s">
        <v>36</v>
      </c>
      <c r="BE33" s="48">
        <f t="shared" si="5"/>
        <v>2476.14</v>
      </c>
      <c r="BF33" s="48">
        <f t="shared" si="5"/>
        <v>2476.14</v>
      </c>
      <c r="BG33" s="55" t="s">
        <v>36</v>
      </c>
      <c r="BH33" s="55" t="s">
        <v>36</v>
      </c>
      <c r="BI33" s="48">
        <f t="shared" si="239"/>
        <v>581719.6100000001</v>
      </c>
      <c r="BJ33" s="48">
        <f>[1]Fakts_Izd!AA57</f>
        <v>581719.6100000001</v>
      </c>
      <c r="BK33" s="55" t="s">
        <v>36</v>
      </c>
      <c r="BL33" s="55" t="s">
        <v>36</v>
      </c>
      <c r="BM33" s="48">
        <f t="shared" si="240"/>
        <v>581719.6100000001</v>
      </c>
      <c r="BN33" s="48">
        <f t="shared" si="240"/>
        <v>581719.6100000001</v>
      </c>
      <c r="BO33" s="55" t="s">
        <v>36</v>
      </c>
      <c r="BP33" s="55" t="s">
        <v>36</v>
      </c>
      <c r="BQ33" s="48">
        <v>0</v>
      </c>
      <c r="BR33" s="48"/>
      <c r="BS33" s="55" t="s">
        <v>36</v>
      </c>
      <c r="BT33" s="55" t="s">
        <v>36</v>
      </c>
      <c r="BU33" s="48">
        <f t="shared" si="0"/>
        <v>1809.3922550544328</v>
      </c>
      <c r="BV33" s="49">
        <f t="shared" si="0"/>
        <v>1809.3922550544328</v>
      </c>
      <c r="BW33" s="46">
        <f>SUMIFS([1]SP2024!$AW$7:$AW$148,[1]SP2024!$L$7:$L$148,$B31,[1]SP2024!$M$7:$M$148,$B33)</f>
        <v>479.16666666666663</v>
      </c>
      <c r="BX33" s="46">
        <f>VLOOKUP($B31,[1]!LTV7_RL7[[LTV7]:[Q3]],4,0)</f>
        <v>498.8</v>
      </c>
      <c r="BY33" s="46">
        <f t="shared" si="241"/>
        <v>21.701388888888886</v>
      </c>
      <c r="BZ33" s="46">
        <f t="shared" ref="BZ33" si="248">IFERROR(BX33/$BX$66*100,0)</f>
        <v>22.590568342105307</v>
      </c>
      <c r="CA33" s="55" t="s">
        <v>36</v>
      </c>
      <c r="CB33" s="55" t="s">
        <v>36</v>
      </c>
      <c r="CC33" s="48">
        <f>CS33*'[2]Pielikums nr. 1.'!$EY$14</f>
        <v>432490.28333025071</v>
      </c>
      <c r="CD33" s="48">
        <v>463039.85999999987</v>
      </c>
      <c r="CE33" s="55" t="s">
        <v>36</v>
      </c>
      <c r="CF33" s="55" t="s">
        <v>36</v>
      </c>
      <c r="CG33" s="48">
        <f t="shared" si="243"/>
        <v>432490.28333025071</v>
      </c>
      <c r="CH33" s="48">
        <f t="shared" si="243"/>
        <v>463039.85999999987</v>
      </c>
      <c r="CI33" s="55" t="s">
        <v>36</v>
      </c>
      <c r="CJ33" s="55" t="s">
        <v>36</v>
      </c>
      <c r="CK33" s="48"/>
      <c r="CL33" s="48"/>
      <c r="CM33" s="55" t="s">
        <v>36</v>
      </c>
      <c r="CN33" s="55" t="s">
        <v>36</v>
      </c>
      <c r="CO33" s="48">
        <f t="shared" si="6"/>
        <v>902.59</v>
      </c>
      <c r="CP33" s="48">
        <f t="shared" si="6"/>
        <v>928.31</v>
      </c>
      <c r="CQ33" s="55" t="s">
        <v>36</v>
      </c>
      <c r="CR33" s="55" t="s">
        <v>36</v>
      </c>
      <c r="CS33" s="48">
        <f>SUMIFS([1]SP2024!$BS$7:$BS$148,[1]SP2024!$L$7:$L$148,$B31,[1]SP2024!$M$7:$M$148,$B33)</f>
        <v>434208.85</v>
      </c>
      <c r="CT33" s="48">
        <f>[1]Fakts_Izd!AB57</f>
        <v>300672.16000000003</v>
      </c>
      <c r="CU33" s="55" t="s">
        <v>36</v>
      </c>
      <c r="CV33" s="55" t="s">
        <v>36</v>
      </c>
      <c r="CW33" s="48">
        <f t="shared" si="244"/>
        <v>434208.85</v>
      </c>
      <c r="CX33" s="48">
        <f t="shared" si="244"/>
        <v>276532.66000000003</v>
      </c>
      <c r="CY33" s="55" t="s">
        <v>36</v>
      </c>
      <c r="CZ33" s="55" t="s">
        <v>36</v>
      </c>
      <c r="DA33" s="48">
        <f>SUMIFS([1]SP2024!$BQ$7:$BQ$148,[1]SP2024!$J$7:$J$148,$B31,[1]SP2024!$K$7:$K$148,$B33)</f>
        <v>0</v>
      </c>
      <c r="DB33" s="48">
        <v>24139.5</v>
      </c>
      <c r="DC33" s="55" t="s">
        <v>36</v>
      </c>
      <c r="DD33" s="55" t="s">
        <v>36</v>
      </c>
      <c r="DE33" s="48">
        <f t="shared" si="1"/>
        <v>906.17499130434783</v>
      </c>
      <c r="DF33" s="48">
        <f t="shared" si="1"/>
        <v>602.79101844426634</v>
      </c>
      <c r="DG33" s="46">
        <v>95.033333333333331</v>
      </c>
      <c r="DH33" s="46">
        <v>136.5</v>
      </c>
      <c r="DI33" s="46">
        <v>4.3040458937198061</v>
      </c>
      <c r="DJ33" s="46">
        <v>6.1820652173913055</v>
      </c>
      <c r="DK33" s="55" t="s">
        <v>36</v>
      </c>
      <c r="DL33" s="55" t="s">
        <v>36</v>
      </c>
      <c r="DM33" s="48">
        <v>-14788.8044107478</v>
      </c>
      <c r="DN33" s="48">
        <v>548689.4700000002</v>
      </c>
      <c r="DO33" s="55" t="s">
        <v>36</v>
      </c>
      <c r="DP33" s="55" t="s">
        <v>36</v>
      </c>
      <c r="DQ33" s="48">
        <v>-14788.8044107478</v>
      </c>
      <c r="DR33" s="48">
        <v>543266.9700000002</v>
      </c>
      <c r="DS33" s="55" t="s">
        <v>36</v>
      </c>
      <c r="DT33" s="55" t="s">
        <v>36</v>
      </c>
      <c r="DU33" s="48"/>
      <c r="DV33" s="48">
        <v>5422.5</v>
      </c>
      <c r="DW33" s="55" t="s">
        <v>36</v>
      </c>
      <c r="DX33" s="55" t="s">
        <v>36</v>
      </c>
      <c r="DY33" s="48">
        <v>-155.62</v>
      </c>
      <c r="DZ33" s="48">
        <v>4019.7</v>
      </c>
      <c r="EA33" s="55" t="s">
        <v>36</v>
      </c>
      <c r="EB33" s="55" t="s">
        <v>36</v>
      </c>
      <c r="EC33" s="48">
        <v>-14847.569999999998</v>
      </c>
      <c r="ED33" s="48">
        <v>391489.19</v>
      </c>
      <c r="EE33" s="55" t="s">
        <v>36</v>
      </c>
      <c r="EF33" s="55" t="s">
        <v>36</v>
      </c>
      <c r="EG33" s="48">
        <v>-14847.569999999998</v>
      </c>
      <c r="EH33" s="48">
        <v>391489.19</v>
      </c>
      <c r="EI33" s="55" t="s">
        <v>36</v>
      </c>
      <c r="EJ33" s="55" t="s">
        <v>36</v>
      </c>
      <c r="EK33" s="48">
        <v>0</v>
      </c>
      <c r="EL33" s="48"/>
      <c r="EM33" s="55" t="s">
        <v>36</v>
      </c>
      <c r="EN33" s="55" t="s">
        <v>36</v>
      </c>
      <c r="EO33" s="48">
        <v>-156.2353910908453</v>
      </c>
      <c r="EP33" s="48">
        <v>2868.052673992674</v>
      </c>
      <c r="EQ33" s="46">
        <v>1107.4000000000001</v>
      </c>
      <c r="ER33" s="46">
        <v>1168.5</v>
      </c>
      <c r="ES33" s="46">
        <v>12.607012750455374</v>
      </c>
      <c r="ET33" s="46">
        <v>13.302593945735438</v>
      </c>
      <c r="EU33" s="55" t="s">
        <v>36</v>
      </c>
      <c r="EV33" s="55" t="s">
        <v>36</v>
      </c>
      <c r="EW33" s="48">
        <v>1326389.3189195029</v>
      </c>
      <c r="EX33" s="48">
        <v>1920417.17</v>
      </c>
      <c r="EY33" s="55" t="s">
        <v>36</v>
      </c>
      <c r="EZ33" s="55" t="s">
        <v>36</v>
      </c>
      <c r="FA33" s="48">
        <v>1326389.3189195029</v>
      </c>
      <c r="FB33" s="48">
        <v>1914994.67</v>
      </c>
      <c r="FC33" s="55" t="s">
        <v>36</v>
      </c>
      <c r="FD33" s="55" t="s">
        <v>36</v>
      </c>
      <c r="FE33" s="48">
        <v>0</v>
      </c>
      <c r="FF33" s="48">
        <v>5422.5</v>
      </c>
      <c r="FG33" s="55" t="s">
        <v>36</v>
      </c>
      <c r="FH33" s="55" t="s">
        <v>36</v>
      </c>
      <c r="FI33" s="48">
        <v>1197.75</v>
      </c>
      <c r="FJ33" s="48">
        <v>1643.49</v>
      </c>
      <c r="FK33" s="55" t="s">
        <v>36</v>
      </c>
      <c r="FL33" s="55" t="s">
        <v>36</v>
      </c>
      <c r="FM33" s="48">
        <v>1626514.5000000002</v>
      </c>
      <c r="FN33" s="48">
        <v>1899314.5700000003</v>
      </c>
      <c r="FO33" s="55" t="s">
        <v>36</v>
      </c>
      <c r="FP33" s="55" t="s">
        <v>36</v>
      </c>
      <c r="FQ33" s="48">
        <v>1626514.5000000002</v>
      </c>
      <c r="FR33" s="48">
        <v>1875175.0700000003</v>
      </c>
      <c r="FS33" s="55" t="s">
        <v>36</v>
      </c>
      <c r="FT33" s="55" t="s">
        <v>36</v>
      </c>
      <c r="FU33" s="48">
        <v>0</v>
      </c>
      <c r="FV33" s="48">
        <v>24139.5</v>
      </c>
      <c r="FW33" s="55" t="s">
        <v>36</v>
      </c>
      <c r="FX33" s="55" t="s">
        <v>36</v>
      </c>
      <c r="FY33" s="48">
        <v>1468.7687375835292</v>
      </c>
      <c r="FZ33" s="48">
        <v>1625.429670517758</v>
      </c>
      <c r="GA33" s="50">
        <v>61.099999999999909</v>
      </c>
      <c r="GB33" s="46">
        <v>5.5174282102221417</v>
      </c>
      <c r="GC33" s="55" t="s">
        <v>36</v>
      </c>
      <c r="GD33" s="46" t="s">
        <v>36</v>
      </c>
      <c r="GE33" s="51">
        <v>594027.85108049703</v>
      </c>
      <c r="GF33" s="46">
        <v>44.785331320701616</v>
      </c>
      <c r="GG33" s="55" t="s">
        <v>36</v>
      </c>
      <c r="GH33" s="57" t="s">
        <v>36</v>
      </c>
      <c r="GI33" s="51">
        <v>588605.35108049703</v>
      </c>
      <c r="GJ33" s="46">
        <v>44.376514699318001</v>
      </c>
      <c r="GK33" s="55" t="s">
        <v>36</v>
      </c>
      <c r="GL33" s="58" t="s">
        <v>36</v>
      </c>
      <c r="GM33" s="51">
        <v>5422.5</v>
      </c>
      <c r="GN33" s="46" t="s">
        <v>88</v>
      </c>
      <c r="GO33" s="55" t="s">
        <v>36</v>
      </c>
      <c r="GP33" s="57" t="s">
        <v>36</v>
      </c>
      <c r="GQ33" s="51">
        <v>445.74</v>
      </c>
      <c r="GR33" s="44"/>
      <c r="GS33" s="44"/>
      <c r="GT33" s="44"/>
      <c r="GU33" s="44"/>
      <c r="GV33" s="44"/>
      <c r="GW33" s="44"/>
    </row>
    <row r="34" spans="1:205">
      <c r="A34" s="418"/>
      <c r="B34" s="65" t="s">
        <v>46</v>
      </c>
      <c r="C34" s="35">
        <f>SUM(C35:C36)</f>
        <v>72.099999999999994</v>
      </c>
      <c r="D34" s="35">
        <f t="shared" ref="D34" si="249">SUM(D35:D36)</f>
        <v>72.099999999999994</v>
      </c>
      <c r="E34" s="35">
        <f t="shared" ref="E34" si="250">IFERROR(C34/$C$64*100,0)</f>
        <v>1.6506410256410258</v>
      </c>
      <c r="F34" s="35">
        <f t="shared" ref="F34" si="251">IFERROR(D34/$D$64*100,0)</f>
        <v>1.6506410256410258</v>
      </c>
      <c r="G34" s="59" t="s">
        <v>36</v>
      </c>
      <c r="H34" s="59" t="s">
        <v>36</v>
      </c>
      <c r="I34" s="37">
        <f t="shared" si="2"/>
        <v>298403.30000000016</v>
      </c>
      <c r="J34" s="37">
        <f>SUM(J35:J36)</f>
        <v>298403.30000000016</v>
      </c>
      <c r="K34" s="59" t="s">
        <v>36</v>
      </c>
      <c r="L34" s="59" t="s">
        <v>36</v>
      </c>
      <c r="M34" s="37">
        <f t="shared" ref="M34:N34" si="252">SUM(M35:M36)</f>
        <v>292442.11000000016</v>
      </c>
      <c r="N34" s="37">
        <f t="shared" si="252"/>
        <v>292442.11000000016</v>
      </c>
      <c r="O34" s="59" t="s">
        <v>36</v>
      </c>
      <c r="P34" s="59" t="s">
        <v>36</v>
      </c>
      <c r="Q34" s="37">
        <f>SUM(Q35:Q36)</f>
        <v>5961.1900000000005</v>
      </c>
      <c r="R34" s="37">
        <f>SUM(R35:R36)</f>
        <v>5961.1900000000005</v>
      </c>
      <c r="S34" s="59" t="s">
        <v>36</v>
      </c>
      <c r="T34" s="59" t="s">
        <v>36</v>
      </c>
      <c r="U34" s="37">
        <f t="shared" si="3"/>
        <v>4138.74</v>
      </c>
      <c r="V34" s="37">
        <f t="shared" si="3"/>
        <v>4138.74</v>
      </c>
      <c r="W34" s="59" t="s">
        <v>36</v>
      </c>
      <c r="X34" s="59" t="s">
        <v>36</v>
      </c>
      <c r="Y34" s="37">
        <f>SUM(Y35:Y36)</f>
        <v>365333.39000000031</v>
      </c>
      <c r="Z34" s="37">
        <f>SUM(Z35:Z36)</f>
        <v>365333.39000000031</v>
      </c>
      <c r="AA34" s="59" t="s">
        <v>36</v>
      </c>
      <c r="AB34" s="59" t="s">
        <v>36</v>
      </c>
      <c r="AC34" s="37">
        <f>SUM(AC35:AC36)</f>
        <v>359372.2000000003</v>
      </c>
      <c r="AD34" s="37">
        <f t="shared" ref="AD34" si="253">SUM(AD35:AD36)</f>
        <v>359372.2000000003</v>
      </c>
      <c r="AE34" s="59" t="s">
        <v>36</v>
      </c>
      <c r="AF34" s="59" t="s">
        <v>36</v>
      </c>
      <c r="AG34" s="37">
        <f t="shared" ref="AG34" si="254">SUM(AG35:AG36)</f>
        <v>5961.1900000000005</v>
      </c>
      <c r="AH34" s="37">
        <f>AH35</f>
        <v>5961.1900000000005</v>
      </c>
      <c r="AI34" s="59" t="s">
        <v>36</v>
      </c>
      <c r="AJ34" s="59" t="s">
        <v>36</v>
      </c>
      <c r="AK34" s="37">
        <f t="shared" si="4"/>
        <v>5067.0373092926538</v>
      </c>
      <c r="AL34" s="37">
        <f t="shared" si="4"/>
        <v>5067.0373092926538</v>
      </c>
      <c r="AM34" s="35">
        <f t="shared" ref="AM34:AN34" si="255">SUM(AM35:AM36)</f>
        <v>78.899999999999991</v>
      </c>
      <c r="AN34" s="35">
        <f t="shared" si="255"/>
        <v>78.899999999999991</v>
      </c>
      <c r="AO34" s="35">
        <f t="shared" ref="AO34" si="256">IFERROR(AM34/$AM$64*100,0)</f>
        <v>1.8063186813186811</v>
      </c>
      <c r="AP34" s="35">
        <f t="shared" ref="AP34" si="257">IFERROR(AN34/$AN$64*100,0)</f>
        <v>1.8063186813186811</v>
      </c>
      <c r="AQ34" s="59" t="s">
        <v>36</v>
      </c>
      <c r="AR34" s="59" t="s">
        <v>36</v>
      </c>
      <c r="AS34" s="37">
        <f>SUM(AS35:AS36)</f>
        <v>319894.44</v>
      </c>
      <c r="AT34" s="37">
        <f>SUM(AT35:AT36)</f>
        <v>319894.44</v>
      </c>
      <c r="AU34" s="59" t="s">
        <v>36</v>
      </c>
      <c r="AV34" s="59" t="s">
        <v>36</v>
      </c>
      <c r="AW34" s="37">
        <f t="shared" ref="AW34:AX34" si="258">SUM(AW35:AW36)</f>
        <v>317920.42</v>
      </c>
      <c r="AX34" s="37">
        <f t="shared" si="258"/>
        <v>317920.42</v>
      </c>
      <c r="AY34" s="59" t="s">
        <v>36</v>
      </c>
      <c r="AZ34" s="59" t="s">
        <v>36</v>
      </c>
      <c r="BA34" s="37">
        <f>SUM(BA35:BA36)</f>
        <v>1974.02</v>
      </c>
      <c r="BB34" s="37">
        <f>SUM(BB35:BB36)</f>
        <v>1974.02</v>
      </c>
      <c r="BC34" s="59" t="s">
        <v>36</v>
      </c>
      <c r="BD34" s="59" t="s">
        <v>36</v>
      </c>
      <c r="BE34" s="37">
        <f t="shared" si="5"/>
        <v>4054.43</v>
      </c>
      <c r="BF34" s="37">
        <f t="shared" si="5"/>
        <v>4054.43</v>
      </c>
      <c r="BG34" s="59" t="s">
        <v>36</v>
      </c>
      <c r="BH34" s="59" t="s">
        <v>36</v>
      </c>
      <c r="BI34" s="37">
        <f t="shared" ref="BI34:BJ34" si="259">SUM(BI35:BI36)</f>
        <v>261227.01999999996</v>
      </c>
      <c r="BJ34" s="37">
        <f t="shared" si="259"/>
        <v>261227.01999999996</v>
      </c>
      <c r="BK34" s="59" t="s">
        <v>36</v>
      </c>
      <c r="BL34" s="59" t="s">
        <v>36</v>
      </c>
      <c r="BM34" s="37">
        <f t="shared" ref="BM34:BN34" si="260">SUM(BM35:BM36)</f>
        <v>252402.15999999997</v>
      </c>
      <c r="BN34" s="37">
        <f t="shared" si="260"/>
        <v>252402.15999999997</v>
      </c>
      <c r="BO34" s="59" t="s">
        <v>36</v>
      </c>
      <c r="BP34" s="59" t="s">
        <v>36</v>
      </c>
      <c r="BQ34" s="37">
        <f t="shared" ref="BQ34:BR34" si="261">SUM(BQ35:BQ36)</f>
        <v>8824.8599999999988</v>
      </c>
      <c r="BR34" s="37">
        <f t="shared" si="261"/>
        <v>8824.8599999999988</v>
      </c>
      <c r="BS34" s="59" t="s">
        <v>36</v>
      </c>
      <c r="BT34" s="59" t="s">
        <v>36</v>
      </c>
      <c r="BU34" s="37">
        <f t="shared" si="0"/>
        <v>3310.8621039290238</v>
      </c>
      <c r="BV34" s="60">
        <f t="shared" si="0"/>
        <v>3310.8621039290238</v>
      </c>
      <c r="BW34" s="35">
        <f t="shared" ref="BW34:BX34" si="262">SUM(BW35:BW36)</f>
        <v>17.8</v>
      </c>
      <c r="BX34" s="35">
        <f t="shared" si="262"/>
        <v>20.7</v>
      </c>
      <c r="BY34" s="35">
        <f t="shared" ref="BY34" si="263">IFERROR(BW34/$BW$64*100,0)</f>
        <v>0.40307971014492749</v>
      </c>
      <c r="BZ34" s="35">
        <f t="shared" ref="BZ34" si="264">IFERROR(BX34/$BX$64*100,0)</f>
        <v>0.46874961668773801</v>
      </c>
      <c r="CA34" s="59" t="s">
        <v>36</v>
      </c>
      <c r="CB34" s="59" t="s">
        <v>36</v>
      </c>
      <c r="CC34" s="37">
        <f>SUM(CC35:CC36)</f>
        <v>65196.900088416878</v>
      </c>
      <c r="CD34" s="37">
        <f>SUM(CD35:CD36)</f>
        <v>85797.390000000014</v>
      </c>
      <c r="CE34" s="59" t="s">
        <v>36</v>
      </c>
      <c r="CF34" s="59" t="s">
        <v>36</v>
      </c>
      <c r="CG34" s="37">
        <f t="shared" ref="CG34:CH34" si="265">SUM(CG35:CG36)</f>
        <v>65196.900088416878</v>
      </c>
      <c r="CH34" s="37">
        <f t="shared" si="265"/>
        <v>85797.390000000014</v>
      </c>
      <c r="CI34" s="59" t="s">
        <v>36</v>
      </c>
      <c r="CJ34" s="59" t="s">
        <v>36</v>
      </c>
      <c r="CK34" s="37">
        <f>SUM(CK35:CK36)</f>
        <v>0</v>
      </c>
      <c r="CL34" s="37">
        <f>SUM(CL35:CL36)</f>
        <v>0</v>
      </c>
      <c r="CM34" s="59" t="s">
        <v>36</v>
      </c>
      <c r="CN34" s="59" t="s">
        <v>36</v>
      </c>
      <c r="CO34" s="37">
        <f t="shared" si="6"/>
        <v>3662.75</v>
      </c>
      <c r="CP34" s="37">
        <f t="shared" si="6"/>
        <v>4144.8</v>
      </c>
      <c r="CQ34" s="59" t="s">
        <v>36</v>
      </c>
      <c r="CR34" s="59" t="s">
        <v>36</v>
      </c>
      <c r="CS34" s="37">
        <f>SUM(CS35:CS36)</f>
        <v>65455.97</v>
      </c>
      <c r="CT34" s="37">
        <f t="shared" ref="CT34" si="266">SUM(CT35:CT36)</f>
        <v>89589.739999999962</v>
      </c>
      <c r="CU34" s="59" t="s">
        <v>36</v>
      </c>
      <c r="CV34" s="59" t="s">
        <v>36</v>
      </c>
      <c r="CW34" s="37">
        <f t="shared" ref="CW34" si="267">SUM(CW35:CW36)</f>
        <v>65455.97</v>
      </c>
      <c r="CX34" s="37">
        <f>SUM(CX35:CX36)</f>
        <v>89589.739999999962</v>
      </c>
      <c r="CY34" s="59" t="s">
        <v>36</v>
      </c>
      <c r="CZ34" s="59" t="s">
        <v>36</v>
      </c>
      <c r="DA34" s="37">
        <f t="shared" ref="DA34" si="268">SUM(DA35:DA36)</f>
        <v>0</v>
      </c>
      <c r="DB34" s="37"/>
      <c r="DC34" s="59" t="s">
        <v>36</v>
      </c>
      <c r="DD34" s="59" t="s">
        <v>36</v>
      </c>
      <c r="DE34" s="37">
        <f t="shared" si="1"/>
        <v>3677.3016853932581</v>
      </c>
      <c r="DF34" s="37">
        <f t="shared" si="1"/>
        <v>4328.0067632850223</v>
      </c>
      <c r="DG34" s="35">
        <v>64.266666666666666</v>
      </c>
      <c r="DH34" s="35">
        <v>74.599999999999994</v>
      </c>
      <c r="DI34" s="35">
        <v>1.4553140096618356</v>
      </c>
      <c r="DJ34" s="35">
        <v>1.6893115942028987</v>
      </c>
      <c r="DK34" s="59" t="s">
        <v>36</v>
      </c>
      <c r="DL34" s="59" t="s">
        <v>36</v>
      </c>
      <c r="DM34" s="37">
        <v>700247.54864805646</v>
      </c>
      <c r="DN34" s="37">
        <v>732609.11</v>
      </c>
      <c r="DO34" s="59" t="s">
        <v>36</v>
      </c>
      <c r="DP34" s="59" t="s">
        <v>36</v>
      </c>
      <c r="DQ34" s="37">
        <v>700247.54864805646</v>
      </c>
      <c r="DR34" s="37">
        <v>732609.11</v>
      </c>
      <c r="DS34" s="59" t="s">
        <v>36</v>
      </c>
      <c r="DT34" s="59" t="s">
        <v>36</v>
      </c>
      <c r="DU34" s="37">
        <v>0</v>
      </c>
      <c r="DV34" s="37">
        <v>0</v>
      </c>
      <c r="DW34" s="59" t="s">
        <v>36</v>
      </c>
      <c r="DX34" s="59" t="s">
        <v>36</v>
      </c>
      <c r="DY34" s="37">
        <v>10895.97</v>
      </c>
      <c r="DZ34" s="37">
        <v>9820.5</v>
      </c>
      <c r="EA34" s="59" t="s">
        <v>36</v>
      </c>
      <c r="EB34" s="59" t="s">
        <v>36</v>
      </c>
      <c r="EC34" s="37">
        <v>703030.09</v>
      </c>
      <c r="ED34" s="37">
        <v>753250.38999999978</v>
      </c>
      <c r="EE34" s="59" t="s">
        <v>36</v>
      </c>
      <c r="EF34" s="59" t="s">
        <v>36</v>
      </c>
      <c r="EG34" s="37">
        <v>703030.09</v>
      </c>
      <c r="EH34" s="37">
        <v>753250.38999999978</v>
      </c>
      <c r="EI34" s="59" t="s">
        <v>36</v>
      </c>
      <c r="EJ34" s="59" t="s">
        <v>36</v>
      </c>
      <c r="EK34" s="37">
        <v>0</v>
      </c>
      <c r="EL34" s="59"/>
      <c r="EM34" s="59" t="s">
        <v>36</v>
      </c>
      <c r="EN34" s="59" t="s">
        <v>36</v>
      </c>
      <c r="EO34" s="37">
        <v>10939.264885892117</v>
      </c>
      <c r="EP34" s="37">
        <v>10097.19021447721</v>
      </c>
      <c r="EQ34" s="40">
        <v>233.06666666666663</v>
      </c>
      <c r="ER34" s="35">
        <v>246.3</v>
      </c>
      <c r="ES34" s="40">
        <v>1.3266545233758347</v>
      </c>
      <c r="ET34" s="40">
        <v>1.4019805861391352</v>
      </c>
      <c r="EU34" s="59" t="s">
        <v>36</v>
      </c>
      <c r="EV34" s="59" t="s">
        <v>36</v>
      </c>
      <c r="EW34" s="37">
        <v>1383742.1887364737</v>
      </c>
      <c r="EX34" s="37">
        <v>1436704.2400000002</v>
      </c>
      <c r="EY34" s="59" t="s">
        <v>36</v>
      </c>
      <c r="EZ34" s="59" t="s">
        <v>36</v>
      </c>
      <c r="FA34" s="37">
        <v>1375806.9787364735</v>
      </c>
      <c r="FB34" s="37">
        <v>1428769.03</v>
      </c>
      <c r="FC34" s="59" t="s">
        <v>36</v>
      </c>
      <c r="FD34" s="59" t="s">
        <v>36</v>
      </c>
      <c r="FE34" s="37">
        <v>7935.2100000000009</v>
      </c>
      <c r="FF34" s="37">
        <v>7935.2100000000009</v>
      </c>
      <c r="FG34" s="59" t="s">
        <v>36</v>
      </c>
      <c r="FH34" s="59" t="s">
        <v>36</v>
      </c>
      <c r="FI34" s="37">
        <v>5937.11</v>
      </c>
      <c r="FJ34" s="37">
        <v>5833.15</v>
      </c>
      <c r="FK34" s="59" t="s">
        <v>36</v>
      </c>
      <c r="FL34" s="59" t="s">
        <v>36</v>
      </c>
      <c r="FM34" s="37">
        <v>1395046.4700000002</v>
      </c>
      <c r="FN34" s="37">
        <v>1469400.54</v>
      </c>
      <c r="FO34" s="59" t="s">
        <v>36</v>
      </c>
      <c r="FP34" s="59" t="s">
        <v>36</v>
      </c>
      <c r="FQ34" s="37">
        <v>1380260.4200000004</v>
      </c>
      <c r="FR34" s="37">
        <v>1454614.4900000002</v>
      </c>
      <c r="FS34" s="59" t="s">
        <v>36</v>
      </c>
      <c r="FT34" s="59" t="s">
        <v>36</v>
      </c>
      <c r="FU34" s="37">
        <v>14786.05</v>
      </c>
      <c r="FV34" s="37">
        <v>14786.05</v>
      </c>
      <c r="FW34" s="59" t="s">
        <v>36</v>
      </c>
      <c r="FX34" s="59" t="s">
        <v>36</v>
      </c>
      <c r="FY34" s="37">
        <v>5985.6112843249448</v>
      </c>
      <c r="FZ34" s="37">
        <v>5965.8974421437269</v>
      </c>
      <c r="GA34" s="39">
        <v>13.233333333333377</v>
      </c>
      <c r="GB34" s="35">
        <v>5.6779176201373183</v>
      </c>
      <c r="GC34" s="59" t="s">
        <v>36</v>
      </c>
      <c r="GD34" s="40" t="s">
        <v>36</v>
      </c>
      <c r="GE34" s="41">
        <v>52962.051263526548</v>
      </c>
      <c r="GF34" s="40">
        <v>3.8274507848812034</v>
      </c>
      <c r="GG34" s="59" t="s">
        <v>36</v>
      </c>
      <c r="GH34" s="61" t="s">
        <v>36</v>
      </c>
      <c r="GI34" s="41">
        <v>52962.051263526548</v>
      </c>
      <c r="GJ34" s="40">
        <v>3.8495262839970623</v>
      </c>
      <c r="GK34" s="59" t="s">
        <v>36</v>
      </c>
      <c r="GL34" s="62" t="s">
        <v>36</v>
      </c>
      <c r="GM34" s="41">
        <v>0</v>
      </c>
      <c r="GN34" s="40">
        <v>0</v>
      </c>
      <c r="GO34" s="59" t="s">
        <v>36</v>
      </c>
      <c r="GP34" s="61" t="s">
        <v>36</v>
      </c>
      <c r="GQ34" s="41">
        <v>-103.96000000000004</v>
      </c>
      <c r="GR34" s="44"/>
      <c r="GS34" s="44"/>
      <c r="GT34" s="44"/>
      <c r="GU34" s="44"/>
      <c r="GV34" s="44"/>
      <c r="GW34" s="44"/>
    </row>
    <row r="35" spans="1:205">
      <c r="A35" s="418"/>
      <c r="B35" s="45" t="s">
        <v>38</v>
      </c>
      <c r="C35" s="46">
        <f t="shared" ref="C35:C36" si="269">D35</f>
        <v>64.599999999999994</v>
      </c>
      <c r="D35" s="46">
        <f>VLOOKUP($B34,[1]!LTV1_RL2[[LTV1]:[Q1]],2,0)</f>
        <v>64.599999999999994</v>
      </c>
      <c r="E35" s="46">
        <f t="shared" ref="E35" si="270">IFERROR(C35/$C$65*100,0)</f>
        <v>2.9578754578754576</v>
      </c>
      <c r="F35" s="46">
        <f t="shared" ref="F35" si="271">IFERROR(D35/$D$65*100,0)</f>
        <v>2.9578754578754576</v>
      </c>
      <c r="G35" s="55" t="s">
        <v>36</v>
      </c>
      <c r="H35" s="55" t="s">
        <v>36</v>
      </c>
      <c r="I35" s="48">
        <f t="shared" si="2"/>
        <v>298403.30000000016</v>
      </c>
      <c r="J35" s="48">
        <v>298403.30000000016</v>
      </c>
      <c r="K35" s="55" t="s">
        <v>36</v>
      </c>
      <c r="L35" s="55" t="s">
        <v>36</v>
      </c>
      <c r="M35" s="48">
        <f t="shared" ref="M35:N36" si="272">I35-Q35</f>
        <v>292442.11000000016</v>
      </c>
      <c r="N35" s="48">
        <f t="shared" si="272"/>
        <v>292442.11000000016</v>
      </c>
      <c r="O35" s="55" t="s">
        <v>36</v>
      </c>
      <c r="P35" s="55" t="s">
        <v>36</v>
      </c>
      <c r="Q35" s="48">
        <f>R35</f>
        <v>5961.1900000000005</v>
      </c>
      <c r="R35" s="48">
        <f>[1]Līdzfinansējums!CH31</f>
        <v>5961.1900000000005</v>
      </c>
      <c r="S35" s="55" t="s">
        <v>36</v>
      </c>
      <c r="T35" s="55" t="s">
        <v>36</v>
      </c>
      <c r="U35" s="48">
        <f t="shared" si="3"/>
        <v>4619.25</v>
      </c>
      <c r="V35" s="48">
        <f t="shared" si="3"/>
        <v>4619.25</v>
      </c>
      <c r="W35" s="55" t="s">
        <v>36</v>
      </c>
      <c r="X35" s="55" t="s">
        <v>36</v>
      </c>
      <c r="Y35" s="48">
        <f t="shared" ref="Y35:Y36" si="273">Z35</f>
        <v>365333.39000000031</v>
      </c>
      <c r="Z35" s="48">
        <f>[1]Fakts_Izd!Z59</f>
        <v>365333.39000000031</v>
      </c>
      <c r="AA35" s="55" t="s">
        <v>36</v>
      </c>
      <c r="AB35" s="55" t="s">
        <v>36</v>
      </c>
      <c r="AC35" s="48">
        <f>Y35-AG35</f>
        <v>359372.2000000003</v>
      </c>
      <c r="AD35" s="48">
        <f t="shared" ref="AD35:AD36" si="274">Z35-AH35</f>
        <v>359372.2000000003</v>
      </c>
      <c r="AE35" s="55" t="s">
        <v>36</v>
      </c>
      <c r="AF35" s="55" t="s">
        <v>36</v>
      </c>
      <c r="AG35" s="48">
        <f>AH35</f>
        <v>5961.1900000000005</v>
      </c>
      <c r="AH35" s="48">
        <v>5961.1900000000005</v>
      </c>
      <c r="AI35" s="55" t="s">
        <v>36</v>
      </c>
      <c r="AJ35" s="55" t="s">
        <v>36</v>
      </c>
      <c r="AK35" s="48">
        <f t="shared" si="4"/>
        <v>5655.3156346749274</v>
      </c>
      <c r="AL35" s="48">
        <f t="shared" si="4"/>
        <v>5655.3156346749274</v>
      </c>
      <c r="AM35" s="46">
        <f t="shared" ref="AM35:AM36" si="275">AN35</f>
        <v>78.3</v>
      </c>
      <c r="AN35" s="46">
        <f>VLOOKUP($B34,[1]!LTV1_RL2[[LTV1]:[Q2]],3,0)</f>
        <v>78.3</v>
      </c>
      <c r="AO35" s="63">
        <f t="shared" ref="AO35:AO36" si="276">IFERROR(AM35/$AM$65*100,0)</f>
        <v>3.5851648351648349</v>
      </c>
      <c r="AP35" s="46">
        <f t="shared" ref="AP35" si="277">IFERROR(AN35/$AN$65*100,0)</f>
        <v>3.5851648351648349</v>
      </c>
      <c r="AQ35" s="55" t="s">
        <v>36</v>
      </c>
      <c r="AR35" s="55" t="s">
        <v>36</v>
      </c>
      <c r="AS35" s="48">
        <f t="shared" ref="AS35:AS36" si="278">AT35</f>
        <v>319894.44</v>
      </c>
      <c r="AT35" s="48">
        <v>319894.44</v>
      </c>
      <c r="AU35" s="55" t="s">
        <v>36</v>
      </c>
      <c r="AV35" s="55" t="s">
        <v>36</v>
      </c>
      <c r="AW35" s="48">
        <f t="shared" ref="AW35:AX36" si="279">AS35-BA35</f>
        <v>317920.42</v>
      </c>
      <c r="AX35" s="48">
        <f t="shared" si="279"/>
        <v>317920.42</v>
      </c>
      <c r="AY35" s="55" t="s">
        <v>36</v>
      </c>
      <c r="AZ35" s="55" t="s">
        <v>36</v>
      </c>
      <c r="BA35" s="48">
        <f>BB35</f>
        <v>1974.02</v>
      </c>
      <c r="BB35" s="48">
        <v>1974.02</v>
      </c>
      <c r="BC35" s="55" t="s">
        <v>36</v>
      </c>
      <c r="BD35" s="55" t="s">
        <v>36</v>
      </c>
      <c r="BE35" s="48">
        <f t="shared" si="5"/>
        <v>4085.5</v>
      </c>
      <c r="BF35" s="48">
        <f t="shared" si="5"/>
        <v>4085.5</v>
      </c>
      <c r="BG35" s="55" t="s">
        <v>36</v>
      </c>
      <c r="BH35" s="55" t="s">
        <v>36</v>
      </c>
      <c r="BI35" s="48">
        <f t="shared" ref="BI35:BI36" si="280">BJ35</f>
        <v>261227.01999999996</v>
      </c>
      <c r="BJ35" s="48">
        <f>[1]Fakts_Izd!AA59</f>
        <v>261227.01999999996</v>
      </c>
      <c r="BK35" s="55" t="s">
        <v>36</v>
      </c>
      <c r="BL35" s="55" t="s">
        <v>36</v>
      </c>
      <c r="BM35" s="48">
        <f t="shared" ref="BM35:BN36" si="281">BI35-BQ35</f>
        <v>252402.15999999997</v>
      </c>
      <c r="BN35" s="48">
        <f t="shared" si="281"/>
        <v>252402.15999999997</v>
      </c>
      <c r="BO35" s="55" t="s">
        <v>36</v>
      </c>
      <c r="BP35" s="55" t="s">
        <v>36</v>
      </c>
      <c r="BQ35" s="48">
        <f>BR35</f>
        <v>8824.8599999999988</v>
      </c>
      <c r="BR35" s="48">
        <v>8824.8599999999988</v>
      </c>
      <c r="BS35" s="55" t="s">
        <v>36</v>
      </c>
      <c r="BT35" s="55" t="s">
        <v>36</v>
      </c>
      <c r="BU35" s="48">
        <f t="shared" si="0"/>
        <v>3336.2326947637289</v>
      </c>
      <c r="BV35" s="49">
        <f t="shared" si="0"/>
        <v>3336.2326947637289</v>
      </c>
      <c r="BW35" s="46">
        <f>SUMIFS([1]SP2024!$AW$7:$AW$148,[1]SP2024!$L$7:$L$148,$B34,[1]SP2024!$M$7:$M$148,$B35)</f>
        <v>17.8</v>
      </c>
      <c r="BX35" s="46">
        <f>VLOOKUP($B34,[1]!LTV1_RL2[[LTV1]:[Q3]],4,0)</f>
        <v>18.3</v>
      </c>
      <c r="BY35" s="46">
        <f t="shared" ref="BY35:BY36" si="282">IFERROR(BW35/$BW$65*100,0)</f>
        <v>0.80615942028985499</v>
      </c>
      <c r="BZ35" s="46">
        <f t="shared" ref="BZ35" si="283">IFERROR(BX35/$BX$65*100,0)</f>
        <v>0.82880340941642971</v>
      </c>
      <c r="CA35" s="55" t="s">
        <v>36</v>
      </c>
      <c r="CB35" s="55" t="s">
        <v>36</v>
      </c>
      <c r="CC35" s="48">
        <f>CS35*'[2]Pielikums nr. 1.'!$EY$14</f>
        <v>65196.900088416878</v>
      </c>
      <c r="CD35" s="48">
        <v>84994.060000000012</v>
      </c>
      <c r="CE35" s="55" t="s">
        <v>36</v>
      </c>
      <c r="CF35" s="55" t="s">
        <v>36</v>
      </c>
      <c r="CG35" s="48">
        <f t="shared" ref="CG35:CH36" si="284">CC35-CK35</f>
        <v>65196.900088416878</v>
      </c>
      <c r="CH35" s="48">
        <f t="shared" si="284"/>
        <v>84994.060000000012</v>
      </c>
      <c r="CI35" s="55" t="s">
        <v>36</v>
      </c>
      <c r="CJ35" s="55" t="s">
        <v>36</v>
      </c>
      <c r="CK35" s="48"/>
      <c r="CL35" s="48"/>
      <c r="CM35" s="55" t="s">
        <v>36</v>
      </c>
      <c r="CN35" s="55" t="s">
        <v>36</v>
      </c>
      <c r="CO35" s="48">
        <f t="shared" si="6"/>
        <v>3662.75</v>
      </c>
      <c r="CP35" s="48">
        <f t="shared" si="6"/>
        <v>4644.4799999999996</v>
      </c>
      <c r="CQ35" s="55" t="s">
        <v>36</v>
      </c>
      <c r="CR35" s="55" t="s">
        <v>36</v>
      </c>
      <c r="CS35" s="48">
        <f>SUMIFS([1]SP2024!$BS$7:$BS$148,[1]SP2024!$L$7:$L$148,$B34,[1]SP2024!$M$7:$M$148,$B35)</f>
        <v>65455.97</v>
      </c>
      <c r="CT35" s="48">
        <f>[1]Fakts_Izd!AB59</f>
        <v>89589.739999999962</v>
      </c>
      <c r="CU35" s="55" t="s">
        <v>36</v>
      </c>
      <c r="CV35" s="55" t="s">
        <v>36</v>
      </c>
      <c r="CW35" s="48">
        <f t="shared" ref="CW35:CX36" si="285">CS35-DA35</f>
        <v>65455.97</v>
      </c>
      <c r="CX35" s="48">
        <f t="shared" si="285"/>
        <v>89589.739999999962</v>
      </c>
      <c r="CY35" s="55" t="s">
        <v>36</v>
      </c>
      <c r="CZ35" s="55" t="s">
        <v>36</v>
      </c>
      <c r="DA35" s="48">
        <f>SUMIFS([1]SP2024!$BQ$7:$BQ$148,[1]SP2024!$J$7:$J$148,$B34,[1]SP2024!$K$7:$K$148,$B35)</f>
        <v>0</v>
      </c>
      <c r="DB35" s="48"/>
      <c r="DC35" s="55" t="s">
        <v>36</v>
      </c>
      <c r="DD35" s="55" t="s">
        <v>36</v>
      </c>
      <c r="DE35" s="48">
        <f t="shared" si="1"/>
        <v>3677.3016853932581</v>
      </c>
      <c r="DF35" s="48">
        <f t="shared" si="1"/>
        <v>4895.6142076502711</v>
      </c>
      <c r="DG35" s="46">
        <v>64.266666666666666</v>
      </c>
      <c r="DH35" s="46">
        <v>64.8</v>
      </c>
      <c r="DI35" s="46">
        <v>2.9106280193236711</v>
      </c>
      <c r="DJ35" s="46">
        <v>2.9347826086956528</v>
      </c>
      <c r="DK35" s="55" t="s">
        <v>36</v>
      </c>
      <c r="DL35" s="55" t="s">
        <v>36</v>
      </c>
      <c r="DM35" s="48">
        <v>700247.54864805646</v>
      </c>
      <c r="DN35" s="48">
        <v>722033.24</v>
      </c>
      <c r="DO35" s="55" t="s">
        <v>36</v>
      </c>
      <c r="DP35" s="55" t="s">
        <v>36</v>
      </c>
      <c r="DQ35" s="48">
        <v>700247.54864805646</v>
      </c>
      <c r="DR35" s="48">
        <v>722033.24</v>
      </c>
      <c r="DS35" s="55" t="s">
        <v>36</v>
      </c>
      <c r="DT35" s="55" t="s">
        <v>36</v>
      </c>
      <c r="DU35" s="48"/>
      <c r="DV35" s="48"/>
      <c r="DW35" s="55" t="s">
        <v>36</v>
      </c>
      <c r="DX35" s="55" t="s">
        <v>36</v>
      </c>
      <c r="DY35" s="48">
        <v>10895.97</v>
      </c>
      <c r="DZ35" s="48">
        <v>11142.49</v>
      </c>
      <c r="EA35" s="55" t="s">
        <v>36</v>
      </c>
      <c r="EB35" s="55" t="s">
        <v>36</v>
      </c>
      <c r="EC35" s="48">
        <v>703030.09</v>
      </c>
      <c r="ED35" s="48">
        <v>753250.38999999978</v>
      </c>
      <c r="EE35" s="55" t="s">
        <v>36</v>
      </c>
      <c r="EF35" s="55" t="s">
        <v>36</v>
      </c>
      <c r="EG35" s="48">
        <v>703030.09</v>
      </c>
      <c r="EH35" s="48">
        <v>753250.38999999978</v>
      </c>
      <c r="EI35" s="55" t="s">
        <v>36</v>
      </c>
      <c r="EJ35" s="55" t="s">
        <v>36</v>
      </c>
      <c r="EK35" s="48">
        <v>0</v>
      </c>
      <c r="EL35" s="55"/>
      <c r="EM35" s="55" t="s">
        <v>36</v>
      </c>
      <c r="EN35" s="55" t="s">
        <v>36</v>
      </c>
      <c r="EO35" s="48">
        <v>10939.264885892117</v>
      </c>
      <c r="EP35" s="48">
        <v>11624.234413580243</v>
      </c>
      <c r="EQ35" s="46">
        <v>224.96666666666664</v>
      </c>
      <c r="ER35" s="46">
        <v>226</v>
      </c>
      <c r="ES35" s="46">
        <v>2.561095931997571</v>
      </c>
      <c r="ET35" s="46">
        <v>2.5728590127336597</v>
      </c>
      <c r="EU35" s="55" t="s">
        <v>36</v>
      </c>
      <c r="EV35" s="55" t="s">
        <v>36</v>
      </c>
      <c r="EW35" s="48">
        <v>1383742.1887364737</v>
      </c>
      <c r="EX35" s="48">
        <v>1425325.0400000003</v>
      </c>
      <c r="EY35" s="55" t="s">
        <v>36</v>
      </c>
      <c r="EZ35" s="55" t="s">
        <v>36</v>
      </c>
      <c r="FA35" s="48">
        <v>1375806.9787364735</v>
      </c>
      <c r="FB35" s="48">
        <v>1417389.83</v>
      </c>
      <c r="FC35" s="55" t="s">
        <v>36</v>
      </c>
      <c r="FD35" s="55" t="s">
        <v>36</v>
      </c>
      <c r="FE35" s="48">
        <v>7935.2100000000009</v>
      </c>
      <c r="FF35" s="48">
        <v>7935.2100000000009</v>
      </c>
      <c r="FG35" s="55" t="s">
        <v>36</v>
      </c>
      <c r="FH35" s="55" t="s">
        <v>36</v>
      </c>
      <c r="FI35" s="48">
        <v>6150.88</v>
      </c>
      <c r="FJ35" s="48">
        <v>6306.75</v>
      </c>
      <c r="FK35" s="55" t="s">
        <v>36</v>
      </c>
      <c r="FL35" s="55" t="s">
        <v>36</v>
      </c>
      <c r="FM35" s="48">
        <v>1395046.4700000002</v>
      </c>
      <c r="FN35" s="48">
        <v>1469400.54</v>
      </c>
      <c r="FO35" s="55" t="s">
        <v>36</v>
      </c>
      <c r="FP35" s="55" t="s">
        <v>36</v>
      </c>
      <c r="FQ35" s="48">
        <v>1380260.4200000004</v>
      </c>
      <c r="FR35" s="48">
        <v>1454614.4900000002</v>
      </c>
      <c r="FS35" s="55" t="s">
        <v>36</v>
      </c>
      <c r="FT35" s="55" t="s">
        <v>36</v>
      </c>
      <c r="FU35" s="48">
        <v>14786.05</v>
      </c>
      <c r="FV35" s="48">
        <v>14786.05</v>
      </c>
      <c r="FW35" s="55" t="s">
        <v>36</v>
      </c>
      <c r="FX35" s="55" t="s">
        <v>36</v>
      </c>
      <c r="FY35" s="48">
        <v>6201.1252185508984</v>
      </c>
      <c r="FZ35" s="48">
        <v>6501.7723008849562</v>
      </c>
      <c r="GA35" s="50">
        <v>1.0333333333333599</v>
      </c>
      <c r="GB35" s="46">
        <v>0.45932730774931319</v>
      </c>
      <c r="GC35" s="55" t="s">
        <v>36</v>
      </c>
      <c r="GD35" s="46" t="s">
        <v>36</v>
      </c>
      <c r="GE35" s="51">
        <v>41582.851263526594</v>
      </c>
      <c r="GF35" s="46">
        <v>3.0051010659360555</v>
      </c>
      <c r="GG35" s="55" t="s">
        <v>36</v>
      </c>
      <c r="GH35" s="57" t="s">
        <v>36</v>
      </c>
      <c r="GI35" s="51">
        <v>41582.851263526594</v>
      </c>
      <c r="GJ35" s="46">
        <v>3.0224335176520123</v>
      </c>
      <c r="GK35" s="55" t="s">
        <v>36</v>
      </c>
      <c r="GL35" s="58" t="s">
        <v>36</v>
      </c>
      <c r="GM35" s="51">
        <v>0</v>
      </c>
      <c r="GN35" s="46">
        <v>0</v>
      </c>
      <c r="GO35" s="55" t="s">
        <v>36</v>
      </c>
      <c r="GP35" s="57" t="s">
        <v>36</v>
      </c>
      <c r="GQ35" s="51">
        <v>155.86999999999989</v>
      </c>
      <c r="GR35" s="44"/>
      <c r="GS35" s="44"/>
      <c r="GT35" s="44"/>
      <c r="GU35" s="44"/>
      <c r="GV35" s="44"/>
      <c r="GW35" s="44"/>
    </row>
    <row r="36" spans="1:205">
      <c r="A36" s="418"/>
      <c r="B36" s="45" t="s">
        <v>39</v>
      </c>
      <c r="C36" s="46">
        <f t="shared" si="269"/>
        <v>7.5</v>
      </c>
      <c r="D36" s="46">
        <f>VLOOKUP($B34,[1]!LTV7_RL7[[LTV7]:[Q1]],2,0)</f>
        <v>7.5</v>
      </c>
      <c r="E36" s="46">
        <f t="shared" ref="E36" si="286">IFERROR(C36/$C$66*100,0)</f>
        <v>0.34340659340659341</v>
      </c>
      <c r="F36" s="46">
        <f t="shared" ref="F36" si="287">IFERROR(D36/$D$66*100,0)</f>
        <v>0.34340659340659341</v>
      </c>
      <c r="G36" s="55" t="s">
        <v>36</v>
      </c>
      <c r="H36" s="55" t="s">
        <v>36</v>
      </c>
      <c r="I36" s="48">
        <f t="shared" si="2"/>
        <v>0</v>
      </c>
      <c r="J36" s="48">
        <v>0</v>
      </c>
      <c r="K36" s="55" t="s">
        <v>36</v>
      </c>
      <c r="L36" s="55" t="s">
        <v>36</v>
      </c>
      <c r="M36" s="48">
        <f t="shared" si="272"/>
        <v>0</v>
      </c>
      <c r="N36" s="48">
        <f t="shared" si="272"/>
        <v>0</v>
      </c>
      <c r="O36" s="55" t="s">
        <v>36</v>
      </c>
      <c r="P36" s="55" t="s">
        <v>36</v>
      </c>
      <c r="Q36" s="48"/>
      <c r="R36" s="48"/>
      <c r="S36" s="55" t="s">
        <v>36</v>
      </c>
      <c r="T36" s="55" t="s">
        <v>36</v>
      </c>
      <c r="U36" s="48">
        <f t="shared" si="3"/>
        <v>0</v>
      </c>
      <c r="V36" s="48">
        <f t="shared" si="3"/>
        <v>0</v>
      </c>
      <c r="W36" s="55" t="s">
        <v>36</v>
      </c>
      <c r="X36" s="55" t="s">
        <v>36</v>
      </c>
      <c r="Y36" s="48">
        <f t="shared" si="273"/>
        <v>0</v>
      </c>
      <c r="Z36" s="48">
        <v>0</v>
      </c>
      <c r="AA36" s="55" t="s">
        <v>36</v>
      </c>
      <c r="AB36" s="55" t="s">
        <v>36</v>
      </c>
      <c r="AC36" s="48">
        <f>Y36-AG36</f>
        <v>0</v>
      </c>
      <c r="AD36" s="48">
        <f t="shared" si="274"/>
        <v>0</v>
      </c>
      <c r="AE36" s="55" t="s">
        <v>36</v>
      </c>
      <c r="AF36" s="55" t="s">
        <v>36</v>
      </c>
      <c r="AG36" s="48">
        <f>SUMIFS([1]SP2024!$BO$7:$BO$148,[1]SP2024!$J$7:$J$148,$B34,[1]SP2024!$K$7:$K$148,$B36)</f>
        <v>0</v>
      </c>
      <c r="AH36" s="48"/>
      <c r="AI36" s="55" t="s">
        <v>36</v>
      </c>
      <c r="AJ36" s="55" t="s">
        <v>36</v>
      </c>
      <c r="AK36" s="48">
        <f t="shared" si="4"/>
        <v>0</v>
      </c>
      <c r="AL36" s="48">
        <f t="shared" si="4"/>
        <v>0</v>
      </c>
      <c r="AM36" s="46">
        <f t="shared" si="275"/>
        <v>0.6</v>
      </c>
      <c r="AN36" s="46">
        <f>VLOOKUP($B34,[1]!LTV7_RL7[[LTV7]:[Q2]],3,0)</f>
        <v>0.6</v>
      </c>
      <c r="AO36" s="63">
        <f t="shared" si="276"/>
        <v>2.7472527472527472E-2</v>
      </c>
      <c r="AP36" s="46">
        <f t="shared" ref="AP36" si="288">IFERROR(AN36/$AN$66*100,0)</f>
        <v>2.7472527472527479E-2</v>
      </c>
      <c r="AQ36" s="55" t="s">
        <v>36</v>
      </c>
      <c r="AR36" s="55" t="s">
        <v>36</v>
      </c>
      <c r="AS36" s="48">
        <f t="shared" si="278"/>
        <v>0</v>
      </c>
      <c r="AT36" s="48">
        <v>0</v>
      </c>
      <c r="AU36" s="55" t="s">
        <v>36</v>
      </c>
      <c r="AV36" s="55" t="s">
        <v>36</v>
      </c>
      <c r="AW36" s="48">
        <f t="shared" si="279"/>
        <v>0</v>
      </c>
      <c r="AX36" s="48">
        <f t="shared" si="279"/>
        <v>0</v>
      </c>
      <c r="AY36" s="55" t="s">
        <v>36</v>
      </c>
      <c r="AZ36" s="55" t="s">
        <v>36</v>
      </c>
      <c r="BA36" s="48"/>
      <c r="BB36" s="48"/>
      <c r="BC36" s="55" t="s">
        <v>36</v>
      </c>
      <c r="BD36" s="55" t="s">
        <v>36</v>
      </c>
      <c r="BE36" s="48">
        <f t="shared" si="5"/>
        <v>0</v>
      </c>
      <c r="BF36" s="48">
        <f t="shared" si="5"/>
        <v>0</v>
      </c>
      <c r="BG36" s="55" t="s">
        <v>36</v>
      </c>
      <c r="BH36" s="55" t="s">
        <v>36</v>
      </c>
      <c r="BI36" s="48">
        <f t="shared" si="280"/>
        <v>0</v>
      </c>
      <c r="BJ36" s="48">
        <v>0</v>
      </c>
      <c r="BK36" s="55" t="s">
        <v>36</v>
      </c>
      <c r="BL36" s="55" t="s">
        <v>36</v>
      </c>
      <c r="BM36" s="48">
        <f t="shared" si="281"/>
        <v>0</v>
      </c>
      <c r="BN36" s="48">
        <f t="shared" si="281"/>
        <v>0</v>
      </c>
      <c r="BO36" s="55" t="s">
        <v>36</v>
      </c>
      <c r="BP36" s="55" t="s">
        <v>36</v>
      </c>
      <c r="BQ36" s="48">
        <f>SUMIFS([1]SP2024!$BP$7:$BP$148,[1]SP2024!$J$7:$J$148,$B34,[1]SP2024!$K$7:$K$148,$B36)</f>
        <v>0</v>
      </c>
      <c r="BR36" s="48"/>
      <c r="BS36" s="55" t="s">
        <v>36</v>
      </c>
      <c r="BT36" s="55" t="s">
        <v>36</v>
      </c>
      <c r="BU36" s="48">
        <f t="shared" si="0"/>
        <v>0</v>
      </c>
      <c r="BV36" s="49">
        <f t="shared" si="0"/>
        <v>0</v>
      </c>
      <c r="BW36" s="46">
        <f>SUMIFS([1]SP2024!$AW$7:$AW$148,[1]SP2024!$L$7:$L$148,$B34,[1]SP2024!$M$7:$M$148,$B36)</f>
        <v>0</v>
      </c>
      <c r="BX36" s="46">
        <f>VLOOKUP($B34,[1]!LTV7_RL7[[LTV7]:[Q3]],4,0)</f>
        <v>2.4</v>
      </c>
      <c r="BY36" s="46">
        <f t="shared" si="282"/>
        <v>0</v>
      </c>
      <c r="BZ36" s="46">
        <f t="shared" ref="BZ36" si="289">IFERROR(BX36/$BX$66*100,0)</f>
        <v>0.108695597476048</v>
      </c>
      <c r="CA36" s="55" t="s">
        <v>36</v>
      </c>
      <c r="CB36" s="55" t="s">
        <v>36</v>
      </c>
      <c r="CC36" s="48">
        <f>CS36*'[2]Pielikums nr. 1.'!$EY$14</f>
        <v>0</v>
      </c>
      <c r="CD36" s="48">
        <v>803.32999999999993</v>
      </c>
      <c r="CE36" s="55" t="s">
        <v>36</v>
      </c>
      <c r="CF36" s="55" t="s">
        <v>36</v>
      </c>
      <c r="CG36" s="48">
        <f t="shared" si="284"/>
        <v>0</v>
      </c>
      <c r="CH36" s="48">
        <f t="shared" si="284"/>
        <v>803.32999999999993</v>
      </c>
      <c r="CI36" s="55" t="s">
        <v>36</v>
      </c>
      <c r="CJ36" s="55" t="s">
        <v>36</v>
      </c>
      <c r="CK36" s="48"/>
      <c r="CL36" s="48"/>
      <c r="CM36" s="55" t="s">
        <v>36</v>
      </c>
      <c r="CN36" s="55" t="s">
        <v>36</v>
      </c>
      <c r="CO36" s="48">
        <f t="shared" si="6"/>
        <v>0</v>
      </c>
      <c r="CP36" s="48">
        <f t="shared" si="6"/>
        <v>334.72</v>
      </c>
      <c r="CQ36" s="55" t="s">
        <v>36</v>
      </c>
      <c r="CR36" s="55" t="s">
        <v>36</v>
      </c>
      <c r="CS36" s="48">
        <f>SUMIFS([1]SP2024!$BS$7:$BS$148,[1]SP2024!$L$7:$L$148,$B34,[1]SP2024!$M$7:$M$148,$B36)</f>
        <v>0</v>
      </c>
      <c r="CT36" s="48">
        <v>0</v>
      </c>
      <c r="CU36" s="55" t="s">
        <v>36</v>
      </c>
      <c r="CV36" s="55" t="s">
        <v>36</v>
      </c>
      <c r="CW36" s="48">
        <f t="shared" si="285"/>
        <v>0</v>
      </c>
      <c r="CX36" s="48">
        <f t="shared" si="285"/>
        <v>0</v>
      </c>
      <c r="CY36" s="55" t="s">
        <v>36</v>
      </c>
      <c r="CZ36" s="55" t="s">
        <v>36</v>
      </c>
      <c r="DA36" s="48">
        <f>SUMIFS([1]SP2024!$BQ$7:$BQ$148,[1]SP2024!$J$7:$J$148,$B34,[1]SP2024!$K$7:$K$148,$B36)</f>
        <v>0</v>
      </c>
      <c r="DB36" s="48"/>
      <c r="DC36" s="55" t="s">
        <v>36</v>
      </c>
      <c r="DD36" s="55" t="s">
        <v>36</v>
      </c>
      <c r="DE36" s="48">
        <f t="shared" si="1"/>
        <v>0</v>
      </c>
      <c r="DF36" s="48">
        <f t="shared" si="1"/>
        <v>0</v>
      </c>
      <c r="DG36" s="46">
        <v>0</v>
      </c>
      <c r="DH36" s="46">
        <v>9.8000000000000007</v>
      </c>
      <c r="DI36" s="46">
        <v>0</v>
      </c>
      <c r="DJ36" s="46">
        <v>0.44384057971014501</v>
      </c>
      <c r="DK36" s="55" t="s">
        <v>36</v>
      </c>
      <c r="DL36" s="55" t="s">
        <v>36</v>
      </c>
      <c r="DM36" s="48">
        <v>0</v>
      </c>
      <c r="DN36" s="48">
        <v>10575.869999999999</v>
      </c>
      <c r="DO36" s="55" t="s">
        <v>36</v>
      </c>
      <c r="DP36" s="55" t="s">
        <v>36</v>
      </c>
      <c r="DQ36" s="48">
        <v>0</v>
      </c>
      <c r="DR36" s="48">
        <v>10575.869999999999</v>
      </c>
      <c r="DS36" s="55" t="s">
        <v>36</v>
      </c>
      <c r="DT36" s="55" t="s">
        <v>36</v>
      </c>
      <c r="DU36" s="48"/>
      <c r="DV36" s="48"/>
      <c r="DW36" s="55" t="s">
        <v>36</v>
      </c>
      <c r="DX36" s="55" t="s">
        <v>36</v>
      </c>
      <c r="DY36" s="48">
        <v>0</v>
      </c>
      <c r="DZ36" s="48">
        <v>1079.17</v>
      </c>
      <c r="EA36" s="55" t="s">
        <v>36</v>
      </c>
      <c r="EB36" s="55" t="s">
        <v>36</v>
      </c>
      <c r="EC36" s="48">
        <v>0</v>
      </c>
      <c r="ED36" s="48">
        <v>0</v>
      </c>
      <c r="EE36" s="55" t="s">
        <v>36</v>
      </c>
      <c r="EF36" s="55" t="s">
        <v>36</v>
      </c>
      <c r="EG36" s="48">
        <v>0</v>
      </c>
      <c r="EH36" s="48">
        <v>0</v>
      </c>
      <c r="EI36" s="55" t="s">
        <v>36</v>
      </c>
      <c r="EJ36" s="55" t="s">
        <v>36</v>
      </c>
      <c r="EK36" s="48">
        <v>0</v>
      </c>
      <c r="EL36" s="55"/>
      <c r="EM36" s="55" t="s">
        <v>36</v>
      </c>
      <c r="EN36" s="55" t="s">
        <v>36</v>
      </c>
      <c r="EO36" s="48">
        <v>0</v>
      </c>
      <c r="EP36" s="48">
        <v>0</v>
      </c>
      <c r="EQ36" s="46">
        <v>8.1</v>
      </c>
      <c r="ER36" s="46">
        <v>20.3</v>
      </c>
      <c r="ES36" s="46">
        <v>9.2213114754098352E-2</v>
      </c>
      <c r="ET36" s="46">
        <v>0.23110197441029473</v>
      </c>
      <c r="EU36" s="55" t="s">
        <v>36</v>
      </c>
      <c r="EV36" s="55" t="s">
        <v>36</v>
      </c>
      <c r="EW36" s="48">
        <v>0</v>
      </c>
      <c r="EX36" s="48">
        <v>11379.199999999999</v>
      </c>
      <c r="EY36" s="55" t="s">
        <v>36</v>
      </c>
      <c r="EZ36" s="55" t="s">
        <v>36</v>
      </c>
      <c r="FA36" s="48">
        <v>0</v>
      </c>
      <c r="FB36" s="48">
        <v>11379.199999999999</v>
      </c>
      <c r="FC36" s="55" t="s">
        <v>36</v>
      </c>
      <c r="FD36" s="55" t="s">
        <v>36</v>
      </c>
      <c r="FE36" s="48">
        <v>0</v>
      </c>
      <c r="FF36" s="48">
        <v>0</v>
      </c>
      <c r="FG36" s="55" t="s">
        <v>36</v>
      </c>
      <c r="FH36" s="55" t="s">
        <v>36</v>
      </c>
      <c r="FI36" s="48">
        <v>0</v>
      </c>
      <c r="FJ36" s="48">
        <v>560.54999999999995</v>
      </c>
      <c r="FK36" s="55" t="s">
        <v>36</v>
      </c>
      <c r="FL36" s="55" t="s">
        <v>36</v>
      </c>
      <c r="FM36" s="48">
        <v>0</v>
      </c>
      <c r="FN36" s="48">
        <v>0</v>
      </c>
      <c r="FO36" s="55" t="s">
        <v>36</v>
      </c>
      <c r="FP36" s="55" t="s">
        <v>36</v>
      </c>
      <c r="FQ36" s="48">
        <v>0</v>
      </c>
      <c r="FR36" s="48">
        <v>0</v>
      </c>
      <c r="FS36" s="55" t="s">
        <v>36</v>
      </c>
      <c r="FT36" s="55" t="s">
        <v>36</v>
      </c>
      <c r="FU36" s="48">
        <v>0</v>
      </c>
      <c r="FV36" s="48">
        <v>0</v>
      </c>
      <c r="FW36" s="55" t="s">
        <v>36</v>
      </c>
      <c r="FX36" s="55" t="s">
        <v>36</v>
      </c>
      <c r="FY36" s="48">
        <v>0</v>
      </c>
      <c r="FZ36" s="48">
        <v>0</v>
      </c>
      <c r="GA36" s="50">
        <v>12.200000000000001</v>
      </c>
      <c r="GB36" s="46">
        <v>150.61728395061729</v>
      </c>
      <c r="GC36" s="55" t="s">
        <v>36</v>
      </c>
      <c r="GD36" s="46" t="s">
        <v>36</v>
      </c>
      <c r="GE36" s="51">
        <v>11379.199999999999</v>
      </c>
      <c r="GF36" s="46" t="s">
        <v>88</v>
      </c>
      <c r="GG36" s="55" t="s">
        <v>36</v>
      </c>
      <c r="GH36" s="57" t="s">
        <v>36</v>
      </c>
      <c r="GI36" s="51">
        <v>11379.199999999999</v>
      </c>
      <c r="GJ36" s="46" t="s">
        <v>88</v>
      </c>
      <c r="GK36" s="55" t="s">
        <v>36</v>
      </c>
      <c r="GL36" s="58" t="s">
        <v>36</v>
      </c>
      <c r="GM36" s="51">
        <v>0</v>
      </c>
      <c r="GN36" s="46" t="s">
        <v>88</v>
      </c>
      <c r="GO36" s="55" t="s">
        <v>36</v>
      </c>
      <c r="GP36" s="57" t="s">
        <v>36</v>
      </c>
      <c r="GQ36" s="51">
        <v>560.54999999999995</v>
      </c>
      <c r="GR36" s="44"/>
      <c r="GS36" s="44"/>
      <c r="GT36" s="44"/>
      <c r="GU36" s="44"/>
      <c r="GV36" s="44"/>
      <c r="GW36" s="44"/>
    </row>
    <row r="37" spans="1:205">
      <c r="A37" s="418"/>
      <c r="B37" s="65" t="s">
        <v>47</v>
      </c>
      <c r="C37" s="35">
        <f>SUM(C38:C39)</f>
        <v>22.2</v>
      </c>
      <c r="D37" s="35">
        <f t="shared" ref="D37" si="290">SUM(D38:D39)</f>
        <v>22.2</v>
      </c>
      <c r="E37" s="35">
        <f t="shared" ref="E37" si="291">IFERROR(C37/$C$64*100,0)</f>
        <v>0.50824175824175821</v>
      </c>
      <c r="F37" s="35">
        <f t="shared" ref="F37" si="292">IFERROR(D37/$D$64*100,0)</f>
        <v>0.50824175824175821</v>
      </c>
      <c r="G37" s="59" t="s">
        <v>36</v>
      </c>
      <c r="H37" s="59" t="s">
        <v>36</v>
      </c>
      <c r="I37" s="37">
        <f t="shared" si="2"/>
        <v>60381.9</v>
      </c>
      <c r="J37" s="37">
        <f>SUM(J38:J39)</f>
        <v>60381.9</v>
      </c>
      <c r="K37" s="59" t="s">
        <v>36</v>
      </c>
      <c r="L37" s="59" t="s">
        <v>36</v>
      </c>
      <c r="M37" s="37">
        <f t="shared" ref="M37:N37" si="293">SUM(M38:M39)</f>
        <v>60381.9</v>
      </c>
      <c r="N37" s="37">
        <f t="shared" si="293"/>
        <v>60381.9</v>
      </c>
      <c r="O37" s="59" t="s">
        <v>36</v>
      </c>
      <c r="P37" s="59" t="s">
        <v>36</v>
      </c>
      <c r="Q37" s="37">
        <f>SUM(Q38:Q39)</f>
        <v>0</v>
      </c>
      <c r="R37" s="37">
        <f>SUM(R38:R39)</f>
        <v>0</v>
      </c>
      <c r="S37" s="59" t="s">
        <v>36</v>
      </c>
      <c r="T37" s="59" t="s">
        <v>36</v>
      </c>
      <c r="U37" s="37">
        <f t="shared" si="3"/>
        <v>2719.91</v>
      </c>
      <c r="V37" s="37">
        <f t="shared" si="3"/>
        <v>2719.91</v>
      </c>
      <c r="W37" s="59" t="s">
        <v>36</v>
      </c>
      <c r="X37" s="59" t="s">
        <v>36</v>
      </c>
      <c r="Y37" s="37">
        <f>SUM(Y38:Y39)</f>
        <v>61193.29</v>
      </c>
      <c r="Z37" s="37">
        <f>SUM(Z38:Z39)</f>
        <v>61193.29</v>
      </c>
      <c r="AA37" s="59" t="s">
        <v>36</v>
      </c>
      <c r="AB37" s="59" t="s">
        <v>36</v>
      </c>
      <c r="AC37" s="37">
        <f>SUM(AC38:AC39)</f>
        <v>61193.29</v>
      </c>
      <c r="AD37" s="37">
        <f t="shared" ref="AD37" si="294">SUM(AD38:AD39)</f>
        <v>61193.29</v>
      </c>
      <c r="AE37" s="59" t="s">
        <v>36</v>
      </c>
      <c r="AF37" s="59" t="s">
        <v>36</v>
      </c>
      <c r="AG37" s="37">
        <f t="shared" ref="AG37" si="295">SUM(AG38:AG39)</f>
        <v>0</v>
      </c>
      <c r="AH37" s="37"/>
      <c r="AI37" s="59" t="s">
        <v>36</v>
      </c>
      <c r="AJ37" s="59" t="s">
        <v>36</v>
      </c>
      <c r="AK37" s="37">
        <f t="shared" si="4"/>
        <v>2756.4545045045047</v>
      </c>
      <c r="AL37" s="37">
        <f t="shared" si="4"/>
        <v>2756.4545045045047</v>
      </c>
      <c r="AM37" s="35">
        <f t="shared" ref="AM37:AN37" si="296">SUM(AM38:AM39)</f>
        <v>23.900000000000002</v>
      </c>
      <c r="AN37" s="35">
        <f t="shared" si="296"/>
        <v>23.900000000000002</v>
      </c>
      <c r="AO37" s="35">
        <f t="shared" ref="AO37" si="297">IFERROR(AM37/$AM$64*100,0)</f>
        <v>0.54716117216117222</v>
      </c>
      <c r="AP37" s="35">
        <f t="shared" ref="AP37" si="298">IFERROR(AN37/$AN$64*100,0)</f>
        <v>0.54716117216117222</v>
      </c>
      <c r="AQ37" s="59" t="s">
        <v>36</v>
      </c>
      <c r="AR37" s="59" t="s">
        <v>36</v>
      </c>
      <c r="AS37" s="37">
        <f>SUM(AS38:AS39)</f>
        <v>36981.68</v>
      </c>
      <c r="AT37" s="37">
        <f>SUM(AT38:AT39)</f>
        <v>36981.68</v>
      </c>
      <c r="AU37" s="59" t="s">
        <v>36</v>
      </c>
      <c r="AV37" s="59" t="s">
        <v>36</v>
      </c>
      <c r="AW37" s="37">
        <f t="shared" ref="AW37:AX37" si="299">SUM(AW38:AW39)</f>
        <v>36981.68</v>
      </c>
      <c r="AX37" s="37">
        <f t="shared" si="299"/>
        <v>36981.68</v>
      </c>
      <c r="AY37" s="59" t="s">
        <v>36</v>
      </c>
      <c r="AZ37" s="59" t="s">
        <v>36</v>
      </c>
      <c r="BA37" s="37">
        <f>SUM(BA38:BA39)</f>
        <v>0</v>
      </c>
      <c r="BB37" s="37">
        <f>SUM(BB38:BB39)</f>
        <v>0</v>
      </c>
      <c r="BC37" s="59" t="s">
        <v>36</v>
      </c>
      <c r="BD37" s="59" t="s">
        <v>36</v>
      </c>
      <c r="BE37" s="37">
        <f t="shared" si="5"/>
        <v>1547.35</v>
      </c>
      <c r="BF37" s="37">
        <f t="shared" si="5"/>
        <v>1547.35</v>
      </c>
      <c r="BG37" s="59" t="s">
        <v>36</v>
      </c>
      <c r="BH37" s="59" t="s">
        <v>36</v>
      </c>
      <c r="BI37" s="37">
        <f t="shared" ref="BI37:BJ37" si="300">SUM(BI38:BI39)</f>
        <v>35834.520000000004</v>
      </c>
      <c r="BJ37" s="37">
        <f t="shared" si="300"/>
        <v>35834.520000000004</v>
      </c>
      <c r="BK37" s="59" t="s">
        <v>36</v>
      </c>
      <c r="BL37" s="59" t="s">
        <v>36</v>
      </c>
      <c r="BM37" s="37">
        <f t="shared" ref="BM37:BN37" si="301">SUM(BM38:BM39)</f>
        <v>35834.520000000004</v>
      </c>
      <c r="BN37" s="37">
        <f t="shared" si="301"/>
        <v>35834.520000000004</v>
      </c>
      <c r="BO37" s="59" t="s">
        <v>36</v>
      </c>
      <c r="BP37" s="59" t="s">
        <v>36</v>
      </c>
      <c r="BQ37" s="37">
        <f t="shared" ref="BQ37" si="302">SUM(BQ38:BQ39)</f>
        <v>0</v>
      </c>
      <c r="BR37" s="59"/>
      <c r="BS37" s="59" t="s">
        <v>36</v>
      </c>
      <c r="BT37" s="59" t="s">
        <v>36</v>
      </c>
      <c r="BU37" s="37">
        <f t="shared" si="0"/>
        <v>1499.3523012552303</v>
      </c>
      <c r="BV37" s="60">
        <f t="shared" si="0"/>
        <v>1499.3523012552303</v>
      </c>
      <c r="BW37" s="35">
        <f t="shared" ref="BW37:BX37" si="303">SUM(BW38:BW39)</f>
        <v>3</v>
      </c>
      <c r="BX37" s="35">
        <f t="shared" si="303"/>
        <v>25.6</v>
      </c>
      <c r="BY37" s="35">
        <f t="shared" ref="BY37" si="304">IFERROR(BW37/$BW$64*100,0)</f>
        <v>6.7934782608695649E-2</v>
      </c>
      <c r="BZ37" s="35">
        <f t="shared" ref="BZ37" si="305">IFERROR(BX37/$BX$64*100,0)</f>
        <v>0.57970967087952152</v>
      </c>
      <c r="CA37" s="59" t="s">
        <v>36</v>
      </c>
      <c r="CB37" s="59" t="s">
        <v>36</v>
      </c>
      <c r="CC37" s="37">
        <f>SUM(CC38:CC39)</f>
        <v>16386.07740081711</v>
      </c>
      <c r="CD37" s="37">
        <f>SUM(CD38:CD39)</f>
        <v>23251.87</v>
      </c>
      <c r="CE37" s="59" t="s">
        <v>36</v>
      </c>
      <c r="CF37" s="59" t="s">
        <v>36</v>
      </c>
      <c r="CG37" s="37">
        <f t="shared" ref="CG37:CH37" si="306">SUM(CG38:CG39)</f>
        <v>16386.07740081711</v>
      </c>
      <c r="CH37" s="37">
        <f t="shared" si="306"/>
        <v>23251.87</v>
      </c>
      <c r="CI37" s="59" t="s">
        <v>36</v>
      </c>
      <c r="CJ37" s="59" t="s">
        <v>36</v>
      </c>
      <c r="CK37" s="37">
        <f>SUM(CK38:CK39)</f>
        <v>0</v>
      </c>
      <c r="CL37" s="37">
        <f>SUM(CL38:CL39)</f>
        <v>0</v>
      </c>
      <c r="CM37" s="59" t="s">
        <v>36</v>
      </c>
      <c r="CN37" s="59" t="s">
        <v>36</v>
      </c>
      <c r="CO37" s="37">
        <f t="shared" si="6"/>
        <v>5462.03</v>
      </c>
      <c r="CP37" s="37">
        <f t="shared" si="6"/>
        <v>908.28</v>
      </c>
      <c r="CQ37" s="59" t="s">
        <v>36</v>
      </c>
      <c r="CR37" s="59" t="s">
        <v>36</v>
      </c>
      <c r="CS37" s="37">
        <f>SUM(CS38:CS39)</f>
        <v>16451.189999999999</v>
      </c>
      <c r="CT37" s="37">
        <f t="shared" ref="CT37" si="307">SUM(CT38:CT39)</f>
        <v>19207.11</v>
      </c>
      <c r="CU37" s="59" t="s">
        <v>36</v>
      </c>
      <c r="CV37" s="59" t="s">
        <v>36</v>
      </c>
      <c r="CW37" s="37">
        <f t="shared" ref="CW37" si="308">SUM(CW38:CW39)</f>
        <v>16451.189999999999</v>
      </c>
      <c r="CX37" s="37">
        <f>SUM(CX38:CX39)</f>
        <v>19207.11</v>
      </c>
      <c r="CY37" s="59" t="s">
        <v>36</v>
      </c>
      <c r="CZ37" s="59" t="s">
        <v>36</v>
      </c>
      <c r="DA37" s="37">
        <f t="shared" ref="DA37" si="309">SUM(DA38:DA39)</f>
        <v>0</v>
      </c>
      <c r="DB37" s="37"/>
      <c r="DC37" s="59" t="s">
        <v>36</v>
      </c>
      <c r="DD37" s="59" t="s">
        <v>36</v>
      </c>
      <c r="DE37" s="37">
        <f t="shared" si="1"/>
        <v>5483.73</v>
      </c>
      <c r="DF37" s="37">
        <f t="shared" si="1"/>
        <v>750.27773437500002</v>
      </c>
      <c r="DG37" s="35">
        <v>9</v>
      </c>
      <c r="DH37" s="35">
        <v>25.5</v>
      </c>
      <c r="DI37" s="35">
        <v>0.20380434782608692</v>
      </c>
      <c r="DJ37" s="35">
        <v>0.57744565217391319</v>
      </c>
      <c r="DK37" s="59" t="s">
        <v>36</v>
      </c>
      <c r="DL37" s="59" t="s">
        <v>36</v>
      </c>
      <c r="DM37" s="37">
        <v>49583.970465970953</v>
      </c>
      <c r="DN37" s="37">
        <v>37046.439999999995</v>
      </c>
      <c r="DO37" s="59" t="s">
        <v>36</v>
      </c>
      <c r="DP37" s="59" t="s">
        <v>36</v>
      </c>
      <c r="DQ37" s="37">
        <v>49583.970465970953</v>
      </c>
      <c r="DR37" s="37">
        <v>37046.439999999995</v>
      </c>
      <c r="DS37" s="59" t="s">
        <v>36</v>
      </c>
      <c r="DT37" s="59" t="s">
        <v>36</v>
      </c>
      <c r="DU37" s="37">
        <v>0</v>
      </c>
      <c r="DV37" s="37">
        <v>0</v>
      </c>
      <c r="DW37" s="59" t="s">
        <v>36</v>
      </c>
      <c r="DX37" s="59" t="s">
        <v>36</v>
      </c>
      <c r="DY37" s="37">
        <v>5509.33</v>
      </c>
      <c r="DZ37" s="37">
        <v>1452.8</v>
      </c>
      <c r="EA37" s="59" t="s">
        <v>36</v>
      </c>
      <c r="EB37" s="59" t="s">
        <v>36</v>
      </c>
      <c r="EC37" s="37">
        <v>49781</v>
      </c>
      <c r="ED37" s="37">
        <v>41160.519999999997</v>
      </c>
      <c r="EE37" s="59" t="s">
        <v>36</v>
      </c>
      <c r="EF37" s="59" t="s">
        <v>36</v>
      </c>
      <c r="EG37" s="37">
        <v>49781</v>
      </c>
      <c r="EH37" s="37">
        <v>41160.519999999997</v>
      </c>
      <c r="EI37" s="59" t="s">
        <v>36</v>
      </c>
      <c r="EJ37" s="59" t="s">
        <v>36</v>
      </c>
      <c r="EK37" s="37">
        <v>0</v>
      </c>
      <c r="EL37" s="59"/>
      <c r="EM37" s="59" t="s">
        <v>36</v>
      </c>
      <c r="EN37" s="59" t="s">
        <v>36</v>
      </c>
      <c r="EO37" s="37">
        <v>5531.2222222222226</v>
      </c>
      <c r="EP37" s="37">
        <v>1614.1380392156861</v>
      </c>
      <c r="EQ37" s="40">
        <v>58.1</v>
      </c>
      <c r="ER37" s="35">
        <v>97.199999999999989</v>
      </c>
      <c r="ES37" s="40">
        <v>0.33071493624772313</v>
      </c>
      <c r="ET37" s="40">
        <v>0.55327857479790465</v>
      </c>
      <c r="EU37" s="59" t="s">
        <v>36</v>
      </c>
      <c r="EV37" s="59" t="s">
        <v>36</v>
      </c>
      <c r="EW37" s="37">
        <v>163333.62786678807</v>
      </c>
      <c r="EX37" s="37">
        <v>157661.88999999998</v>
      </c>
      <c r="EY37" s="59" t="s">
        <v>36</v>
      </c>
      <c r="EZ37" s="59" t="s">
        <v>36</v>
      </c>
      <c r="FA37" s="37">
        <v>163333.62786678807</v>
      </c>
      <c r="FB37" s="37">
        <v>157661.88999999998</v>
      </c>
      <c r="FC37" s="59" t="s">
        <v>36</v>
      </c>
      <c r="FD37" s="59" t="s">
        <v>36</v>
      </c>
      <c r="FE37" s="37">
        <v>0</v>
      </c>
      <c r="FF37" s="37">
        <v>0</v>
      </c>
      <c r="FG37" s="59" t="s">
        <v>36</v>
      </c>
      <c r="FH37" s="59" t="s">
        <v>36</v>
      </c>
      <c r="FI37" s="37">
        <v>2811.25</v>
      </c>
      <c r="FJ37" s="37">
        <v>1622.04</v>
      </c>
      <c r="FK37" s="59" t="s">
        <v>36</v>
      </c>
      <c r="FL37" s="59" t="s">
        <v>36</v>
      </c>
      <c r="FM37" s="37">
        <v>163260</v>
      </c>
      <c r="FN37" s="37">
        <v>157395.44</v>
      </c>
      <c r="FO37" s="59" t="s">
        <v>36</v>
      </c>
      <c r="FP37" s="59" t="s">
        <v>36</v>
      </c>
      <c r="FQ37" s="37">
        <v>163260</v>
      </c>
      <c r="FR37" s="37">
        <v>157395.44</v>
      </c>
      <c r="FS37" s="59" t="s">
        <v>36</v>
      </c>
      <c r="FT37" s="59" t="s">
        <v>36</v>
      </c>
      <c r="FU37" s="37">
        <v>0</v>
      </c>
      <c r="FV37" s="37">
        <v>0</v>
      </c>
      <c r="FW37" s="59" t="s">
        <v>36</v>
      </c>
      <c r="FX37" s="59" t="s">
        <v>36</v>
      </c>
      <c r="FY37" s="37">
        <v>2809.9827882960412</v>
      </c>
      <c r="FZ37" s="37">
        <v>1619.2946502057616</v>
      </c>
      <c r="GA37" s="39">
        <v>39.099999999999987</v>
      </c>
      <c r="GB37" s="35">
        <v>67.297762478485353</v>
      </c>
      <c r="GC37" s="59" t="s">
        <v>36</v>
      </c>
      <c r="GD37" s="40" t="s">
        <v>36</v>
      </c>
      <c r="GE37" s="41">
        <v>-5671.7378667880839</v>
      </c>
      <c r="GF37" s="40">
        <v>-3.4724863096862402</v>
      </c>
      <c r="GG37" s="59" t="s">
        <v>36</v>
      </c>
      <c r="GH37" s="61" t="s">
        <v>36</v>
      </c>
      <c r="GI37" s="41">
        <v>-5671.7378667880839</v>
      </c>
      <c r="GJ37" s="40">
        <v>-3.4724863096862402</v>
      </c>
      <c r="GK37" s="59" t="s">
        <v>36</v>
      </c>
      <c r="GL37" s="62" t="s">
        <v>36</v>
      </c>
      <c r="GM37" s="41">
        <v>0</v>
      </c>
      <c r="GN37" s="40" t="s">
        <v>88</v>
      </c>
      <c r="GO37" s="59" t="s">
        <v>36</v>
      </c>
      <c r="GP37" s="61" t="s">
        <v>36</v>
      </c>
      <c r="GQ37" s="41">
        <v>-1189.21</v>
      </c>
      <c r="GR37" s="44"/>
      <c r="GS37" s="44"/>
      <c r="GT37" s="44"/>
      <c r="GU37" s="44"/>
      <c r="GV37" s="44"/>
      <c r="GW37" s="44"/>
    </row>
    <row r="38" spans="1:205">
      <c r="A38" s="418"/>
      <c r="B38" s="45" t="s">
        <v>38</v>
      </c>
      <c r="C38" s="46">
        <f t="shared" ref="C38:C39" si="310">D38</f>
        <v>18.5</v>
      </c>
      <c r="D38" s="46">
        <f>VLOOKUP($B37,[1]!LTV1_RL2[[LTV1]:[Q1]],2,0)</f>
        <v>18.5</v>
      </c>
      <c r="E38" s="46">
        <f t="shared" ref="E38" si="311">IFERROR(C38/$C$65*100,0)</f>
        <v>0.84706959706959706</v>
      </c>
      <c r="F38" s="46">
        <f t="shared" ref="F38" si="312">IFERROR(D38/$D$65*100,0)</f>
        <v>0.84706959706959706</v>
      </c>
      <c r="G38" s="55" t="s">
        <v>36</v>
      </c>
      <c r="H38" s="55" t="s">
        <v>36</v>
      </c>
      <c r="I38" s="48">
        <f t="shared" si="2"/>
        <v>60381.9</v>
      </c>
      <c r="J38" s="48">
        <v>60381.9</v>
      </c>
      <c r="K38" s="55" t="s">
        <v>36</v>
      </c>
      <c r="L38" s="55" t="s">
        <v>36</v>
      </c>
      <c r="M38" s="48">
        <f>I38-Q38</f>
        <v>60381.9</v>
      </c>
      <c r="N38" s="48">
        <f>J38-R38</f>
        <v>60381.9</v>
      </c>
      <c r="O38" s="55" t="s">
        <v>36</v>
      </c>
      <c r="P38" s="55" t="s">
        <v>36</v>
      </c>
      <c r="Q38" s="48"/>
      <c r="R38" s="48"/>
      <c r="S38" s="55" t="s">
        <v>36</v>
      </c>
      <c r="T38" s="55" t="s">
        <v>36</v>
      </c>
      <c r="U38" s="48">
        <f>IFERROR(ROUND(I38/C38,2),0)</f>
        <v>3263.89</v>
      </c>
      <c r="V38" s="48">
        <f>IFERROR(ROUND(J38/D38,2),0)</f>
        <v>3263.89</v>
      </c>
      <c r="W38" s="55" t="s">
        <v>36</v>
      </c>
      <c r="X38" s="55" t="s">
        <v>36</v>
      </c>
      <c r="Y38" s="48">
        <f t="shared" ref="Y38:Y39" si="313">Z38</f>
        <v>61193.29</v>
      </c>
      <c r="Z38" s="48">
        <f>[1]Fakts_Izd!Z61</f>
        <v>61193.29</v>
      </c>
      <c r="AA38" s="55" t="s">
        <v>36</v>
      </c>
      <c r="AB38" s="55" t="s">
        <v>36</v>
      </c>
      <c r="AC38" s="48">
        <f>Y38-AG38</f>
        <v>61193.29</v>
      </c>
      <c r="AD38" s="48">
        <f t="shared" ref="AD38:AD39" si="314">Z38-AH38</f>
        <v>61193.29</v>
      </c>
      <c r="AE38" s="55" t="s">
        <v>36</v>
      </c>
      <c r="AF38" s="55" t="s">
        <v>36</v>
      </c>
      <c r="AG38" s="48">
        <f>SUMIFS([1]SP2024!$BO$7:$BO$148,[1]SP2024!$J$7:$J$148,$B37,[1]SP2024!$K$7:$K$148,$B38)</f>
        <v>0</v>
      </c>
      <c r="AH38" s="48"/>
      <c r="AI38" s="55" t="s">
        <v>36</v>
      </c>
      <c r="AJ38" s="55" t="s">
        <v>36</v>
      </c>
      <c r="AK38" s="48">
        <f t="shared" si="4"/>
        <v>3307.7454054054056</v>
      </c>
      <c r="AL38" s="48">
        <f t="shared" si="4"/>
        <v>3307.7454054054056</v>
      </c>
      <c r="AM38" s="46">
        <f t="shared" ref="AM38:AM39" si="315">AN38</f>
        <v>21.6</v>
      </c>
      <c r="AN38" s="46">
        <f>VLOOKUP($B37,[1]!LTV1_RL2[[LTV1]:[Q2]],3,0)</f>
        <v>21.6</v>
      </c>
      <c r="AO38" s="63">
        <f t="shared" ref="AO38:AO39" si="316">IFERROR(AM38/$AM$65*100,0)</f>
        <v>0.98901098901098916</v>
      </c>
      <c r="AP38" s="46">
        <f t="shared" ref="AP38" si="317">IFERROR(AN38/$AN$65*100,0)</f>
        <v>0.98901098901098916</v>
      </c>
      <c r="AQ38" s="55" t="s">
        <v>36</v>
      </c>
      <c r="AR38" s="55" t="s">
        <v>36</v>
      </c>
      <c r="AS38" s="48">
        <f t="shared" ref="AS38:AS39" si="318">AT38</f>
        <v>36981.68</v>
      </c>
      <c r="AT38" s="48">
        <v>36981.68</v>
      </c>
      <c r="AU38" s="55" t="s">
        <v>36</v>
      </c>
      <c r="AV38" s="55" t="s">
        <v>36</v>
      </c>
      <c r="AW38" s="48">
        <f>AS38-BA38</f>
        <v>36981.68</v>
      </c>
      <c r="AX38" s="48">
        <f>AT38-BB38</f>
        <v>36981.68</v>
      </c>
      <c r="AY38" s="55" t="s">
        <v>36</v>
      </c>
      <c r="AZ38" s="55" t="s">
        <v>36</v>
      </c>
      <c r="BA38" s="48"/>
      <c r="BB38" s="48"/>
      <c r="BC38" s="55" t="s">
        <v>36</v>
      </c>
      <c r="BD38" s="55" t="s">
        <v>36</v>
      </c>
      <c r="BE38" s="48">
        <f>IFERROR(ROUND(AS38/AM38,2),0)</f>
        <v>1712.11</v>
      </c>
      <c r="BF38" s="48">
        <f>IFERROR(ROUND(AT38/AN38,2),0)</f>
        <v>1712.11</v>
      </c>
      <c r="BG38" s="55" t="s">
        <v>36</v>
      </c>
      <c r="BH38" s="55" t="s">
        <v>36</v>
      </c>
      <c r="BI38" s="48">
        <f t="shared" ref="BI38:BI39" si="319">BJ38</f>
        <v>35834.520000000004</v>
      </c>
      <c r="BJ38" s="48">
        <f>[1]Fakts_Izd!AA61</f>
        <v>35834.520000000004</v>
      </c>
      <c r="BK38" s="55" t="s">
        <v>36</v>
      </c>
      <c r="BL38" s="55" t="s">
        <v>36</v>
      </c>
      <c r="BM38" s="48">
        <f t="shared" ref="BM38:BN39" si="320">BI38-BQ38</f>
        <v>35834.520000000004</v>
      </c>
      <c r="BN38" s="48">
        <f t="shared" si="320"/>
        <v>35834.520000000004</v>
      </c>
      <c r="BO38" s="55" t="s">
        <v>36</v>
      </c>
      <c r="BP38" s="55" t="s">
        <v>36</v>
      </c>
      <c r="BQ38" s="48">
        <f>SUMIFS([1]SP2024!$BP$7:$BP$148,[1]SP2024!$J$7:$J$148,$B37,[1]SP2024!$K$7:$K$148,$B38)</f>
        <v>0</v>
      </c>
      <c r="BR38" s="55"/>
      <c r="BS38" s="55" t="s">
        <v>36</v>
      </c>
      <c r="BT38" s="55" t="s">
        <v>36</v>
      </c>
      <c r="BU38" s="48">
        <f t="shared" si="0"/>
        <v>1659.0055555555557</v>
      </c>
      <c r="BV38" s="49">
        <f t="shared" si="0"/>
        <v>1659.0055555555557</v>
      </c>
      <c r="BW38" s="46">
        <f>SUMIFS([1]SP2024!$AW$7:$AW$148,[1]SP2024!$L$7:$L$148,$B37,[1]SP2024!$M$7:$M$148,$B38)</f>
        <v>3</v>
      </c>
      <c r="BX38" s="46">
        <f>VLOOKUP($B37,[1]!LTV1_RL2[[LTV1]:[Q3]],4,0)</f>
        <v>21.2</v>
      </c>
      <c r="BY38" s="46">
        <f t="shared" ref="BY38:BY39" si="321">IFERROR(BW38/$BW$65*100,0)</f>
        <v>0.1358695652173913</v>
      </c>
      <c r="BZ38" s="46">
        <f t="shared" ref="BZ38" si="322">IFERROR(BX38/$BX$65*100,0)</f>
        <v>0.96014384041684753</v>
      </c>
      <c r="CA38" s="55" t="s">
        <v>36</v>
      </c>
      <c r="CB38" s="55" t="s">
        <v>36</v>
      </c>
      <c r="CC38" s="48">
        <f>CS38*'[2]Pielikums nr. 1.'!$EY$14</f>
        <v>16386.07740081711</v>
      </c>
      <c r="CD38" s="48">
        <v>23251.87</v>
      </c>
      <c r="CE38" s="55" t="s">
        <v>36</v>
      </c>
      <c r="CF38" s="55" t="s">
        <v>36</v>
      </c>
      <c r="CG38" s="48">
        <f>CC38-CK38</f>
        <v>16386.07740081711</v>
      </c>
      <c r="CH38" s="48">
        <f>CD38-CL38</f>
        <v>23251.87</v>
      </c>
      <c r="CI38" s="55" t="s">
        <v>36</v>
      </c>
      <c r="CJ38" s="55" t="s">
        <v>36</v>
      </c>
      <c r="CK38" s="48"/>
      <c r="CL38" s="48"/>
      <c r="CM38" s="55" t="s">
        <v>36</v>
      </c>
      <c r="CN38" s="55" t="s">
        <v>36</v>
      </c>
      <c r="CO38" s="48">
        <f>IFERROR(ROUND(CC38/BW38,2),0)</f>
        <v>5462.03</v>
      </c>
      <c r="CP38" s="48">
        <f>IFERROR(ROUND(CD38/BX38,2),0)</f>
        <v>1096.79</v>
      </c>
      <c r="CQ38" s="55" t="s">
        <v>36</v>
      </c>
      <c r="CR38" s="55" t="s">
        <v>36</v>
      </c>
      <c r="CS38" s="48">
        <f>SUMIFS([1]SP2024!$BS$7:$BS$148,[1]SP2024!$L$7:$L$148,$B37,[1]SP2024!$M$7:$M$148,$B38)</f>
        <v>16451.189999999999</v>
      </c>
      <c r="CT38" s="48">
        <f>[1]Fakts_Izd!AB61</f>
        <v>19207.11</v>
      </c>
      <c r="CU38" s="55" t="s">
        <v>36</v>
      </c>
      <c r="CV38" s="55" t="s">
        <v>36</v>
      </c>
      <c r="CW38" s="48">
        <f t="shared" ref="CW38:CX39" si="323">CS38-DA38</f>
        <v>16451.189999999999</v>
      </c>
      <c r="CX38" s="48">
        <f t="shared" si="323"/>
        <v>19207.11</v>
      </c>
      <c r="CY38" s="55" t="s">
        <v>36</v>
      </c>
      <c r="CZ38" s="55" t="s">
        <v>36</v>
      </c>
      <c r="DA38" s="48">
        <f>SUMIFS([1]SP2024!$BQ$7:$BQ$148,[1]SP2024!$J$7:$J$148,$B37,[1]SP2024!$K$7:$K$148,$B38)</f>
        <v>0</v>
      </c>
      <c r="DB38" s="48"/>
      <c r="DC38" s="55" t="s">
        <v>36</v>
      </c>
      <c r="DD38" s="55" t="s">
        <v>36</v>
      </c>
      <c r="DE38" s="48">
        <f t="shared" si="1"/>
        <v>5483.73</v>
      </c>
      <c r="DF38" s="48">
        <f t="shared" si="1"/>
        <v>905.9957547169812</v>
      </c>
      <c r="DG38" s="46">
        <v>9</v>
      </c>
      <c r="DH38" s="46">
        <v>14.1</v>
      </c>
      <c r="DI38" s="46">
        <v>0.40760869565217384</v>
      </c>
      <c r="DJ38" s="46">
        <v>0.63858695652173925</v>
      </c>
      <c r="DK38" s="55" t="s">
        <v>36</v>
      </c>
      <c r="DL38" s="55" t="s">
        <v>36</v>
      </c>
      <c r="DM38" s="48">
        <v>49583.970465970953</v>
      </c>
      <c r="DN38" s="48">
        <v>37046.439999999995</v>
      </c>
      <c r="DO38" s="55" t="s">
        <v>36</v>
      </c>
      <c r="DP38" s="55" t="s">
        <v>36</v>
      </c>
      <c r="DQ38" s="48">
        <v>49583.970465970953</v>
      </c>
      <c r="DR38" s="48">
        <v>37046.439999999995</v>
      </c>
      <c r="DS38" s="55" t="s">
        <v>36</v>
      </c>
      <c r="DT38" s="55" t="s">
        <v>36</v>
      </c>
      <c r="DU38" s="48"/>
      <c r="DV38" s="48"/>
      <c r="DW38" s="55" t="s">
        <v>36</v>
      </c>
      <c r="DX38" s="55" t="s">
        <v>36</v>
      </c>
      <c r="DY38" s="48">
        <v>5509.33</v>
      </c>
      <c r="DZ38" s="48">
        <v>2627.41</v>
      </c>
      <c r="EA38" s="55" t="s">
        <v>36</v>
      </c>
      <c r="EB38" s="55" t="s">
        <v>36</v>
      </c>
      <c r="EC38" s="48">
        <v>49781</v>
      </c>
      <c r="ED38" s="48">
        <v>41160.519999999997</v>
      </c>
      <c r="EE38" s="55" t="s">
        <v>36</v>
      </c>
      <c r="EF38" s="55" t="s">
        <v>36</v>
      </c>
      <c r="EG38" s="48">
        <v>49781</v>
      </c>
      <c r="EH38" s="48">
        <v>41160.519999999997</v>
      </c>
      <c r="EI38" s="55" t="s">
        <v>36</v>
      </c>
      <c r="EJ38" s="55" t="s">
        <v>36</v>
      </c>
      <c r="EK38" s="48">
        <v>0</v>
      </c>
      <c r="EL38" s="55"/>
      <c r="EM38" s="55" t="s">
        <v>36</v>
      </c>
      <c r="EN38" s="55" t="s">
        <v>36</v>
      </c>
      <c r="EO38" s="48">
        <v>5531.2222222222226</v>
      </c>
      <c r="EP38" s="48">
        <v>2919.1858156028366</v>
      </c>
      <c r="EQ38" s="46">
        <v>52.1</v>
      </c>
      <c r="ER38" s="46">
        <v>75.399999999999991</v>
      </c>
      <c r="ES38" s="46">
        <v>0.59312386156648456</v>
      </c>
      <c r="ET38" s="46">
        <v>0.85837862637220319</v>
      </c>
      <c r="EU38" s="55" t="s">
        <v>36</v>
      </c>
      <c r="EV38" s="55" t="s">
        <v>36</v>
      </c>
      <c r="EW38" s="48">
        <v>163333.62786678807</v>
      </c>
      <c r="EX38" s="48">
        <v>157661.88999999998</v>
      </c>
      <c r="EY38" s="55" t="s">
        <v>36</v>
      </c>
      <c r="EZ38" s="55" t="s">
        <v>36</v>
      </c>
      <c r="FA38" s="48">
        <v>163333.62786678807</v>
      </c>
      <c r="FB38" s="48">
        <v>157661.88999999998</v>
      </c>
      <c r="FC38" s="55" t="s">
        <v>36</v>
      </c>
      <c r="FD38" s="55" t="s">
        <v>36</v>
      </c>
      <c r="FE38" s="48">
        <v>0</v>
      </c>
      <c r="FF38" s="48">
        <v>0</v>
      </c>
      <c r="FG38" s="55" t="s">
        <v>36</v>
      </c>
      <c r="FH38" s="55" t="s">
        <v>36</v>
      </c>
      <c r="FI38" s="48">
        <v>3135</v>
      </c>
      <c r="FJ38" s="48">
        <v>2091.0100000000002</v>
      </c>
      <c r="FK38" s="55" t="s">
        <v>36</v>
      </c>
      <c r="FL38" s="55" t="s">
        <v>36</v>
      </c>
      <c r="FM38" s="48">
        <v>163260</v>
      </c>
      <c r="FN38" s="48">
        <v>157395.44</v>
      </c>
      <c r="FO38" s="55" t="s">
        <v>36</v>
      </c>
      <c r="FP38" s="55" t="s">
        <v>36</v>
      </c>
      <c r="FQ38" s="48">
        <v>163260</v>
      </c>
      <c r="FR38" s="48">
        <v>157395.44</v>
      </c>
      <c r="FS38" s="55" t="s">
        <v>36</v>
      </c>
      <c r="FT38" s="55" t="s">
        <v>36</v>
      </c>
      <c r="FU38" s="48">
        <v>0</v>
      </c>
      <c r="FV38" s="48">
        <v>0</v>
      </c>
      <c r="FW38" s="55" t="s">
        <v>36</v>
      </c>
      <c r="FX38" s="55" t="s">
        <v>36</v>
      </c>
      <c r="FY38" s="48">
        <v>3133.5892514395391</v>
      </c>
      <c r="FZ38" s="48">
        <v>2087.4726790450932</v>
      </c>
      <c r="GA38" s="50">
        <v>23.29999999999999</v>
      </c>
      <c r="GB38" s="46">
        <v>44.721689059500932</v>
      </c>
      <c r="GC38" s="55" t="s">
        <v>36</v>
      </c>
      <c r="GD38" s="46" t="s">
        <v>36</v>
      </c>
      <c r="GE38" s="51">
        <v>-5671.7378667880839</v>
      </c>
      <c r="GF38" s="46">
        <v>-3.4724863096862402</v>
      </c>
      <c r="GG38" s="55" t="s">
        <v>36</v>
      </c>
      <c r="GH38" s="57" t="s">
        <v>36</v>
      </c>
      <c r="GI38" s="51">
        <v>-5671.7378667880839</v>
      </c>
      <c r="GJ38" s="46">
        <v>-3.4724863096862402</v>
      </c>
      <c r="GK38" s="55" t="s">
        <v>36</v>
      </c>
      <c r="GL38" s="58" t="s">
        <v>36</v>
      </c>
      <c r="GM38" s="51">
        <v>0</v>
      </c>
      <c r="GN38" s="46" t="s">
        <v>88</v>
      </c>
      <c r="GO38" s="55" t="s">
        <v>36</v>
      </c>
      <c r="GP38" s="57" t="s">
        <v>36</v>
      </c>
      <c r="GQ38" s="51">
        <v>-1043.9899999999998</v>
      </c>
      <c r="GR38" s="44"/>
      <c r="GS38" s="44"/>
      <c r="GT38" s="44"/>
      <c r="GU38" s="44"/>
      <c r="GV38" s="44"/>
      <c r="GW38" s="44"/>
    </row>
    <row r="39" spans="1:205">
      <c r="A39" s="418"/>
      <c r="B39" s="45" t="s">
        <v>39</v>
      </c>
      <c r="C39" s="46">
        <f t="shared" si="310"/>
        <v>3.7</v>
      </c>
      <c r="D39" s="46">
        <f>VLOOKUP($B37,[1]!LTV7_RL7[[LTV7]:[Q1]],2,0)</f>
        <v>3.7</v>
      </c>
      <c r="E39" s="46">
        <f t="shared" ref="E39" si="324">IFERROR(C39/$C$66*100,0)</f>
        <v>0.16941391941391942</v>
      </c>
      <c r="F39" s="46">
        <f t="shared" ref="F39" si="325">IFERROR(D39/$D$66*100,0)</f>
        <v>0.16941391941391942</v>
      </c>
      <c r="G39" s="55" t="s">
        <v>36</v>
      </c>
      <c r="H39" s="55" t="s">
        <v>36</v>
      </c>
      <c r="I39" s="48">
        <f t="shared" si="2"/>
        <v>0</v>
      </c>
      <c r="J39" s="48"/>
      <c r="K39" s="55" t="s">
        <v>36</v>
      </c>
      <c r="L39" s="55" t="s">
        <v>36</v>
      </c>
      <c r="M39" s="48">
        <f>I39-Q39</f>
        <v>0</v>
      </c>
      <c r="N39" s="48">
        <f>J39-R39</f>
        <v>0</v>
      </c>
      <c r="O39" s="55" t="s">
        <v>36</v>
      </c>
      <c r="P39" s="55" t="s">
        <v>36</v>
      </c>
      <c r="Q39" s="48"/>
      <c r="R39" s="48"/>
      <c r="S39" s="55" t="s">
        <v>36</v>
      </c>
      <c r="T39" s="55" t="s">
        <v>36</v>
      </c>
      <c r="U39" s="48">
        <f>IFERROR(ROUND(I39/C39,2),0)</f>
        <v>0</v>
      </c>
      <c r="V39" s="48">
        <f>IFERROR(ROUND(J39/D39,2),0)</f>
        <v>0</v>
      </c>
      <c r="W39" s="55" t="s">
        <v>36</v>
      </c>
      <c r="X39" s="55" t="s">
        <v>36</v>
      </c>
      <c r="Y39" s="48">
        <f t="shared" si="313"/>
        <v>0</v>
      </c>
      <c r="Z39" s="48">
        <v>0</v>
      </c>
      <c r="AA39" s="55" t="s">
        <v>36</v>
      </c>
      <c r="AB39" s="55" t="s">
        <v>36</v>
      </c>
      <c r="AC39" s="48">
        <f>Y39-AG39</f>
        <v>0</v>
      </c>
      <c r="AD39" s="48">
        <f t="shared" si="314"/>
        <v>0</v>
      </c>
      <c r="AE39" s="55" t="s">
        <v>36</v>
      </c>
      <c r="AF39" s="55" t="s">
        <v>36</v>
      </c>
      <c r="AG39" s="48">
        <f>SUMIFS([1]SP2024!$BO$7:$BO$148,[1]SP2024!$J$7:$J$148,$B37,[1]SP2024!$K$7:$K$148,$B39)</f>
        <v>0</v>
      </c>
      <c r="AH39" s="48"/>
      <c r="AI39" s="55" t="s">
        <v>36</v>
      </c>
      <c r="AJ39" s="55" t="s">
        <v>36</v>
      </c>
      <c r="AK39" s="48">
        <f t="shared" si="4"/>
        <v>0</v>
      </c>
      <c r="AL39" s="48">
        <f t="shared" si="4"/>
        <v>0</v>
      </c>
      <c r="AM39" s="46">
        <f t="shared" si="315"/>
        <v>2.2999999999999998</v>
      </c>
      <c r="AN39" s="46">
        <f>VLOOKUP($B37,[1]!LTV7_RL7[[LTV7]:[Q2]],3,0)</f>
        <v>2.2999999999999998</v>
      </c>
      <c r="AO39" s="63">
        <f t="shared" si="316"/>
        <v>0.10531135531135531</v>
      </c>
      <c r="AP39" s="46">
        <f t="shared" ref="AP39" si="326">IFERROR(AN39/$AN$66*100,0)</f>
        <v>0.10531135531135533</v>
      </c>
      <c r="AQ39" s="55" t="s">
        <v>36</v>
      </c>
      <c r="AR39" s="55" t="s">
        <v>36</v>
      </c>
      <c r="AS39" s="48">
        <f t="shared" si="318"/>
        <v>0</v>
      </c>
      <c r="AT39" s="48"/>
      <c r="AU39" s="55" t="s">
        <v>36</v>
      </c>
      <c r="AV39" s="55" t="s">
        <v>36</v>
      </c>
      <c r="AW39" s="48">
        <f>AS39-BA39</f>
        <v>0</v>
      </c>
      <c r="AX39" s="48">
        <f>AT39-BB39</f>
        <v>0</v>
      </c>
      <c r="AY39" s="55" t="s">
        <v>36</v>
      </c>
      <c r="AZ39" s="55" t="s">
        <v>36</v>
      </c>
      <c r="BA39" s="48"/>
      <c r="BB39" s="48"/>
      <c r="BC39" s="55" t="s">
        <v>36</v>
      </c>
      <c r="BD39" s="55" t="s">
        <v>36</v>
      </c>
      <c r="BE39" s="48">
        <f>IFERROR(ROUND(AS39/AM39,2),0)</f>
        <v>0</v>
      </c>
      <c r="BF39" s="48">
        <f>IFERROR(ROUND(AT39/AN39,2),0)</f>
        <v>0</v>
      </c>
      <c r="BG39" s="55" t="s">
        <v>36</v>
      </c>
      <c r="BH39" s="55" t="s">
        <v>36</v>
      </c>
      <c r="BI39" s="48">
        <f t="shared" si="319"/>
        <v>0</v>
      </c>
      <c r="BJ39" s="48">
        <v>0</v>
      </c>
      <c r="BK39" s="55" t="s">
        <v>36</v>
      </c>
      <c r="BL39" s="55" t="s">
        <v>36</v>
      </c>
      <c r="BM39" s="48">
        <f t="shared" si="320"/>
        <v>0</v>
      </c>
      <c r="BN39" s="48">
        <f t="shared" si="320"/>
        <v>0</v>
      </c>
      <c r="BO39" s="55" t="s">
        <v>36</v>
      </c>
      <c r="BP39" s="55" t="s">
        <v>36</v>
      </c>
      <c r="BQ39" s="48">
        <f>SUMIFS([1]SP2024!$BP$7:$BP$148,[1]SP2024!$J$7:$J$148,$B37,[1]SP2024!$K$7:$K$148,$B39)</f>
        <v>0</v>
      </c>
      <c r="BR39" s="55"/>
      <c r="BS39" s="55" t="s">
        <v>36</v>
      </c>
      <c r="BT39" s="55" t="s">
        <v>36</v>
      </c>
      <c r="BU39" s="48">
        <f t="shared" si="0"/>
        <v>0</v>
      </c>
      <c r="BV39" s="49">
        <f t="shared" si="0"/>
        <v>0</v>
      </c>
      <c r="BW39" s="46">
        <f>SUMIFS([1]SP2024!$AW$7:$AW$148,[1]SP2024!$L$7:$L$148,$B37,[1]SP2024!$M$7:$M$148,$B39)</f>
        <v>0</v>
      </c>
      <c r="BX39" s="46">
        <f>VLOOKUP($B37,[1]!LTV7_RL7[[LTV7]:[Q3]],4,0)</f>
        <v>4.4000000000000004</v>
      </c>
      <c r="BY39" s="46">
        <f t="shared" si="321"/>
        <v>0</v>
      </c>
      <c r="BZ39" s="46">
        <f t="shared" ref="BZ39" si="327">IFERROR(BX39/$BX$66*100,0)</f>
        <v>0.19927526203942134</v>
      </c>
      <c r="CA39" s="55" t="s">
        <v>36</v>
      </c>
      <c r="CB39" s="55" t="s">
        <v>36</v>
      </c>
      <c r="CC39" s="48">
        <f>CS39*'[2]Pielikums nr. 1.'!$EY$14</f>
        <v>0</v>
      </c>
      <c r="CD39" s="48"/>
      <c r="CE39" s="55" t="s">
        <v>36</v>
      </c>
      <c r="CF39" s="55" t="s">
        <v>36</v>
      </c>
      <c r="CG39" s="48">
        <f>CC39-CK39</f>
        <v>0</v>
      </c>
      <c r="CH39" s="48">
        <f>CD39-CL39</f>
        <v>0</v>
      </c>
      <c r="CI39" s="55" t="s">
        <v>36</v>
      </c>
      <c r="CJ39" s="55" t="s">
        <v>36</v>
      </c>
      <c r="CK39" s="48"/>
      <c r="CL39" s="48"/>
      <c r="CM39" s="55" t="s">
        <v>36</v>
      </c>
      <c r="CN39" s="55" t="s">
        <v>36</v>
      </c>
      <c r="CO39" s="48">
        <f>IFERROR(ROUND(CC39/BW39,2),0)</f>
        <v>0</v>
      </c>
      <c r="CP39" s="48">
        <f>IFERROR(ROUND(CD39/BX39,2),0)</f>
        <v>0</v>
      </c>
      <c r="CQ39" s="55" t="s">
        <v>36</v>
      </c>
      <c r="CR39" s="55" t="s">
        <v>36</v>
      </c>
      <c r="CS39" s="48">
        <f>SUMIFS([1]SP2024!$BS$7:$BS$148,[1]SP2024!$L$7:$L$148,$B37,[1]SP2024!$M$7:$M$148,$B39)</f>
        <v>0</v>
      </c>
      <c r="CT39" s="48">
        <v>0</v>
      </c>
      <c r="CU39" s="55" t="s">
        <v>36</v>
      </c>
      <c r="CV39" s="55" t="s">
        <v>36</v>
      </c>
      <c r="CW39" s="48">
        <f t="shared" si="323"/>
        <v>0</v>
      </c>
      <c r="CX39" s="48">
        <f t="shared" si="323"/>
        <v>0</v>
      </c>
      <c r="CY39" s="55" t="s">
        <v>36</v>
      </c>
      <c r="CZ39" s="55" t="s">
        <v>36</v>
      </c>
      <c r="DA39" s="48">
        <f>SUMIFS([1]SP2024!$BQ$7:$BQ$148,[1]SP2024!$J$7:$J$148,$B37,[1]SP2024!$K$7:$K$148,$B39)</f>
        <v>0</v>
      </c>
      <c r="DB39" s="48"/>
      <c r="DC39" s="55" t="s">
        <v>36</v>
      </c>
      <c r="DD39" s="55" t="s">
        <v>36</v>
      </c>
      <c r="DE39" s="48">
        <f t="shared" si="1"/>
        <v>0</v>
      </c>
      <c r="DF39" s="48">
        <f t="shared" si="1"/>
        <v>0</v>
      </c>
      <c r="DG39" s="46">
        <v>0</v>
      </c>
      <c r="DH39" s="46">
        <v>11.4</v>
      </c>
      <c r="DI39" s="46">
        <v>0</v>
      </c>
      <c r="DJ39" s="46">
        <v>0.51630434782608714</v>
      </c>
      <c r="DK39" s="55" t="s">
        <v>36</v>
      </c>
      <c r="DL39" s="55" t="s">
        <v>36</v>
      </c>
      <c r="DM39" s="48">
        <v>0</v>
      </c>
      <c r="DN39" s="48"/>
      <c r="DO39" s="55" t="s">
        <v>36</v>
      </c>
      <c r="DP39" s="55" t="s">
        <v>36</v>
      </c>
      <c r="DQ39" s="48">
        <v>0</v>
      </c>
      <c r="DR39" s="48">
        <v>0</v>
      </c>
      <c r="DS39" s="55" t="s">
        <v>36</v>
      </c>
      <c r="DT39" s="55" t="s">
        <v>36</v>
      </c>
      <c r="DU39" s="48"/>
      <c r="DV39" s="48"/>
      <c r="DW39" s="55" t="s">
        <v>36</v>
      </c>
      <c r="DX39" s="55" t="s">
        <v>36</v>
      </c>
      <c r="DY39" s="48">
        <v>0</v>
      </c>
      <c r="DZ39" s="48">
        <v>0</v>
      </c>
      <c r="EA39" s="55" t="s">
        <v>36</v>
      </c>
      <c r="EB39" s="55" t="s">
        <v>36</v>
      </c>
      <c r="EC39" s="48">
        <v>0</v>
      </c>
      <c r="ED39" s="48">
        <v>0</v>
      </c>
      <c r="EE39" s="55" t="s">
        <v>36</v>
      </c>
      <c r="EF39" s="55" t="s">
        <v>36</v>
      </c>
      <c r="EG39" s="48">
        <v>0</v>
      </c>
      <c r="EH39" s="48">
        <v>0</v>
      </c>
      <c r="EI39" s="55" t="s">
        <v>36</v>
      </c>
      <c r="EJ39" s="55" t="s">
        <v>36</v>
      </c>
      <c r="EK39" s="48">
        <v>0</v>
      </c>
      <c r="EL39" s="55"/>
      <c r="EM39" s="55" t="s">
        <v>36</v>
      </c>
      <c r="EN39" s="55" t="s">
        <v>36</v>
      </c>
      <c r="EO39" s="48">
        <v>0</v>
      </c>
      <c r="EP39" s="48">
        <v>0</v>
      </c>
      <c r="EQ39" s="46">
        <v>6</v>
      </c>
      <c r="ER39" s="46">
        <v>21.8</v>
      </c>
      <c r="ES39" s="46">
        <v>6.8306010928961755E-2</v>
      </c>
      <c r="ET39" s="46">
        <v>0.24817847498248402</v>
      </c>
      <c r="EU39" s="55" t="s">
        <v>36</v>
      </c>
      <c r="EV39" s="55" t="s">
        <v>36</v>
      </c>
      <c r="EW39" s="48">
        <v>0</v>
      </c>
      <c r="EX39" s="48">
        <v>0</v>
      </c>
      <c r="EY39" s="55" t="s">
        <v>36</v>
      </c>
      <c r="EZ39" s="55" t="s">
        <v>36</v>
      </c>
      <c r="FA39" s="48">
        <v>0</v>
      </c>
      <c r="FB39" s="48">
        <v>0</v>
      </c>
      <c r="FC39" s="55" t="s">
        <v>36</v>
      </c>
      <c r="FD39" s="55" t="s">
        <v>36</v>
      </c>
      <c r="FE39" s="48">
        <v>0</v>
      </c>
      <c r="FF39" s="48">
        <v>0</v>
      </c>
      <c r="FG39" s="55" t="s">
        <v>36</v>
      </c>
      <c r="FH39" s="55" t="s">
        <v>36</v>
      </c>
      <c r="FI39" s="48">
        <v>0</v>
      </c>
      <c r="FJ39" s="48">
        <v>0</v>
      </c>
      <c r="FK39" s="55" t="s">
        <v>36</v>
      </c>
      <c r="FL39" s="55" t="s">
        <v>36</v>
      </c>
      <c r="FM39" s="48">
        <v>0</v>
      </c>
      <c r="FN39" s="48">
        <v>0</v>
      </c>
      <c r="FO39" s="55" t="s">
        <v>36</v>
      </c>
      <c r="FP39" s="55" t="s">
        <v>36</v>
      </c>
      <c r="FQ39" s="48">
        <v>0</v>
      </c>
      <c r="FR39" s="48">
        <v>0</v>
      </c>
      <c r="FS39" s="55" t="s">
        <v>36</v>
      </c>
      <c r="FT39" s="55" t="s">
        <v>36</v>
      </c>
      <c r="FU39" s="48">
        <v>0</v>
      </c>
      <c r="FV39" s="48">
        <v>0</v>
      </c>
      <c r="FW39" s="55" t="s">
        <v>36</v>
      </c>
      <c r="FX39" s="55" t="s">
        <v>36</v>
      </c>
      <c r="FY39" s="48">
        <v>0</v>
      </c>
      <c r="FZ39" s="48">
        <v>0</v>
      </c>
      <c r="GA39" s="50">
        <v>15.8</v>
      </c>
      <c r="GB39" s="46">
        <v>263.33333333333331</v>
      </c>
      <c r="GC39" s="55" t="s">
        <v>36</v>
      </c>
      <c r="GD39" s="46" t="s">
        <v>36</v>
      </c>
      <c r="GE39" s="51">
        <v>0</v>
      </c>
      <c r="GF39" s="46" t="s">
        <v>88</v>
      </c>
      <c r="GG39" s="55" t="s">
        <v>36</v>
      </c>
      <c r="GH39" s="57" t="s">
        <v>36</v>
      </c>
      <c r="GI39" s="51">
        <v>0</v>
      </c>
      <c r="GJ39" s="46" t="s">
        <v>88</v>
      </c>
      <c r="GK39" s="55" t="s">
        <v>36</v>
      </c>
      <c r="GL39" s="58" t="s">
        <v>36</v>
      </c>
      <c r="GM39" s="51">
        <v>0</v>
      </c>
      <c r="GN39" s="46" t="s">
        <v>88</v>
      </c>
      <c r="GO39" s="55" t="s">
        <v>36</v>
      </c>
      <c r="GP39" s="57" t="s">
        <v>36</v>
      </c>
      <c r="GQ39" s="51">
        <v>0</v>
      </c>
      <c r="GR39" s="44"/>
      <c r="GS39" s="44"/>
      <c r="GT39" s="44"/>
      <c r="GU39" s="44"/>
      <c r="GV39" s="44"/>
      <c r="GW39" s="44"/>
    </row>
    <row r="40" spans="1:205">
      <c r="A40" s="418"/>
      <c r="B40" s="73" t="s">
        <v>48</v>
      </c>
      <c r="C40" s="74">
        <f>C41+C42</f>
        <v>1066.3</v>
      </c>
      <c r="D40" s="74">
        <f>D41+D42</f>
        <v>1066.3</v>
      </c>
      <c r="E40" s="74">
        <f>IFERROR(C40/$C$76*100,0)</f>
        <v>24.411630036630036</v>
      </c>
      <c r="F40" s="74">
        <f>IFERROR(D40/$D$64*100,0)</f>
        <v>24.411630036630036</v>
      </c>
      <c r="G40" s="75" t="s">
        <v>36</v>
      </c>
      <c r="H40" s="75" t="s">
        <v>36</v>
      </c>
      <c r="I40" s="76">
        <f t="shared" si="2"/>
        <v>2863998.4599999995</v>
      </c>
      <c r="J40" s="76">
        <f>J41+J42</f>
        <v>2863998.4599999995</v>
      </c>
      <c r="K40" s="75" t="s">
        <v>36</v>
      </c>
      <c r="L40" s="75" t="s">
        <v>36</v>
      </c>
      <c r="M40" s="76">
        <f>M41+M42</f>
        <v>2800403.4399999995</v>
      </c>
      <c r="N40" s="76">
        <f>N41+N42</f>
        <v>2800403.4399999995</v>
      </c>
      <c r="O40" s="75" t="s">
        <v>36</v>
      </c>
      <c r="P40" s="75" t="s">
        <v>36</v>
      </c>
      <c r="Q40" s="76">
        <f>Q41+Q42</f>
        <v>63595.020000000026</v>
      </c>
      <c r="R40" s="76">
        <f>R41+R42</f>
        <v>63595.020000000026</v>
      </c>
      <c r="S40" s="75" t="s">
        <v>36</v>
      </c>
      <c r="T40" s="75" t="s">
        <v>36</v>
      </c>
      <c r="U40" s="76">
        <f t="shared" si="3"/>
        <v>2685.92</v>
      </c>
      <c r="V40" s="76">
        <f t="shared" si="3"/>
        <v>2685.92</v>
      </c>
      <c r="W40" s="75" t="s">
        <v>36</v>
      </c>
      <c r="X40" s="75" t="s">
        <v>36</v>
      </c>
      <c r="Y40" s="76">
        <f t="shared" ref="Y40:Z40" si="328">Y41+Y42</f>
        <v>3388015.1100000003</v>
      </c>
      <c r="Z40" s="76">
        <f t="shared" si="328"/>
        <v>3388015.1100000003</v>
      </c>
      <c r="AA40" s="75" t="s">
        <v>36</v>
      </c>
      <c r="AB40" s="75" t="s">
        <v>36</v>
      </c>
      <c r="AC40" s="76">
        <f>AC41+AC42</f>
        <v>3304053.9200000009</v>
      </c>
      <c r="AD40" s="76">
        <f t="shared" ref="AD40:AH40" si="329">AD41+AD42</f>
        <v>3304053.9200000009</v>
      </c>
      <c r="AE40" s="75" t="s">
        <v>36</v>
      </c>
      <c r="AF40" s="75" t="s">
        <v>36</v>
      </c>
      <c r="AG40" s="76">
        <f t="shared" si="329"/>
        <v>83961.19</v>
      </c>
      <c r="AH40" s="76">
        <f t="shared" si="329"/>
        <v>83961.19</v>
      </c>
      <c r="AI40" s="75" t="s">
        <v>36</v>
      </c>
      <c r="AJ40" s="75" t="s">
        <v>36</v>
      </c>
      <c r="AK40" s="76">
        <f t="shared" si="4"/>
        <v>3177.3563818812722</v>
      </c>
      <c r="AL40" s="76">
        <f t="shared" si="4"/>
        <v>3177.3563818812722</v>
      </c>
      <c r="AM40" s="74">
        <f>AM41+AM42</f>
        <v>1143</v>
      </c>
      <c r="AN40" s="74">
        <f>AN41+AN42</f>
        <v>1143</v>
      </c>
      <c r="AO40" s="74">
        <f>IFERROR(AM40/$AM$64*100,0)</f>
        <v>26.16758241758242</v>
      </c>
      <c r="AP40" s="74">
        <f t="shared" ref="AP40" si="330">IFERROR(AN40/$AN$64*100,0)</f>
        <v>26.16758241758242</v>
      </c>
      <c r="AQ40" s="75" t="s">
        <v>36</v>
      </c>
      <c r="AR40" s="75" t="s">
        <v>36</v>
      </c>
      <c r="AS40" s="76">
        <f>AS41+AS42</f>
        <v>3755345.8000000003</v>
      </c>
      <c r="AT40" s="76">
        <f>AT41+AT42</f>
        <v>3755345.8000000003</v>
      </c>
      <c r="AU40" s="75" t="s">
        <v>36</v>
      </c>
      <c r="AV40" s="75" t="s">
        <v>36</v>
      </c>
      <c r="AW40" s="76">
        <f>AW41+AW42</f>
        <v>3687683.99</v>
      </c>
      <c r="AX40" s="76">
        <f>AX41+AX42</f>
        <v>3687683.99</v>
      </c>
      <c r="AY40" s="75" t="s">
        <v>36</v>
      </c>
      <c r="AZ40" s="75" t="s">
        <v>36</v>
      </c>
      <c r="BA40" s="76">
        <f>BA41+BA42</f>
        <v>67661.809999999983</v>
      </c>
      <c r="BB40" s="76">
        <f>BB41+BB42</f>
        <v>67661.809999999983</v>
      </c>
      <c r="BC40" s="75" t="s">
        <v>36</v>
      </c>
      <c r="BD40" s="75" t="s">
        <v>36</v>
      </c>
      <c r="BE40" s="76">
        <f t="shared" ref="BE40:BF45" si="331">IFERROR(ROUND(AS40/AM40,2),0)</f>
        <v>3285.52</v>
      </c>
      <c r="BF40" s="76">
        <f t="shared" si="331"/>
        <v>3285.52</v>
      </c>
      <c r="BG40" s="75" t="s">
        <v>36</v>
      </c>
      <c r="BH40" s="75" t="s">
        <v>36</v>
      </c>
      <c r="BI40" s="76">
        <f t="shared" ref="BI40:BJ40" si="332">BI41+BI42</f>
        <v>3462815.98</v>
      </c>
      <c r="BJ40" s="76">
        <f t="shared" si="332"/>
        <v>3462815.98</v>
      </c>
      <c r="BK40" s="75" t="s">
        <v>36</v>
      </c>
      <c r="BL40" s="75" t="s">
        <v>36</v>
      </c>
      <c r="BM40" s="76">
        <f>BM41+BM42</f>
        <v>3439193.14</v>
      </c>
      <c r="BN40" s="76">
        <f t="shared" ref="BN40" si="333">BN41+BN42</f>
        <v>3439193.14</v>
      </c>
      <c r="BO40" s="75" t="s">
        <v>36</v>
      </c>
      <c r="BP40" s="75" t="s">
        <v>36</v>
      </c>
      <c r="BQ40" s="76">
        <f t="shared" ref="BQ40:BR40" si="334">BQ41+BQ42</f>
        <v>23622.839999999997</v>
      </c>
      <c r="BR40" s="76">
        <f t="shared" si="334"/>
        <v>23622.839999999997</v>
      </c>
      <c r="BS40" s="75" t="s">
        <v>36</v>
      </c>
      <c r="BT40" s="75" t="s">
        <v>36</v>
      </c>
      <c r="BU40" s="76">
        <f t="shared" si="0"/>
        <v>3029.5852843394578</v>
      </c>
      <c r="BV40" s="77">
        <f t="shared" si="0"/>
        <v>3029.5852843394578</v>
      </c>
      <c r="BW40" s="74">
        <f>BW41+BW42</f>
        <v>1023.1833333333332</v>
      </c>
      <c r="BX40" s="74">
        <f>BX41+BX42</f>
        <v>1143.1999999999998</v>
      </c>
      <c r="BY40" s="74">
        <f t="shared" ref="BY40" si="335">IFERROR(BW40/$BW$64*100,0)</f>
        <v>23.169912439613523</v>
      </c>
      <c r="BZ40" s="74">
        <f>IFERROR(BX40/$BX$64*100,0)</f>
        <v>25.887659990213624</v>
      </c>
      <c r="CA40" s="75" t="s">
        <v>36</v>
      </c>
      <c r="CB40" s="75" t="s">
        <v>36</v>
      </c>
      <c r="CC40" s="76">
        <f>CC41+CC42</f>
        <v>2552682.5830831178</v>
      </c>
      <c r="CD40" s="76">
        <f>CD41+CD42</f>
        <v>2934455.1100000003</v>
      </c>
      <c r="CE40" s="75" t="s">
        <v>36</v>
      </c>
      <c r="CF40" s="75" t="s">
        <v>36</v>
      </c>
      <c r="CG40" s="76">
        <f>CG41+CG42</f>
        <v>2465682.5830831178</v>
      </c>
      <c r="CH40" s="76">
        <f>CH41+CH42</f>
        <v>2859940.3600000008</v>
      </c>
      <c r="CI40" s="75" t="s">
        <v>36</v>
      </c>
      <c r="CJ40" s="75" t="s">
        <v>36</v>
      </c>
      <c r="CK40" s="76">
        <f>CK41+CK42</f>
        <v>87000</v>
      </c>
      <c r="CL40" s="76">
        <f>CL41+CL42</f>
        <v>74514.75</v>
      </c>
      <c r="CM40" s="75" t="s">
        <v>36</v>
      </c>
      <c r="CN40" s="75" t="s">
        <v>36</v>
      </c>
      <c r="CO40" s="76">
        <f t="shared" ref="CO40:CP45" si="336">IFERROR(ROUND(CC40/BW40,2),0)</f>
        <v>2494.84</v>
      </c>
      <c r="CP40" s="76">
        <f t="shared" si="336"/>
        <v>2566.88</v>
      </c>
      <c r="CQ40" s="75" t="s">
        <v>36</v>
      </c>
      <c r="CR40" s="75" t="s">
        <v>36</v>
      </c>
      <c r="CS40" s="76">
        <f t="shared" ref="CS40:CT40" si="337">CS41+CS42</f>
        <v>2562826.0599999996</v>
      </c>
      <c r="CT40" s="76">
        <f t="shared" si="337"/>
        <v>2480905.02</v>
      </c>
      <c r="CU40" s="75" t="s">
        <v>36</v>
      </c>
      <c r="CV40" s="75" t="s">
        <v>36</v>
      </c>
      <c r="CW40" s="76">
        <f>CW41+CW42</f>
        <v>2472526.0599999996</v>
      </c>
      <c r="CX40" s="76">
        <f>CX41+CX42</f>
        <v>2386174.9200000004</v>
      </c>
      <c r="CY40" s="75" t="s">
        <v>36</v>
      </c>
      <c r="CZ40" s="75" t="s">
        <v>36</v>
      </c>
      <c r="DA40" s="76">
        <f t="shared" ref="DA40:DB40" si="338">DA41+DA42</f>
        <v>90300</v>
      </c>
      <c r="DB40" s="76">
        <f t="shared" si="338"/>
        <v>94730.1</v>
      </c>
      <c r="DC40" s="75" t="s">
        <v>36</v>
      </c>
      <c r="DD40" s="75" t="s">
        <v>36</v>
      </c>
      <c r="DE40" s="76">
        <f t="shared" si="1"/>
        <v>2504.7574335000245</v>
      </c>
      <c r="DF40" s="76">
        <f t="shared" si="1"/>
        <v>2170.1408502449267</v>
      </c>
      <c r="DG40" s="74">
        <v>891.92500000000007</v>
      </c>
      <c r="DH40" s="74">
        <v>1201.8999999999999</v>
      </c>
      <c r="DI40" s="74">
        <v>20.197576992753621</v>
      </c>
      <c r="DJ40" s="74">
        <v>27.216938405797102</v>
      </c>
      <c r="DK40" s="75" t="s">
        <v>36</v>
      </c>
      <c r="DL40" s="75" t="s">
        <v>36</v>
      </c>
      <c r="DM40" s="76">
        <v>3765962.578385849</v>
      </c>
      <c r="DN40" s="76">
        <v>3659249.5500000003</v>
      </c>
      <c r="DO40" s="75" t="s">
        <v>36</v>
      </c>
      <c r="DP40" s="75" t="s">
        <v>36</v>
      </c>
      <c r="DQ40" s="76">
        <v>3650962.578385849</v>
      </c>
      <c r="DR40" s="76">
        <v>3512880.7099999995</v>
      </c>
      <c r="DS40" s="75" t="s">
        <v>36</v>
      </c>
      <c r="DT40" s="75" t="s">
        <v>36</v>
      </c>
      <c r="DU40" s="76">
        <v>115000</v>
      </c>
      <c r="DV40" s="76">
        <v>146368.84000000003</v>
      </c>
      <c r="DW40" s="75" t="s">
        <v>36</v>
      </c>
      <c r="DX40" s="75" t="s">
        <v>36</v>
      </c>
      <c r="DY40" s="76">
        <v>4222.29</v>
      </c>
      <c r="DZ40" s="76">
        <v>3044.55</v>
      </c>
      <c r="EA40" s="75" t="s">
        <v>36</v>
      </c>
      <c r="EB40" s="75" t="s">
        <v>36</v>
      </c>
      <c r="EC40" s="76">
        <v>3780927.2100000004</v>
      </c>
      <c r="ED40" s="76">
        <v>3979850.3499999996</v>
      </c>
      <c r="EE40" s="75" t="s">
        <v>36</v>
      </c>
      <c r="EF40" s="75" t="s">
        <v>36</v>
      </c>
      <c r="EG40" s="76">
        <v>3642427.2100000004</v>
      </c>
      <c r="EH40" s="76">
        <v>3810532.3499999996</v>
      </c>
      <c r="EI40" s="75" t="s">
        <v>36</v>
      </c>
      <c r="EJ40" s="75" t="s">
        <v>36</v>
      </c>
      <c r="EK40" s="76">
        <v>138500</v>
      </c>
      <c r="EL40" s="76">
        <v>169318</v>
      </c>
      <c r="EM40" s="75" t="s">
        <v>36</v>
      </c>
      <c r="EN40" s="75" t="s">
        <v>36</v>
      </c>
      <c r="EO40" s="76">
        <v>4239.0640580766321</v>
      </c>
      <c r="EP40" s="76">
        <v>3311.2990681421084</v>
      </c>
      <c r="EQ40" s="74">
        <v>4124.4083333333338</v>
      </c>
      <c r="ER40" s="74">
        <v>4554.3999999999996</v>
      </c>
      <c r="ES40" s="74">
        <v>23.476823391013969</v>
      </c>
      <c r="ET40" s="74">
        <v>25.924402685798121</v>
      </c>
      <c r="EU40" s="75" t="s">
        <v>36</v>
      </c>
      <c r="EV40" s="75" t="s">
        <v>36</v>
      </c>
      <c r="EW40" s="76">
        <v>12937989.421468969</v>
      </c>
      <c r="EX40" s="76">
        <v>13213048.920000002</v>
      </c>
      <c r="EY40" s="75" t="s">
        <v>36</v>
      </c>
      <c r="EZ40" s="75" t="s">
        <v>36</v>
      </c>
      <c r="FA40" s="76">
        <v>12604732.591468967</v>
      </c>
      <c r="FB40" s="76">
        <v>12860908.5</v>
      </c>
      <c r="FC40" s="75" t="s">
        <v>36</v>
      </c>
      <c r="FD40" s="75" t="s">
        <v>36</v>
      </c>
      <c r="FE40" s="76">
        <v>333256.83</v>
      </c>
      <c r="FF40" s="76">
        <v>352140.42000000004</v>
      </c>
      <c r="FG40" s="75" t="s">
        <v>36</v>
      </c>
      <c r="FH40" s="75" t="s">
        <v>36</v>
      </c>
      <c r="FI40" s="76">
        <v>3136.93</v>
      </c>
      <c r="FJ40" s="76">
        <v>2901.16</v>
      </c>
      <c r="FK40" s="75" t="s">
        <v>36</v>
      </c>
      <c r="FL40" s="75" t="s">
        <v>36</v>
      </c>
      <c r="FM40" s="76">
        <v>13194584.360000001</v>
      </c>
      <c r="FN40" s="76">
        <v>13311586.459999997</v>
      </c>
      <c r="FO40" s="75" t="s">
        <v>36</v>
      </c>
      <c r="FP40" s="75" t="s">
        <v>36</v>
      </c>
      <c r="FQ40" s="76">
        <v>12858200.33</v>
      </c>
      <c r="FR40" s="76">
        <v>12939954.330000002</v>
      </c>
      <c r="FS40" s="75" t="s">
        <v>36</v>
      </c>
      <c r="FT40" s="75" t="s">
        <v>36</v>
      </c>
      <c r="FU40" s="76">
        <v>336384.02999999997</v>
      </c>
      <c r="FV40" s="76">
        <v>371632.12999999995</v>
      </c>
      <c r="FW40" s="75" t="s">
        <v>36</v>
      </c>
      <c r="FX40" s="75" t="s">
        <v>36</v>
      </c>
      <c r="FY40" s="76">
        <v>3199.1459849796638</v>
      </c>
      <c r="FZ40" s="76">
        <v>2922.7969567890386</v>
      </c>
      <c r="GA40" s="78">
        <v>429.99166666666588</v>
      </c>
      <c r="GB40" s="74">
        <v>10.425535783920491</v>
      </c>
      <c r="GC40" s="75" t="s">
        <v>36</v>
      </c>
      <c r="GD40" s="74" t="s">
        <v>36</v>
      </c>
      <c r="GE40" s="79">
        <v>275059.49853103235</v>
      </c>
      <c r="GF40" s="74">
        <v>2.1259833314951182</v>
      </c>
      <c r="GG40" s="75" t="s">
        <v>36</v>
      </c>
      <c r="GH40" s="80" t="s">
        <v>36</v>
      </c>
      <c r="GI40" s="79">
        <v>256175.9085310325</v>
      </c>
      <c r="GJ40" s="74">
        <v>2.0323787646587155</v>
      </c>
      <c r="GK40" s="75" t="s">
        <v>36</v>
      </c>
      <c r="GL40" s="81" t="s">
        <v>36</v>
      </c>
      <c r="GM40" s="79">
        <v>18883.590000000026</v>
      </c>
      <c r="GN40" s="74">
        <v>5.6663774902978137</v>
      </c>
      <c r="GO40" s="75" t="s">
        <v>36</v>
      </c>
      <c r="GP40" s="80" t="s">
        <v>36</v>
      </c>
      <c r="GQ40" s="79">
        <v>-235.76999999999998</v>
      </c>
      <c r="GR40" s="44"/>
      <c r="GS40" s="44"/>
      <c r="GT40" s="44"/>
      <c r="GU40" s="44"/>
      <c r="GV40" s="44"/>
      <c r="GW40" s="44"/>
    </row>
    <row r="41" spans="1:205">
      <c r="A41" s="82"/>
      <c r="B41" s="83" t="s">
        <v>38</v>
      </c>
      <c r="C41" s="84">
        <f>C14+C17+C20+C23+C26+C29+C32+C35+C38</f>
        <v>800.1</v>
      </c>
      <c r="D41" s="84">
        <f>D14+D17+D20+D23+D26+D29+D32+D35+D38</f>
        <v>800.1</v>
      </c>
      <c r="E41" s="84">
        <f>IFERROR(C41/$C$77*100,0)</f>
        <v>36.634615384615387</v>
      </c>
      <c r="F41" s="84">
        <f t="shared" ref="F41" si="339">IFERROR(D41/$D$65*100,0)</f>
        <v>36.634615384615387</v>
      </c>
      <c r="G41" s="75" t="s">
        <v>36</v>
      </c>
      <c r="H41" s="75" t="s">
        <v>36</v>
      </c>
      <c r="I41" s="76">
        <f t="shared" si="2"/>
        <v>2685742.9199999995</v>
      </c>
      <c r="J41" s="76">
        <f>J14+J17+J20+J23+J26+J29+J32+J35+J38</f>
        <v>2685742.9199999995</v>
      </c>
      <c r="K41" s="75" t="s">
        <v>36</v>
      </c>
      <c r="L41" s="75" t="s">
        <v>36</v>
      </c>
      <c r="M41" s="76">
        <f>M14+M17+M20+M23+M26+M29+M32+M35+M38</f>
        <v>2622147.8999999994</v>
      </c>
      <c r="N41" s="76">
        <f>N14+N17+N20+N23+N26+N29+N32+N35+N38</f>
        <v>2622147.8999999994</v>
      </c>
      <c r="O41" s="75" t="s">
        <v>36</v>
      </c>
      <c r="P41" s="75" t="s">
        <v>36</v>
      </c>
      <c r="Q41" s="76">
        <f>Q14+Q17+Q20+Q23+Q26+Q29+Q32+Q35+Q38</f>
        <v>63595.020000000026</v>
      </c>
      <c r="R41" s="76">
        <f>R14+R17+R20+R23+R26+R29+R32+R35+R38</f>
        <v>63595.020000000026</v>
      </c>
      <c r="S41" s="75" t="s">
        <v>36</v>
      </c>
      <c r="T41" s="75" t="s">
        <v>36</v>
      </c>
      <c r="U41" s="76">
        <f t="shared" si="3"/>
        <v>3356.76</v>
      </c>
      <c r="V41" s="76">
        <f t="shared" si="3"/>
        <v>3356.76</v>
      </c>
      <c r="W41" s="75" t="s">
        <v>36</v>
      </c>
      <c r="X41" s="75" t="s">
        <v>36</v>
      </c>
      <c r="Y41" s="76">
        <f t="shared" ref="Y41:Z42" si="340">Y14+Y17+Y20+Y23+Y26+Y29+Y32+Y35+Y38</f>
        <v>2757133.1400000006</v>
      </c>
      <c r="Z41" s="76">
        <f t="shared" si="340"/>
        <v>2757133.1400000006</v>
      </c>
      <c r="AA41" s="75" t="s">
        <v>36</v>
      </c>
      <c r="AB41" s="75" t="s">
        <v>36</v>
      </c>
      <c r="AC41" s="76">
        <f>AC14+AC17+AC20+AC23+AC26+AC29+AC32+AC35+AC38</f>
        <v>2673171.9500000007</v>
      </c>
      <c r="AD41" s="76">
        <f t="shared" ref="AD41:AH42" si="341">AD14+AD17+AD20+AD23+AD26+AD29+AD32+AD35+AD38</f>
        <v>2673171.9500000007</v>
      </c>
      <c r="AE41" s="75" t="s">
        <v>36</v>
      </c>
      <c r="AF41" s="75" t="s">
        <v>36</v>
      </c>
      <c r="AG41" s="76">
        <f>AG14+AG17+AG20+AG23+AG26+AG29+AG32+AG35+AG38</f>
        <v>83961.19</v>
      </c>
      <c r="AH41" s="76">
        <f t="shared" si="341"/>
        <v>83961.19</v>
      </c>
      <c r="AI41" s="75" t="s">
        <v>36</v>
      </c>
      <c r="AJ41" s="75" t="s">
        <v>36</v>
      </c>
      <c r="AK41" s="76">
        <f t="shared" si="4"/>
        <v>3445.9856767904021</v>
      </c>
      <c r="AL41" s="76">
        <f t="shared" si="4"/>
        <v>3445.9856767904021</v>
      </c>
      <c r="AM41" s="84">
        <f>AM14+AM17+AM20+AM23+AM26+AM29+AM32+AM35+AM38</f>
        <v>768.8</v>
      </c>
      <c r="AN41" s="84">
        <f>AN14+AN17+AN20+AN23+AN26+AN29+AN32+AN35+AN38</f>
        <v>768.8</v>
      </c>
      <c r="AO41" s="84">
        <f>IFERROR(AM41/$AM$65*100,0)</f>
        <v>35.201465201465197</v>
      </c>
      <c r="AP41" s="84">
        <f t="shared" ref="AP41" si="342">IFERROR(AN41/$AN$65*100,0)</f>
        <v>35.201465201465197</v>
      </c>
      <c r="AQ41" s="75" t="s">
        <v>36</v>
      </c>
      <c r="AR41" s="75" t="s">
        <v>36</v>
      </c>
      <c r="AS41" s="76">
        <f>AS14+AS17+AS20+AS23+AS26+AS29+AS32+AS35+AS38</f>
        <v>2938386.0900000003</v>
      </c>
      <c r="AT41" s="76">
        <f>AT14+AT17+AT20+AT23+AT26+AT29+AT32+AT35+AT38</f>
        <v>2938386.0900000003</v>
      </c>
      <c r="AU41" s="75" t="s">
        <v>36</v>
      </c>
      <c r="AV41" s="75" t="s">
        <v>36</v>
      </c>
      <c r="AW41" s="76">
        <f>AW14+AW17+AW20+AW23+AW26+AW29+AW32+AW35+AW38</f>
        <v>2870724.2800000003</v>
      </c>
      <c r="AX41" s="76">
        <f>AX14+AX17+AX20+AX23+AX26+AX29+AX32+AX35+AX38</f>
        <v>2870724.2800000003</v>
      </c>
      <c r="AY41" s="75" t="s">
        <v>36</v>
      </c>
      <c r="AZ41" s="75" t="s">
        <v>36</v>
      </c>
      <c r="BA41" s="76">
        <f>BA14+BA17+BA20+BA23+BA26+BA29+BA32+BA35+BA38</f>
        <v>67661.809999999983</v>
      </c>
      <c r="BB41" s="76">
        <f>BB14+BB17+BB20+BB23+BB26+BB29+BB32+BB35+BB38</f>
        <v>67661.809999999983</v>
      </c>
      <c r="BC41" s="75" t="s">
        <v>36</v>
      </c>
      <c r="BD41" s="75" t="s">
        <v>36</v>
      </c>
      <c r="BE41" s="76">
        <f t="shared" si="331"/>
        <v>3822.04</v>
      </c>
      <c r="BF41" s="76">
        <f t="shared" si="331"/>
        <v>3822.04</v>
      </c>
      <c r="BG41" s="75" t="s">
        <v>36</v>
      </c>
      <c r="BH41" s="75" t="s">
        <v>36</v>
      </c>
      <c r="BI41" s="76">
        <f t="shared" ref="BI41:BJ42" si="343">BI14+BI17+BI20+BI23+BI26+BI29+BI32+BI35+BI38</f>
        <v>2881092.5</v>
      </c>
      <c r="BJ41" s="76">
        <f t="shared" si="343"/>
        <v>2881092.5</v>
      </c>
      <c r="BK41" s="75" t="s">
        <v>36</v>
      </c>
      <c r="BL41" s="75" t="s">
        <v>36</v>
      </c>
      <c r="BM41" s="76">
        <f>BM14+BM17+BM20+BM23+BM26+BM29+BM32+BM35+BM38</f>
        <v>2857469.66</v>
      </c>
      <c r="BN41" s="76">
        <f t="shared" ref="BN41:BN42" si="344">BN14+BN17+BN20+BN23+BN26+BN29+BN32+BN35+BN38</f>
        <v>2857469.66</v>
      </c>
      <c r="BO41" s="75" t="s">
        <v>36</v>
      </c>
      <c r="BP41" s="75" t="s">
        <v>36</v>
      </c>
      <c r="BQ41" s="76">
        <f t="shared" ref="BQ41:BR42" si="345">BQ14+BQ17+BQ20+BQ23+BQ26+BQ29+BQ32+BQ35+BQ38</f>
        <v>23622.839999999997</v>
      </c>
      <c r="BR41" s="76">
        <f t="shared" si="345"/>
        <v>23622.839999999997</v>
      </c>
      <c r="BS41" s="75" t="s">
        <v>36</v>
      </c>
      <c r="BT41" s="75" t="s">
        <v>36</v>
      </c>
      <c r="BU41" s="76">
        <f t="shared" si="0"/>
        <v>3747.5188605619151</v>
      </c>
      <c r="BV41" s="77">
        <f t="shared" si="0"/>
        <v>3747.5188605619151</v>
      </c>
      <c r="BW41" s="84">
        <f>BW14+BW17+BW20+BW23+BW26+BW29+BW32+BW35+BW38</f>
        <v>537.86666666666656</v>
      </c>
      <c r="BX41" s="84">
        <f>BX14+BX17+BX20+BX23+BX26+BX29+BX32+BX35+BX38</f>
        <v>561.5</v>
      </c>
      <c r="BY41" s="84">
        <f t="shared" ref="BY41:BY42" si="346">IFERROR(BW41/$BW$65*100,0)</f>
        <v>24.359903381642507</v>
      </c>
      <c r="BZ41" s="84">
        <f>IFERROR(BX41/$BX$65*100,0)</f>
        <v>25.430224829908489</v>
      </c>
      <c r="CA41" s="75" t="s">
        <v>36</v>
      </c>
      <c r="CB41" s="75" t="s">
        <v>36</v>
      </c>
      <c r="CC41" s="76">
        <f>CC14+CC17+CC20+CC23+CC26+CC29+CC32+CC35+CC38</f>
        <v>2076005.3733022867</v>
      </c>
      <c r="CD41" s="76">
        <f>CD14+CD17+CD20+CD23+CD26+CD29+CD32+CD35+CD38</f>
        <v>2412701.9400000004</v>
      </c>
      <c r="CE41" s="75" t="s">
        <v>36</v>
      </c>
      <c r="CF41" s="75" t="s">
        <v>36</v>
      </c>
      <c r="CG41" s="76">
        <f>CG14+CG17+CG20+CG23+CG26+CG29+CG32+CG35+CG38</f>
        <v>1989005.3733022867</v>
      </c>
      <c r="CH41" s="76">
        <f>CH14+CH17+CH20+CH23+CH26+CH29+CH32+CH35+CH38</f>
        <v>2338187.1900000009</v>
      </c>
      <c r="CI41" s="75" t="s">
        <v>36</v>
      </c>
      <c r="CJ41" s="75" t="s">
        <v>36</v>
      </c>
      <c r="CK41" s="76">
        <f>CK14+CK17+CK20+CK23+CK26+CK29+CK32+CK35+CK38</f>
        <v>87000</v>
      </c>
      <c r="CL41" s="76">
        <f>CL14+CL17+CL20+CL23+CL26+CL29+CL32+CL35+CL38</f>
        <v>74514.75</v>
      </c>
      <c r="CM41" s="75" t="s">
        <v>36</v>
      </c>
      <c r="CN41" s="75" t="s">
        <v>36</v>
      </c>
      <c r="CO41" s="76">
        <f t="shared" si="336"/>
        <v>3859.7</v>
      </c>
      <c r="CP41" s="76">
        <f t="shared" si="336"/>
        <v>4296.8900000000003</v>
      </c>
      <c r="CQ41" s="75" t="s">
        <v>36</v>
      </c>
      <c r="CR41" s="75" t="s">
        <v>36</v>
      </c>
      <c r="CS41" s="76">
        <f t="shared" ref="CS41:CT42" si="347">CS14+CS17+CS20+CS23+CS26+CS29+CS32+CS35+CS38</f>
        <v>2084254.6999999997</v>
      </c>
      <c r="CT41" s="76">
        <f t="shared" si="347"/>
        <v>2180232.86</v>
      </c>
      <c r="CU41" s="75" t="s">
        <v>36</v>
      </c>
      <c r="CV41" s="75" t="s">
        <v>36</v>
      </c>
      <c r="CW41" s="76">
        <f>CW14+CW17+CW20+CW23+CW26+CW29+CW32+CW35+CW38</f>
        <v>1993954.6999999997</v>
      </c>
      <c r="CX41" s="76">
        <f>CX14+CX17+CX20+CX23+CX26+CX29+CX32+CX35+CX38</f>
        <v>2109642.2600000002</v>
      </c>
      <c r="CY41" s="75" t="s">
        <v>36</v>
      </c>
      <c r="CZ41" s="75" t="s">
        <v>36</v>
      </c>
      <c r="DA41" s="76">
        <f t="shared" ref="DA41:DB42" si="348">DA14+DA17+DA20+DA23+DA26+DA29+DA32+DA35+DA38</f>
        <v>90300</v>
      </c>
      <c r="DB41" s="76">
        <f t="shared" si="348"/>
        <v>70590.600000000006</v>
      </c>
      <c r="DC41" s="75" t="s">
        <v>36</v>
      </c>
      <c r="DD41" s="75" t="s">
        <v>36</v>
      </c>
      <c r="DE41" s="76">
        <f t="shared" si="1"/>
        <v>3875.0397248388699</v>
      </c>
      <c r="DF41" s="76">
        <f t="shared" si="1"/>
        <v>3882.8724131789845</v>
      </c>
      <c r="DG41" s="84">
        <v>771.65000000000009</v>
      </c>
      <c r="DH41" s="84">
        <v>856.69999999999982</v>
      </c>
      <c r="DI41" s="84">
        <v>34.947916666666664</v>
      </c>
      <c r="DJ41" s="84">
        <v>38.799818840579711</v>
      </c>
      <c r="DK41" s="75" t="s">
        <v>36</v>
      </c>
      <c r="DL41" s="75" t="s">
        <v>36</v>
      </c>
      <c r="DM41" s="76">
        <v>3700500.7908683782</v>
      </c>
      <c r="DN41" s="76">
        <v>3008384.98</v>
      </c>
      <c r="DO41" s="75" t="s">
        <v>36</v>
      </c>
      <c r="DP41" s="75" t="s">
        <v>36</v>
      </c>
      <c r="DQ41" s="76">
        <v>3585500.7908683782</v>
      </c>
      <c r="DR41" s="76">
        <v>2867438.6399999992</v>
      </c>
      <c r="DS41" s="75" t="s">
        <v>36</v>
      </c>
      <c r="DT41" s="75" t="s">
        <v>36</v>
      </c>
      <c r="DU41" s="76">
        <v>115000</v>
      </c>
      <c r="DV41" s="76">
        <v>140946.34000000003</v>
      </c>
      <c r="DW41" s="75" t="s">
        <v>36</v>
      </c>
      <c r="DX41" s="75" t="s">
        <v>36</v>
      </c>
      <c r="DY41" s="76">
        <v>4795.57</v>
      </c>
      <c r="DZ41" s="76">
        <v>3511.6</v>
      </c>
      <c r="EA41" s="75" t="s">
        <v>36</v>
      </c>
      <c r="EB41" s="75" t="s">
        <v>36</v>
      </c>
      <c r="EC41" s="76">
        <v>3715205.3000000003</v>
      </c>
      <c r="ED41" s="76">
        <v>3558920.8599999994</v>
      </c>
      <c r="EE41" s="75" t="s">
        <v>36</v>
      </c>
      <c r="EF41" s="75" t="s">
        <v>36</v>
      </c>
      <c r="EG41" s="76">
        <v>3576705.3000000003</v>
      </c>
      <c r="EH41" s="76">
        <v>3389602.8599999994</v>
      </c>
      <c r="EI41" s="75" t="s">
        <v>36</v>
      </c>
      <c r="EJ41" s="75" t="s">
        <v>36</v>
      </c>
      <c r="EK41" s="76">
        <v>138500</v>
      </c>
      <c r="EL41" s="76">
        <v>169318</v>
      </c>
      <c r="EM41" s="75" t="s">
        <v>36</v>
      </c>
      <c r="EN41" s="75" t="s">
        <v>36</v>
      </c>
      <c r="EO41" s="76">
        <v>4814.6248947061486</v>
      </c>
      <c r="EP41" s="76">
        <v>4154.220684020077</v>
      </c>
      <c r="EQ41" s="84">
        <v>2878.416666666667</v>
      </c>
      <c r="ER41" s="84">
        <v>2987.1</v>
      </c>
      <c r="ES41" s="84">
        <v>32.768860048573167</v>
      </c>
      <c r="ET41" s="84">
        <v>34.006137862551832</v>
      </c>
      <c r="EU41" s="75" t="s">
        <v>36</v>
      </c>
      <c r="EV41" s="75" t="s">
        <v>36</v>
      </c>
      <c r="EW41" s="76">
        <v>11400635.174170667</v>
      </c>
      <c r="EX41" s="76">
        <v>11045215.930000002</v>
      </c>
      <c r="EY41" s="75" t="s">
        <v>36</v>
      </c>
      <c r="EZ41" s="75" t="s">
        <v>36</v>
      </c>
      <c r="FA41" s="76">
        <v>11067378.344170665</v>
      </c>
      <c r="FB41" s="76">
        <v>10698498.01</v>
      </c>
      <c r="FC41" s="75" t="s">
        <v>36</v>
      </c>
      <c r="FD41" s="75" t="s">
        <v>36</v>
      </c>
      <c r="FE41" s="76">
        <v>333256.83</v>
      </c>
      <c r="FF41" s="76">
        <v>346717.92000000004</v>
      </c>
      <c r="FG41" s="75" t="s">
        <v>36</v>
      </c>
      <c r="FH41" s="75" t="s">
        <v>36</v>
      </c>
      <c r="FI41" s="76">
        <v>3960.73</v>
      </c>
      <c r="FJ41" s="76">
        <v>3697.64</v>
      </c>
      <c r="FK41" s="75" t="s">
        <v>36</v>
      </c>
      <c r="FL41" s="75" t="s">
        <v>36</v>
      </c>
      <c r="FM41" s="76">
        <v>11437685.640000001</v>
      </c>
      <c r="FN41" s="76">
        <v>11377379.359999998</v>
      </c>
      <c r="FO41" s="75" t="s">
        <v>36</v>
      </c>
      <c r="FP41" s="75" t="s">
        <v>36</v>
      </c>
      <c r="FQ41" s="76">
        <v>11101301.609999999</v>
      </c>
      <c r="FR41" s="76">
        <v>11029886.730000002</v>
      </c>
      <c r="FS41" s="75" t="s">
        <v>36</v>
      </c>
      <c r="FT41" s="75" t="s">
        <v>36</v>
      </c>
      <c r="FU41" s="76">
        <v>336384.02999999997</v>
      </c>
      <c r="FV41" s="76">
        <v>347492.62999999995</v>
      </c>
      <c r="FW41" s="75" t="s">
        <v>36</v>
      </c>
      <c r="FX41" s="75" t="s">
        <v>36</v>
      </c>
      <c r="FY41" s="76">
        <v>3973.6031869372628</v>
      </c>
      <c r="FZ41" s="76">
        <v>3808.8377891600544</v>
      </c>
      <c r="GA41" s="85">
        <v>108.68333333333294</v>
      </c>
      <c r="GB41" s="84">
        <v>3.7758026692915614</v>
      </c>
      <c r="GC41" s="75" t="s">
        <v>36</v>
      </c>
      <c r="GD41" s="84" t="s">
        <v>36</v>
      </c>
      <c r="GE41" s="86">
        <v>-355419.24417066574</v>
      </c>
      <c r="GF41" s="84">
        <v>-3.1175389681436849</v>
      </c>
      <c r="GG41" s="75" t="s">
        <v>36</v>
      </c>
      <c r="GH41" s="80" t="s">
        <v>36</v>
      </c>
      <c r="GI41" s="86">
        <v>-368880.33417066559</v>
      </c>
      <c r="GJ41" s="84">
        <v>-3.333041689723748</v>
      </c>
      <c r="GK41" s="75" t="s">
        <v>36</v>
      </c>
      <c r="GL41" s="81" t="s">
        <v>36</v>
      </c>
      <c r="GM41" s="86">
        <v>13461.090000000026</v>
      </c>
      <c r="GN41" s="84">
        <v>4.0392540491968276</v>
      </c>
      <c r="GO41" s="75" t="s">
        <v>36</v>
      </c>
      <c r="GP41" s="80" t="s">
        <v>36</v>
      </c>
      <c r="GQ41" s="86">
        <v>-263.09000000000015</v>
      </c>
      <c r="GR41" s="44"/>
      <c r="GS41" s="44"/>
      <c r="GT41" s="44"/>
      <c r="GU41" s="44"/>
      <c r="GV41" s="44"/>
      <c r="GW41" s="44"/>
    </row>
    <row r="42" spans="1:205">
      <c r="A42" s="87"/>
      <c r="B42" s="88" t="s">
        <v>39</v>
      </c>
      <c r="C42" s="89">
        <f>C15+C18+C21+C24+C27+C30+C33+C36+C39</f>
        <v>266.2</v>
      </c>
      <c r="D42" s="89">
        <f>D15+D18+D21+D24+D27+D30+D33+D36+D39</f>
        <v>266.2</v>
      </c>
      <c r="E42" s="89">
        <f>IFERROR(C42/$C$78*100,0)</f>
        <v>12.188644688644688</v>
      </c>
      <c r="F42" s="89">
        <f t="shared" ref="F42" si="349">IFERROR(D42/$D$66*100,0)</f>
        <v>12.188644688644688</v>
      </c>
      <c r="G42" s="90" t="s">
        <v>36</v>
      </c>
      <c r="H42" s="90" t="s">
        <v>36</v>
      </c>
      <c r="I42" s="91">
        <f t="shared" si="2"/>
        <v>178255.53999999998</v>
      </c>
      <c r="J42" s="91">
        <f>J15+J18+J21+J24+J27+J30+J33+J36+J39</f>
        <v>178255.53999999998</v>
      </c>
      <c r="K42" s="90" t="s">
        <v>36</v>
      </c>
      <c r="L42" s="90" t="s">
        <v>36</v>
      </c>
      <c r="M42" s="91">
        <f>M15+M18+M21+M24+M27+M30+M33+M36+M39</f>
        <v>178255.53999999998</v>
      </c>
      <c r="N42" s="91">
        <f>N15+N18+N21+N24+N27+N30+N33+N36+N39</f>
        <v>178255.53999999998</v>
      </c>
      <c r="O42" s="90" t="s">
        <v>36</v>
      </c>
      <c r="P42" s="90" t="s">
        <v>36</v>
      </c>
      <c r="Q42" s="91">
        <f>Q15+Q18+Q21+Q24+Q27+Q30+Q33+Q36+Q39</f>
        <v>0</v>
      </c>
      <c r="R42" s="91">
        <f>R15+R18+R21+R24+R27+R30+R33+R36+R39</f>
        <v>0</v>
      </c>
      <c r="S42" s="90" t="s">
        <v>36</v>
      </c>
      <c r="T42" s="90" t="s">
        <v>36</v>
      </c>
      <c r="U42" s="91">
        <f t="shared" si="3"/>
        <v>669.63</v>
      </c>
      <c r="V42" s="91">
        <f t="shared" si="3"/>
        <v>669.63</v>
      </c>
      <c r="W42" s="90" t="s">
        <v>36</v>
      </c>
      <c r="X42" s="90" t="s">
        <v>36</v>
      </c>
      <c r="Y42" s="91">
        <f t="shared" si="340"/>
        <v>630881.97</v>
      </c>
      <c r="Z42" s="91">
        <f t="shared" si="340"/>
        <v>630881.97</v>
      </c>
      <c r="AA42" s="90" t="s">
        <v>36</v>
      </c>
      <c r="AB42" s="90" t="s">
        <v>36</v>
      </c>
      <c r="AC42" s="91">
        <f>AC15+AC18+AC21+AC24+AC27+AC30+AC33+AC36+AC39</f>
        <v>630881.97</v>
      </c>
      <c r="AD42" s="91">
        <f t="shared" si="341"/>
        <v>630881.97</v>
      </c>
      <c r="AE42" s="90" t="s">
        <v>36</v>
      </c>
      <c r="AF42" s="90" t="s">
        <v>36</v>
      </c>
      <c r="AG42" s="91">
        <f>AG15+AG18+AG21+AG24+AG27+AG30+AG33+AG36+AG39</f>
        <v>0</v>
      </c>
      <c r="AH42" s="91">
        <f t="shared" si="341"/>
        <v>0</v>
      </c>
      <c r="AI42" s="90" t="s">
        <v>36</v>
      </c>
      <c r="AJ42" s="90" t="s">
        <v>36</v>
      </c>
      <c r="AK42" s="91">
        <f t="shared" si="4"/>
        <v>2369.9548084147259</v>
      </c>
      <c r="AL42" s="91">
        <f t="shared" si="4"/>
        <v>2369.9548084147259</v>
      </c>
      <c r="AM42" s="89">
        <f>AM15+AM18+AM21+AM24+AM27+AM30+AM33+AM36+AM39</f>
        <v>374.20000000000005</v>
      </c>
      <c r="AN42" s="89">
        <f>AN15+AN18+AN21+AN24+AN27+AN30+AN33+AN36+AN39</f>
        <v>374.20000000000005</v>
      </c>
      <c r="AO42" s="89">
        <f>IFERROR(AM42/$AM$65*100,0)</f>
        <v>17.133699633699635</v>
      </c>
      <c r="AP42" s="89">
        <f t="shared" ref="AP42" si="350">IFERROR(AN42/$AN$66*100,0)</f>
        <v>17.133699633699639</v>
      </c>
      <c r="AQ42" s="90" t="s">
        <v>36</v>
      </c>
      <c r="AR42" s="90" t="s">
        <v>36</v>
      </c>
      <c r="AS42" s="91">
        <f>AS15+AS18+AS21+AS24+AS27+AS30+AS33+AS36+AS39</f>
        <v>816959.71</v>
      </c>
      <c r="AT42" s="91">
        <f>AT15+AT18+AT21+AT24+AT27+AT30+AT33+AT36+AT39</f>
        <v>816959.71</v>
      </c>
      <c r="AU42" s="90" t="s">
        <v>36</v>
      </c>
      <c r="AV42" s="90" t="s">
        <v>36</v>
      </c>
      <c r="AW42" s="91">
        <f>AW15+AW18+AW21+AW24+AW27+AW30+AW33+AW36+AW39</f>
        <v>816959.71</v>
      </c>
      <c r="AX42" s="91">
        <f>AX15+AX18+AX21+AX24+AX27+AX30+AX33+AX36+AX39</f>
        <v>816959.71</v>
      </c>
      <c r="AY42" s="90" t="s">
        <v>36</v>
      </c>
      <c r="AZ42" s="90" t="s">
        <v>36</v>
      </c>
      <c r="BA42" s="91">
        <f>BA15+BA18+BA21+BA24+BA27+BA30+BA33+BA36+BA39</f>
        <v>0</v>
      </c>
      <c r="BB42" s="91">
        <f>BB15+BB18+BB21+BB24+BB27+BB30+BB33+BB36+BB39</f>
        <v>0</v>
      </c>
      <c r="BC42" s="90" t="s">
        <v>36</v>
      </c>
      <c r="BD42" s="90" t="s">
        <v>36</v>
      </c>
      <c r="BE42" s="91">
        <f t="shared" si="331"/>
        <v>2183.2199999999998</v>
      </c>
      <c r="BF42" s="91">
        <f t="shared" si="331"/>
        <v>2183.2199999999998</v>
      </c>
      <c r="BG42" s="90" t="s">
        <v>36</v>
      </c>
      <c r="BH42" s="90" t="s">
        <v>36</v>
      </c>
      <c r="BI42" s="91">
        <f t="shared" si="343"/>
        <v>581723.4800000001</v>
      </c>
      <c r="BJ42" s="91">
        <f t="shared" si="343"/>
        <v>581723.4800000001</v>
      </c>
      <c r="BK42" s="90" t="s">
        <v>36</v>
      </c>
      <c r="BL42" s="90" t="s">
        <v>36</v>
      </c>
      <c r="BM42" s="91">
        <f>BM15+BM18+BM21+BM24+BM27+BM30+BM33+BM36+BM39</f>
        <v>581723.4800000001</v>
      </c>
      <c r="BN42" s="91">
        <f t="shared" si="344"/>
        <v>581723.4800000001</v>
      </c>
      <c r="BO42" s="90" t="s">
        <v>36</v>
      </c>
      <c r="BP42" s="90" t="s">
        <v>36</v>
      </c>
      <c r="BQ42" s="91">
        <f t="shared" si="345"/>
        <v>0</v>
      </c>
      <c r="BR42" s="91">
        <f t="shared" si="345"/>
        <v>0</v>
      </c>
      <c r="BS42" s="90" t="s">
        <v>36</v>
      </c>
      <c r="BT42" s="90" t="s">
        <v>36</v>
      </c>
      <c r="BU42" s="91">
        <f t="shared" si="0"/>
        <v>1554.5790486370925</v>
      </c>
      <c r="BV42" s="92">
        <f t="shared" si="0"/>
        <v>1554.5790486370925</v>
      </c>
      <c r="BW42" s="89">
        <f>BW15+BW18+BW21+BW24+BW27+BW30+BW33+BW36+BW39</f>
        <v>485.31666666666661</v>
      </c>
      <c r="BX42" s="89">
        <f>BX15+BX18+BX21+BX24+BX27+BX30+BX33+BX36+BX39</f>
        <v>581.69999999999993</v>
      </c>
      <c r="BY42" s="89">
        <f t="shared" si="346"/>
        <v>21.979921497584538</v>
      </c>
      <c r="BZ42" s="89">
        <f>IFERROR(BX42/$BX$66*100,0)</f>
        <v>26.345095438257125</v>
      </c>
      <c r="CA42" s="90" t="s">
        <v>36</v>
      </c>
      <c r="CB42" s="90" t="s">
        <v>36</v>
      </c>
      <c r="CC42" s="91">
        <f>CC15+CC18+CC21+CC24+CC27+CC30+CC33+CC36+CC39</f>
        <v>476677.20978083106</v>
      </c>
      <c r="CD42" s="91">
        <f>CD15+CD18+CD21+CD24+CD27+CD30+CD33+CD36+CD39</f>
        <v>521753.16999999987</v>
      </c>
      <c r="CE42" s="90" t="s">
        <v>36</v>
      </c>
      <c r="CF42" s="90" t="s">
        <v>36</v>
      </c>
      <c r="CG42" s="91">
        <f>CG15+CG18+CG21+CG24+CG27+CG30+CG33+CG36+CG39</f>
        <v>476677.20978083106</v>
      </c>
      <c r="CH42" s="91">
        <f>CH15+CH18+CH21+CH24+CH27+CH30+CH33+CH36+CH39</f>
        <v>521753.16999999987</v>
      </c>
      <c r="CI42" s="90" t="s">
        <v>36</v>
      </c>
      <c r="CJ42" s="90" t="s">
        <v>36</v>
      </c>
      <c r="CK42" s="91">
        <f>CK15+CK18+CK21+CK24+CK27+CK30+CK33+CK36+CK39</f>
        <v>0</v>
      </c>
      <c r="CL42" s="91">
        <f>CL15+CL18+CL21+CL24+CL27+CL30+CL33+CL36+CL39</f>
        <v>0</v>
      </c>
      <c r="CM42" s="90" t="s">
        <v>36</v>
      </c>
      <c r="CN42" s="90" t="s">
        <v>36</v>
      </c>
      <c r="CO42" s="91">
        <f t="shared" si="336"/>
        <v>982.2</v>
      </c>
      <c r="CP42" s="91">
        <f t="shared" si="336"/>
        <v>896.95</v>
      </c>
      <c r="CQ42" s="90" t="s">
        <v>36</v>
      </c>
      <c r="CR42" s="90" t="s">
        <v>36</v>
      </c>
      <c r="CS42" s="91">
        <f t="shared" si="347"/>
        <v>478571.36</v>
      </c>
      <c r="CT42" s="91">
        <f t="shared" si="347"/>
        <v>300672.16000000003</v>
      </c>
      <c r="CU42" s="90" t="s">
        <v>36</v>
      </c>
      <c r="CV42" s="90" t="s">
        <v>36</v>
      </c>
      <c r="CW42" s="91">
        <f>CW15+CW18+CW21+CW24+CW27+CW30+CW33+CW36+CW39</f>
        <v>478571.36</v>
      </c>
      <c r="CX42" s="91">
        <f>CX15+CX18+CX21+CX24+CX27+CX30+CX33+CX36+CX39</f>
        <v>276532.66000000003</v>
      </c>
      <c r="CY42" s="90" t="s">
        <v>36</v>
      </c>
      <c r="CZ42" s="90" t="s">
        <v>36</v>
      </c>
      <c r="DA42" s="91">
        <f t="shared" si="348"/>
        <v>0</v>
      </c>
      <c r="DB42" s="91">
        <f t="shared" si="348"/>
        <v>24139.5</v>
      </c>
      <c r="DC42" s="90" t="s">
        <v>36</v>
      </c>
      <c r="DD42" s="90" t="s">
        <v>36</v>
      </c>
      <c r="DE42" s="91">
        <f t="shared" si="1"/>
        <v>986.10122600364036</v>
      </c>
      <c r="DF42" s="91">
        <f t="shared" si="1"/>
        <v>516.88526731992442</v>
      </c>
      <c r="DG42" s="89">
        <v>120.27499999999999</v>
      </c>
      <c r="DH42" s="89">
        <v>345.2</v>
      </c>
      <c r="DI42" s="89">
        <v>5.4472373188405783</v>
      </c>
      <c r="DJ42" s="89">
        <v>15.634057971014496</v>
      </c>
      <c r="DK42" s="90" t="s">
        <v>36</v>
      </c>
      <c r="DL42" s="90" t="s">
        <v>36</v>
      </c>
      <c r="DM42" s="91">
        <v>65461.787517470548</v>
      </c>
      <c r="DN42" s="91">
        <v>650864.57000000018</v>
      </c>
      <c r="DO42" s="90" t="s">
        <v>36</v>
      </c>
      <c r="DP42" s="90" t="s">
        <v>36</v>
      </c>
      <c r="DQ42" s="91">
        <v>65461.787517470548</v>
      </c>
      <c r="DR42" s="91">
        <v>645442.07000000018</v>
      </c>
      <c r="DS42" s="90" t="s">
        <v>36</v>
      </c>
      <c r="DT42" s="90" t="s">
        <v>36</v>
      </c>
      <c r="DU42" s="91">
        <v>0</v>
      </c>
      <c r="DV42" s="91">
        <v>5422.5</v>
      </c>
      <c r="DW42" s="90" t="s">
        <v>36</v>
      </c>
      <c r="DX42" s="90" t="s">
        <v>36</v>
      </c>
      <c r="DY42" s="91">
        <v>544.27</v>
      </c>
      <c r="DZ42" s="91">
        <v>1885.47</v>
      </c>
      <c r="EA42" s="90" t="s">
        <v>36</v>
      </c>
      <c r="EB42" s="90" t="s">
        <v>36</v>
      </c>
      <c r="EC42" s="91">
        <v>65721.91</v>
      </c>
      <c r="ED42" s="91">
        <v>420929.49</v>
      </c>
      <c r="EE42" s="90" t="s">
        <v>36</v>
      </c>
      <c r="EF42" s="90" t="s">
        <v>36</v>
      </c>
      <c r="EG42" s="91">
        <v>65721.91</v>
      </c>
      <c r="EH42" s="91">
        <v>420929.49</v>
      </c>
      <c r="EI42" s="90" t="s">
        <v>36</v>
      </c>
      <c r="EJ42" s="90" t="s">
        <v>36</v>
      </c>
      <c r="EK42" s="91">
        <v>0</v>
      </c>
      <c r="EL42" s="91">
        <v>0</v>
      </c>
      <c r="EM42" s="90" t="s">
        <v>36</v>
      </c>
      <c r="EN42" s="90" t="s">
        <v>36</v>
      </c>
      <c r="EO42" s="91">
        <v>546.43034712118072</v>
      </c>
      <c r="EP42" s="91">
        <v>1219.3785921205099</v>
      </c>
      <c r="EQ42" s="89">
        <v>1245.9916666666668</v>
      </c>
      <c r="ER42" s="89">
        <v>1567.2999999999997</v>
      </c>
      <c r="ES42" s="89">
        <v>14.184786733454768</v>
      </c>
      <c r="ET42" s="89">
        <v>17.842666231194819</v>
      </c>
      <c r="EU42" s="90" t="s">
        <v>36</v>
      </c>
      <c r="EV42" s="90" t="s">
        <v>36</v>
      </c>
      <c r="EW42" s="91">
        <v>1537354.2472983017</v>
      </c>
      <c r="EX42" s="91">
        <v>2167832.9900000002</v>
      </c>
      <c r="EY42" s="90" t="s">
        <v>36</v>
      </c>
      <c r="EZ42" s="90" t="s">
        <v>36</v>
      </c>
      <c r="FA42" s="91">
        <v>1537354.2472983017</v>
      </c>
      <c r="FB42" s="91">
        <v>2162410.4900000002</v>
      </c>
      <c r="FC42" s="90" t="s">
        <v>36</v>
      </c>
      <c r="FD42" s="90" t="s">
        <v>36</v>
      </c>
      <c r="FE42" s="91">
        <v>0</v>
      </c>
      <c r="FF42" s="91">
        <v>5422.5</v>
      </c>
      <c r="FG42" s="90" t="s">
        <v>36</v>
      </c>
      <c r="FH42" s="90" t="s">
        <v>36</v>
      </c>
      <c r="FI42" s="91">
        <v>1233.8399999999999</v>
      </c>
      <c r="FJ42" s="91">
        <v>1383.16</v>
      </c>
      <c r="FK42" s="90" t="s">
        <v>36</v>
      </c>
      <c r="FL42" s="90" t="s">
        <v>36</v>
      </c>
      <c r="FM42" s="91">
        <v>1756898.7200000002</v>
      </c>
      <c r="FN42" s="91">
        <v>1934207.1000000003</v>
      </c>
      <c r="FO42" s="90" t="s">
        <v>36</v>
      </c>
      <c r="FP42" s="90" t="s">
        <v>36</v>
      </c>
      <c r="FQ42" s="91">
        <v>1756898.7200000002</v>
      </c>
      <c r="FR42" s="91">
        <v>1910067.6000000003</v>
      </c>
      <c r="FS42" s="90" t="s">
        <v>36</v>
      </c>
      <c r="FT42" s="90" t="s">
        <v>36</v>
      </c>
      <c r="FU42" s="91">
        <v>0</v>
      </c>
      <c r="FV42" s="91">
        <v>24139.5</v>
      </c>
      <c r="FW42" s="90" t="s">
        <v>36</v>
      </c>
      <c r="FX42" s="90" t="s">
        <v>36</v>
      </c>
      <c r="FY42" s="91">
        <v>1410.0405058888837</v>
      </c>
      <c r="FZ42" s="91">
        <v>1234.101384546673</v>
      </c>
      <c r="GA42" s="93">
        <v>321.30833333333294</v>
      </c>
      <c r="GB42" s="89">
        <v>25.787358128398363</v>
      </c>
      <c r="GC42" s="90" t="s">
        <v>36</v>
      </c>
      <c r="GD42" s="89" t="s">
        <v>36</v>
      </c>
      <c r="GE42" s="94">
        <v>630478.74270169856</v>
      </c>
      <c r="GF42" s="89">
        <v>41.010635239710183</v>
      </c>
      <c r="GG42" s="90" t="s">
        <v>36</v>
      </c>
      <c r="GH42" s="95" t="s">
        <v>36</v>
      </c>
      <c r="GI42" s="94">
        <v>625056.24270169856</v>
      </c>
      <c r="GJ42" s="89">
        <v>40.657918875896868</v>
      </c>
      <c r="GK42" s="90" t="s">
        <v>36</v>
      </c>
      <c r="GL42" s="96" t="s">
        <v>36</v>
      </c>
      <c r="GM42" s="94">
        <v>5422.5</v>
      </c>
      <c r="GN42" s="89" t="s">
        <v>88</v>
      </c>
      <c r="GO42" s="90" t="s">
        <v>36</v>
      </c>
      <c r="GP42" s="95" t="s">
        <v>36</v>
      </c>
      <c r="GQ42" s="94">
        <v>149.32000000000016</v>
      </c>
      <c r="GR42" s="44"/>
      <c r="GS42" s="44"/>
      <c r="GT42" s="44"/>
      <c r="GU42" s="44"/>
      <c r="GV42" s="44"/>
      <c r="GW42" s="44"/>
    </row>
    <row r="43" spans="1:205">
      <c r="A43" s="423" t="s">
        <v>49</v>
      </c>
      <c r="B43" s="97" t="s">
        <v>50</v>
      </c>
      <c r="C43" s="35">
        <f>SUM(C44:C45)</f>
        <v>925.7</v>
      </c>
      <c r="D43" s="35">
        <f>SUM(D44:D45)</f>
        <v>925.7</v>
      </c>
      <c r="E43" s="35">
        <f>IFERROR(C43/$C$64*100,0)</f>
        <v>21.192765567765569</v>
      </c>
      <c r="F43" s="35">
        <f t="shared" ref="F43" si="351">IFERROR(D43/$D$64*100,0)</f>
        <v>21.192765567765569</v>
      </c>
      <c r="G43" s="59" t="s">
        <v>36</v>
      </c>
      <c r="H43" s="59" t="s">
        <v>36</v>
      </c>
      <c r="I43" s="37">
        <f t="shared" si="2"/>
        <v>409281.08999999997</v>
      </c>
      <c r="J43" s="37">
        <f>SUM(J44:J45)</f>
        <v>409281.08999999997</v>
      </c>
      <c r="K43" s="59" t="s">
        <v>36</v>
      </c>
      <c r="L43" s="59" t="s">
        <v>36</v>
      </c>
      <c r="M43" s="37">
        <f>SUM(M44:M45)</f>
        <v>408881.08999999997</v>
      </c>
      <c r="N43" s="37">
        <f>SUM(N44:N45)</f>
        <v>408881.08999999997</v>
      </c>
      <c r="O43" s="59" t="s">
        <v>36</v>
      </c>
      <c r="P43" s="59" t="s">
        <v>36</v>
      </c>
      <c r="Q43" s="37">
        <f>SUM(Q44:Q45)</f>
        <v>400</v>
      </c>
      <c r="R43" s="37">
        <f>SUM(R44:R45)</f>
        <v>400</v>
      </c>
      <c r="S43" s="59" t="s">
        <v>36</v>
      </c>
      <c r="T43" s="59" t="s">
        <v>36</v>
      </c>
      <c r="U43" s="37">
        <f t="shared" si="3"/>
        <v>442.13</v>
      </c>
      <c r="V43" s="37">
        <f t="shared" si="3"/>
        <v>442.13</v>
      </c>
      <c r="W43" s="59" t="s">
        <v>36</v>
      </c>
      <c r="X43" s="59" t="s">
        <v>36</v>
      </c>
      <c r="Y43" s="37">
        <f>SUM(Y44:Y45)</f>
        <v>477344.96999999986</v>
      </c>
      <c r="Z43" s="37">
        <f>SUM(Z44:Z45)</f>
        <v>477344.96999999986</v>
      </c>
      <c r="AA43" s="59" t="s">
        <v>36</v>
      </c>
      <c r="AB43" s="59" t="s">
        <v>36</v>
      </c>
      <c r="AC43" s="37">
        <f>SUM(AC44:AC45)</f>
        <v>432344.96999999986</v>
      </c>
      <c r="AD43" s="37">
        <f>SUM(AD44:AD45)</f>
        <v>432344.96999999986</v>
      </c>
      <c r="AE43" s="59" t="s">
        <v>36</v>
      </c>
      <c r="AF43" s="59" t="s">
        <v>36</v>
      </c>
      <c r="AG43" s="37">
        <f>SUM(AG44:AG45)</f>
        <v>45000</v>
      </c>
      <c r="AH43" s="37">
        <f>AH44</f>
        <v>45000</v>
      </c>
      <c r="AI43" s="59" t="s">
        <v>36</v>
      </c>
      <c r="AJ43" s="59" t="s">
        <v>36</v>
      </c>
      <c r="AK43" s="37">
        <f t="shared" si="4"/>
        <v>515.65838824673199</v>
      </c>
      <c r="AL43" s="37">
        <f t="shared" si="4"/>
        <v>515.65838824673199</v>
      </c>
      <c r="AM43" s="35">
        <f>SUM(AM44:AM45)</f>
        <v>813.3</v>
      </c>
      <c r="AN43" s="35">
        <f>SUM(AN44:AN45)</f>
        <v>813.3</v>
      </c>
      <c r="AO43" s="35">
        <f>IFERROR(AM43/$AM$64*100,0)</f>
        <v>18.619505494505493</v>
      </c>
      <c r="AP43" s="35">
        <f t="shared" ref="AP43" si="352">IFERROR(AN43/$AN$64*100,0)</f>
        <v>18.619505494505493</v>
      </c>
      <c r="AQ43" s="59" t="s">
        <v>36</v>
      </c>
      <c r="AR43" s="59" t="s">
        <v>36</v>
      </c>
      <c r="AS43" s="37">
        <f>SUM(AS44:AS45)</f>
        <v>490875.91000000003</v>
      </c>
      <c r="AT43" s="37">
        <f>SUM(AT44:AT45)</f>
        <v>490875.91000000003</v>
      </c>
      <c r="AU43" s="59" t="s">
        <v>36</v>
      </c>
      <c r="AV43" s="59" t="s">
        <v>36</v>
      </c>
      <c r="AW43" s="37">
        <f>SUM(AW44:AW45)</f>
        <v>490875.91000000003</v>
      </c>
      <c r="AX43" s="37">
        <f>SUM(AX44:AX45)</f>
        <v>490875.91000000003</v>
      </c>
      <c r="AY43" s="59" t="s">
        <v>36</v>
      </c>
      <c r="AZ43" s="59" t="s">
        <v>36</v>
      </c>
      <c r="BA43" s="37">
        <f>SUM(BA44:BA45)</f>
        <v>0</v>
      </c>
      <c r="BB43" s="37">
        <f>SUM(BB44:BB45)</f>
        <v>0</v>
      </c>
      <c r="BC43" s="59" t="s">
        <v>36</v>
      </c>
      <c r="BD43" s="59" t="s">
        <v>36</v>
      </c>
      <c r="BE43" s="37">
        <f t="shared" si="331"/>
        <v>603.55999999999995</v>
      </c>
      <c r="BF43" s="37">
        <f t="shared" si="331"/>
        <v>603.55999999999995</v>
      </c>
      <c r="BG43" s="59" t="s">
        <v>36</v>
      </c>
      <c r="BH43" s="59" t="s">
        <v>36</v>
      </c>
      <c r="BI43" s="37">
        <f>SUM(BI44:BI45)</f>
        <v>409642.0900000002</v>
      </c>
      <c r="BJ43" s="37">
        <f>SUM(BJ44:BJ45)</f>
        <v>409642.0900000002</v>
      </c>
      <c r="BK43" s="59" t="s">
        <v>36</v>
      </c>
      <c r="BL43" s="59" t="s">
        <v>36</v>
      </c>
      <c r="BM43" s="37">
        <f>SUM(BM44:BM45)</f>
        <v>409642.0900000002</v>
      </c>
      <c r="BN43" s="37">
        <f>SUM(BN44:BN45)</f>
        <v>409642.0900000002</v>
      </c>
      <c r="BO43" s="59" t="s">
        <v>36</v>
      </c>
      <c r="BP43" s="59" t="s">
        <v>36</v>
      </c>
      <c r="BQ43" s="37">
        <f>SUM(BQ44:BQ45)</f>
        <v>0</v>
      </c>
      <c r="BR43" s="59"/>
      <c r="BS43" s="59" t="s">
        <v>36</v>
      </c>
      <c r="BT43" s="59" t="s">
        <v>36</v>
      </c>
      <c r="BU43" s="37">
        <f t="shared" si="0"/>
        <v>503.67894995696571</v>
      </c>
      <c r="BV43" s="60">
        <f t="shared" si="0"/>
        <v>503.67894995696571</v>
      </c>
      <c r="BW43" s="35">
        <f>SUM(BW44:BW45)</f>
        <v>750</v>
      </c>
      <c r="BX43" s="35">
        <f>SUM(BX44:BX45)</f>
        <v>843.8</v>
      </c>
      <c r="BY43" s="35">
        <f t="shared" ref="BY43" si="353">IFERROR(BW43/$BW$64*100,0)</f>
        <v>16.983695652173914</v>
      </c>
      <c r="BZ43" s="35">
        <f>IFERROR(BX43/$BX$64*100,0)</f>
        <v>19.107774230005475</v>
      </c>
      <c r="CA43" s="59" t="s">
        <v>36</v>
      </c>
      <c r="CB43" s="59" t="s">
        <v>36</v>
      </c>
      <c r="CC43" s="37">
        <f>SUM(CC44:CC45)</f>
        <v>335143.216873481</v>
      </c>
      <c r="CD43" s="37">
        <f>SUM(CD44:CD45)</f>
        <v>389148.89</v>
      </c>
      <c r="CE43" s="59" t="s">
        <v>36</v>
      </c>
      <c r="CF43" s="59" t="s">
        <v>36</v>
      </c>
      <c r="CG43" s="37">
        <f>SUM(CG44:CG45)</f>
        <v>335143.216873481</v>
      </c>
      <c r="CH43" s="37">
        <f>SUM(CH44:CH45)</f>
        <v>389148.89</v>
      </c>
      <c r="CI43" s="59" t="s">
        <v>36</v>
      </c>
      <c r="CJ43" s="59" t="s">
        <v>36</v>
      </c>
      <c r="CK43" s="37">
        <f>SUM(CK44:CK45)</f>
        <v>0</v>
      </c>
      <c r="CL43" s="37">
        <f>SUM(CL44:CL45)</f>
        <v>0</v>
      </c>
      <c r="CM43" s="59" t="s">
        <v>36</v>
      </c>
      <c r="CN43" s="59" t="s">
        <v>36</v>
      </c>
      <c r="CO43" s="37">
        <f t="shared" si="336"/>
        <v>446.86</v>
      </c>
      <c r="CP43" s="37">
        <f t="shared" si="336"/>
        <v>461.19</v>
      </c>
      <c r="CQ43" s="59" t="s">
        <v>36</v>
      </c>
      <c r="CR43" s="59" t="s">
        <v>36</v>
      </c>
      <c r="CS43" s="37">
        <f>SUM(CS44:CS45)</f>
        <v>336474.96</v>
      </c>
      <c r="CT43" s="37">
        <f>SUM(CT44:CT45)</f>
        <v>349711.41999999993</v>
      </c>
      <c r="CU43" s="59" t="s">
        <v>36</v>
      </c>
      <c r="CV43" s="59" t="s">
        <v>36</v>
      </c>
      <c r="CW43" s="37">
        <f>SUM(CW44:CW45)</f>
        <v>336474.96</v>
      </c>
      <c r="CX43" s="37">
        <f>SUM(CX44:CX45)</f>
        <v>349711.41999999993</v>
      </c>
      <c r="CY43" s="59" t="s">
        <v>36</v>
      </c>
      <c r="CZ43" s="59" t="s">
        <v>36</v>
      </c>
      <c r="DA43" s="37">
        <f>SUM(DA44:DA45)</f>
        <v>0</v>
      </c>
      <c r="DB43" s="37"/>
      <c r="DC43" s="59" t="s">
        <v>36</v>
      </c>
      <c r="DD43" s="59" t="s">
        <v>36</v>
      </c>
      <c r="DE43" s="37">
        <f t="shared" si="1"/>
        <v>448.63328000000001</v>
      </c>
      <c r="DF43" s="37">
        <f t="shared" si="1"/>
        <v>414.44823417871527</v>
      </c>
      <c r="DG43" s="35">
        <v>750</v>
      </c>
      <c r="DH43" s="35">
        <v>978.3</v>
      </c>
      <c r="DI43" s="35">
        <v>16.98369565217391</v>
      </c>
      <c r="DJ43" s="35">
        <v>22.153532608695656</v>
      </c>
      <c r="DK43" s="59" t="s">
        <v>36</v>
      </c>
      <c r="DL43" s="59" t="s">
        <v>36</v>
      </c>
      <c r="DM43" s="37">
        <v>332707.91392436612</v>
      </c>
      <c r="DN43" s="37">
        <v>477548.7</v>
      </c>
      <c r="DO43" s="59" t="s">
        <v>36</v>
      </c>
      <c r="DP43" s="59" t="s">
        <v>36</v>
      </c>
      <c r="DQ43" s="37">
        <v>287707.91392436612</v>
      </c>
      <c r="DR43" s="37">
        <v>477548.7</v>
      </c>
      <c r="DS43" s="59" t="s">
        <v>36</v>
      </c>
      <c r="DT43" s="59" t="s">
        <v>36</v>
      </c>
      <c r="DU43" s="37">
        <v>45000</v>
      </c>
      <c r="DV43" s="37">
        <v>0</v>
      </c>
      <c r="DW43" s="59" t="s">
        <v>36</v>
      </c>
      <c r="DX43" s="59" t="s">
        <v>36</v>
      </c>
      <c r="DY43" s="37">
        <v>443.61</v>
      </c>
      <c r="DZ43" s="37">
        <v>488.14</v>
      </c>
      <c r="EA43" s="59" t="s">
        <v>36</v>
      </c>
      <c r="EB43" s="59" t="s">
        <v>36</v>
      </c>
      <c r="EC43" s="37">
        <v>334029.98</v>
      </c>
      <c r="ED43" s="37">
        <v>364923.88</v>
      </c>
      <c r="EE43" s="59" t="s">
        <v>36</v>
      </c>
      <c r="EF43" s="59" t="s">
        <v>36</v>
      </c>
      <c r="EG43" s="37">
        <v>334029.98</v>
      </c>
      <c r="EH43" s="37">
        <v>364923.88</v>
      </c>
      <c r="EI43" s="59" t="s">
        <v>36</v>
      </c>
      <c r="EJ43" s="59" t="s">
        <v>36</v>
      </c>
      <c r="EK43" s="37">
        <v>0</v>
      </c>
      <c r="EL43" s="59"/>
      <c r="EM43" s="59" t="s">
        <v>36</v>
      </c>
      <c r="EN43" s="59" t="s">
        <v>36</v>
      </c>
      <c r="EO43" s="37">
        <v>445.37330666666662</v>
      </c>
      <c r="EP43" s="37">
        <v>373.01837882040275</v>
      </c>
      <c r="EQ43" s="40">
        <v>3239</v>
      </c>
      <c r="ER43" s="35">
        <v>3561.1000000000004</v>
      </c>
      <c r="ES43" s="40">
        <v>18.436930783242257</v>
      </c>
      <c r="ET43" s="40">
        <v>20.270373793341758</v>
      </c>
      <c r="EU43" s="59" t="s">
        <v>36</v>
      </c>
      <c r="EV43" s="59" t="s">
        <v>36</v>
      </c>
      <c r="EW43" s="37">
        <v>1568008.1307978469</v>
      </c>
      <c r="EX43" s="37">
        <v>1766854.5899999999</v>
      </c>
      <c r="EY43" s="59" t="s">
        <v>36</v>
      </c>
      <c r="EZ43" s="59" t="s">
        <v>36</v>
      </c>
      <c r="FA43" s="37">
        <v>1522608.1307978469</v>
      </c>
      <c r="FB43" s="37">
        <v>1766454.5899999999</v>
      </c>
      <c r="FC43" s="59" t="s">
        <v>36</v>
      </c>
      <c r="FD43" s="59" t="s">
        <v>36</v>
      </c>
      <c r="FE43" s="37">
        <v>45400</v>
      </c>
      <c r="FF43" s="37">
        <v>400</v>
      </c>
      <c r="FG43" s="59" t="s">
        <v>36</v>
      </c>
      <c r="FH43" s="59" t="s">
        <v>36</v>
      </c>
      <c r="FI43" s="37">
        <v>484.1</v>
      </c>
      <c r="FJ43" s="37">
        <v>496.15</v>
      </c>
      <c r="FK43" s="59" t="s">
        <v>36</v>
      </c>
      <c r="FL43" s="59" t="s">
        <v>36</v>
      </c>
      <c r="FM43" s="37">
        <v>1557492</v>
      </c>
      <c r="FN43" s="37">
        <v>1601622.3599999999</v>
      </c>
      <c r="FO43" s="59" t="s">
        <v>36</v>
      </c>
      <c r="FP43" s="59" t="s">
        <v>36</v>
      </c>
      <c r="FQ43" s="37">
        <v>1512492</v>
      </c>
      <c r="FR43" s="37">
        <v>1556622.3599999999</v>
      </c>
      <c r="FS43" s="59" t="s">
        <v>36</v>
      </c>
      <c r="FT43" s="59" t="s">
        <v>36</v>
      </c>
      <c r="FU43" s="37">
        <v>45000</v>
      </c>
      <c r="FV43" s="37">
        <v>45000</v>
      </c>
      <c r="FW43" s="59" t="s">
        <v>36</v>
      </c>
      <c r="FX43" s="59" t="s">
        <v>36</v>
      </c>
      <c r="FY43" s="37">
        <v>480.85581969743748</v>
      </c>
      <c r="FZ43" s="37">
        <v>449.75495212153538</v>
      </c>
      <c r="GA43" s="39">
        <v>322.10000000000036</v>
      </c>
      <c r="GB43" s="35">
        <v>9.9444272923741917</v>
      </c>
      <c r="GC43" s="59" t="s">
        <v>36</v>
      </c>
      <c r="GD43" s="40" t="s">
        <v>36</v>
      </c>
      <c r="GE43" s="41">
        <v>198846.45920215291</v>
      </c>
      <c r="GF43" s="40">
        <v>12.681468628671855</v>
      </c>
      <c r="GG43" s="59" t="s">
        <v>36</v>
      </c>
      <c r="GH43" s="61" t="s">
        <v>36</v>
      </c>
      <c r="GI43" s="41">
        <v>243846.45920215291</v>
      </c>
      <c r="GJ43" s="40">
        <v>16.015050377694841</v>
      </c>
      <c r="GK43" s="59" t="s">
        <v>36</v>
      </c>
      <c r="GL43" s="62" t="s">
        <v>36</v>
      </c>
      <c r="GM43" s="41">
        <v>-45000</v>
      </c>
      <c r="GN43" s="40">
        <v>-99.118942731277542</v>
      </c>
      <c r="GO43" s="59" t="s">
        <v>36</v>
      </c>
      <c r="GP43" s="61" t="s">
        <v>36</v>
      </c>
      <c r="GQ43" s="41">
        <v>12.049999999999955</v>
      </c>
      <c r="GR43" s="44"/>
      <c r="GS43" s="44"/>
      <c r="GT43" s="44"/>
      <c r="GU43" s="44"/>
      <c r="GV43" s="44"/>
      <c r="GW43" s="44"/>
    </row>
    <row r="44" spans="1:205">
      <c r="A44" s="424"/>
      <c r="B44" s="45" t="s">
        <v>38</v>
      </c>
      <c r="C44" s="46">
        <f t="shared" ref="C44:C45" si="354">D44</f>
        <v>478.9</v>
      </c>
      <c r="D44" s="46">
        <f>VLOOKUP($B43,[1]!LTV1_RL2[[LTV1]:[Q1]],2,0)</f>
        <v>478.9</v>
      </c>
      <c r="E44" s="46">
        <f>IFERROR(C44/$C$65*100,0)</f>
        <v>21.927655677655679</v>
      </c>
      <c r="F44" s="46">
        <f t="shared" ref="F44" si="355">IFERROR(D44/$D$65*100,0)</f>
        <v>21.927655677655679</v>
      </c>
      <c r="G44" s="55" t="s">
        <v>36</v>
      </c>
      <c r="H44" s="55" t="s">
        <v>36</v>
      </c>
      <c r="I44" s="48">
        <f t="shared" si="2"/>
        <v>211736.75488927294</v>
      </c>
      <c r="J44" s="48">
        <f>D44/D43*409281.09</f>
        <v>211736.75488927294</v>
      </c>
      <c r="K44" s="55" t="s">
        <v>36</v>
      </c>
      <c r="L44" s="55" t="s">
        <v>36</v>
      </c>
      <c r="M44" s="48">
        <f>I44-Q44</f>
        <v>211336.75488927294</v>
      </c>
      <c r="N44" s="48">
        <f>J44-R44</f>
        <v>211336.75488927294</v>
      </c>
      <c r="O44" s="55" t="s">
        <v>36</v>
      </c>
      <c r="P44" s="55" t="s">
        <v>36</v>
      </c>
      <c r="Q44" s="48">
        <f>R44</f>
        <v>400</v>
      </c>
      <c r="R44" s="48">
        <f>[1]Līdzfinansējums!CH34</f>
        <v>400</v>
      </c>
      <c r="S44" s="55" t="s">
        <v>36</v>
      </c>
      <c r="T44" s="55" t="s">
        <v>36</v>
      </c>
      <c r="U44" s="48">
        <f t="shared" si="3"/>
        <v>442.13</v>
      </c>
      <c r="V44" s="48">
        <f t="shared" si="3"/>
        <v>442.13</v>
      </c>
      <c r="W44" s="55" t="s">
        <v>36</v>
      </c>
      <c r="X44" s="55" t="s">
        <v>36</v>
      </c>
      <c r="Y44" s="48">
        <f>Z44</f>
        <v>178913.06322878163</v>
      </c>
      <c r="Z44" s="48">
        <f>[1]Fakts_Izd!AM12</f>
        <v>178913.06322878163</v>
      </c>
      <c r="AA44" s="55" t="s">
        <v>36</v>
      </c>
      <c r="AB44" s="55" t="s">
        <v>36</v>
      </c>
      <c r="AC44" s="48">
        <f>Y44-AG44</f>
        <v>133913.06322878163</v>
      </c>
      <c r="AD44" s="48">
        <f>Z44-AH44</f>
        <v>133913.06322878163</v>
      </c>
      <c r="AE44" s="55" t="s">
        <v>36</v>
      </c>
      <c r="AF44" s="55" t="s">
        <v>36</v>
      </c>
      <c r="AG44" s="48">
        <f>AH44</f>
        <v>45000</v>
      </c>
      <c r="AH44" s="48">
        <v>45000</v>
      </c>
      <c r="AI44" s="55" t="s">
        <v>36</v>
      </c>
      <c r="AJ44" s="55" t="s">
        <v>36</v>
      </c>
      <c r="AK44" s="48">
        <f t="shared" si="4"/>
        <v>373.59169603003056</v>
      </c>
      <c r="AL44" s="48">
        <f t="shared" si="4"/>
        <v>373.59169603003056</v>
      </c>
      <c r="AM44" s="46">
        <f t="shared" ref="AM44:AM45" si="356">AN44</f>
        <v>440.8</v>
      </c>
      <c r="AN44" s="46">
        <f>VLOOKUP($B43,[1]!LTV1_RL2[[LTV1]:[Q2]],3,0)</f>
        <v>440.8</v>
      </c>
      <c r="AO44" s="63">
        <f>IFERROR(AM44/$AM$65*100,0)</f>
        <v>20.183150183150182</v>
      </c>
      <c r="AP44" s="46">
        <f t="shared" ref="AP44" si="357">IFERROR(AN44/$AN$65*100,0)</f>
        <v>20.183150183150182</v>
      </c>
      <c r="AQ44" s="55" t="s">
        <v>36</v>
      </c>
      <c r="AR44" s="55" t="s">
        <v>36</v>
      </c>
      <c r="AS44" s="48">
        <f t="shared" ref="AS44:AS45" si="358">AT44</f>
        <v>266049.55259805731</v>
      </c>
      <c r="AT44" s="48">
        <f>490875.91/AN43*AN44</f>
        <v>266049.55259805731</v>
      </c>
      <c r="AU44" s="55" t="s">
        <v>36</v>
      </c>
      <c r="AV44" s="55" t="s">
        <v>36</v>
      </c>
      <c r="AW44" s="48">
        <f>AS44-BA44</f>
        <v>266049.55259805731</v>
      </c>
      <c r="AX44" s="48">
        <f>AT44-BB44</f>
        <v>266049.55259805731</v>
      </c>
      <c r="AY44" s="55" t="s">
        <v>36</v>
      </c>
      <c r="AZ44" s="55" t="s">
        <v>36</v>
      </c>
      <c r="BA44" s="48"/>
      <c r="BB44" s="48"/>
      <c r="BC44" s="55" t="s">
        <v>36</v>
      </c>
      <c r="BD44" s="55" t="s">
        <v>36</v>
      </c>
      <c r="BE44" s="48">
        <f t="shared" si="331"/>
        <v>603.55999999999995</v>
      </c>
      <c r="BF44" s="48">
        <f t="shared" si="331"/>
        <v>603.55999999999995</v>
      </c>
      <c r="BG44" s="55" t="s">
        <v>36</v>
      </c>
      <c r="BH44" s="55" t="s">
        <v>36</v>
      </c>
      <c r="BI44" s="48">
        <f t="shared" ref="BI44:BI45" si="359">BJ44</f>
        <v>222021.68114103048</v>
      </c>
      <c r="BJ44" s="48">
        <f>[1]Fakts_Izd!AO12</f>
        <v>222021.68114103048</v>
      </c>
      <c r="BK44" s="55" t="s">
        <v>36</v>
      </c>
      <c r="BL44" s="55" t="s">
        <v>36</v>
      </c>
      <c r="BM44" s="48">
        <f>BI44-BQ44</f>
        <v>222021.68114103048</v>
      </c>
      <c r="BN44" s="48">
        <f>BJ44-BR44</f>
        <v>222021.68114103048</v>
      </c>
      <c r="BO44" s="55" t="s">
        <v>36</v>
      </c>
      <c r="BP44" s="55" t="s">
        <v>36</v>
      </c>
      <c r="BQ44" s="48">
        <f>SUMIFS([1]SP2024!$BP$7:$BP$148,[1]SP2024!$J$7:$J$148,$B43,[1]SP2024!$K$7:$K$148,$B44)</f>
        <v>0</v>
      </c>
      <c r="BR44" s="55"/>
      <c r="BS44" s="55" t="s">
        <v>36</v>
      </c>
      <c r="BT44" s="55" t="s">
        <v>36</v>
      </c>
      <c r="BU44" s="48">
        <f t="shared" si="0"/>
        <v>503.67894995696571</v>
      </c>
      <c r="BV44" s="49">
        <f t="shared" si="0"/>
        <v>503.67894995696571</v>
      </c>
      <c r="BW44" s="46">
        <f>SUMIFS([1]SP2024!$AW$7:$AW$148,[1]SP2024!$L$7:$L$148,$B43,[1]SP2024!$M$7:$M$148,$B44)</f>
        <v>430</v>
      </c>
      <c r="BX44" s="46">
        <f>VLOOKUP($B43,[1]!LTV1_RL2[[LTV1]:[Q3]],4,0)</f>
        <v>514.1</v>
      </c>
      <c r="BY44" s="46">
        <f t="shared" ref="BY44:BY45" si="360">IFERROR(BW44/$BW$65*100,0)</f>
        <v>19.474637681159422</v>
      </c>
      <c r="BZ44" s="46">
        <f>IFERROR(BX44/$BX$65*100,0)</f>
        <v>23.283488130108555</v>
      </c>
      <c r="CA44" s="55" t="s">
        <v>36</v>
      </c>
      <c r="CB44" s="55" t="s">
        <v>36</v>
      </c>
      <c r="CC44" s="48">
        <f>CS44*'[2]Pielikums nr. 1.'!$EY$14</f>
        <v>175993.42306082428</v>
      </c>
      <c r="CD44" s="48">
        <f>389148.89/BX43*BX44</f>
        <v>237095.8098471202</v>
      </c>
      <c r="CE44" s="55" t="s">
        <v>36</v>
      </c>
      <c r="CF44" s="55" t="s">
        <v>36</v>
      </c>
      <c r="CG44" s="48">
        <f>CC44-CK44</f>
        <v>175993.42306082428</v>
      </c>
      <c r="CH44" s="48">
        <f>CD44-CL44</f>
        <v>237095.8098471202</v>
      </c>
      <c r="CI44" s="55" t="s">
        <v>36</v>
      </c>
      <c r="CJ44" s="55" t="s">
        <v>36</v>
      </c>
      <c r="CK44" s="48"/>
      <c r="CL44" s="48"/>
      <c r="CM44" s="55" t="s">
        <v>36</v>
      </c>
      <c r="CN44" s="55" t="s">
        <v>36</v>
      </c>
      <c r="CO44" s="48">
        <f t="shared" si="336"/>
        <v>409.29</v>
      </c>
      <c r="CP44" s="48">
        <f t="shared" si="336"/>
        <v>461.19</v>
      </c>
      <c r="CQ44" s="55" t="s">
        <v>36</v>
      </c>
      <c r="CR44" s="55" t="s">
        <v>36</v>
      </c>
      <c r="CS44" s="48">
        <f>SUMIFS([1]SP2024!$BS$7:$BS$148,[1]SP2024!$L$7:$L$148,$B43,[1]SP2024!$M$7:$M$148,$B44)</f>
        <v>176692.76</v>
      </c>
      <c r="CT44" s="48">
        <f>[1]Fakts_Izd!AQ12</f>
        <v>213067.83719127753</v>
      </c>
      <c r="CU44" s="55" t="s">
        <v>36</v>
      </c>
      <c r="CV44" s="55" t="s">
        <v>36</v>
      </c>
      <c r="CW44" s="48">
        <f>CS44-DA44</f>
        <v>176692.76</v>
      </c>
      <c r="CX44" s="48">
        <f>CT44-DB44</f>
        <v>213067.83719127753</v>
      </c>
      <c r="CY44" s="55" t="s">
        <v>36</v>
      </c>
      <c r="CZ44" s="55" t="s">
        <v>36</v>
      </c>
      <c r="DA44" s="48">
        <f>SUMIFS([1]SP2024!$BQ$7:$BQ$148,[1]SP2024!$J$7:$J$148,$B43,[1]SP2024!$K$7:$K$148,$B44)</f>
        <v>0</v>
      </c>
      <c r="DB44" s="48"/>
      <c r="DC44" s="55" t="s">
        <v>36</v>
      </c>
      <c r="DD44" s="55" t="s">
        <v>36</v>
      </c>
      <c r="DE44" s="48">
        <f t="shared" si="1"/>
        <v>410.91339534883724</v>
      </c>
      <c r="DF44" s="48">
        <f t="shared" si="1"/>
        <v>414.44823417871527</v>
      </c>
      <c r="DG44" s="46">
        <v>430</v>
      </c>
      <c r="DH44" s="46">
        <v>433.2</v>
      </c>
      <c r="DI44" s="46">
        <v>19.474637681159415</v>
      </c>
      <c r="DJ44" s="46">
        <v>19.619565217391308</v>
      </c>
      <c r="DK44" s="55" t="s">
        <v>36</v>
      </c>
      <c r="DL44" s="55" t="s">
        <v>36</v>
      </c>
      <c r="DM44" s="48">
        <v>175496.01957010903</v>
      </c>
      <c r="DN44" s="48">
        <v>273794.59000000003</v>
      </c>
      <c r="DO44" s="55" t="s">
        <v>36</v>
      </c>
      <c r="DP44" s="55" t="s">
        <v>36</v>
      </c>
      <c r="DQ44" s="48">
        <v>130496.01957010903</v>
      </c>
      <c r="DR44" s="48">
        <v>273794.59000000003</v>
      </c>
      <c r="DS44" s="55" t="s">
        <v>36</v>
      </c>
      <c r="DT44" s="55" t="s">
        <v>36</v>
      </c>
      <c r="DU44" s="48">
        <v>45000</v>
      </c>
      <c r="DV44" s="48"/>
      <c r="DW44" s="55" t="s">
        <v>36</v>
      </c>
      <c r="DX44" s="55" t="s">
        <v>36</v>
      </c>
      <c r="DY44" s="48">
        <v>408.13</v>
      </c>
      <c r="DZ44" s="48">
        <v>632.03</v>
      </c>
      <c r="EA44" s="55" t="s">
        <v>36</v>
      </c>
      <c r="EB44" s="55" t="s">
        <v>36</v>
      </c>
      <c r="EC44" s="48">
        <v>176193.38</v>
      </c>
      <c r="ED44" s="48">
        <v>209223.02453333334</v>
      </c>
      <c r="EE44" s="55" t="s">
        <v>36</v>
      </c>
      <c r="EF44" s="55" t="s">
        <v>36</v>
      </c>
      <c r="EG44" s="48">
        <v>176193.38</v>
      </c>
      <c r="EH44" s="48">
        <v>209223.02453333334</v>
      </c>
      <c r="EI44" s="55" t="s">
        <v>36</v>
      </c>
      <c r="EJ44" s="55" t="s">
        <v>36</v>
      </c>
      <c r="EK44" s="48">
        <v>0</v>
      </c>
      <c r="EL44" s="55"/>
      <c r="EM44" s="55" t="s">
        <v>36</v>
      </c>
      <c r="EN44" s="55" t="s">
        <v>36</v>
      </c>
      <c r="EO44" s="48">
        <v>409.7520465116279</v>
      </c>
      <c r="EP44" s="48">
        <v>482.97097076023397</v>
      </c>
      <c r="EQ44" s="46">
        <v>1779.7</v>
      </c>
      <c r="ER44" s="46">
        <v>1867.0000000000002</v>
      </c>
      <c r="ES44" s="46">
        <v>20.260701275045538</v>
      </c>
      <c r="ET44" s="46">
        <v>21.254547684839572</v>
      </c>
      <c r="EU44" s="55" t="s">
        <v>36</v>
      </c>
      <c r="EV44" s="55" t="s">
        <v>36</v>
      </c>
      <c r="EW44" s="48">
        <v>829275.75011826353</v>
      </c>
      <c r="EX44" s="48">
        <v>988676.70733445045</v>
      </c>
      <c r="EY44" s="55" t="s">
        <v>36</v>
      </c>
      <c r="EZ44" s="55" t="s">
        <v>36</v>
      </c>
      <c r="FA44" s="48">
        <v>783875.75011826353</v>
      </c>
      <c r="FB44" s="48">
        <v>988276.70733445045</v>
      </c>
      <c r="FC44" s="55" t="s">
        <v>36</v>
      </c>
      <c r="FD44" s="55" t="s">
        <v>36</v>
      </c>
      <c r="FE44" s="48">
        <v>45400</v>
      </c>
      <c r="FF44" s="48">
        <v>400</v>
      </c>
      <c r="FG44" s="55" t="s">
        <v>36</v>
      </c>
      <c r="FH44" s="55" t="s">
        <v>36</v>
      </c>
      <c r="FI44" s="48">
        <v>465.96</v>
      </c>
      <c r="FJ44" s="48">
        <v>529.54999999999995</v>
      </c>
      <c r="FK44" s="55" t="s">
        <v>36</v>
      </c>
      <c r="FL44" s="55" t="s">
        <v>36</v>
      </c>
      <c r="FM44" s="48">
        <v>753820.88436981209</v>
      </c>
      <c r="FN44" s="48">
        <v>823225.60609442298</v>
      </c>
      <c r="FO44" s="55" t="s">
        <v>36</v>
      </c>
      <c r="FP44" s="55" t="s">
        <v>36</v>
      </c>
      <c r="FQ44" s="48">
        <v>708820.88436981209</v>
      </c>
      <c r="FR44" s="48">
        <v>778225.60609442298</v>
      </c>
      <c r="FS44" s="55" t="s">
        <v>36</v>
      </c>
      <c r="FT44" s="55" t="s">
        <v>36</v>
      </c>
      <c r="FU44" s="48">
        <v>45000</v>
      </c>
      <c r="FV44" s="48">
        <v>45000</v>
      </c>
      <c r="FW44" s="55" t="s">
        <v>36</v>
      </c>
      <c r="FX44" s="55" t="s">
        <v>36</v>
      </c>
      <c r="FY44" s="48">
        <v>423.56626643243919</v>
      </c>
      <c r="FZ44" s="48">
        <v>440.9349791614477</v>
      </c>
      <c r="GA44" s="50">
        <v>87.300000000000182</v>
      </c>
      <c r="GB44" s="46">
        <v>4.9053211215373427</v>
      </c>
      <c r="GC44" s="55" t="s">
        <v>36</v>
      </c>
      <c r="GD44" s="46" t="s">
        <v>36</v>
      </c>
      <c r="GE44" s="51">
        <v>159400.95721618691</v>
      </c>
      <c r="GF44" s="46">
        <v>19.221707278122469</v>
      </c>
      <c r="GG44" s="55" t="s">
        <v>36</v>
      </c>
      <c r="GH44" s="57" t="s">
        <v>36</v>
      </c>
      <c r="GI44" s="51">
        <v>204400.95721618691</v>
      </c>
      <c r="GJ44" s="46">
        <v>26.075683191545206</v>
      </c>
      <c r="GK44" s="55" t="s">
        <v>36</v>
      </c>
      <c r="GL44" s="58" t="s">
        <v>36</v>
      </c>
      <c r="GM44" s="51">
        <v>-45000</v>
      </c>
      <c r="GN44" s="46">
        <v>-99.118942731277542</v>
      </c>
      <c r="GO44" s="55" t="s">
        <v>36</v>
      </c>
      <c r="GP44" s="57" t="s">
        <v>36</v>
      </c>
      <c r="GQ44" s="51">
        <v>63.589999999999975</v>
      </c>
      <c r="GR44" s="44"/>
      <c r="GS44" s="44"/>
      <c r="GT44" s="44"/>
      <c r="GU44" s="44"/>
      <c r="GV44" s="44"/>
      <c r="GW44" s="44"/>
    </row>
    <row r="45" spans="1:205">
      <c r="A45" s="424"/>
      <c r="B45" s="45" t="s">
        <v>39</v>
      </c>
      <c r="C45" s="46">
        <f t="shared" si="354"/>
        <v>446.8</v>
      </c>
      <c r="D45" s="46">
        <f>VLOOKUP($B43,[1]!LTV7_RL7[[LTV7]:[Q1]],2,0)</f>
        <v>446.8</v>
      </c>
      <c r="E45" s="46">
        <f>IFERROR(C45/$C$66*100,0)</f>
        <v>20.457875457875456</v>
      </c>
      <c r="F45" s="46">
        <f t="shared" ref="F45" si="361">IFERROR(D45/$D$66*100,0)</f>
        <v>20.457875457875456</v>
      </c>
      <c r="G45" s="55" t="s">
        <v>36</v>
      </c>
      <c r="H45" s="55" t="s">
        <v>36</v>
      </c>
      <c r="I45" s="48">
        <f t="shared" si="2"/>
        <v>197544.33511072703</v>
      </c>
      <c r="J45" s="48">
        <f>D45/D43*409281.09</f>
        <v>197544.33511072703</v>
      </c>
      <c r="K45" s="55" t="s">
        <v>36</v>
      </c>
      <c r="L45" s="55" t="s">
        <v>36</v>
      </c>
      <c r="M45" s="48">
        <f>I45-Q45</f>
        <v>197544.33511072703</v>
      </c>
      <c r="N45" s="48">
        <f>J45-R45</f>
        <v>197544.33511072703</v>
      </c>
      <c r="O45" s="55" t="s">
        <v>36</v>
      </c>
      <c r="P45" s="55" t="s">
        <v>36</v>
      </c>
      <c r="Q45" s="48"/>
      <c r="R45" s="48"/>
      <c r="S45" s="55" t="s">
        <v>36</v>
      </c>
      <c r="T45" s="55" t="s">
        <v>36</v>
      </c>
      <c r="U45" s="48">
        <f t="shared" si="3"/>
        <v>442.13</v>
      </c>
      <c r="V45" s="48">
        <f t="shared" si="3"/>
        <v>442.13</v>
      </c>
      <c r="W45" s="55" t="s">
        <v>36</v>
      </c>
      <c r="X45" s="55" t="s">
        <v>36</v>
      </c>
      <c r="Y45" s="48">
        <f>Z45</f>
        <v>298431.90677121823</v>
      </c>
      <c r="Z45" s="48">
        <f>[1]Fakts_Izd!AM13</f>
        <v>298431.90677121823</v>
      </c>
      <c r="AA45" s="55" t="s">
        <v>36</v>
      </c>
      <c r="AB45" s="55" t="s">
        <v>36</v>
      </c>
      <c r="AC45" s="48">
        <f>Y45-AG45</f>
        <v>298431.90677121823</v>
      </c>
      <c r="AD45" s="48">
        <f>Z45-AH45</f>
        <v>298431.90677121823</v>
      </c>
      <c r="AE45" s="55" t="s">
        <v>36</v>
      </c>
      <c r="AF45" s="55" t="s">
        <v>36</v>
      </c>
      <c r="AG45" s="48">
        <f>SUMIFS([1]SP2024!$BO$7:$BO$148,[1]SP2024!$J$7:$J$148,$B43,[1]SP2024!$K$7:$K$148,$B45)</f>
        <v>0</v>
      </c>
      <c r="AH45" s="48"/>
      <c r="AI45" s="55" t="s">
        <v>36</v>
      </c>
      <c r="AJ45" s="55" t="s">
        <v>36</v>
      </c>
      <c r="AK45" s="48">
        <f t="shared" si="4"/>
        <v>667.93175194990647</v>
      </c>
      <c r="AL45" s="48">
        <f t="shared" si="4"/>
        <v>667.93175194990647</v>
      </c>
      <c r="AM45" s="46">
        <f t="shared" si="356"/>
        <v>372.5</v>
      </c>
      <c r="AN45" s="46">
        <f>VLOOKUP($B43,[1]!LTV7_RL7[[LTV7]:[Q2]],3,0)</f>
        <v>372.5</v>
      </c>
      <c r="AO45" s="63">
        <f>IFERROR(AM45/$AM$65*100,0)</f>
        <v>17.055860805860807</v>
      </c>
      <c r="AP45" s="46">
        <f t="shared" ref="AP45" si="362">IFERROR(AN45/$AN$66*100,0)</f>
        <v>17.05586080586081</v>
      </c>
      <c r="AQ45" s="55" t="s">
        <v>36</v>
      </c>
      <c r="AR45" s="55" t="s">
        <v>36</v>
      </c>
      <c r="AS45" s="48">
        <f t="shared" si="358"/>
        <v>224826.35740194269</v>
      </c>
      <c r="AT45" s="48">
        <f>490875.91/AN43*AN45</f>
        <v>224826.35740194269</v>
      </c>
      <c r="AU45" s="55" t="s">
        <v>36</v>
      </c>
      <c r="AV45" s="55" t="s">
        <v>36</v>
      </c>
      <c r="AW45" s="48">
        <f>AS45-BA45</f>
        <v>224826.35740194269</v>
      </c>
      <c r="AX45" s="48">
        <f>AT45-BB45</f>
        <v>224826.35740194269</v>
      </c>
      <c r="AY45" s="55" t="s">
        <v>36</v>
      </c>
      <c r="AZ45" s="55" t="s">
        <v>36</v>
      </c>
      <c r="BA45" s="48"/>
      <c r="BB45" s="48"/>
      <c r="BC45" s="55" t="s">
        <v>36</v>
      </c>
      <c r="BD45" s="55" t="s">
        <v>36</v>
      </c>
      <c r="BE45" s="48">
        <f t="shared" si="331"/>
        <v>603.55999999999995</v>
      </c>
      <c r="BF45" s="48">
        <f t="shared" si="331"/>
        <v>603.55999999999995</v>
      </c>
      <c r="BG45" s="55" t="s">
        <v>36</v>
      </c>
      <c r="BH45" s="55" t="s">
        <v>36</v>
      </c>
      <c r="BI45" s="48">
        <f t="shared" si="359"/>
        <v>187620.40885896972</v>
      </c>
      <c r="BJ45" s="48">
        <f>[1]Fakts_Izd!AO13</f>
        <v>187620.40885896972</v>
      </c>
      <c r="BK45" s="55" t="s">
        <v>36</v>
      </c>
      <c r="BL45" s="55" t="s">
        <v>36</v>
      </c>
      <c r="BM45" s="48">
        <f>BI45-BQ45</f>
        <v>187620.40885896972</v>
      </c>
      <c r="BN45" s="48">
        <f>BJ45-BR45</f>
        <v>187620.40885896972</v>
      </c>
      <c r="BO45" s="55" t="s">
        <v>36</v>
      </c>
      <c r="BP45" s="55" t="s">
        <v>36</v>
      </c>
      <c r="BQ45" s="48">
        <f>SUMIFS([1]SP2024!$BP$7:$BP$148,[1]SP2024!$J$7:$J$148,$B43,[1]SP2024!$K$7:$K$148,$B45)</f>
        <v>0</v>
      </c>
      <c r="BR45" s="55"/>
      <c r="BS45" s="55" t="s">
        <v>36</v>
      </c>
      <c r="BT45" s="55" t="s">
        <v>36</v>
      </c>
      <c r="BU45" s="48">
        <f t="shared" si="0"/>
        <v>503.67894995696571</v>
      </c>
      <c r="BV45" s="49">
        <f t="shared" si="0"/>
        <v>503.67894995696571</v>
      </c>
      <c r="BW45" s="46">
        <f>SUMIFS([1]SP2024!$AW$7:$AW$148,[1]SP2024!$L$7:$L$148,$B43,[1]SP2024!$M$7:$M$148,$B45)</f>
        <v>320</v>
      </c>
      <c r="BX45" s="46">
        <f>VLOOKUP($B43,[1]!LTV7_RL7[[LTV7]:[Q3]],4,0)</f>
        <v>329.7</v>
      </c>
      <c r="BY45" s="46">
        <f t="shared" si="360"/>
        <v>14.492753623188406</v>
      </c>
      <c r="BZ45" s="46">
        <f>IFERROR(BX45/$BX$66*100,0)</f>
        <v>14.932057703272092</v>
      </c>
      <c r="CA45" s="55" t="s">
        <v>36</v>
      </c>
      <c r="CB45" s="55" t="s">
        <v>36</v>
      </c>
      <c r="CC45" s="48">
        <f>CS45*'[2]Pielikums nr. 1.'!$EY$14</f>
        <v>159149.79381265672</v>
      </c>
      <c r="CD45" s="48">
        <f>389148.89/BX43*BX45</f>
        <v>152053.08015287985</v>
      </c>
      <c r="CE45" s="55" t="s">
        <v>36</v>
      </c>
      <c r="CF45" s="55" t="s">
        <v>36</v>
      </c>
      <c r="CG45" s="48">
        <f>CC45-CK45</f>
        <v>159149.79381265672</v>
      </c>
      <c r="CH45" s="48">
        <f>CD45-CL45</f>
        <v>152053.08015287985</v>
      </c>
      <c r="CI45" s="55" t="s">
        <v>36</v>
      </c>
      <c r="CJ45" s="55" t="s">
        <v>36</v>
      </c>
      <c r="CK45" s="48"/>
      <c r="CL45" s="48"/>
      <c r="CM45" s="55" t="s">
        <v>36</v>
      </c>
      <c r="CN45" s="55" t="s">
        <v>36</v>
      </c>
      <c r="CO45" s="48">
        <f t="shared" si="336"/>
        <v>497.34</v>
      </c>
      <c r="CP45" s="48">
        <f t="shared" si="336"/>
        <v>461.19</v>
      </c>
      <c r="CQ45" s="55" t="s">
        <v>36</v>
      </c>
      <c r="CR45" s="55" t="s">
        <v>36</v>
      </c>
      <c r="CS45" s="48">
        <f>SUMIFS([1]SP2024!$BS$7:$BS$148,[1]SP2024!$L$7:$L$148,$B43,[1]SP2024!$M$7:$M$148,$B45)</f>
        <v>159782.20000000001</v>
      </c>
      <c r="CT45" s="48">
        <f>[1]Fakts_Izd!AQ13</f>
        <v>136643.58280872242</v>
      </c>
      <c r="CU45" s="55" t="s">
        <v>36</v>
      </c>
      <c r="CV45" s="55" t="s">
        <v>36</v>
      </c>
      <c r="CW45" s="48">
        <f>CS45-DA45</f>
        <v>159782.20000000001</v>
      </c>
      <c r="CX45" s="48">
        <f>CT45-DB45</f>
        <v>136643.58280872242</v>
      </c>
      <c r="CY45" s="55" t="s">
        <v>36</v>
      </c>
      <c r="CZ45" s="55" t="s">
        <v>36</v>
      </c>
      <c r="DA45" s="48">
        <f>SUMIFS([1]SP2024!$BQ$7:$BQ$148,[1]SP2024!$J$7:$J$148,$B43,[1]SP2024!$K$7:$K$148,$B45)</f>
        <v>0</v>
      </c>
      <c r="DB45" s="48"/>
      <c r="DC45" s="55" t="s">
        <v>36</v>
      </c>
      <c r="DD45" s="55" t="s">
        <v>36</v>
      </c>
      <c r="DE45" s="48">
        <f t="shared" si="1"/>
        <v>499.31937500000004</v>
      </c>
      <c r="DF45" s="48">
        <f t="shared" si="1"/>
        <v>414.44823417871527</v>
      </c>
      <c r="DG45" s="46">
        <v>320</v>
      </c>
      <c r="DH45" s="46">
        <v>545.1</v>
      </c>
      <c r="DI45" s="46">
        <v>14.492753623188403</v>
      </c>
      <c r="DJ45" s="46">
        <v>24.687500000000007</v>
      </c>
      <c r="DK45" s="55" t="s">
        <v>36</v>
      </c>
      <c r="DL45" s="55" t="s">
        <v>36</v>
      </c>
      <c r="DM45" s="48">
        <v>157211.89435425706</v>
      </c>
      <c r="DN45" s="48">
        <v>203754.11</v>
      </c>
      <c r="DO45" s="55" t="s">
        <v>36</v>
      </c>
      <c r="DP45" s="55" t="s">
        <v>36</v>
      </c>
      <c r="DQ45" s="48">
        <v>157211.89435425706</v>
      </c>
      <c r="DR45" s="48">
        <v>203754.11</v>
      </c>
      <c r="DS45" s="55" t="s">
        <v>36</v>
      </c>
      <c r="DT45" s="55" t="s">
        <v>36</v>
      </c>
      <c r="DU45" s="48"/>
      <c r="DV45" s="48"/>
      <c r="DW45" s="55" t="s">
        <v>36</v>
      </c>
      <c r="DX45" s="55" t="s">
        <v>36</v>
      </c>
      <c r="DY45" s="48">
        <v>491.29</v>
      </c>
      <c r="DZ45" s="48">
        <v>373.79</v>
      </c>
      <c r="EA45" s="55" t="s">
        <v>36</v>
      </c>
      <c r="EB45" s="55" t="s">
        <v>36</v>
      </c>
      <c r="EC45" s="48">
        <v>157836.6</v>
      </c>
      <c r="ED45" s="48">
        <v>155700.85546666666</v>
      </c>
      <c r="EE45" s="55" t="s">
        <v>36</v>
      </c>
      <c r="EF45" s="55" t="s">
        <v>36</v>
      </c>
      <c r="EG45" s="48">
        <v>157836.6</v>
      </c>
      <c r="EH45" s="48">
        <v>155700.85546666666</v>
      </c>
      <c r="EI45" s="55" t="s">
        <v>36</v>
      </c>
      <c r="EJ45" s="55" t="s">
        <v>36</v>
      </c>
      <c r="EK45" s="48">
        <v>0</v>
      </c>
      <c r="EL45" s="55"/>
      <c r="EM45" s="55" t="s">
        <v>36</v>
      </c>
      <c r="EN45" s="55" t="s">
        <v>36</v>
      </c>
      <c r="EO45" s="48">
        <v>493.239375</v>
      </c>
      <c r="EP45" s="48">
        <v>285.63723255671738</v>
      </c>
      <c r="EQ45" s="46">
        <v>1459.3</v>
      </c>
      <c r="ER45" s="46">
        <v>1694.1</v>
      </c>
      <c r="ES45" s="46">
        <v>16.61316029143898</v>
      </c>
      <c r="ET45" s="46">
        <v>19.286199746230555</v>
      </c>
      <c r="EU45" s="55" t="s">
        <v>36</v>
      </c>
      <c r="EV45" s="55" t="s">
        <v>36</v>
      </c>
      <c r="EW45" s="48">
        <v>738732.38067958341</v>
      </c>
      <c r="EX45" s="48">
        <v>778177.88266554952</v>
      </c>
      <c r="EY45" s="55" t="s">
        <v>36</v>
      </c>
      <c r="EZ45" s="55" t="s">
        <v>36</v>
      </c>
      <c r="FA45" s="48">
        <v>738732.38067958341</v>
      </c>
      <c r="FB45" s="48">
        <v>778177.88266554952</v>
      </c>
      <c r="FC45" s="55" t="s">
        <v>36</v>
      </c>
      <c r="FD45" s="55" t="s">
        <v>36</v>
      </c>
      <c r="FE45" s="48">
        <v>0</v>
      </c>
      <c r="FF45" s="48">
        <v>0</v>
      </c>
      <c r="FG45" s="55" t="s">
        <v>36</v>
      </c>
      <c r="FH45" s="55" t="s">
        <v>36</v>
      </c>
      <c r="FI45" s="48">
        <v>506.22</v>
      </c>
      <c r="FJ45" s="48">
        <v>459.35</v>
      </c>
      <c r="FK45" s="55" t="s">
        <v>36</v>
      </c>
      <c r="FL45" s="55" t="s">
        <v>36</v>
      </c>
      <c r="FM45" s="48">
        <v>803671.11563018791</v>
      </c>
      <c r="FN45" s="48">
        <v>778396.753905577</v>
      </c>
      <c r="FO45" s="55" t="s">
        <v>36</v>
      </c>
      <c r="FP45" s="55" t="s">
        <v>36</v>
      </c>
      <c r="FQ45" s="48">
        <v>803671.11563018791</v>
      </c>
      <c r="FR45" s="48">
        <v>778396.753905577</v>
      </c>
      <c r="FS45" s="55" t="s">
        <v>36</v>
      </c>
      <c r="FT45" s="55" t="s">
        <v>36</v>
      </c>
      <c r="FU45" s="48">
        <v>0</v>
      </c>
      <c r="FV45" s="48">
        <v>0</v>
      </c>
      <c r="FW45" s="55" t="s">
        <v>36</v>
      </c>
      <c r="FX45" s="55" t="s">
        <v>36</v>
      </c>
      <c r="FY45" s="48">
        <v>550.7237138560871</v>
      </c>
      <c r="FZ45" s="48">
        <v>459.47509232369816</v>
      </c>
      <c r="GA45" s="98">
        <v>234.79999999999995</v>
      </c>
      <c r="GB45" s="56">
        <v>16.089906119372287</v>
      </c>
      <c r="GC45" s="55" t="s">
        <v>36</v>
      </c>
      <c r="GD45" s="56" t="s">
        <v>36</v>
      </c>
      <c r="GE45" s="99">
        <v>39445.501985966112</v>
      </c>
      <c r="GF45" s="56">
        <v>5.3396200055125354</v>
      </c>
      <c r="GG45" s="55" t="s">
        <v>36</v>
      </c>
      <c r="GH45" s="57" t="s">
        <v>36</v>
      </c>
      <c r="GI45" s="99">
        <v>39445.501985966112</v>
      </c>
      <c r="GJ45" s="56">
        <v>5.3396200055125354</v>
      </c>
      <c r="GK45" s="55" t="s">
        <v>36</v>
      </c>
      <c r="GL45" s="58" t="s">
        <v>36</v>
      </c>
      <c r="GM45" s="99">
        <v>0</v>
      </c>
      <c r="GN45" s="56" t="s">
        <v>88</v>
      </c>
      <c r="GO45" s="55" t="s">
        <v>36</v>
      </c>
      <c r="GP45" s="57" t="s">
        <v>36</v>
      </c>
      <c r="GQ45" s="99">
        <v>-46.870000000000005</v>
      </c>
      <c r="GR45" s="44"/>
      <c r="GS45" s="44"/>
      <c r="GT45" s="44"/>
      <c r="GU45" s="44"/>
      <c r="GV45" s="44"/>
      <c r="GW45" s="44"/>
    </row>
    <row r="46" spans="1:205">
      <c r="A46" s="424"/>
      <c r="B46" s="65" t="s">
        <v>51</v>
      </c>
      <c r="C46" s="36" t="s">
        <v>36</v>
      </c>
      <c r="D46" s="36" t="s">
        <v>36</v>
      </c>
      <c r="E46" s="36" t="s">
        <v>36</v>
      </c>
      <c r="F46" s="36" t="s">
        <v>36</v>
      </c>
      <c r="G46" s="59" t="s">
        <v>36</v>
      </c>
      <c r="H46" s="59" t="s">
        <v>36</v>
      </c>
      <c r="I46" s="37">
        <f t="shared" si="2"/>
        <v>66239.78</v>
      </c>
      <c r="J46" s="37">
        <f>J47</f>
        <v>66239.78</v>
      </c>
      <c r="K46" s="59" t="s">
        <v>36</v>
      </c>
      <c r="L46" s="59" t="s">
        <v>36</v>
      </c>
      <c r="M46" s="37">
        <f>M47</f>
        <v>66239.78</v>
      </c>
      <c r="N46" s="37">
        <f>N47</f>
        <v>66239.78</v>
      </c>
      <c r="O46" s="59" t="s">
        <v>36</v>
      </c>
      <c r="P46" s="59" t="s">
        <v>36</v>
      </c>
      <c r="Q46" s="37">
        <f>Q47</f>
        <v>0</v>
      </c>
      <c r="R46" s="37">
        <f>R47</f>
        <v>0</v>
      </c>
      <c r="S46" s="59" t="s">
        <v>36</v>
      </c>
      <c r="T46" s="59" t="s">
        <v>36</v>
      </c>
      <c r="U46" s="59" t="s">
        <v>36</v>
      </c>
      <c r="V46" s="59" t="s">
        <v>36</v>
      </c>
      <c r="W46" s="59" t="s">
        <v>36</v>
      </c>
      <c r="X46" s="59" t="s">
        <v>36</v>
      </c>
      <c r="Y46" s="37">
        <f>Y47</f>
        <v>61098.279999999992</v>
      </c>
      <c r="Z46" s="37">
        <f>Z47</f>
        <v>61098.279999999992</v>
      </c>
      <c r="AA46" s="59" t="s">
        <v>36</v>
      </c>
      <c r="AB46" s="59" t="s">
        <v>36</v>
      </c>
      <c r="AC46" s="37">
        <f>AC47</f>
        <v>61098.279999999992</v>
      </c>
      <c r="AD46" s="37">
        <f>AD47</f>
        <v>61098.279999999992</v>
      </c>
      <c r="AE46" s="59" t="s">
        <v>36</v>
      </c>
      <c r="AF46" s="59" t="s">
        <v>36</v>
      </c>
      <c r="AG46" s="37">
        <f>AG47</f>
        <v>0</v>
      </c>
      <c r="AH46" s="37"/>
      <c r="AI46" s="59" t="s">
        <v>36</v>
      </c>
      <c r="AJ46" s="59" t="s">
        <v>36</v>
      </c>
      <c r="AK46" s="37">
        <f t="shared" si="4"/>
        <v>0</v>
      </c>
      <c r="AL46" s="37">
        <f t="shared" si="4"/>
        <v>0</v>
      </c>
      <c r="AM46" s="36" t="s">
        <v>36</v>
      </c>
      <c r="AN46" s="36" t="s">
        <v>36</v>
      </c>
      <c r="AO46" s="36" t="s">
        <v>36</v>
      </c>
      <c r="AP46" s="36" t="s">
        <v>36</v>
      </c>
      <c r="AQ46" s="59" t="s">
        <v>36</v>
      </c>
      <c r="AR46" s="59" t="s">
        <v>36</v>
      </c>
      <c r="AS46" s="37">
        <f>AS47</f>
        <v>55948.09</v>
      </c>
      <c r="AT46" s="37">
        <f>AT47</f>
        <v>55948.09</v>
      </c>
      <c r="AU46" s="59" t="s">
        <v>36</v>
      </c>
      <c r="AV46" s="59" t="s">
        <v>36</v>
      </c>
      <c r="AW46" s="37">
        <f>AW47</f>
        <v>55948.09</v>
      </c>
      <c r="AX46" s="37">
        <f>AX47</f>
        <v>55948.09</v>
      </c>
      <c r="AY46" s="59" t="s">
        <v>36</v>
      </c>
      <c r="AZ46" s="59" t="s">
        <v>36</v>
      </c>
      <c r="BA46" s="37">
        <f>BA47</f>
        <v>0</v>
      </c>
      <c r="BB46" s="37">
        <f>BB47</f>
        <v>0</v>
      </c>
      <c r="BC46" s="59" t="s">
        <v>36</v>
      </c>
      <c r="BD46" s="59" t="s">
        <v>36</v>
      </c>
      <c r="BE46" s="59" t="s">
        <v>36</v>
      </c>
      <c r="BF46" s="59" t="s">
        <v>36</v>
      </c>
      <c r="BG46" s="59" t="s">
        <v>36</v>
      </c>
      <c r="BH46" s="59" t="s">
        <v>36</v>
      </c>
      <c r="BI46" s="37">
        <f>BI47</f>
        <v>55187.33</v>
      </c>
      <c r="BJ46" s="37">
        <f>BJ47</f>
        <v>55187.33</v>
      </c>
      <c r="BK46" s="59" t="s">
        <v>36</v>
      </c>
      <c r="BL46" s="59" t="s">
        <v>36</v>
      </c>
      <c r="BM46" s="37">
        <f>BM47</f>
        <v>55187.33</v>
      </c>
      <c r="BN46" s="37">
        <f>BN47</f>
        <v>55187.33</v>
      </c>
      <c r="BO46" s="59" t="s">
        <v>36</v>
      </c>
      <c r="BP46" s="59" t="s">
        <v>36</v>
      </c>
      <c r="BQ46" s="37">
        <f>BQ47</f>
        <v>0</v>
      </c>
      <c r="BR46" s="59"/>
      <c r="BS46" s="59" t="s">
        <v>36</v>
      </c>
      <c r="BT46" s="59" t="s">
        <v>36</v>
      </c>
      <c r="BU46" s="37">
        <f t="shared" si="0"/>
        <v>0</v>
      </c>
      <c r="BV46" s="100">
        <f t="shared" si="0"/>
        <v>0</v>
      </c>
      <c r="BW46" s="36" t="s">
        <v>36</v>
      </c>
      <c r="BX46" s="36" t="s">
        <v>36</v>
      </c>
      <c r="BY46" s="36" t="s">
        <v>36</v>
      </c>
      <c r="BZ46" s="36" t="s">
        <v>36</v>
      </c>
      <c r="CA46" s="59" t="s">
        <v>36</v>
      </c>
      <c r="CB46" s="59" t="s">
        <v>36</v>
      </c>
      <c r="CC46" s="37">
        <f>CC47</f>
        <v>50655.910945581199</v>
      </c>
      <c r="CD46" s="37">
        <f>CD47</f>
        <v>44670.820000000007</v>
      </c>
      <c r="CE46" s="59" t="s">
        <v>36</v>
      </c>
      <c r="CF46" s="59" t="s">
        <v>36</v>
      </c>
      <c r="CG46" s="37">
        <f>CG47</f>
        <v>50655.910945581199</v>
      </c>
      <c r="CH46" s="37">
        <f>CH47</f>
        <v>44670.820000000007</v>
      </c>
      <c r="CI46" s="59" t="s">
        <v>36</v>
      </c>
      <c r="CJ46" s="59" t="s">
        <v>36</v>
      </c>
      <c r="CK46" s="37">
        <f>CK47</f>
        <v>0</v>
      </c>
      <c r="CL46" s="37">
        <f>CL47</f>
        <v>0</v>
      </c>
      <c r="CM46" s="59" t="s">
        <v>36</v>
      </c>
      <c r="CN46" s="59" t="s">
        <v>36</v>
      </c>
      <c r="CO46" s="59" t="s">
        <v>36</v>
      </c>
      <c r="CP46" s="59" t="s">
        <v>36</v>
      </c>
      <c r="CQ46" s="59" t="s">
        <v>36</v>
      </c>
      <c r="CR46" s="59" t="s">
        <v>36</v>
      </c>
      <c r="CS46" s="37">
        <f>CS47</f>
        <v>50857.2</v>
      </c>
      <c r="CT46" s="37">
        <f>CT47</f>
        <v>48881.48</v>
      </c>
      <c r="CU46" s="59" t="s">
        <v>36</v>
      </c>
      <c r="CV46" s="59" t="s">
        <v>36</v>
      </c>
      <c r="CW46" s="37">
        <f>CW47</f>
        <v>50857.2</v>
      </c>
      <c r="CX46" s="37">
        <f>CX47</f>
        <v>48881.48</v>
      </c>
      <c r="CY46" s="59" t="s">
        <v>36</v>
      </c>
      <c r="CZ46" s="59" t="s">
        <v>36</v>
      </c>
      <c r="DA46" s="37">
        <f>DA47</f>
        <v>0</v>
      </c>
      <c r="DB46" s="37"/>
      <c r="DC46" s="59" t="s">
        <v>36</v>
      </c>
      <c r="DD46" s="59" t="s">
        <v>36</v>
      </c>
      <c r="DE46" s="37">
        <f t="shared" si="1"/>
        <v>0</v>
      </c>
      <c r="DF46" s="37">
        <f t="shared" si="1"/>
        <v>0</v>
      </c>
      <c r="DG46" s="36" t="s">
        <v>36</v>
      </c>
      <c r="DH46" s="36" t="s">
        <v>36</v>
      </c>
      <c r="DI46" s="36" t="s">
        <v>36</v>
      </c>
      <c r="DJ46" s="36" t="s">
        <v>36</v>
      </c>
      <c r="DK46" s="59" t="s">
        <v>36</v>
      </c>
      <c r="DL46" s="59" t="s">
        <v>36</v>
      </c>
      <c r="DM46" s="37">
        <v>50655.910945581199</v>
      </c>
      <c r="DN46" s="37">
        <v>60152.440000000119</v>
      </c>
      <c r="DO46" s="59" t="s">
        <v>36</v>
      </c>
      <c r="DP46" s="59" t="s">
        <v>36</v>
      </c>
      <c r="DQ46" s="37">
        <v>50655.910945581199</v>
      </c>
      <c r="DR46" s="37">
        <v>60152.440000000119</v>
      </c>
      <c r="DS46" s="59" t="s">
        <v>36</v>
      </c>
      <c r="DT46" s="59" t="s">
        <v>36</v>
      </c>
      <c r="DU46" s="37">
        <v>0</v>
      </c>
      <c r="DV46" s="37">
        <v>0</v>
      </c>
      <c r="DW46" s="59" t="s">
        <v>36</v>
      </c>
      <c r="DX46" s="59" t="s">
        <v>36</v>
      </c>
      <c r="DY46" s="59" t="s">
        <v>36</v>
      </c>
      <c r="DZ46" s="59" t="s">
        <v>36</v>
      </c>
      <c r="EA46" s="59" t="s">
        <v>36</v>
      </c>
      <c r="EB46" s="59" t="s">
        <v>36</v>
      </c>
      <c r="EC46" s="37">
        <v>50857.2</v>
      </c>
      <c r="ED46" s="37">
        <v>56651.519999999997</v>
      </c>
      <c r="EE46" s="59" t="s">
        <v>36</v>
      </c>
      <c r="EF46" s="59" t="s">
        <v>36</v>
      </c>
      <c r="EG46" s="37">
        <v>50857.2</v>
      </c>
      <c r="EH46" s="37">
        <v>56651.519999999997</v>
      </c>
      <c r="EI46" s="59" t="s">
        <v>36</v>
      </c>
      <c r="EJ46" s="59" t="s">
        <v>36</v>
      </c>
      <c r="EK46" s="37">
        <v>0</v>
      </c>
      <c r="EL46" s="59"/>
      <c r="EM46" s="59" t="s">
        <v>36</v>
      </c>
      <c r="EN46" s="59" t="s">
        <v>36</v>
      </c>
      <c r="EO46" s="37">
        <v>0</v>
      </c>
      <c r="EP46" s="37">
        <v>0</v>
      </c>
      <c r="EQ46" s="36" t="s">
        <v>36</v>
      </c>
      <c r="ER46" s="36" t="s">
        <v>36</v>
      </c>
      <c r="ES46" s="36" t="s">
        <v>36</v>
      </c>
      <c r="ET46" s="36" t="s">
        <v>36</v>
      </c>
      <c r="EU46" s="59" t="s">
        <v>36</v>
      </c>
      <c r="EV46" s="59" t="s">
        <v>36</v>
      </c>
      <c r="EW46" s="37">
        <v>223499.69189116242</v>
      </c>
      <c r="EX46" s="37">
        <v>227011.13000000012</v>
      </c>
      <c r="EY46" s="59" t="s">
        <v>36</v>
      </c>
      <c r="EZ46" s="59" t="s">
        <v>36</v>
      </c>
      <c r="FA46" s="37">
        <v>223499.69189116242</v>
      </c>
      <c r="FB46" s="37">
        <v>227011.13000000012</v>
      </c>
      <c r="FC46" s="59" t="s">
        <v>36</v>
      </c>
      <c r="FD46" s="59" t="s">
        <v>36</v>
      </c>
      <c r="FE46" s="37">
        <v>0</v>
      </c>
      <c r="FF46" s="37">
        <v>0</v>
      </c>
      <c r="FG46" s="59" t="s">
        <v>36</v>
      </c>
      <c r="FH46" s="59" t="s">
        <v>36</v>
      </c>
      <c r="FI46" s="59" t="s">
        <v>36</v>
      </c>
      <c r="FJ46" s="59" t="s">
        <v>36</v>
      </c>
      <c r="FK46" s="59" t="s">
        <v>36</v>
      </c>
      <c r="FL46" s="59" t="s">
        <v>36</v>
      </c>
      <c r="FM46" s="37">
        <v>218000.01</v>
      </c>
      <c r="FN46" s="37">
        <v>221818.61</v>
      </c>
      <c r="FO46" s="59" t="s">
        <v>36</v>
      </c>
      <c r="FP46" s="59" t="s">
        <v>36</v>
      </c>
      <c r="FQ46" s="37">
        <v>218000.01</v>
      </c>
      <c r="FR46" s="37">
        <v>221818.61</v>
      </c>
      <c r="FS46" s="59" t="s">
        <v>36</v>
      </c>
      <c r="FT46" s="59" t="s">
        <v>36</v>
      </c>
      <c r="FU46" s="37">
        <v>0</v>
      </c>
      <c r="FV46" s="37">
        <v>0</v>
      </c>
      <c r="FW46" s="59" t="s">
        <v>36</v>
      </c>
      <c r="FX46" s="59" t="s">
        <v>36</v>
      </c>
      <c r="FY46" s="37">
        <v>0</v>
      </c>
      <c r="FZ46" s="37">
        <v>0</v>
      </c>
      <c r="GA46" s="101" t="s">
        <v>36</v>
      </c>
      <c r="GB46" s="36" t="s">
        <v>88</v>
      </c>
      <c r="GC46" s="59" t="s">
        <v>36</v>
      </c>
      <c r="GD46" s="43" t="s">
        <v>36</v>
      </c>
      <c r="GE46" s="36">
        <v>3511.4381088376977</v>
      </c>
      <c r="GF46" s="43">
        <v>1.5711154136837324</v>
      </c>
      <c r="GG46" s="59" t="s">
        <v>36</v>
      </c>
      <c r="GH46" s="61" t="s">
        <v>36</v>
      </c>
      <c r="GI46" s="36">
        <v>3511.4381088376977</v>
      </c>
      <c r="GJ46" s="43">
        <v>1.5711154136837324</v>
      </c>
      <c r="GK46" s="59" t="s">
        <v>36</v>
      </c>
      <c r="GL46" s="62" t="s">
        <v>36</v>
      </c>
      <c r="GM46" s="36">
        <v>0</v>
      </c>
      <c r="GN46" s="43" t="s">
        <v>88</v>
      </c>
      <c r="GO46" s="59" t="s">
        <v>36</v>
      </c>
      <c r="GP46" s="61" t="s">
        <v>36</v>
      </c>
      <c r="GQ46" s="36"/>
      <c r="GR46" s="44"/>
      <c r="GS46" s="44"/>
      <c r="GT46" s="44"/>
      <c r="GU46" s="44"/>
      <c r="GV46" s="44"/>
      <c r="GW46" s="44"/>
    </row>
    <row r="47" spans="1:205">
      <c r="A47" s="424"/>
      <c r="B47" s="45" t="s">
        <v>52</v>
      </c>
      <c r="C47" s="102" t="str">
        <f>D47</f>
        <v>x</v>
      </c>
      <c r="D47" s="102" t="s">
        <v>36</v>
      </c>
      <c r="E47" s="102" t="s">
        <v>36</v>
      </c>
      <c r="F47" s="102" t="s">
        <v>36</v>
      </c>
      <c r="G47" s="55" t="s">
        <v>36</v>
      </c>
      <c r="H47" s="55" t="s">
        <v>36</v>
      </c>
      <c r="I47" s="48">
        <f t="shared" si="2"/>
        <v>66239.78</v>
      </c>
      <c r="J47" s="48">
        <v>66239.78</v>
      </c>
      <c r="K47" s="55" t="s">
        <v>36</v>
      </c>
      <c r="L47" s="55" t="s">
        <v>36</v>
      </c>
      <c r="M47" s="48">
        <f>I47-Q47</f>
        <v>66239.78</v>
      </c>
      <c r="N47" s="48">
        <f>J47-R47</f>
        <v>66239.78</v>
      </c>
      <c r="O47" s="55" t="s">
        <v>36</v>
      </c>
      <c r="P47" s="55" t="s">
        <v>36</v>
      </c>
      <c r="Q47" s="48"/>
      <c r="R47" s="48"/>
      <c r="S47" s="55" t="s">
        <v>36</v>
      </c>
      <c r="T47" s="55" t="s">
        <v>36</v>
      </c>
      <c r="U47" s="55" t="s">
        <v>36</v>
      </c>
      <c r="V47" s="55" t="s">
        <v>36</v>
      </c>
      <c r="W47" s="55" t="s">
        <v>36</v>
      </c>
      <c r="X47" s="55" t="s">
        <v>36</v>
      </c>
      <c r="Y47" s="48">
        <f>Z47</f>
        <v>61098.279999999992</v>
      </c>
      <c r="Z47" s="48">
        <f>[1]Fakts_Izd!Z65</f>
        <v>61098.279999999992</v>
      </c>
      <c r="AA47" s="55" t="s">
        <v>36</v>
      </c>
      <c r="AB47" s="55" t="s">
        <v>36</v>
      </c>
      <c r="AC47" s="48">
        <f>Y47-AG47</f>
        <v>61098.279999999992</v>
      </c>
      <c r="AD47" s="48">
        <f>Z47-AH47</f>
        <v>61098.279999999992</v>
      </c>
      <c r="AE47" s="55" t="s">
        <v>36</v>
      </c>
      <c r="AF47" s="55" t="s">
        <v>36</v>
      </c>
      <c r="AG47" s="48">
        <f>SUMIFS([1]SP2024!$BO$7:$BO$148,[1]SP2024!$J$7:$J$148,$B46,[1]SP2024!$K$7:$K$148,$B47)</f>
        <v>0</v>
      </c>
      <c r="AH47" s="48"/>
      <c r="AI47" s="55" t="s">
        <v>36</v>
      </c>
      <c r="AJ47" s="55" t="s">
        <v>36</v>
      </c>
      <c r="AK47" s="48">
        <f t="shared" si="4"/>
        <v>0</v>
      </c>
      <c r="AL47" s="48">
        <f t="shared" si="4"/>
        <v>0</v>
      </c>
      <c r="AM47" s="102" t="str">
        <f>AN47</f>
        <v>x</v>
      </c>
      <c r="AN47" s="102" t="s">
        <v>36</v>
      </c>
      <c r="AO47" s="102" t="s">
        <v>36</v>
      </c>
      <c r="AP47" s="102" t="s">
        <v>36</v>
      </c>
      <c r="AQ47" s="55" t="s">
        <v>36</v>
      </c>
      <c r="AR47" s="55" t="s">
        <v>36</v>
      </c>
      <c r="AS47" s="48">
        <f>AT47</f>
        <v>55948.09</v>
      </c>
      <c r="AT47" s="48">
        <v>55948.09</v>
      </c>
      <c r="AU47" s="55" t="s">
        <v>36</v>
      </c>
      <c r="AV47" s="55" t="s">
        <v>36</v>
      </c>
      <c r="AW47" s="48">
        <f>AS47-BA47</f>
        <v>55948.09</v>
      </c>
      <c r="AX47" s="48">
        <f>AT47-BB47</f>
        <v>55948.09</v>
      </c>
      <c r="AY47" s="55" t="s">
        <v>36</v>
      </c>
      <c r="AZ47" s="55" t="s">
        <v>36</v>
      </c>
      <c r="BA47" s="48"/>
      <c r="BB47" s="48"/>
      <c r="BC47" s="55" t="s">
        <v>36</v>
      </c>
      <c r="BD47" s="55" t="s">
        <v>36</v>
      </c>
      <c r="BE47" s="55" t="s">
        <v>36</v>
      </c>
      <c r="BF47" s="55" t="s">
        <v>36</v>
      </c>
      <c r="BG47" s="55" t="s">
        <v>36</v>
      </c>
      <c r="BH47" s="55" t="s">
        <v>36</v>
      </c>
      <c r="BI47" s="48">
        <f>BJ47</f>
        <v>55187.33</v>
      </c>
      <c r="BJ47" s="48">
        <f>[1]Fakts_Izd!AA65</f>
        <v>55187.33</v>
      </c>
      <c r="BK47" s="55" t="s">
        <v>36</v>
      </c>
      <c r="BL47" s="55" t="s">
        <v>36</v>
      </c>
      <c r="BM47" s="48">
        <f>BI47-BQ47</f>
        <v>55187.33</v>
      </c>
      <c r="BN47" s="48">
        <f>BJ47-BR47</f>
        <v>55187.33</v>
      </c>
      <c r="BO47" s="55" t="s">
        <v>36</v>
      </c>
      <c r="BP47" s="55" t="s">
        <v>36</v>
      </c>
      <c r="BQ47" s="48">
        <f>SUMIFS([1]SP2024!$BP$7:$BP$148,[1]SP2024!$J$7:$J$148,$B46,[1]SP2024!$K$7:$K$148,$B47)</f>
        <v>0</v>
      </c>
      <c r="BR47" s="55"/>
      <c r="BS47" s="55" t="s">
        <v>36</v>
      </c>
      <c r="BT47" s="55" t="s">
        <v>36</v>
      </c>
      <c r="BU47" s="48">
        <f t="shared" si="0"/>
        <v>0</v>
      </c>
      <c r="BV47" s="103">
        <f t="shared" si="0"/>
        <v>0</v>
      </c>
      <c r="BW47" s="102" t="s">
        <v>36</v>
      </c>
      <c r="BX47" s="102" t="s">
        <v>36</v>
      </c>
      <c r="BY47" s="102" t="s">
        <v>36</v>
      </c>
      <c r="BZ47" s="102" t="s">
        <v>36</v>
      </c>
      <c r="CA47" s="55" t="s">
        <v>36</v>
      </c>
      <c r="CB47" s="55" t="s">
        <v>36</v>
      </c>
      <c r="CC47" s="48">
        <f>CS47*'[2]Pielikums nr. 1.'!$EY$14</f>
        <v>50655.910945581199</v>
      </c>
      <c r="CD47" s="48">
        <v>44670.820000000007</v>
      </c>
      <c r="CE47" s="55" t="s">
        <v>36</v>
      </c>
      <c r="CF47" s="55" t="s">
        <v>36</v>
      </c>
      <c r="CG47" s="48">
        <f>CC47-CK47</f>
        <v>50655.910945581199</v>
      </c>
      <c r="CH47" s="48">
        <f>CD47-CL47</f>
        <v>44670.820000000007</v>
      </c>
      <c r="CI47" s="55" t="s">
        <v>36</v>
      </c>
      <c r="CJ47" s="55" t="s">
        <v>36</v>
      </c>
      <c r="CK47" s="48"/>
      <c r="CL47" s="48"/>
      <c r="CM47" s="55" t="s">
        <v>36</v>
      </c>
      <c r="CN47" s="55" t="s">
        <v>36</v>
      </c>
      <c r="CO47" s="55" t="s">
        <v>36</v>
      </c>
      <c r="CP47" s="55" t="s">
        <v>36</v>
      </c>
      <c r="CQ47" s="55" t="s">
        <v>36</v>
      </c>
      <c r="CR47" s="55" t="s">
        <v>36</v>
      </c>
      <c r="CS47" s="48">
        <f>SUMIFS([1]SP2024!$BS$7:$BS$148,[1]SP2024!$L$7:$L$148,$B46,[1]SP2024!$M$7:$M$148,$B47)</f>
        <v>50857.2</v>
      </c>
      <c r="CT47" s="48">
        <f>[1]Fakts_Izd!AB65</f>
        <v>48881.48</v>
      </c>
      <c r="CU47" s="55" t="s">
        <v>36</v>
      </c>
      <c r="CV47" s="55" t="s">
        <v>36</v>
      </c>
      <c r="CW47" s="48">
        <f>CS47-DA47</f>
        <v>50857.2</v>
      </c>
      <c r="CX47" s="48">
        <f>CT47-DB47</f>
        <v>48881.48</v>
      </c>
      <c r="CY47" s="55" t="s">
        <v>36</v>
      </c>
      <c r="CZ47" s="55" t="s">
        <v>36</v>
      </c>
      <c r="DA47" s="48">
        <f>SUMIFS([1]SP2024!$BQ$7:$BQ$148,[1]SP2024!$J$7:$J$148,$B46,[1]SP2024!$K$7:$K$148,$B47)</f>
        <v>0</v>
      </c>
      <c r="DB47" s="48"/>
      <c r="DC47" s="55" t="s">
        <v>36</v>
      </c>
      <c r="DD47" s="55" t="s">
        <v>36</v>
      </c>
      <c r="DE47" s="48">
        <f t="shared" si="1"/>
        <v>0</v>
      </c>
      <c r="DF47" s="48">
        <f t="shared" si="1"/>
        <v>0</v>
      </c>
      <c r="DG47" s="102" t="s">
        <v>36</v>
      </c>
      <c r="DH47" s="102" t="s">
        <v>36</v>
      </c>
      <c r="DI47" s="102" t="s">
        <v>36</v>
      </c>
      <c r="DJ47" s="102" t="s">
        <v>36</v>
      </c>
      <c r="DK47" s="55" t="s">
        <v>36</v>
      </c>
      <c r="DL47" s="55" t="s">
        <v>36</v>
      </c>
      <c r="DM47" s="48">
        <v>50655.910945581199</v>
      </c>
      <c r="DN47" s="48">
        <v>60152.440000000119</v>
      </c>
      <c r="DO47" s="55" t="s">
        <v>36</v>
      </c>
      <c r="DP47" s="55" t="s">
        <v>36</v>
      </c>
      <c r="DQ47" s="48">
        <v>50655.910945581199</v>
      </c>
      <c r="DR47" s="48">
        <v>60152.440000000119</v>
      </c>
      <c r="DS47" s="55" t="s">
        <v>36</v>
      </c>
      <c r="DT47" s="55" t="s">
        <v>36</v>
      </c>
      <c r="DU47" s="48"/>
      <c r="DV47" s="48"/>
      <c r="DW47" s="55" t="s">
        <v>36</v>
      </c>
      <c r="DX47" s="55" t="s">
        <v>36</v>
      </c>
      <c r="DY47" s="55" t="s">
        <v>36</v>
      </c>
      <c r="DZ47" s="55" t="s">
        <v>36</v>
      </c>
      <c r="EA47" s="55" t="s">
        <v>36</v>
      </c>
      <c r="EB47" s="55" t="s">
        <v>36</v>
      </c>
      <c r="EC47" s="48">
        <v>50857.2</v>
      </c>
      <c r="ED47" s="48">
        <v>56651.519999999997</v>
      </c>
      <c r="EE47" s="55" t="s">
        <v>36</v>
      </c>
      <c r="EF47" s="55" t="s">
        <v>36</v>
      </c>
      <c r="EG47" s="48">
        <v>50857.2</v>
      </c>
      <c r="EH47" s="48">
        <v>56651.519999999997</v>
      </c>
      <c r="EI47" s="55" t="s">
        <v>36</v>
      </c>
      <c r="EJ47" s="55" t="s">
        <v>36</v>
      </c>
      <c r="EK47" s="48">
        <v>0</v>
      </c>
      <c r="EL47" s="55"/>
      <c r="EM47" s="55" t="s">
        <v>36</v>
      </c>
      <c r="EN47" s="55" t="s">
        <v>36</v>
      </c>
      <c r="EO47" s="48">
        <v>0</v>
      </c>
      <c r="EP47" s="48">
        <v>0</v>
      </c>
      <c r="EQ47" s="102" t="s">
        <v>36</v>
      </c>
      <c r="ER47" s="102" t="s">
        <v>36</v>
      </c>
      <c r="ES47" s="102" t="s">
        <v>36</v>
      </c>
      <c r="ET47" s="102" t="s">
        <v>36</v>
      </c>
      <c r="EU47" s="55" t="s">
        <v>36</v>
      </c>
      <c r="EV47" s="55" t="s">
        <v>36</v>
      </c>
      <c r="EW47" s="48">
        <v>223499.69189116242</v>
      </c>
      <c r="EX47" s="48">
        <v>227011.13000000012</v>
      </c>
      <c r="EY47" s="55" t="s">
        <v>36</v>
      </c>
      <c r="EZ47" s="55" t="s">
        <v>36</v>
      </c>
      <c r="FA47" s="48">
        <v>223499.69189116242</v>
      </c>
      <c r="FB47" s="48">
        <v>227011.13000000012</v>
      </c>
      <c r="FC47" s="55" t="s">
        <v>36</v>
      </c>
      <c r="FD47" s="55" t="s">
        <v>36</v>
      </c>
      <c r="FE47" s="48">
        <v>0</v>
      </c>
      <c r="FF47" s="48">
        <v>0</v>
      </c>
      <c r="FG47" s="55" t="s">
        <v>36</v>
      </c>
      <c r="FH47" s="55" t="s">
        <v>36</v>
      </c>
      <c r="FI47" s="55" t="s">
        <v>36</v>
      </c>
      <c r="FJ47" s="55" t="s">
        <v>36</v>
      </c>
      <c r="FK47" s="55" t="s">
        <v>36</v>
      </c>
      <c r="FL47" s="55" t="s">
        <v>36</v>
      </c>
      <c r="FM47" s="48">
        <v>218000.01</v>
      </c>
      <c r="FN47" s="48">
        <v>221818.61</v>
      </c>
      <c r="FO47" s="55" t="s">
        <v>36</v>
      </c>
      <c r="FP47" s="55" t="s">
        <v>36</v>
      </c>
      <c r="FQ47" s="48">
        <v>218000.01</v>
      </c>
      <c r="FR47" s="48">
        <v>221818.61</v>
      </c>
      <c r="FS47" s="55" t="s">
        <v>36</v>
      </c>
      <c r="FT47" s="55" t="s">
        <v>36</v>
      </c>
      <c r="FU47" s="48">
        <v>0</v>
      </c>
      <c r="FV47" s="48">
        <v>0</v>
      </c>
      <c r="FW47" s="55" t="s">
        <v>36</v>
      </c>
      <c r="FX47" s="55" t="s">
        <v>36</v>
      </c>
      <c r="FY47" s="48">
        <v>0</v>
      </c>
      <c r="FZ47" s="48">
        <v>0</v>
      </c>
      <c r="GA47" s="104" t="s">
        <v>36</v>
      </c>
      <c r="GB47" s="102" t="s">
        <v>88</v>
      </c>
      <c r="GC47" s="55" t="s">
        <v>36</v>
      </c>
      <c r="GD47" s="105" t="s">
        <v>36</v>
      </c>
      <c r="GE47" s="102">
        <v>3511.4381088376977</v>
      </c>
      <c r="GF47" s="105">
        <v>1.5711154136837324</v>
      </c>
      <c r="GG47" s="55" t="s">
        <v>36</v>
      </c>
      <c r="GH47" s="57" t="s">
        <v>36</v>
      </c>
      <c r="GI47" s="102">
        <v>3511.4381088376977</v>
      </c>
      <c r="GJ47" s="105">
        <v>1.5711154136837324</v>
      </c>
      <c r="GK47" s="55" t="s">
        <v>36</v>
      </c>
      <c r="GL47" s="58" t="s">
        <v>36</v>
      </c>
      <c r="GM47" s="102">
        <v>0</v>
      </c>
      <c r="GN47" s="105" t="s">
        <v>88</v>
      </c>
      <c r="GO47" s="55" t="s">
        <v>36</v>
      </c>
      <c r="GP47" s="57" t="s">
        <v>36</v>
      </c>
      <c r="GQ47" s="102"/>
      <c r="GR47" s="44"/>
      <c r="GS47" s="44"/>
      <c r="GT47" s="44"/>
      <c r="GU47" s="44"/>
      <c r="GV47" s="44"/>
      <c r="GW47" s="44"/>
    </row>
    <row r="48" spans="1:205" ht="12.75" customHeight="1">
      <c r="A48" s="425"/>
      <c r="B48" s="106" t="s">
        <v>53</v>
      </c>
      <c r="C48" s="78">
        <f>C49+C50</f>
        <v>1992</v>
      </c>
      <c r="D48" s="78">
        <f>D49+D50</f>
        <v>1992</v>
      </c>
      <c r="E48" s="74">
        <f>IFERROR(C48/$C$76*100,0)</f>
        <v>45.604395604395606</v>
      </c>
      <c r="F48" s="74">
        <f t="shared" ref="F48" si="363">IFERROR(D48/$D$64*100,0)</f>
        <v>45.604395604395606</v>
      </c>
      <c r="G48" s="75" t="s">
        <v>36</v>
      </c>
      <c r="H48" s="107" t="s">
        <v>36</v>
      </c>
      <c r="I48" s="76">
        <f t="shared" si="2"/>
        <v>3339519.3299999991</v>
      </c>
      <c r="J48" s="76">
        <f>J49+J50</f>
        <v>3339519.3299999991</v>
      </c>
      <c r="K48" s="75" t="s">
        <v>36</v>
      </c>
      <c r="L48" s="107" t="s">
        <v>36</v>
      </c>
      <c r="M48" s="76">
        <f>M49+M50</f>
        <v>3275524.3099999996</v>
      </c>
      <c r="N48" s="76">
        <f>N49+N50</f>
        <v>3275524.3099999996</v>
      </c>
      <c r="O48" s="75" t="s">
        <v>36</v>
      </c>
      <c r="P48" s="107" t="s">
        <v>36</v>
      </c>
      <c r="Q48" s="76">
        <f>Q49+Q50</f>
        <v>63995.020000000026</v>
      </c>
      <c r="R48" s="76">
        <f>R49+R50</f>
        <v>63995.020000000026</v>
      </c>
      <c r="S48" s="75" t="s">
        <v>36</v>
      </c>
      <c r="T48" s="107" t="s">
        <v>36</v>
      </c>
      <c r="U48" s="108">
        <f t="shared" ref="U48:V56" si="364">IFERROR(ROUND(I48/C48,2),0)</f>
        <v>1676.47</v>
      </c>
      <c r="V48" s="108">
        <f t="shared" si="364"/>
        <v>1676.47</v>
      </c>
      <c r="W48" s="75" t="s">
        <v>36</v>
      </c>
      <c r="X48" s="107" t="s">
        <v>36</v>
      </c>
      <c r="Y48" s="76">
        <f t="shared" ref="Y48:Z48" si="365">Y49+Y50</f>
        <v>3926458.3600000003</v>
      </c>
      <c r="Z48" s="76">
        <f t="shared" si="365"/>
        <v>3926458.3600000003</v>
      </c>
      <c r="AA48" s="75" t="s">
        <v>36</v>
      </c>
      <c r="AB48" s="107" t="s">
        <v>36</v>
      </c>
      <c r="AC48" s="76">
        <f>AC49+AC50</f>
        <v>3797497.1700000004</v>
      </c>
      <c r="AD48" s="76">
        <f t="shared" ref="AD48:AH48" si="366">AD49+AD50</f>
        <v>3797497.1700000004</v>
      </c>
      <c r="AE48" s="75" t="s">
        <v>36</v>
      </c>
      <c r="AF48" s="107" t="s">
        <v>36</v>
      </c>
      <c r="AG48" s="76">
        <f t="shared" si="366"/>
        <v>128961.19</v>
      </c>
      <c r="AH48" s="76">
        <f t="shared" si="366"/>
        <v>128961.19</v>
      </c>
      <c r="AI48" s="75" t="s">
        <v>36</v>
      </c>
      <c r="AJ48" s="107" t="s">
        <v>36</v>
      </c>
      <c r="AK48" s="76">
        <f t="shared" si="4"/>
        <v>1971.1136345381528</v>
      </c>
      <c r="AL48" s="76">
        <f t="shared" si="4"/>
        <v>1971.1136345381528</v>
      </c>
      <c r="AM48" s="78">
        <f>AM49+AM50</f>
        <v>1956.3</v>
      </c>
      <c r="AN48" s="78">
        <f>AN49+AN50</f>
        <v>1956.3</v>
      </c>
      <c r="AO48" s="74">
        <f t="shared" ref="AO48" si="367">IFERROR(AM48/$AM$64*100,0)</f>
        <v>44.787087912087905</v>
      </c>
      <c r="AP48" s="74">
        <f t="shared" ref="AP48" si="368">IFERROR(AN48/$AN$64*100,0)</f>
        <v>44.787087912087905</v>
      </c>
      <c r="AQ48" s="75" t="s">
        <v>36</v>
      </c>
      <c r="AR48" s="107" t="s">
        <v>36</v>
      </c>
      <c r="AS48" s="76">
        <f>AS49+AS50</f>
        <v>4302169.8</v>
      </c>
      <c r="AT48" s="76">
        <f>AT49+AT50</f>
        <v>4302169.8</v>
      </c>
      <c r="AU48" s="75" t="s">
        <v>36</v>
      </c>
      <c r="AV48" s="107" t="s">
        <v>36</v>
      </c>
      <c r="AW48" s="76">
        <f>AW49+AW50</f>
        <v>4234507.99</v>
      </c>
      <c r="AX48" s="76">
        <f>AX49+AX50</f>
        <v>4234507.99</v>
      </c>
      <c r="AY48" s="75" t="s">
        <v>36</v>
      </c>
      <c r="AZ48" s="107" t="s">
        <v>36</v>
      </c>
      <c r="BA48" s="76">
        <f>BA49+BA50</f>
        <v>67661.809999999983</v>
      </c>
      <c r="BB48" s="76">
        <f>BB49+BB50</f>
        <v>67661.809999999983</v>
      </c>
      <c r="BC48" s="75" t="s">
        <v>36</v>
      </c>
      <c r="BD48" s="107" t="s">
        <v>36</v>
      </c>
      <c r="BE48" s="108">
        <f t="shared" ref="BE48:BF56" si="369">IFERROR(ROUND(AS48/AM48,2),0)</f>
        <v>2199.14</v>
      </c>
      <c r="BF48" s="108">
        <f t="shared" si="369"/>
        <v>2199.14</v>
      </c>
      <c r="BG48" s="75" t="s">
        <v>36</v>
      </c>
      <c r="BH48" s="107" t="s">
        <v>36</v>
      </c>
      <c r="BI48" s="76">
        <f t="shared" ref="BI48:BJ48" si="370">BI49+BI50</f>
        <v>3927645.4000000004</v>
      </c>
      <c r="BJ48" s="76">
        <f t="shared" si="370"/>
        <v>3927645.4000000004</v>
      </c>
      <c r="BK48" s="75" t="s">
        <v>36</v>
      </c>
      <c r="BL48" s="107" t="s">
        <v>36</v>
      </c>
      <c r="BM48" s="76">
        <f>BM49+BM50</f>
        <v>3904022.5600000005</v>
      </c>
      <c r="BN48" s="76">
        <f t="shared" ref="BN48" si="371">BN49+BN50</f>
        <v>3904022.5600000005</v>
      </c>
      <c r="BO48" s="75" t="s">
        <v>36</v>
      </c>
      <c r="BP48" s="107" t="s">
        <v>36</v>
      </c>
      <c r="BQ48" s="76">
        <f t="shared" ref="BQ48:BR48" si="372">BQ49+BQ50</f>
        <v>23622.839999999997</v>
      </c>
      <c r="BR48" s="76">
        <f t="shared" si="372"/>
        <v>23622.839999999997</v>
      </c>
      <c r="BS48" s="75" t="s">
        <v>36</v>
      </c>
      <c r="BT48" s="107" t="s">
        <v>36</v>
      </c>
      <c r="BU48" s="76">
        <f t="shared" si="0"/>
        <v>2007.6907427286205</v>
      </c>
      <c r="BV48" s="77">
        <f t="shared" si="0"/>
        <v>2007.6907427286205</v>
      </c>
      <c r="BW48" s="78">
        <f>BW49+BW50</f>
        <v>1773.1833333333332</v>
      </c>
      <c r="BX48" s="78">
        <f>BX49+BX50</f>
        <v>1986.9999999999998</v>
      </c>
      <c r="BY48" s="74">
        <f t="shared" ref="BY48" si="373">IFERROR(BW48/$BW$64*100,0)</f>
        <v>40.153608091787433</v>
      </c>
      <c r="BZ48" s="74">
        <f>IFERROR(BX48/$BX$64*100,0)</f>
        <v>44.995434220219096</v>
      </c>
      <c r="CA48" s="75" t="s">
        <v>36</v>
      </c>
      <c r="CB48" s="107" t="s">
        <v>36</v>
      </c>
      <c r="CC48" s="76">
        <f>CC49+CC50</f>
        <v>2938481.7109021801</v>
      </c>
      <c r="CD48" s="76">
        <f>CD49+CD50</f>
        <v>3368274.8200000003</v>
      </c>
      <c r="CE48" s="75" t="s">
        <v>36</v>
      </c>
      <c r="CF48" s="107" t="s">
        <v>36</v>
      </c>
      <c r="CG48" s="76">
        <f>CG49+CG50</f>
        <v>2851481.7109021801</v>
      </c>
      <c r="CH48" s="76">
        <f>CH49+CH50</f>
        <v>3293760.0700000008</v>
      </c>
      <c r="CI48" s="75" t="s">
        <v>36</v>
      </c>
      <c r="CJ48" s="107" t="s">
        <v>36</v>
      </c>
      <c r="CK48" s="76">
        <f>CK49+CK50</f>
        <v>87000</v>
      </c>
      <c r="CL48" s="76">
        <f>CL49+CL50</f>
        <v>74514.75</v>
      </c>
      <c r="CM48" s="75" t="s">
        <v>36</v>
      </c>
      <c r="CN48" s="107" t="s">
        <v>36</v>
      </c>
      <c r="CO48" s="108">
        <f t="shared" ref="CO48:CP56" si="374">IFERROR(ROUND(CC48/BW48,2),0)</f>
        <v>1657.18</v>
      </c>
      <c r="CP48" s="108">
        <f t="shared" si="374"/>
        <v>1695.16</v>
      </c>
      <c r="CQ48" s="75" t="s">
        <v>36</v>
      </c>
      <c r="CR48" s="107" t="s">
        <v>36</v>
      </c>
      <c r="CS48" s="76">
        <f t="shared" ref="CS48:CT48" si="375">CS49+CS50</f>
        <v>2950158.22</v>
      </c>
      <c r="CT48" s="76">
        <f t="shared" si="375"/>
        <v>2879497.92</v>
      </c>
      <c r="CU48" s="75" t="s">
        <v>36</v>
      </c>
      <c r="CV48" s="107" t="s">
        <v>36</v>
      </c>
      <c r="CW48" s="76">
        <f>CW49+CW50</f>
        <v>2859858.22</v>
      </c>
      <c r="CX48" s="76">
        <f>CX49+CX50</f>
        <v>2784767.8200000003</v>
      </c>
      <c r="CY48" s="75" t="s">
        <v>36</v>
      </c>
      <c r="CZ48" s="107" t="s">
        <v>36</v>
      </c>
      <c r="DA48" s="76">
        <f t="shared" ref="DA48:DB48" si="376">DA49+DA50</f>
        <v>90300</v>
      </c>
      <c r="DB48" s="76">
        <f t="shared" si="376"/>
        <v>94730.1</v>
      </c>
      <c r="DC48" s="75" t="s">
        <v>36</v>
      </c>
      <c r="DD48" s="107" t="s">
        <v>36</v>
      </c>
      <c r="DE48" s="76">
        <f t="shared" si="1"/>
        <v>1663.7637882903632</v>
      </c>
      <c r="DF48" s="76">
        <f t="shared" si="1"/>
        <v>1449.1685556114746</v>
      </c>
      <c r="DG48" s="78">
        <v>1641.9250000000002</v>
      </c>
      <c r="DH48" s="78">
        <v>2180.1999999999998</v>
      </c>
      <c r="DI48" s="74">
        <v>37.181272644927532</v>
      </c>
      <c r="DJ48" s="74">
        <v>49.370471014492765</v>
      </c>
      <c r="DK48" s="75" t="s">
        <v>36</v>
      </c>
      <c r="DL48" s="107" t="s">
        <v>36</v>
      </c>
      <c r="DM48" s="76">
        <v>4149326.4032557961</v>
      </c>
      <c r="DN48" s="76">
        <v>4196950.6899999995</v>
      </c>
      <c r="DO48" s="75" t="s">
        <v>36</v>
      </c>
      <c r="DP48" s="107" t="s">
        <v>36</v>
      </c>
      <c r="DQ48" s="76">
        <v>3989326.4032557961</v>
      </c>
      <c r="DR48" s="76">
        <v>4050581.8499999992</v>
      </c>
      <c r="DS48" s="75" t="s">
        <v>36</v>
      </c>
      <c r="DT48" s="107" t="s">
        <v>36</v>
      </c>
      <c r="DU48" s="76">
        <v>160000</v>
      </c>
      <c r="DV48" s="76">
        <v>146368.84000000003</v>
      </c>
      <c r="DW48" s="75" t="s">
        <v>36</v>
      </c>
      <c r="DX48" s="107" t="s">
        <v>36</v>
      </c>
      <c r="DY48" s="108">
        <v>2527.11</v>
      </c>
      <c r="DZ48" s="108">
        <v>1925.03</v>
      </c>
      <c r="EA48" s="75" t="s">
        <v>36</v>
      </c>
      <c r="EB48" s="107" t="s">
        <v>36</v>
      </c>
      <c r="EC48" s="76">
        <v>4165814.3900000006</v>
      </c>
      <c r="ED48" s="76">
        <v>4401425.7499999991</v>
      </c>
      <c r="EE48" s="75" t="s">
        <v>36</v>
      </c>
      <c r="EF48" s="107" t="s">
        <v>36</v>
      </c>
      <c r="EG48" s="76">
        <v>4027314.3900000006</v>
      </c>
      <c r="EH48" s="76">
        <v>4232107.7499999991</v>
      </c>
      <c r="EI48" s="75" t="s">
        <v>36</v>
      </c>
      <c r="EJ48" s="107" t="s">
        <v>36</v>
      </c>
      <c r="EK48" s="76">
        <v>138500</v>
      </c>
      <c r="EL48" s="76">
        <v>169318</v>
      </c>
      <c r="EM48" s="75" t="s">
        <v>36</v>
      </c>
      <c r="EN48" s="107" t="s">
        <v>36</v>
      </c>
      <c r="EO48" s="76">
        <v>2537.1526653166252</v>
      </c>
      <c r="EP48" s="76">
        <v>2018.8174250068798</v>
      </c>
      <c r="EQ48" s="74">
        <v>7363.4083333333338</v>
      </c>
      <c r="ER48" s="74">
        <v>8115.5</v>
      </c>
      <c r="ES48" s="74">
        <v>41.913754174256226</v>
      </c>
      <c r="ET48" s="74">
        <v>46.194776479139875</v>
      </c>
      <c r="EU48" s="75" t="s">
        <v>36</v>
      </c>
      <c r="EV48" s="107" t="s">
        <v>36</v>
      </c>
      <c r="EW48" s="108">
        <v>14729497.244157977</v>
      </c>
      <c r="EX48" s="108">
        <v>15206914.640000001</v>
      </c>
      <c r="EY48" s="75" t="s">
        <v>36</v>
      </c>
      <c r="EZ48" s="107" t="s">
        <v>36</v>
      </c>
      <c r="FA48" s="108">
        <v>14350840.414157975</v>
      </c>
      <c r="FB48" s="108">
        <v>14854374.219999999</v>
      </c>
      <c r="FC48" s="75" t="s">
        <v>36</v>
      </c>
      <c r="FD48" s="107" t="s">
        <v>36</v>
      </c>
      <c r="FE48" s="108">
        <v>378656.83</v>
      </c>
      <c r="FF48" s="108">
        <v>352540.42000000004</v>
      </c>
      <c r="FG48" s="75" t="s">
        <v>36</v>
      </c>
      <c r="FH48" s="107" t="s">
        <v>36</v>
      </c>
      <c r="FI48" s="108">
        <v>2000.36</v>
      </c>
      <c r="FJ48" s="108">
        <v>1873.81</v>
      </c>
      <c r="FK48" s="75" t="s">
        <v>36</v>
      </c>
      <c r="FL48" s="107" t="s">
        <v>36</v>
      </c>
      <c r="FM48" s="108">
        <v>14970076.370000001</v>
      </c>
      <c r="FN48" s="108">
        <v>15135027.429999998</v>
      </c>
      <c r="FO48" s="75" t="s">
        <v>36</v>
      </c>
      <c r="FP48" s="107" t="s">
        <v>36</v>
      </c>
      <c r="FQ48" s="108">
        <v>14588692.34</v>
      </c>
      <c r="FR48" s="108">
        <v>14718395.300000003</v>
      </c>
      <c r="FS48" s="75" t="s">
        <v>36</v>
      </c>
      <c r="FT48" s="107" t="s">
        <v>36</v>
      </c>
      <c r="FU48" s="108">
        <v>381384.02999999997</v>
      </c>
      <c r="FV48" s="108">
        <v>416632.12999999995</v>
      </c>
      <c r="FW48" s="75" t="s">
        <v>36</v>
      </c>
      <c r="FX48" s="107" t="s">
        <v>36</v>
      </c>
      <c r="FY48" s="76">
        <v>2033.0362913913282</v>
      </c>
      <c r="FZ48" s="76">
        <v>1864.953167395724</v>
      </c>
      <c r="GA48" s="78">
        <v>752.09166666666624</v>
      </c>
      <c r="GB48" s="74">
        <v>10.213906829830833</v>
      </c>
      <c r="GC48" s="75" t="s">
        <v>36</v>
      </c>
      <c r="GD48" s="74" t="s">
        <v>36</v>
      </c>
      <c r="GE48" s="79">
        <v>477417.39584202319</v>
      </c>
      <c r="GF48" s="74">
        <v>3.2412334781581009</v>
      </c>
      <c r="GG48" s="75" t="s">
        <v>36</v>
      </c>
      <c r="GH48" s="109" t="s">
        <v>36</v>
      </c>
      <c r="GI48" s="79">
        <v>503533.80584202334</v>
      </c>
      <c r="GJ48" s="74">
        <v>3.5087408911972595</v>
      </c>
      <c r="GK48" s="75" t="s">
        <v>36</v>
      </c>
      <c r="GL48" s="110" t="s">
        <v>36</v>
      </c>
      <c r="GM48" s="79">
        <v>-26116.409999999974</v>
      </c>
      <c r="GN48" s="74">
        <v>-6.8971184277859088</v>
      </c>
      <c r="GO48" s="75" t="s">
        <v>36</v>
      </c>
      <c r="GP48" s="109" t="s">
        <v>36</v>
      </c>
      <c r="GQ48" s="79">
        <v>-126.54999999999995</v>
      </c>
      <c r="GR48" s="44"/>
      <c r="GS48" s="44"/>
      <c r="GT48" s="44"/>
      <c r="GU48" s="44"/>
      <c r="GV48" s="44"/>
      <c r="GW48" s="44"/>
    </row>
    <row r="49" spans="1:205" ht="12.75" customHeight="1">
      <c r="A49" s="82"/>
      <c r="B49" s="83" t="s">
        <v>38</v>
      </c>
      <c r="C49" s="84">
        <f>C41+C44</f>
        <v>1279</v>
      </c>
      <c r="D49" s="84">
        <f>D41+D44</f>
        <v>1279</v>
      </c>
      <c r="E49" s="84">
        <f>IFERROR(C49/$C$77*100,0)</f>
        <v>58.562271062271066</v>
      </c>
      <c r="F49" s="84">
        <f t="shared" ref="F49" si="377">IFERROR(D49/$D$65*100,0)</f>
        <v>58.562271062271066</v>
      </c>
      <c r="G49" s="75" t="s">
        <v>36</v>
      </c>
      <c r="H49" s="75" t="s">
        <v>36</v>
      </c>
      <c r="I49" s="76">
        <f t="shared" si="2"/>
        <v>2963719.4548892723</v>
      </c>
      <c r="J49" s="76">
        <f>J41+J44+J47</f>
        <v>2963719.4548892723</v>
      </c>
      <c r="K49" s="75" t="s">
        <v>36</v>
      </c>
      <c r="L49" s="75" t="s">
        <v>36</v>
      </c>
      <c r="M49" s="76">
        <f>M41+M44+M47</f>
        <v>2899724.4348892723</v>
      </c>
      <c r="N49" s="76">
        <f>N41+N44+N47</f>
        <v>2899724.4348892723</v>
      </c>
      <c r="O49" s="75" t="s">
        <v>36</v>
      </c>
      <c r="P49" s="75" t="s">
        <v>36</v>
      </c>
      <c r="Q49" s="76">
        <f>Q41+Q44+Q47</f>
        <v>63995.020000000026</v>
      </c>
      <c r="R49" s="76">
        <f>R41+R44+R47</f>
        <v>63995.020000000026</v>
      </c>
      <c r="S49" s="75" t="s">
        <v>36</v>
      </c>
      <c r="T49" s="75" t="s">
        <v>36</v>
      </c>
      <c r="U49" s="76">
        <f t="shared" si="364"/>
        <v>2317.2199999999998</v>
      </c>
      <c r="V49" s="76">
        <f t="shared" si="364"/>
        <v>2317.2199999999998</v>
      </c>
      <c r="W49" s="75" t="s">
        <v>36</v>
      </c>
      <c r="X49" s="75" t="s">
        <v>36</v>
      </c>
      <c r="Y49" s="76">
        <f t="shared" ref="Y49:Z49" si="378">Y41+Y44+Y47</f>
        <v>2997144.4832287822</v>
      </c>
      <c r="Z49" s="76">
        <f t="shared" si="378"/>
        <v>2997144.4832287822</v>
      </c>
      <c r="AA49" s="75" t="s">
        <v>36</v>
      </c>
      <c r="AB49" s="75" t="s">
        <v>36</v>
      </c>
      <c r="AC49" s="76">
        <f>AC41+AC44+AC47</f>
        <v>2868183.2932287822</v>
      </c>
      <c r="AD49" s="76">
        <f t="shared" ref="AD49:AH49" si="379">AD41+AD44+AD47</f>
        <v>2868183.2932287822</v>
      </c>
      <c r="AE49" s="75" t="s">
        <v>36</v>
      </c>
      <c r="AF49" s="75" t="s">
        <v>36</v>
      </c>
      <c r="AG49" s="76">
        <f t="shared" si="379"/>
        <v>128961.19</v>
      </c>
      <c r="AH49" s="76">
        <f t="shared" si="379"/>
        <v>128961.19</v>
      </c>
      <c r="AI49" s="75" t="s">
        <v>36</v>
      </c>
      <c r="AJ49" s="75" t="s">
        <v>36</v>
      </c>
      <c r="AK49" s="76">
        <f t="shared" si="4"/>
        <v>2343.3498696081174</v>
      </c>
      <c r="AL49" s="76">
        <f t="shared" si="4"/>
        <v>2343.3498696081174</v>
      </c>
      <c r="AM49" s="84">
        <f>AM41+AM44</f>
        <v>1209.5999999999999</v>
      </c>
      <c r="AN49" s="84">
        <f>AN41+AN44</f>
        <v>1209.5999999999999</v>
      </c>
      <c r="AO49" s="84">
        <f t="shared" ref="AO49:AO50" si="380">IFERROR(AM49/$AM$65*100,0)</f>
        <v>55.38461538461538</v>
      </c>
      <c r="AP49" s="84">
        <f t="shared" ref="AP49" si="381">IFERROR(AN49/$AN$65*100,0)</f>
        <v>55.38461538461538</v>
      </c>
      <c r="AQ49" s="75" t="s">
        <v>36</v>
      </c>
      <c r="AR49" s="75" t="s">
        <v>36</v>
      </c>
      <c r="AS49" s="76">
        <f>AS41+AS44+AS47</f>
        <v>3260383.7325980575</v>
      </c>
      <c r="AT49" s="76">
        <f>AT41+AT44+AT47</f>
        <v>3260383.7325980575</v>
      </c>
      <c r="AU49" s="75" t="s">
        <v>36</v>
      </c>
      <c r="AV49" s="75" t="s">
        <v>36</v>
      </c>
      <c r="AW49" s="76">
        <f>AW41+AW44+AW47</f>
        <v>3192721.9225980574</v>
      </c>
      <c r="AX49" s="76">
        <f>AX41+AX44+AX47</f>
        <v>3192721.9225980574</v>
      </c>
      <c r="AY49" s="75" t="s">
        <v>36</v>
      </c>
      <c r="AZ49" s="75" t="s">
        <v>36</v>
      </c>
      <c r="BA49" s="76">
        <f>BA41+BA44+BA47</f>
        <v>67661.809999999983</v>
      </c>
      <c r="BB49" s="76">
        <f>BB41+BB44+BB47</f>
        <v>67661.809999999983</v>
      </c>
      <c r="BC49" s="75" t="s">
        <v>36</v>
      </c>
      <c r="BD49" s="75" t="s">
        <v>36</v>
      </c>
      <c r="BE49" s="76">
        <f t="shared" si="369"/>
        <v>2695.42</v>
      </c>
      <c r="BF49" s="76">
        <f t="shared" si="369"/>
        <v>2695.42</v>
      </c>
      <c r="BG49" s="75" t="s">
        <v>36</v>
      </c>
      <c r="BH49" s="75" t="s">
        <v>36</v>
      </c>
      <c r="BI49" s="76">
        <f t="shared" ref="BI49:BJ49" si="382">BI41+BI44+BI47</f>
        <v>3158301.5111410306</v>
      </c>
      <c r="BJ49" s="76">
        <f t="shared" si="382"/>
        <v>3158301.5111410306</v>
      </c>
      <c r="BK49" s="75" t="s">
        <v>36</v>
      </c>
      <c r="BL49" s="75" t="s">
        <v>36</v>
      </c>
      <c r="BM49" s="76">
        <f>BM41+BM44+BM47</f>
        <v>3134678.6711410307</v>
      </c>
      <c r="BN49" s="76">
        <f t="shared" ref="BN49" si="383">BN41+BN44+BN47</f>
        <v>3134678.6711410307</v>
      </c>
      <c r="BO49" s="75" t="s">
        <v>36</v>
      </c>
      <c r="BP49" s="75" t="s">
        <v>36</v>
      </c>
      <c r="BQ49" s="76">
        <f t="shared" ref="BQ49:BR49" si="384">BQ41+BQ44+BQ47</f>
        <v>23622.839999999997</v>
      </c>
      <c r="BR49" s="76">
        <f t="shared" si="384"/>
        <v>23622.839999999997</v>
      </c>
      <c r="BS49" s="75" t="s">
        <v>36</v>
      </c>
      <c r="BT49" s="75" t="s">
        <v>36</v>
      </c>
      <c r="BU49" s="76">
        <f t="shared" si="0"/>
        <v>2611.0296884433124</v>
      </c>
      <c r="BV49" s="77">
        <f t="shared" si="0"/>
        <v>2611.0296884433124</v>
      </c>
      <c r="BW49" s="84">
        <f>BW41+BW44</f>
        <v>967.86666666666656</v>
      </c>
      <c r="BX49" s="84">
        <f>BX41+BX44</f>
        <v>1075.5999999999999</v>
      </c>
      <c r="BY49" s="84">
        <f t="shared" ref="BY49:BY50" si="385">IFERROR(BW49/$BW$65*100,0)</f>
        <v>43.834541062801932</v>
      </c>
      <c r="BZ49" s="84">
        <f>IFERROR(BX49/$BX$65*100,0)</f>
        <v>48.713712960017034</v>
      </c>
      <c r="CA49" s="75" t="s">
        <v>36</v>
      </c>
      <c r="CB49" s="75" t="s">
        <v>36</v>
      </c>
      <c r="CC49" s="76">
        <f>CC41+CC44+CC47</f>
        <v>2302654.7073086924</v>
      </c>
      <c r="CD49" s="76">
        <f>CD41+CD44+CD47</f>
        <v>2694468.5698471204</v>
      </c>
      <c r="CE49" s="75" t="s">
        <v>36</v>
      </c>
      <c r="CF49" s="75" t="s">
        <v>36</v>
      </c>
      <c r="CG49" s="76">
        <f>CG41+CG44+CG47</f>
        <v>2215654.7073086924</v>
      </c>
      <c r="CH49" s="76">
        <f>CH41+CH44+CH47</f>
        <v>2619953.8198471209</v>
      </c>
      <c r="CI49" s="75" t="s">
        <v>36</v>
      </c>
      <c r="CJ49" s="75" t="s">
        <v>36</v>
      </c>
      <c r="CK49" s="76">
        <f>CK41+CK44+CK47</f>
        <v>87000</v>
      </c>
      <c r="CL49" s="76">
        <f>CL41+CL44+CL47</f>
        <v>74514.75</v>
      </c>
      <c r="CM49" s="75" t="s">
        <v>36</v>
      </c>
      <c r="CN49" s="75" t="s">
        <v>36</v>
      </c>
      <c r="CO49" s="76">
        <f t="shared" si="374"/>
        <v>2379.1</v>
      </c>
      <c r="CP49" s="76">
        <f t="shared" si="374"/>
        <v>2505.08</v>
      </c>
      <c r="CQ49" s="75" t="s">
        <v>36</v>
      </c>
      <c r="CR49" s="75" t="s">
        <v>36</v>
      </c>
      <c r="CS49" s="76">
        <f t="shared" ref="CS49:CT49" si="386">CS41+CS44+CS47</f>
        <v>2311804.66</v>
      </c>
      <c r="CT49" s="76">
        <f t="shared" si="386"/>
        <v>2442182.1771912775</v>
      </c>
      <c r="CU49" s="75" t="s">
        <v>36</v>
      </c>
      <c r="CV49" s="75" t="s">
        <v>36</v>
      </c>
      <c r="CW49" s="76">
        <f>CW41+CW44+CW47</f>
        <v>2221504.66</v>
      </c>
      <c r="CX49" s="76">
        <f>CX41+CX44+CX47</f>
        <v>2371591.5771912779</v>
      </c>
      <c r="CY49" s="75" t="s">
        <v>36</v>
      </c>
      <c r="CZ49" s="75" t="s">
        <v>36</v>
      </c>
      <c r="DA49" s="76">
        <f t="shared" ref="DA49:DB49" si="387">DA41+DA44+DA47</f>
        <v>90300</v>
      </c>
      <c r="DB49" s="76">
        <f t="shared" si="387"/>
        <v>70590.600000000006</v>
      </c>
      <c r="DC49" s="75" t="s">
        <v>36</v>
      </c>
      <c r="DD49" s="75" t="s">
        <v>36</v>
      </c>
      <c r="DE49" s="76">
        <f t="shared" si="1"/>
        <v>2388.5569568811134</v>
      </c>
      <c r="DF49" s="76">
        <f t="shared" si="1"/>
        <v>2270.530101516621</v>
      </c>
      <c r="DG49" s="84">
        <v>1201.6500000000001</v>
      </c>
      <c r="DH49" s="84">
        <v>1289.8999999999999</v>
      </c>
      <c r="DI49" s="84">
        <v>54.422554347826079</v>
      </c>
      <c r="DJ49" s="84">
        <v>58.419384057971023</v>
      </c>
      <c r="DK49" s="75" t="s">
        <v>36</v>
      </c>
      <c r="DL49" s="75" t="s">
        <v>36</v>
      </c>
      <c r="DM49" s="76">
        <v>3926652.7213840685</v>
      </c>
      <c r="DN49" s="76">
        <v>3342332.01</v>
      </c>
      <c r="DO49" s="75" t="s">
        <v>36</v>
      </c>
      <c r="DP49" s="75" t="s">
        <v>36</v>
      </c>
      <c r="DQ49" s="76">
        <v>3766652.7213840685</v>
      </c>
      <c r="DR49" s="76">
        <v>3201385.669999999</v>
      </c>
      <c r="DS49" s="75" t="s">
        <v>36</v>
      </c>
      <c r="DT49" s="75" t="s">
        <v>36</v>
      </c>
      <c r="DU49" s="76">
        <v>160000</v>
      </c>
      <c r="DV49" s="76">
        <v>140946.34000000003</v>
      </c>
      <c r="DW49" s="75" t="s">
        <v>36</v>
      </c>
      <c r="DX49" s="75" t="s">
        <v>36</v>
      </c>
      <c r="DY49" s="76">
        <v>3267.72</v>
      </c>
      <c r="DZ49" s="76">
        <v>2591.16</v>
      </c>
      <c r="EA49" s="75" t="s">
        <v>36</v>
      </c>
      <c r="EB49" s="75" t="s">
        <v>36</v>
      </c>
      <c r="EC49" s="76">
        <v>3942255.8800000004</v>
      </c>
      <c r="ED49" s="76">
        <v>3824795.4045333327</v>
      </c>
      <c r="EE49" s="75" t="s">
        <v>36</v>
      </c>
      <c r="EF49" s="75" t="s">
        <v>36</v>
      </c>
      <c r="EG49" s="76">
        <v>3803755.8800000004</v>
      </c>
      <c r="EH49" s="76">
        <v>3655477.4045333327</v>
      </c>
      <c r="EI49" s="75" t="s">
        <v>36</v>
      </c>
      <c r="EJ49" s="75" t="s">
        <v>36</v>
      </c>
      <c r="EK49" s="76">
        <v>138500</v>
      </c>
      <c r="EL49" s="76">
        <v>169318</v>
      </c>
      <c r="EM49" s="75" t="s">
        <v>36</v>
      </c>
      <c r="EN49" s="75" t="s">
        <v>36</v>
      </c>
      <c r="EO49" s="76">
        <v>3280.7022677152249</v>
      </c>
      <c r="EP49" s="76">
        <v>2965.187537431842</v>
      </c>
      <c r="EQ49" s="84">
        <v>4658.1166666666668</v>
      </c>
      <c r="ER49" s="84">
        <v>4854.1000000000004</v>
      </c>
      <c r="ES49" s="84">
        <v>53.029561323618701</v>
      </c>
      <c r="ET49" s="84">
        <v>55.260685547391411</v>
      </c>
      <c r="EU49" s="75" t="s">
        <v>36</v>
      </c>
      <c r="EV49" s="75" t="s">
        <v>36</v>
      </c>
      <c r="EW49" s="76">
        <v>12453410.616180092</v>
      </c>
      <c r="EX49" s="76">
        <v>12260903.767334452</v>
      </c>
      <c r="EY49" s="75" t="s">
        <v>36</v>
      </c>
      <c r="EZ49" s="75" t="s">
        <v>36</v>
      </c>
      <c r="FA49" s="76">
        <v>12074753.78618009</v>
      </c>
      <c r="FB49" s="76">
        <v>11913785.84733445</v>
      </c>
      <c r="FC49" s="75" t="s">
        <v>36</v>
      </c>
      <c r="FD49" s="75" t="s">
        <v>36</v>
      </c>
      <c r="FE49" s="76">
        <v>378656.83</v>
      </c>
      <c r="FF49" s="76">
        <v>347117.92000000004</v>
      </c>
      <c r="FG49" s="75" t="s">
        <v>36</v>
      </c>
      <c r="FH49" s="75" t="s">
        <v>36</v>
      </c>
      <c r="FI49" s="76">
        <v>2673.49</v>
      </c>
      <c r="FJ49" s="76">
        <v>2525.89</v>
      </c>
      <c r="FK49" s="75" t="s">
        <v>36</v>
      </c>
      <c r="FL49" s="75" t="s">
        <v>36</v>
      </c>
      <c r="FM49" s="76">
        <v>12409506.534369813</v>
      </c>
      <c r="FN49" s="76">
        <v>12422423.576094421</v>
      </c>
      <c r="FO49" s="75" t="s">
        <v>36</v>
      </c>
      <c r="FP49" s="75" t="s">
        <v>36</v>
      </c>
      <c r="FQ49" s="76">
        <v>12028122.504369812</v>
      </c>
      <c r="FR49" s="76">
        <v>12029930.946094425</v>
      </c>
      <c r="FS49" s="75" t="s">
        <v>36</v>
      </c>
      <c r="FT49" s="75" t="s">
        <v>36</v>
      </c>
      <c r="FU49" s="76">
        <v>381384.02999999997</v>
      </c>
      <c r="FV49" s="76">
        <v>392492.62999999995</v>
      </c>
      <c r="FW49" s="75" t="s">
        <v>36</v>
      </c>
      <c r="FX49" s="75" t="s">
        <v>36</v>
      </c>
      <c r="FY49" s="76">
        <v>2664.060911821261</v>
      </c>
      <c r="FZ49" s="76">
        <v>2559.1610341967448</v>
      </c>
      <c r="GA49" s="85">
        <v>195.98333333333358</v>
      </c>
      <c r="GB49" s="84">
        <v>4.2073513258219508</v>
      </c>
      <c r="GC49" s="75" t="s">
        <v>36</v>
      </c>
      <c r="GD49" s="84" t="s">
        <v>36</v>
      </c>
      <c r="GE49" s="86">
        <v>-192506.8488456402</v>
      </c>
      <c r="GF49" s="84">
        <v>-1.5458162810075948</v>
      </c>
      <c r="GG49" s="75" t="s">
        <v>36</v>
      </c>
      <c r="GH49" s="80" t="s">
        <v>36</v>
      </c>
      <c r="GI49" s="86">
        <v>-160967.93884564005</v>
      </c>
      <c r="GJ49" s="84">
        <v>-1.3330949988385909</v>
      </c>
      <c r="GK49" s="75" t="s">
        <v>36</v>
      </c>
      <c r="GL49" s="81" t="s">
        <v>36</v>
      </c>
      <c r="GM49" s="86">
        <v>-31538.909999999974</v>
      </c>
      <c r="GN49" s="84">
        <v>-8.3291538673685004</v>
      </c>
      <c r="GO49" s="75" t="s">
        <v>36</v>
      </c>
      <c r="GP49" s="80" t="s">
        <v>36</v>
      </c>
      <c r="GQ49" s="86">
        <v>-147.59999999999991</v>
      </c>
      <c r="GR49" s="44"/>
      <c r="GS49" s="44"/>
      <c r="GT49" s="44"/>
      <c r="GU49" s="44"/>
      <c r="GV49" s="44"/>
      <c r="GW49" s="44"/>
    </row>
    <row r="50" spans="1:205" ht="12.75" customHeight="1">
      <c r="A50" s="87"/>
      <c r="B50" s="88" t="s">
        <v>39</v>
      </c>
      <c r="C50" s="89">
        <f>C42+C45</f>
        <v>713</v>
      </c>
      <c r="D50" s="89">
        <f>D42+D45</f>
        <v>713</v>
      </c>
      <c r="E50" s="89">
        <f>IFERROR(C50/$C$78*100,0)</f>
        <v>32.646520146520146</v>
      </c>
      <c r="F50" s="89">
        <f t="shared" ref="F50" si="388">IFERROR(D50/$D$66*100,0)</f>
        <v>32.646520146520146</v>
      </c>
      <c r="G50" s="90" t="s">
        <v>36</v>
      </c>
      <c r="H50" s="90" t="s">
        <v>36</v>
      </c>
      <c r="I50" s="91">
        <f t="shared" si="2"/>
        <v>375799.87511072704</v>
      </c>
      <c r="J50" s="91">
        <f>J42+J45</f>
        <v>375799.87511072704</v>
      </c>
      <c r="K50" s="90" t="s">
        <v>36</v>
      </c>
      <c r="L50" s="90" t="s">
        <v>36</v>
      </c>
      <c r="M50" s="91">
        <f>M42+M45</f>
        <v>375799.87511072704</v>
      </c>
      <c r="N50" s="91">
        <f>N42+N45</f>
        <v>375799.87511072704</v>
      </c>
      <c r="O50" s="90" t="s">
        <v>36</v>
      </c>
      <c r="P50" s="90" t="s">
        <v>36</v>
      </c>
      <c r="Q50" s="91">
        <f>Q42+Q45</f>
        <v>0</v>
      </c>
      <c r="R50" s="91">
        <f>R42+R45</f>
        <v>0</v>
      </c>
      <c r="S50" s="90" t="s">
        <v>36</v>
      </c>
      <c r="T50" s="90" t="s">
        <v>36</v>
      </c>
      <c r="U50" s="91">
        <f t="shared" si="364"/>
        <v>527.07000000000005</v>
      </c>
      <c r="V50" s="91">
        <f t="shared" si="364"/>
        <v>527.07000000000005</v>
      </c>
      <c r="W50" s="90" t="s">
        <v>36</v>
      </c>
      <c r="X50" s="90" t="s">
        <v>36</v>
      </c>
      <c r="Y50" s="91">
        <f t="shared" ref="Y50:Z50" si="389">Y42+Y45</f>
        <v>929313.87677121814</v>
      </c>
      <c r="Z50" s="91">
        <f t="shared" si="389"/>
        <v>929313.87677121814</v>
      </c>
      <c r="AA50" s="90" t="s">
        <v>36</v>
      </c>
      <c r="AB50" s="90" t="s">
        <v>36</v>
      </c>
      <c r="AC50" s="91">
        <f>AC42+AC45</f>
        <v>929313.87677121814</v>
      </c>
      <c r="AD50" s="91">
        <f t="shared" ref="AD50:AH50" si="390">AD42+AD45</f>
        <v>929313.87677121814</v>
      </c>
      <c r="AE50" s="90" t="s">
        <v>36</v>
      </c>
      <c r="AF50" s="90" t="s">
        <v>36</v>
      </c>
      <c r="AG50" s="91">
        <f t="shared" si="390"/>
        <v>0</v>
      </c>
      <c r="AH50" s="91">
        <f t="shared" si="390"/>
        <v>0</v>
      </c>
      <c r="AI50" s="90" t="s">
        <v>36</v>
      </c>
      <c r="AJ50" s="90" t="s">
        <v>36</v>
      </c>
      <c r="AK50" s="91">
        <f t="shared" si="4"/>
        <v>1303.3855214182583</v>
      </c>
      <c r="AL50" s="91">
        <f t="shared" si="4"/>
        <v>1303.3855214182583</v>
      </c>
      <c r="AM50" s="89">
        <f>AM42+AM45</f>
        <v>746.7</v>
      </c>
      <c r="AN50" s="89">
        <f>AN42+AN45</f>
        <v>746.7</v>
      </c>
      <c r="AO50" s="89">
        <f t="shared" si="380"/>
        <v>34.189560439560438</v>
      </c>
      <c r="AP50" s="89">
        <f t="shared" ref="AP50" si="391">IFERROR(AN50/$AN$66*100,0)</f>
        <v>34.189560439560452</v>
      </c>
      <c r="AQ50" s="90" t="s">
        <v>36</v>
      </c>
      <c r="AR50" s="90" t="s">
        <v>36</v>
      </c>
      <c r="AS50" s="91">
        <f>AS42+AS45</f>
        <v>1041786.0674019427</v>
      </c>
      <c r="AT50" s="91">
        <f>AT42+AT45</f>
        <v>1041786.0674019427</v>
      </c>
      <c r="AU50" s="90" t="s">
        <v>36</v>
      </c>
      <c r="AV50" s="90" t="s">
        <v>36</v>
      </c>
      <c r="AW50" s="91">
        <f>AW42+AW45</f>
        <v>1041786.0674019427</v>
      </c>
      <c r="AX50" s="91">
        <f>AX42+AX45</f>
        <v>1041786.0674019427</v>
      </c>
      <c r="AY50" s="90" t="s">
        <v>36</v>
      </c>
      <c r="AZ50" s="90" t="s">
        <v>36</v>
      </c>
      <c r="BA50" s="91">
        <f>BA42+BA45</f>
        <v>0</v>
      </c>
      <c r="BB50" s="91">
        <f>BB42+BB45</f>
        <v>0</v>
      </c>
      <c r="BC50" s="90" t="s">
        <v>36</v>
      </c>
      <c r="BD50" s="90" t="s">
        <v>36</v>
      </c>
      <c r="BE50" s="91">
        <f t="shared" si="369"/>
        <v>1395.19</v>
      </c>
      <c r="BF50" s="91">
        <f t="shared" si="369"/>
        <v>1395.19</v>
      </c>
      <c r="BG50" s="90" t="s">
        <v>36</v>
      </c>
      <c r="BH50" s="90" t="s">
        <v>36</v>
      </c>
      <c r="BI50" s="91">
        <f t="shared" ref="BI50:BJ50" si="392">BI42+BI45</f>
        <v>769343.88885896979</v>
      </c>
      <c r="BJ50" s="91">
        <f t="shared" si="392"/>
        <v>769343.88885896979</v>
      </c>
      <c r="BK50" s="90" t="s">
        <v>36</v>
      </c>
      <c r="BL50" s="90" t="s">
        <v>36</v>
      </c>
      <c r="BM50" s="91">
        <f>BM42+BM45</f>
        <v>769343.88885896979</v>
      </c>
      <c r="BN50" s="91">
        <f t="shared" ref="BN50" si="393">BN42+BN45</f>
        <v>769343.88885896979</v>
      </c>
      <c r="BO50" s="90" t="s">
        <v>36</v>
      </c>
      <c r="BP50" s="90" t="s">
        <v>36</v>
      </c>
      <c r="BQ50" s="91">
        <f t="shared" ref="BQ50:BR50" si="394">BQ42+BQ45</f>
        <v>0</v>
      </c>
      <c r="BR50" s="91">
        <f t="shared" si="394"/>
        <v>0</v>
      </c>
      <c r="BS50" s="90" t="s">
        <v>36</v>
      </c>
      <c r="BT50" s="90" t="s">
        <v>36</v>
      </c>
      <c r="BU50" s="91">
        <f t="shared" si="0"/>
        <v>1030.3252830574122</v>
      </c>
      <c r="BV50" s="92">
        <f t="shared" si="0"/>
        <v>1030.3252830574122</v>
      </c>
      <c r="BW50" s="89">
        <f>BW42+BW45</f>
        <v>805.31666666666661</v>
      </c>
      <c r="BX50" s="89">
        <f>BX42+BX45</f>
        <v>911.39999999999986</v>
      </c>
      <c r="BY50" s="89">
        <f t="shared" si="385"/>
        <v>36.472675120772948</v>
      </c>
      <c r="BZ50" s="89">
        <f>IFERROR(BX50/$BX$66*100,0)</f>
        <v>41.277153141529219</v>
      </c>
      <c r="CA50" s="90" t="s">
        <v>36</v>
      </c>
      <c r="CB50" s="90" t="s">
        <v>36</v>
      </c>
      <c r="CC50" s="91">
        <f>CC42+CC45</f>
        <v>635827.00359348778</v>
      </c>
      <c r="CD50" s="91">
        <f>CD42+CD45</f>
        <v>673806.25015287974</v>
      </c>
      <c r="CE50" s="90" t="s">
        <v>36</v>
      </c>
      <c r="CF50" s="90" t="s">
        <v>36</v>
      </c>
      <c r="CG50" s="91">
        <f>CG42+CG45</f>
        <v>635827.00359348778</v>
      </c>
      <c r="CH50" s="91">
        <f>CH42+CH45</f>
        <v>673806.25015287974</v>
      </c>
      <c r="CI50" s="90" t="s">
        <v>36</v>
      </c>
      <c r="CJ50" s="90" t="s">
        <v>36</v>
      </c>
      <c r="CK50" s="91">
        <f>CK42+CK45</f>
        <v>0</v>
      </c>
      <c r="CL50" s="91">
        <f>CL42+CL45</f>
        <v>0</v>
      </c>
      <c r="CM50" s="90" t="s">
        <v>36</v>
      </c>
      <c r="CN50" s="90" t="s">
        <v>36</v>
      </c>
      <c r="CO50" s="91">
        <f t="shared" si="374"/>
        <v>789.54</v>
      </c>
      <c r="CP50" s="91">
        <f t="shared" si="374"/>
        <v>739.31</v>
      </c>
      <c r="CQ50" s="90" t="s">
        <v>36</v>
      </c>
      <c r="CR50" s="90" t="s">
        <v>36</v>
      </c>
      <c r="CS50" s="91">
        <f t="shared" ref="CS50:CT50" si="395">CS42+CS45</f>
        <v>638353.56000000006</v>
      </c>
      <c r="CT50" s="91">
        <f t="shared" si="395"/>
        <v>437315.74280872243</v>
      </c>
      <c r="CU50" s="90" t="s">
        <v>36</v>
      </c>
      <c r="CV50" s="90" t="s">
        <v>36</v>
      </c>
      <c r="CW50" s="91">
        <f>CW42+CW45</f>
        <v>638353.56000000006</v>
      </c>
      <c r="CX50" s="91">
        <f>CX42+CX45</f>
        <v>413176.24280872243</v>
      </c>
      <c r="CY50" s="90" t="s">
        <v>36</v>
      </c>
      <c r="CZ50" s="90" t="s">
        <v>36</v>
      </c>
      <c r="DA50" s="91">
        <f t="shared" ref="DA50:DB50" si="396">DA42+DA45</f>
        <v>0</v>
      </c>
      <c r="DB50" s="91">
        <f t="shared" si="396"/>
        <v>24139.5</v>
      </c>
      <c r="DC50" s="90" t="s">
        <v>36</v>
      </c>
      <c r="DD50" s="90" t="s">
        <v>36</v>
      </c>
      <c r="DE50" s="91">
        <f t="shared" si="1"/>
        <v>792.67397090171585</v>
      </c>
      <c r="DF50" s="91">
        <f t="shared" si="1"/>
        <v>479.82855256607689</v>
      </c>
      <c r="DG50" s="89">
        <v>440.27499999999998</v>
      </c>
      <c r="DH50" s="89">
        <v>890.3</v>
      </c>
      <c r="DI50" s="89">
        <v>19.939990942028981</v>
      </c>
      <c r="DJ50" s="89">
        <v>40.321557971014499</v>
      </c>
      <c r="DK50" s="90" t="s">
        <v>36</v>
      </c>
      <c r="DL50" s="90" t="s">
        <v>36</v>
      </c>
      <c r="DM50" s="91">
        <v>222673.6818717276</v>
      </c>
      <c r="DN50" s="91">
        <v>854618.68000000017</v>
      </c>
      <c r="DO50" s="90" t="s">
        <v>36</v>
      </c>
      <c r="DP50" s="90" t="s">
        <v>36</v>
      </c>
      <c r="DQ50" s="91">
        <v>222673.6818717276</v>
      </c>
      <c r="DR50" s="91">
        <v>849196.18000000017</v>
      </c>
      <c r="DS50" s="90" t="s">
        <v>36</v>
      </c>
      <c r="DT50" s="90" t="s">
        <v>36</v>
      </c>
      <c r="DU50" s="91">
        <v>0</v>
      </c>
      <c r="DV50" s="91">
        <v>5422.5</v>
      </c>
      <c r="DW50" s="90" t="s">
        <v>36</v>
      </c>
      <c r="DX50" s="90" t="s">
        <v>36</v>
      </c>
      <c r="DY50" s="91">
        <v>505.76</v>
      </c>
      <c r="DZ50" s="91">
        <v>959.92</v>
      </c>
      <c r="EA50" s="90" t="s">
        <v>36</v>
      </c>
      <c r="EB50" s="90" t="s">
        <v>36</v>
      </c>
      <c r="EC50" s="91">
        <v>223558.51</v>
      </c>
      <c r="ED50" s="91">
        <v>576630.34546666662</v>
      </c>
      <c r="EE50" s="90" t="s">
        <v>36</v>
      </c>
      <c r="EF50" s="90" t="s">
        <v>36</v>
      </c>
      <c r="EG50" s="91">
        <v>223558.51</v>
      </c>
      <c r="EH50" s="91">
        <v>576630.34546666662</v>
      </c>
      <c r="EI50" s="90" t="s">
        <v>36</v>
      </c>
      <c r="EJ50" s="90" t="s">
        <v>36</v>
      </c>
      <c r="EK50" s="91">
        <v>0</v>
      </c>
      <c r="EL50" s="91">
        <v>0</v>
      </c>
      <c r="EM50" s="90" t="s">
        <v>36</v>
      </c>
      <c r="EN50" s="90" t="s">
        <v>36</v>
      </c>
      <c r="EO50" s="91">
        <v>507.77016637328944</v>
      </c>
      <c r="EP50" s="91">
        <v>647.680945149575</v>
      </c>
      <c r="EQ50" s="89">
        <v>2705.291666666667</v>
      </c>
      <c r="ER50" s="89">
        <v>3261.3999999999996</v>
      </c>
      <c r="ES50" s="89">
        <v>30.797947024893752</v>
      </c>
      <c r="ET50" s="89">
        <v>37.128865977425377</v>
      </c>
      <c r="EU50" s="90" t="s">
        <v>36</v>
      </c>
      <c r="EV50" s="90" t="s">
        <v>36</v>
      </c>
      <c r="EW50" s="91">
        <v>2276086.6279778848</v>
      </c>
      <c r="EX50" s="91">
        <v>2946010.8726655496</v>
      </c>
      <c r="EY50" s="90" t="s">
        <v>36</v>
      </c>
      <c r="EZ50" s="90" t="s">
        <v>36</v>
      </c>
      <c r="FA50" s="91">
        <v>2276086.6279778848</v>
      </c>
      <c r="FB50" s="91">
        <v>2940588.3726655496</v>
      </c>
      <c r="FC50" s="90" t="s">
        <v>36</v>
      </c>
      <c r="FD50" s="90" t="s">
        <v>36</v>
      </c>
      <c r="FE50" s="91">
        <v>0</v>
      </c>
      <c r="FF50" s="91">
        <v>5422.5</v>
      </c>
      <c r="FG50" s="90" t="s">
        <v>36</v>
      </c>
      <c r="FH50" s="90" t="s">
        <v>36</v>
      </c>
      <c r="FI50" s="91">
        <v>841.35</v>
      </c>
      <c r="FJ50" s="91">
        <v>903.3</v>
      </c>
      <c r="FK50" s="90" t="s">
        <v>36</v>
      </c>
      <c r="FL50" s="90" t="s">
        <v>36</v>
      </c>
      <c r="FM50" s="91">
        <v>2560569.8356301882</v>
      </c>
      <c r="FN50" s="91">
        <v>2712603.8539055772</v>
      </c>
      <c r="FO50" s="90" t="s">
        <v>36</v>
      </c>
      <c r="FP50" s="90" t="s">
        <v>36</v>
      </c>
      <c r="FQ50" s="91">
        <v>2560569.8356301882</v>
      </c>
      <c r="FR50" s="91">
        <v>2688464.3539055772</v>
      </c>
      <c r="FS50" s="90" t="s">
        <v>36</v>
      </c>
      <c r="FT50" s="90" t="s">
        <v>36</v>
      </c>
      <c r="FU50" s="91">
        <v>0</v>
      </c>
      <c r="FV50" s="91">
        <v>24139.5</v>
      </c>
      <c r="FW50" s="90" t="s">
        <v>36</v>
      </c>
      <c r="FX50" s="90" t="s">
        <v>36</v>
      </c>
      <c r="FY50" s="91">
        <v>946.50416706646718</v>
      </c>
      <c r="FZ50" s="91">
        <v>831.72988713606969</v>
      </c>
      <c r="GA50" s="93">
        <v>556.10833333333267</v>
      </c>
      <c r="GB50" s="89">
        <v>20.556317094583122</v>
      </c>
      <c r="GC50" s="90" t="s">
        <v>36</v>
      </c>
      <c r="GD50" s="89" t="s">
        <v>36</v>
      </c>
      <c r="GE50" s="94">
        <v>669924.24468766479</v>
      </c>
      <c r="GF50" s="89">
        <v>29.433161130727136</v>
      </c>
      <c r="GG50" s="90" t="s">
        <v>36</v>
      </c>
      <c r="GH50" s="95" t="s">
        <v>36</v>
      </c>
      <c r="GI50" s="94">
        <v>664501.74468766479</v>
      </c>
      <c r="GJ50" s="89">
        <v>29.194923273988916</v>
      </c>
      <c r="GK50" s="90" t="s">
        <v>36</v>
      </c>
      <c r="GL50" s="96" t="s">
        <v>36</v>
      </c>
      <c r="GM50" s="94">
        <v>5422.5</v>
      </c>
      <c r="GN50" s="89" t="s">
        <v>88</v>
      </c>
      <c r="GO50" s="90" t="s">
        <v>36</v>
      </c>
      <c r="GP50" s="95" t="s">
        <v>36</v>
      </c>
      <c r="GQ50" s="94">
        <v>61.949999999999932</v>
      </c>
      <c r="GR50" s="44"/>
      <c r="GS50" s="44"/>
      <c r="GT50" s="44"/>
      <c r="GU50" s="44"/>
      <c r="GV50" s="44"/>
      <c r="GW50" s="44"/>
    </row>
    <row r="51" spans="1:205" ht="15.75" customHeight="1">
      <c r="A51" s="418" t="s">
        <v>54</v>
      </c>
      <c r="B51" s="65" t="s">
        <v>55</v>
      </c>
      <c r="C51" s="35">
        <f>SUM(C52:C53)</f>
        <v>2123.9900000000002</v>
      </c>
      <c r="D51" s="35">
        <f>SUM(D52:D53)</f>
        <v>2123.9900000000002</v>
      </c>
      <c r="E51" s="35">
        <f>IFERROR(C51/$C$64*100,0)</f>
        <v>48.626144688644693</v>
      </c>
      <c r="F51" s="35">
        <f t="shared" ref="F51" si="397">IFERROR(D51/$D$64*100,0)</f>
        <v>48.626144688644693</v>
      </c>
      <c r="G51" s="59" t="s">
        <v>36</v>
      </c>
      <c r="H51" s="59" t="s">
        <v>36</v>
      </c>
      <c r="I51" s="37">
        <f t="shared" si="2"/>
        <v>106363.86</v>
      </c>
      <c r="J51" s="37">
        <f>SUM(J52:J53)</f>
        <v>106363.86</v>
      </c>
      <c r="K51" s="59" t="s">
        <v>36</v>
      </c>
      <c r="L51" s="59" t="s">
        <v>36</v>
      </c>
      <c r="M51" s="37">
        <f>SUM(M52:M53)</f>
        <v>106363.86</v>
      </c>
      <c r="N51" s="37">
        <f>SUM(N52:N53)</f>
        <v>106363.86</v>
      </c>
      <c r="O51" s="59" t="s">
        <v>36</v>
      </c>
      <c r="P51" s="59" t="s">
        <v>36</v>
      </c>
      <c r="Q51" s="37">
        <f>SUM(Q52:Q53)</f>
        <v>0</v>
      </c>
      <c r="R51" s="37">
        <f>SUM(R52:R53)</f>
        <v>0</v>
      </c>
      <c r="S51" s="59" t="s">
        <v>36</v>
      </c>
      <c r="T51" s="59" t="s">
        <v>36</v>
      </c>
      <c r="U51" s="37">
        <f t="shared" si="364"/>
        <v>50.08</v>
      </c>
      <c r="V51" s="37">
        <f t="shared" si="364"/>
        <v>50.08</v>
      </c>
      <c r="W51" s="59" t="s">
        <v>36</v>
      </c>
      <c r="X51" s="59" t="s">
        <v>36</v>
      </c>
      <c r="Y51" s="37">
        <f>SUM(Y52:Y53)</f>
        <v>130186.23000000007</v>
      </c>
      <c r="Z51" s="37">
        <f>SUM(Z52:Z53)</f>
        <v>130186.23000000007</v>
      </c>
      <c r="AA51" s="59" t="s">
        <v>36</v>
      </c>
      <c r="AB51" s="59" t="s">
        <v>36</v>
      </c>
      <c r="AC51" s="37">
        <f>SUM(AC52:AC53)</f>
        <v>130186.23000000007</v>
      </c>
      <c r="AD51" s="37">
        <f>SUM(AD52:AD53)</f>
        <v>130186.23000000007</v>
      </c>
      <c r="AE51" s="59" t="s">
        <v>36</v>
      </c>
      <c r="AF51" s="59" t="s">
        <v>36</v>
      </c>
      <c r="AG51" s="37">
        <f>SUM(AG52:AG53)</f>
        <v>0</v>
      </c>
      <c r="AH51" s="59"/>
      <c r="AI51" s="59" t="s">
        <v>36</v>
      </c>
      <c r="AJ51" s="59" t="s">
        <v>36</v>
      </c>
      <c r="AK51" s="37">
        <f t="shared" si="4"/>
        <v>61.293240551980027</v>
      </c>
      <c r="AL51" s="37">
        <f t="shared" si="4"/>
        <v>61.293240551980027</v>
      </c>
      <c r="AM51" s="35">
        <f>SUM(AM52:AM53)</f>
        <v>2170.71</v>
      </c>
      <c r="AN51" s="35">
        <f>SUM(AN52:AN53)</f>
        <v>2170.71</v>
      </c>
      <c r="AO51" s="35">
        <f t="shared" ref="AO51" si="398">IFERROR(AM51/$AM$64*100,0)</f>
        <v>49.695741758241759</v>
      </c>
      <c r="AP51" s="35">
        <f t="shared" ref="AP51" si="399">IFERROR(AN51/$AN$64*100,0)</f>
        <v>49.695741758241759</v>
      </c>
      <c r="AQ51" s="59" t="s">
        <v>36</v>
      </c>
      <c r="AR51" s="59" t="s">
        <v>36</v>
      </c>
      <c r="AS51" s="37">
        <f>SUM(AS52:AS53)</f>
        <v>115698.86000000002</v>
      </c>
      <c r="AT51" s="37">
        <f>SUM(AT52:AT53)</f>
        <v>115698.86000000002</v>
      </c>
      <c r="AU51" s="59" t="s">
        <v>36</v>
      </c>
      <c r="AV51" s="59" t="s">
        <v>36</v>
      </c>
      <c r="AW51" s="37">
        <f>SUM(AW52:AW53)</f>
        <v>115698.86000000002</v>
      </c>
      <c r="AX51" s="37">
        <f>SUM(AX52:AX53)</f>
        <v>115698.86000000002</v>
      </c>
      <c r="AY51" s="59" t="s">
        <v>36</v>
      </c>
      <c r="AZ51" s="59" t="s">
        <v>36</v>
      </c>
      <c r="BA51" s="37">
        <f>SUM(BA52:BA53)</f>
        <v>0</v>
      </c>
      <c r="BB51" s="37">
        <f>SUM(BB52:BB53)</f>
        <v>0</v>
      </c>
      <c r="BC51" s="59" t="s">
        <v>36</v>
      </c>
      <c r="BD51" s="59" t="s">
        <v>36</v>
      </c>
      <c r="BE51" s="37">
        <f t="shared" si="369"/>
        <v>53.3</v>
      </c>
      <c r="BF51" s="37">
        <f t="shared" si="369"/>
        <v>53.3</v>
      </c>
      <c r="BG51" s="59" t="s">
        <v>36</v>
      </c>
      <c r="BH51" s="59" t="s">
        <v>36</v>
      </c>
      <c r="BI51" s="37">
        <f>SUM(BI52:BI53)</f>
        <v>137266.36999999991</v>
      </c>
      <c r="BJ51" s="37">
        <f>SUM(BJ52:BJ53)</f>
        <v>137266.36999999991</v>
      </c>
      <c r="BK51" s="59" t="s">
        <v>36</v>
      </c>
      <c r="BL51" s="59" t="s">
        <v>36</v>
      </c>
      <c r="BM51" s="37">
        <f>SUM(BM52:BM53)</f>
        <v>137266.36999999991</v>
      </c>
      <c r="BN51" s="37">
        <f>SUM(BN52:BN53)</f>
        <v>137266.36999999991</v>
      </c>
      <c r="BO51" s="59" t="s">
        <v>36</v>
      </c>
      <c r="BP51" s="59" t="s">
        <v>36</v>
      </c>
      <c r="BQ51" s="37">
        <f t="shared" ref="BQ51" si="400">SUM(BQ52:BQ53)</f>
        <v>0</v>
      </c>
      <c r="BR51" s="59"/>
      <c r="BS51" s="59" t="s">
        <v>36</v>
      </c>
      <c r="BT51" s="59" t="s">
        <v>36</v>
      </c>
      <c r="BU51" s="37">
        <f t="shared" si="0"/>
        <v>63.235701682859485</v>
      </c>
      <c r="BV51" s="60">
        <f t="shared" si="0"/>
        <v>63.235701682859485</v>
      </c>
      <c r="BW51" s="35">
        <f>SUM(BW52:BW53)</f>
        <v>2424.5166666666664</v>
      </c>
      <c r="BX51" s="35">
        <f>SUM(BX52:BX53)</f>
        <v>2205.4899999999998</v>
      </c>
      <c r="BY51" s="35">
        <f t="shared" ref="BY51" si="401">IFERROR(BW51/$BW$64*100,0)</f>
        <v>54.903004227053131</v>
      </c>
      <c r="BZ51" s="35">
        <f t="shared" ref="BZ51" si="402">IFERROR(BX51/$BX$64*100,0)</f>
        <v>49.943120391721706</v>
      </c>
      <c r="CA51" s="59" t="s">
        <v>36</v>
      </c>
      <c r="CB51" s="59" t="s">
        <v>36</v>
      </c>
      <c r="CC51" s="37">
        <f>SUM(CC52:CC53)</f>
        <v>153791.52571519144</v>
      </c>
      <c r="CD51" s="37">
        <f>SUM(CD52:CD53)</f>
        <v>122592.32999999999</v>
      </c>
      <c r="CE51" s="59" t="s">
        <v>36</v>
      </c>
      <c r="CF51" s="59" t="s">
        <v>36</v>
      </c>
      <c r="CG51" s="37">
        <f>SUM(CG52:CG53)</f>
        <v>153791.52571519144</v>
      </c>
      <c r="CH51" s="37">
        <f>SUM(CH52:CH53)</f>
        <v>122592.32999999999</v>
      </c>
      <c r="CI51" s="59" t="s">
        <v>36</v>
      </c>
      <c r="CJ51" s="59" t="s">
        <v>36</v>
      </c>
      <c r="CK51" s="37">
        <f>SUM(CK52:CK53)</f>
        <v>0</v>
      </c>
      <c r="CL51" s="37">
        <f>SUM(CL52:CL53)</f>
        <v>0</v>
      </c>
      <c r="CM51" s="59" t="s">
        <v>36</v>
      </c>
      <c r="CN51" s="59" t="s">
        <v>36</v>
      </c>
      <c r="CO51" s="37">
        <f t="shared" si="374"/>
        <v>63.43</v>
      </c>
      <c r="CP51" s="37">
        <f t="shared" si="374"/>
        <v>55.59</v>
      </c>
      <c r="CQ51" s="59" t="s">
        <v>36</v>
      </c>
      <c r="CR51" s="59" t="s">
        <v>36</v>
      </c>
      <c r="CS51" s="37">
        <f>SUM(CS52:CS53)</f>
        <v>154402.64000000001</v>
      </c>
      <c r="CT51" s="37">
        <f>SUM(CT52:CT53)</f>
        <v>221802.02000000002</v>
      </c>
      <c r="CU51" s="59" t="s">
        <v>36</v>
      </c>
      <c r="CV51" s="59" t="s">
        <v>36</v>
      </c>
      <c r="CW51" s="37">
        <f>SUM(CW52:CW53)</f>
        <v>154402.64000000001</v>
      </c>
      <c r="CX51" s="37">
        <f>SUM(CX52:CX53)</f>
        <v>221802.02000000002</v>
      </c>
      <c r="CY51" s="59" t="s">
        <v>36</v>
      </c>
      <c r="CZ51" s="59" t="s">
        <v>36</v>
      </c>
      <c r="DA51" s="37">
        <f t="shared" ref="DA51:DB51" si="403">SUM(DA52:DA53)</f>
        <v>0</v>
      </c>
      <c r="DB51" s="37">
        <f t="shared" si="403"/>
        <v>0</v>
      </c>
      <c r="DC51" s="59" t="s">
        <v>36</v>
      </c>
      <c r="DD51" s="59" t="s">
        <v>36</v>
      </c>
      <c r="DE51" s="37">
        <f t="shared" si="1"/>
        <v>63.683884760536479</v>
      </c>
      <c r="DF51" s="37">
        <f t="shared" si="1"/>
        <v>100.56813678592968</v>
      </c>
      <c r="DG51" s="35">
        <v>2515.085</v>
      </c>
      <c r="DH51" s="35">
        <v>2015.77</v>
      </c>
      <c r="DI51" s="35">
        <v>56.953917572463752</v>
      </c>
      <c r="DJ51" s="35">
        <v>45.646965579710155</v>
      </c>
      <c r="DK51" s="59" t="s">
        <v>36</v>
      </c>
      <c r="DL51" s="59" t="s">
        <v>36</v>
      </c>
      <c r="DM51" s="37">
        <v>127637.56251118358</v>
      </c>
      <c r="DN51" s="37">
        <v>118501.73999999993</v>
      </c>
      <c r="DO51" s="59" t="s">
        <v>36</v>
      </c>
      <c r="DP51" s="59" t="s">
        <v>36</v>
      </c>
      <c r="DQ51" s="37">
        <v>127637.56251118358</v>
      </c>
      <c r="DR51" s="37">
        <v>118501.73999999993</v>
      </c>
      <c r="DS51" s="59" t="s">
        <v>36</v>
      </c>
      <c r="DT51" s="59" t="s">
        <v>36</v>
      </c>
      <c r="DU51" s="37">
        <v>0</v>
      </c>
      <c r="DV51" s="37">
        <v>0</v>
      </c>
      <c r="DW51" s="59" t="s">
        <v>36</v>
      </c>
      <c r="DX51" s="59" t="s">
        <v>36</v>
      </c>
      <c r="DY51" s="37">
        <v>50.75</v>
      </c>
      <c r="DZ51" s="37">
        <v>58.79</v>
      </c>
      <c r="EA51" s="59" t="s">
        <v>36</v>
      </c>
      <c r="EB51" s="59" t="s">
        <v>36</v>
      </c>
      <c r="EC51" s="37">
        <v>128144.75</v>
      </c>
      <c r="ED51" s="37">
        <v>135232.35999999999</v>
      </c>
      <c r="EE51" s="59" t="s">
        <v>36</v>
      </c>
      <c r="EF51" s="59" t="s">
        <v>36</v>
      </c>
      <c r="EG51" s="37">
        <v>128144.75</v>
      </c>
      <c r="EH51" s="37">
        <v>135232.35999999999</v>
      </c>
      <c r="EI51" s="59" t="s">
        <v>36</v>
      </c>
      <c r="EJ51" s="59" t="s">
        <v>36</v>
      </c>
      <c r="EK51" s="37">
        <v>0</v>
      </c>
      <c r="EL51" s="59"/>
      <c r="EM51" s="59" t="s">
        <v>36</v>
      </c>
      <c r="EN51" s="59" t="s">
        <v>36</v>
      </c>
      <c r="EO51" s="37">
        <v>50.950464894824627</v>
      </c>
      <c r="EP51" s="37">
        <v>67.087197448121557</v>
      </c>
      <c r="EQ51" s="40">
        <v>9234.3016666666663</v>
      </c>
      <c r="ER51" s="35">
        <v>8515.9599999999991</v>
      </c>
      <c r="ES51" s="40">
        <v>52.563192547055252</v>
      </c>
      <c r="ET51" s="40">
        <v>48.474261438641612</v>
      </c>
      <c r="EU51" s="59" t="s">
        <v>36</v>
      </c>
      <c r="EV51" s="59" t="s">
        <v>36</v>
      </c>
      <c r="EW51" s="37">
        <v>503491.80822637503</v>
      </c>
      <c r="EX51" s="37">
        <v>463156.78999999992</v>
      </c>
      <c r="EY51" s="59" t="s">
        <v>36</v>
      </c>
      <c r="EZ51" s="59" t="s">
        <v>36</v>
      </c>
      <c r="FA51" s="37">
        <v>503491.80822637503</v>
      </c>
      <c r="FB51" s="37">
        <v>463156.78999999992</v>
      </c>
      <c r="FC51" s="59" t="s">
        <v>36</v>
      </c>
      <c r="FD51" s="59" t="s">
        <v>36</v>
      </c>
      <c r="FE51" s="37">
        <v>0</v>
      </c>
      <c r="FF51" s="37">
        <v>0</v>
      </c>
      <c r="FG51" s="59" t="s">
        <v>36</v>
      </c>
      <c r="FH51" s="59" t="s">
        <v>36</v>
      </c>
      <c r="FI51" s="37">
        <v>54.52</v>
      </c>
      <c r="FJ51" s="37">
        <v>54.39</v>
      </c>
      <c r="FK51" s="59" t="s">
        <v>36</v>
      </c>
      <c r="FL51" s="59" t="s">
        <v>36</v>
      </c>
      <c r="FM51" s="37">
        <v>549999.99</v>
      </c>
      <c r="FN51" s="37">
        <v>624486.98</v>
      </c>
      <c r="FO51" s="59" t="s">
        <v>36</v>
      </c>
      <c r="FP51" s="59" t="s">
        <v>36</v>
      </c>
      <c r="FQ51" s="37">
        <v>549999.99</v>
      </c>
      <c r="FR51" s="37">
        <v>624486.98</v>
      </c>
      <c r="FS51" s="59" t="s">
        <v>36</v>
      </c>
      <c r="FT51" s="59" t="s">
        <v>36</v>
      </c>
      <c r="FU51" s="37">
        <v>0</v>
      </c>
      <c r="FV51" s="37">
        <v>0</v>
      </c>
      <c r="FW51" s="59" t="s">
        <v>36</v>
      </c>
      <c r="FX51" s="59" t="s">
        <v>36</v>
      </c>
      <c r="FY51" s="37">
        <v>59.56053958962066</v>
      </c>
      <c r="FZ51" s="37">
        <v>73.331366046810928</v>
      </c>
      <c r="GA51" s="39">
        <v>-718.34166666666715</v>
      </c>
      <c r="GB51" s="35">
        <v>-7.7790578280508953</v>
      </c>
      <c r="GC51" s="59" t="s">
        <v>36</v>
      </c>
      <c r="GD51" s="40" t="s">
        <v>36</v>
      </c>
      <c r="GE51" s="41">
        <v>-40335.018226375105</v>
      </c>
      <c r="GF51" s="40">
        <v>-8.0110574923674012</v>
      </c>
      <c r="GG51" s="59" t="s">
        <v>36</v>
      </c>
      <c r="GH51" s="61" t="s">
        <v>36</v>
      </c>
      <c r="GI51" s="41">
        <v>-40335.018226375105</v>
      </c>
      <c r="GJ51" s="40">
        <v>-8.0110574923674012</v>
      </c>
      <c r="GK51" s="59" t="s">
        <v>36</v>
      </c>
      <c r="GL51" s="62" t="s">
        <v>36</v>
      </c>
      <c r="GM51" s="41">
        <v>0</v>
      </c>
      <c r="GN51" s="40" t="s">
        <v>88</v>
      </c>
      <c r="GO51" s="59" t="s">
        <v>36</v>
      </c>
      <c r="GP51" s="61" t="s">
        <v>36</v>
      </c>
      <c r="GQ51" s="41">
        <v>-0.13000000000000256</v>
      </c>
      <c r="GR51" s="44"/>
      <c r="GS51" s="44"/>
      <c r="GT51" s="44"/>
      <c r="GU51" s="44"/>
      <c r="GV51" s="44"/>
      <c r="GW51" s="44"/>
    </row>
    <row r="52" spans="1:205">
      <c r="A52" s="418"/>
      <c r="B52" s="45" t="s">
        <v>38</v>
      </c>
      <c r="C52" s="46">
        <f t="shared" ref="C52:C53" si="404">D52</f>
        <v>796.09</v>
      </c>
      <c r="D52" s="46">
        <f>VLOOKUP($B51,[1]!LTV1_RL2[[LTV1]:[Q1]],2,0)</f>
        <v>796.09</v>
      </c>
      <c r="E52" s="46">
        <f>IFERROR(C52/$C$65*100,0)</f>
        <v>36.451007326007328</v>
      </c>
      <c r="F52" s="46">
        <f t="shared" ref="F52" si="405">IFERROR(D52/$D$65*100,0)</f>
        <v>36.451007326007328</v>
      </c>
      <c r="G52" s="55" t="s">
        <v>36</v>
      </c>
      <c r="H52" s="55" t="s">
        <v>36</v>
      </c>
      <c r="I52" s="48">
        <f t="shared" si="2"/>
        <v>48753.21</v>
      </c>
      <c r="J52" s="48">
        <v>48753.21</v>
      </c>
      <c r="K52" s="55" t="s">
        <v>36</v>
      </c>
      <c r="L52" s="55" t="s">
        <v>36</v>
      </c>
      <c r="M52" s="48">
        <f>I52-Q52</f>
        <v>48753.21</v>
      </c>
      <c r="N52" s="48">
        <f>J52-R52</f>
        <v>48753.21</v>
      </c>
      <c r="O52" s="55" t="s">
        <v>36</v>
      </c>
      <c r="P52" s="55" t="s">
        <v>36</v>
      </c>
      <c r="Q52" s="48"/>
      <c r="R52" s="48"/>
      <c r="S52" s="55" t="s">
        <v>36</v>
      </c>
      <c r="T52" s="55" t="s">
        <v>36</v>
      </c>
      <c r="U52" s="48">
        <f t="shared" si="364"/>
        <v>61.24</v>
      </c>
      <c r="V52" s="48">
        <f t="shared" si="364"/>
        <v>61.24</v>
      </c>
      <c r="W52" s="55" t="s">
        <v>36</v>
      </c>
      <c r="X52" s="55" t="s">
        <v>36</v>
      </c>
      <c r="Y52" s="48">
        <f>Z52</f>
        <v>72575.580000000075</v>
      </c>
      <c r="Z52" s="48">
        <f>[1]Fakts_Izd!Z66</f>
        <v>72575.580000000075</v>
      </c>
      <c r="AA52" s="55" t="s">
        <v>36</v>
      </c>
      <c r="AB52" s="55" t="s">
        <v>36</v>
      </c>
      <c r="AC52" s="48">
        <f>Y52-AG52</f>
        <v>72575.580000000075</v>
      </c>
      <c r="AD52" s="48">
        <f>Z52-AH52</f>
        <v>72575.580000000075</v>
      </c>
      <c r="AE52" s="55" t="s">
        <v>36</v>
      </c>
      <c r="AF52" s="55" t="s">
        <v>36</v>
      </c>
      <c r="AG52" s="48">
        <f>SUMIFS([1]SP2024!$BO$7:$BO$148,[1]SP2024!$J$7:$J$148,$B51,[1]SP2024!$K$7:$K$148,$B52)</f>
        <v>0</v>
      </c>
      <c r="AH52" s="55"/>
      <c r="AI52" s="55" t="s">
        <v>36</v>
      </c>
      <c r="AJ52" s="55" t="s">
        <v>36</v>
      </c>
      <c r="AK52" s="48">
        <f t="shared" si="4"/>
        <v>91.165044153299334</v>
      </c>
      <c r="AL52" s="48">
        <f t="shared" si="4"/>
        <v>91.165044153299334</v>
      </c>
      <c r="AM52" s="46">
        <f t="shared" ref="AM52:AM53" si="406">AN52</f>
        <v>865.84</v>
      </c>
      <c r="AN52" s="46">
        <f>VLOOKUP($B51,[1]!LTV1_RL2[[LTV1]:[Q2]],3,0)</f>
        <v>865.84</v>
      </c>
      <c r="AO52" s="63">
        <f t="shared" ref="AO52:AO53" si="407">IFERROR(AM52/$AM$65*100,0)</f>
        <v>39.64468864468865</v>
      </c>
      <c r="AP52" s="46">
        <f t="shared" ref="AP52" si="408">IFERROR(AN52/$AN$65*100,0)</f>
        <v>39.64468864468865</v>
      </c>
      <c r="AQ52" s="55" t="s">
        <v>36</v>
      </c>
      <c r="AR52" s="55" t="s">
        <v>36</v>
      </c>
      <c r="AS52" s="48">
        <f t="shared" ref="AS52:AS53" si="409">AT52</f>
        <v>64754.350000000013</v>
      </c>
      <c r="AT52" s="48">
        <v>64754.350000000013</v>
      </c>
      <c r="AU52" s="55" t="s">
        <v>36</v>
      </c>
      <c r="AV52" s="55" t="s">
        <v>36</v>
      </c>
      <c r="AW52" s="48">
        <f>AS52-BA52</f>
        <v>64754.350000000013</v>
      </c>
      <c r="AX52" s="48">
        <f>AT52-BB52</f>
        <v>64754.350000000013</v>
      </c>
      <c r="AY52" s="55" t="s">
        <v>36</v>
      </c>
      <c r="AZ52" s="55" t="s">
        <v>36</v>
      </c>
      <c r="BA52" s="48"/>
      <c r="BB52" s="48"/>
      <c r="BC52" s="55" t="s">
        <v>36</v>
      </c>
      <c r="BD52" s="55" t="s">
        <v>36</v>
      </c>
      <c r="BE52" s="48">
        <f t="shared" si="369"/>
        <v>74.790000000000006</v>
      </c>
      <c r="BF52" s="48">
        <f t="shared" si="369"/>
        <v>74.790000000000006</v>
      </c>
      <c r="BG52" s="55" t="s">
        <v>36</v>
      </c>
      <c r="BH52" s="55" t="s">
        <v>36</v>
      </c>
      <c r="BI52" s="48">
        <f t="shared" ref="BI52:BI53" si="410">BJ52</f>
        <v>86321.859999999913</v>
      </c>
      <c r="BJ52" s="48">
        <f>[1]Fakts_Izd!AA66</f>
        <v>86321.859999999913</v>
      </c>
      <c r="BK52" s="55" t="s">
        <v>36</v>
      </c>
      <c r="BL52" s="55" t="s">
        <v>36</v>
      </c>
      <c r="BM52" s="48">
        <f>BI52-BQ52</f>
        <v>86321.859999999913</v>
      </c>
      <c r="BN52" s="48">
        <f>BJ52-BR52</f>
        <v>86321.859999999913</v>
      </c>
      <c r="BO52" s="55" t="s">
        <v>36</v>
      </c>
      <c r="BP52" s="55" t="s">
        <v>36</v>
      </c>
      <c r="BQ52" s="48">
        <f>SUMIFS([1]SP2024!$BP$7:$BP$148,[1]SP2024!$J$7:$J$148,$B51,[1]SP2024!$K$7:$K$148,$B52)</f>
        <v>0</v>
      </c>
      <c r="BR52" s="55"/>
      <c r="BS52" s="55" t="s">
        <v>36</v>
      </c>
      <c r="BT52" s="55" t="s">
        <v>36</v>
      </c>
      <c r="BU52" s="48">
        <f t="shared" si="0"/>
        <v>99.697241984662185</v>
      </c>
      <c r="BV52" s="49">
        <f t="shared" si="0"/>
        <v>99.697241984662185</v>
      </c>
      <c r="BW52" s="46">
        <f>SUMIFS([1]SP2024!$AW$7:$AW$148,[1]SP2024!$L$7:$L$148,$B51,[1]SP2024!$M$7:$M$148,$B52)</f>
        <v>1135.4833333333333</v>
      </c>
      <c r="BX52" s="46">
        <f>VLOOKUP($B51,[1]!LTV1_RL2[[LTV1]:[Q3]],4,0)</f>
        <v>1025.98</v>
      </c>
      <c r="BY52" s="46">
        <f t="shared" ref="BY52:BY53" si="411">IFERROR(BW52/$BW$65*100,0)</f>
        <v>51.425875603864732</v>
      </c>
      <c r="BZ52" s="46">
        <f t="shared" ref="BZ52" si="412">IFERROR(BX52/$BX$65*100,0)</f>
        <v>46.466432895796096</v>
      </c>
      <c r="CA52" s="55" t="s">
        <v>36</v>
      </c>
      <c r="CB52" s="55" t="s">
        <v>36</v>
      </c>
      <c r="CC52" s="48">
        <f>CS52*'[2]Pielikums nr. 1.'!$EY$14</f>
        <v>66933.718572997794</v>
      </c>
      <c r="CD52" s="48">
        <v>75105.570000000007</v>
      </c>
      <c r="CE52" s="55" t="s">
        <v>36</v>
      </c>
      <c r="CF52" s="55" t="s">
        <v>36</v>
      </c>
      <c r="CG52" s="48">
        <f>CC52-CK52</f>
        <v>66933.718572997794</v>
      </c>
      <c r="CH52" s="48">
        <f>CD52-CL52</f>
        <v>75105.570000000007</v>
      </c>
      <c r="CI52" s="55" t="s">
        <v>36</v>
      </c>
      <c r="CJ52" s="55" t="s">
        <v>36</v>
      </c>
      <c r="CK52" s="48"/>
      <c r="CL52" s="48"/>
      <c r="CM52" s="55" t="s">
        <v>36</v>
      </c>
      <c r="CN52" s="55" t="s">
        <v>36</v>
      </c>
      <c r="CO52" s="48">
        <f t="shared" si="374"/>
        <v>58.95</v>
      </c>
      <c r="CP52" s="48">
        <f t="shared" si="374"/>
        <v>73.2</v>
      </c>
      <c r="CQ52" s="55" t="s">
        <v>36</v>
      </c>
      <c r="CR52" s="55" t="s">
        <v>36</v>
      </c>
      <c r="CS52" s="48">
        <f>SUMIFS([1]SP2024!$BS$7:$BS$148,[1]SP2024!$L$7:$L$148,$B51,[1]SP2024!$M$7:$M$148,$B52)</f>
        <v>67199.69</v>
      </c>
      <c r="CT52" s="48">
        <f>[1]Fakts_Izd!AB66</f>
        <v>174315.26</v>
      </c>
      <c r="CU52" s="55" t="s">
        <v>36</v>
      </c>
      <c r="CV52" s="55" t="s">
        <v>36</v>
      </c>
      <c r="CW52" s="48">
        <f>CS52-DA52</f>
        <v>67199.69</v>
      </c>
      <c r="CX52" s="48">
        <f>CT52-DB52</f>
        <v>174315.26</v>
      </c>
      <c r="CY52" s="55" t="s">
        <v>36</v>
      </c>
      <c r="CZ52" s="55" t="s">
        <v>36</v>
      </c>
      <c r="DA52" s="48">
        <f>SUMIFS([1]SP2024!$BQ$7:$BQ$148,[1]SP2024!$J$7:$J$148,$B51,[1]SP2024!$K$7:$K$148,$B52)</f>
        <v>0</v>
      </c>
      <c r="DB52" s="48"/>
      <c r="DC52" s="55" t="s">
        <v>36</v>
      </c>
      <c r="DD52" s="55" t="s">
        <v>36</v>
      </c>
      <c r="DE52" s="48">
        <f t="shared" si="1"/>
        <v>59.181573192032765</v>
      </c>
      <c r="DF52" s="48">
        <f t="shared" si="1"/>
        <v>169.90122614475916</v>
      </c>
      <c r="DG52" s="46">
        <v>881.33000000000015</v>
      </c>
      <c r="DH52" s="46">
        <v>813</v>
      </c>
      <c r="DI52" s="46">
        <v>39.915307971014492</v>
      </c>
      <c r="DJ52" s="46">
        <v>36.820652173913047</v>
      </c>
      <c r="DK52" s="55" t="s">
        <v>36</v>
      </c>
      <c r="DL52" s="55" t="s">
        <v>36</v>
      </c>
      <c r="DM52" s="48">
        <v>55550.889993352066</v>
      </c>
      <c r="DN52" s="48">
        <v>60523.989999999903</v>
      </c>
      <c r="DO52" s="55" t="s">
        <v>36</v>
      </c>
      <c r="DP52" s="55" t="s">
        <v>36</v>
      </c>
      <c r="DQ52" s="48">
        <v>55550.889993352066</v>
      </c>
      <c r="DR52" s="48">
        <v>60523.989999999903</v>
      </c>
      <c r="DS52" s="55" t="s">
        <v>36</v>
      </c>
      <c r="DT52" s="55" t="s">
        <v>36</v>
      </c>
      <c r="DU52" s="48"/>
      <c r="DV52" s="48"/>
      <c r="DW52" s="55" t="s">
        <v>36</v>
      </c>
      <c r="DX52" s="55" t="s">
        <v>36</v>
      </c>
      <c r="DY52" s="48">
        <v>63.03</v>
      </c>
      <c r="DZ52" s="48">
        <v>74.45</v>
      </c>
      <c r="EA52" s="55" t="s">
        <v>36</v>
      </c>
      <c r="EB52" s="55" t="s">
        <v>36</v>
      </c>
      <c r="EC52" s="48">
        <v>55771.63</v>
      </c>
      <c r="ED52" s="48">
        <v>77254.61</v>
      </c>
      <c r="EE52" s="55" t="s">
        <v>36</v>
      </c>
      <c r="EF52" s="55" t="s">
        <v>36</v>
      </c>
      <c r="EG52" s="48">
        <v>55771.63</v>
      </c>
      <c r="EH52" s="48">
        <v>77254.61</v>
      </c>
      <c r="EI52" s="55" t="s">
        <v>36</v>
      </c>
      <c r="EJ52" s="55" t="s">
        <v>36</v>
      </c>
      <c r="EK52" s="48">
        <v>0</v>
      </c>
      <c r="EL52" s="55"/>
      <c r="EM52" s="55" t="s">
        <v>36</v>
      </c>
      <c r="EN52" s="55" t="s">
        <v>36</v>
      </c>
      <c r="EO52" s="48">
        <v>63.281211351026279</v>
      </c>
      <c r="EP52" s="48">
        <v>95.024120541205406</v>
      </c>
      <c r="EQ52" s="46">
        <v>3678.7433333333338</v>
      </c>
      <c r="ER52" s="46">
        <v>3500.91</v>
      </c>
      <c r="ES52" s="46">
        <v>41.880047055251978</v>
      </c>
      <c r="ET52" s="46">
        <v>39.855521443669893</v>
      </c>
      <c r="EU52" s="55" t="s">
        <v>36</v>
      </c>
      <c r="EV52" s="55" t="s">
        <v>36</v>
      </c>
      <c r="EW52" s="48">
        <v>235992.16856634986</v>
      </c>
      <c r="EX52" s="48">
        <v>249137.11999999991</v>
      </c>
      <c r="EY52" s="55" t="s">
        <v>36</v>
      </c>
      <c r="EZ52" s="55" t="s">
        <v>36</v>
      </c>
      <c r="FA52" s="48">
        <v>235992.16856634986</v>
      </c>
      <c r="FB52" s="48">
        <v>249137.11999999991</v>
      </c>
      <c r="FC52" s="55" t="s">
        <v>36</v>
      </c>
      <c r="FD52" s="55" t="s">
        <v>36</v>
      </c>
      <c r="FE52" s="48">
        <v>0</v>
      </c>
      <c r="FF52" s="48">
        <v>0</v>
      </c>
      <c r="FG52" s="55" t="s">
        <v>36</v>
      </c>
      <c r="FH52" s="55" t="s">
        <v>36</v>
      </c>
      <c r="FI52" s="48">
        <v>64.150000000000006</v>
      </c>
      <c r="FJ52" s="48">
        <v>71.16</v>
      </c>
      <c r="FK52" s="55" t="s">
        <v>36</v>
      </c>
      <c r="FL52" s="55" t="s">
        <v>36</v>
      </c>
      <c r="FM52" s="48">
        <v>281868.76</v>
      </c>
      <c r="FN52" s="48">
        <v>410467.31</v>
      </c>
      <c r="FO52" s="55" t="s">
        <v>36</v>
      </c>
      <c r="FP52" s="55" t="s">
        <v>36</v>
      </c>
      <c r="FQ52" s="48">
        <v>281868.76</v>
      </c>
      <c r="FR52" s="48">
        <v>410467.31</v>
      </c>
      <c r="FS52" s="55" t="s">
        <v>36</v>
      </c>
      <c r="FT52" s="55" t="s">
        <v>36</v>
      </c>
      <c r="FU52" s="48">
        <v>0</v>
      </c>
      <c r="FV52" s="48">
        <v>0</v>
      </c>
      <c r="FW52" s="55" t="s">
        <v>36</v>
      </c>
      <c r="FX52" s="55" t="s">
        <v>36</v>
      </c>
      <c r="FY52" s="48">
        <v>76.620936678557797</v>
      </c>
      <c r="FZ52" s="48">
        <v>117.2458903542222</v>
      </c>
      <c r="GA52" s="50">
        <v>-177.83333333333394</v>
      </c>
      <c r="GB52" s="46">
        <v>-4.8340783039135804</v>
      </c>
      <c r="GC52" s="55" t="s">
        <v>36</v>
      </c>
      <c r="GD52" s="46" t="s">
        <v>36</v>
      </c>
      <c r="GE52" s="51">
        <v>13144.951433650043</v>
      </c>
      <c r="GF52" s="46">
        <v>5.5700795130217751</v>
      </c>
      <c r="GG52" s="55" t="s">
        <v>36</v>
      </c>
      <c r="GH52" s="57" t="s">
        <v>36</v>
      </c>
      <c r="GI52" s="51">
        <v>13144.951433650043</v>
      </c>
      <c r="GJ52" s="46">
        <v>5.5700795130217751</v>
      </c>
      <c r="GK52" s="55" t="s">
        <v>36</v>
      </c>
      <c r="GL52" s="58" t="s">
        <v>36</v>
      </c>
      <c r="GM52" s="51">
        <v>0</v>
      </c>
      <c r="GN52" s="46" t="s">
        <v>88</v>
      </c>
      <c r="GO52" s="55" t="s">
        <v>36</v>
      </c>
      <c r="GP52" s="57" t="s">
        <v>36</v>
      </c>
      <c r="GQ52" s="51">
        <v>7.0099999999999909</v>
      </c>
      <c r="GR52" s="44"/>
      <c r="GS52" s="44"/>
      <c r="GT52" s="44"/>
      <c r="GU52" s="44"/>
      <c r="GV52" s="44"/>
      <c r="GW52" s="44"/>
    </row>
    <row r="53" spans="1:205">
      <c r="A53" s="418"/>
      <c r="B53" s="45" t="s">
        <v>39</v>
      </c>
      <c r="C53" s="46">
        <f t="shared" si="404"/>
        <v>1327.9</v>
      </c>
      <c r="D53" s="46">
        <f>VLOOKUP($B51,[1]!LTV7_RL7[[LTV7]:[Q1]],2,0)</f>
        <v>1327.9</v>
      </c>
      <c r="E53" s="46">
        <f>IFERROR(C53/$C$66*100,0)</f>
        <v>60.801282051282058</v>
      </c>
      <c r="F53" s="46">
        <f t="shared" ref="F53" si="413">IFERROR(D53/$D$66*100,0)</f>
        <v>60.801282051282058</v>
      </c>
      <c r="G53" s="111" t="s">
        <v>36</v>
      </c>
      <c r="H53" s="111" t="s">
        <v>36</v>
      </c>
      <c r="I53" s="112">
        <f t="shared" si="2"/>
        <v>57610.65</v>
      </c>
      <c r="J53" s="48">
        <v>57610.65</v>
      </c>
      <c r="K53" s="111" t="s">
        <v>36</v>
      </c>
      <c r="L53" s="111" t="s">
        <v>36</v>
      </c>
      <c r="M53" s="112">
        <f>I53-Q53</f>
        <v>57610.65</v>
      </c>
      <c r="N53" s="112">
        <f>J53-R53</f>
        <v>57610.65</v>
      </c>
      <c r="O53" s="111" t="s">
        <v>36</v>
      </c>
      <c r="P53" s="111" t="s">
        <v>36</v>
      </c>
      <c r="Q53" s="112"/>
      <c r="R53" s="112"/>
      <c r="S53" s="111" t="s">
        <v>36</v>
      </c>
      <c r="T53" s="111" t="s">
        <v>36</v>
      </c>
      <c r="U53" s="112">
        <f t="shared" si="364"/>
        <v>43.38</v>
      </c>
      <c r="V53" s="112">
        <f t="shared" si="364"/>
        <v>43.38</v>
      </c>
      <c r="W53" s="111" t="s">
        <v>36</v>
      </c>
      <c r="X53" s="111" t="s">
        <v>36</v>
      </c>
      <c r="Y53" s="48">
        <f>Z53</f>
        <v>57610.649999999994</v>
      </c>
      <c r="Z53" s="48">
        <f>[1]Fakts_Izd!Z67</f>
        <v>57610.649999999994</v>
      </c>
      <c r="AA53" s="111" t="s">
        <v>36</v>
      </c>
      <c r="AB53" s="111" t="s">
        <v>36</v>
      </c>
      <c r="AC53" s="48">
        <f>Y53-AG53</f>
        <v>57610.649999999994</v>
      </c>
      <c r="AD53" s="48">
        <f>Z53-AH53</f>
        <v>57610.649999999994</v>
      </c>
      <c r="AE53" s="111" t="s">
        <v>36</v>
      </c>
      <c r="AF53" s="111" t="s">
        <v>36</v>
      </c>
      <c r="AG53" s="48">
        <f>SUMIFS([1]SP2024!$BO$7:$BO$148,[1]SP2024!$J$7:$J$148,$B51,[1]SP2024!$K$7:$K$148,$B53)</f>
        <v>0</v>
      </c>
      <c r="AH53" s="111"/>
      <c r="AI53" s="111" t="s">
        <v>36</v>
      </c>
      <c r="AJ53" s="111" t="s">
        <v>36</v>
      </c>
      <c r="AK53" s="48">
        <f t="shared" si="4"/>
        <v>43.384780480457856</v>
      </c>
      <c r="AL53" s="48">
        <f t="shared" si="4"/>
        <v>43.384780480457856</v>
      </c>
      <c r="AM53" s="46">
        <f t="shared" si="406"/>
        <v>1304.8699999999999</v>
      </c>
      <c r="AN53" s="46">
        <f>VLOOKUP($B51,[1]!LTV7_RL7[[LTV7]:[Q2]],3,0)</f>
        <v>1304.8699999999999</v>
      </c>
      <c r="AO53" s="63">
        <f t="shared" si="407"/>
        <v>59.746794871794862</v>
      </c>
      <c r="AP53" s="46">
        <f t="shared" ref="AP53" si="414">IFERROR(AN53/$AN$66*100,0)</f>
        <v>59.746794871794883</v>
      </c>
      <c r="AQ53" s="111" t="s">
        <v>36</v>
      </c>
      <c r="AR53" s="111" t="s">
        <v>36</v>
      </c>
      <c r="AS53" s="112">
        <f t="shared" si="409"/>
        <v>50944.51</v>
      </c>
      <c r="AT53" s="48">
        <v>50944.51</v>
      </c>
      <c r="AU53" s="111" t="s">
        <v>36</v>
      </c>
      <c r="AV53" s="111" t="s">
        <v>36</v>
      </c>
      <c r="AW53" s="112">
        <f>AS53-BA53</f>
        <v>50944.51</v>
      </c>
      <c r="AX53" s="112">
        <f>AT53-BB53</f>
        <v>50944.51</v>
      </c>
      <c r="AY53" s="111" t="s">
        <v>36</v>
      </c>
      <c r="AZ53" s="111" t="s">
        <v>36</v>
      </c>
      <c r="BA53" s="112"/>
      <c r="BB53" s="112"/>
      <c r="BC53" s="111" t="s">
        <v>36</v>
      </c>
      <c r="BD53" s="111" t="s">
        <v>36</v>
      </c>
      <c r="BE53" s="112">
        <f t="shared" si="369"/>
        <v>39.04</v>
      </c>
      <c r="BF53" s="112">
        <f t="shared" si="369"/>
        <v>39.04</v>
      </c>
      <c r="BG53" s="111" t="s">
        <v>36</v>
      </c>
      <c r="BH53" s="111" t="s">
        <v>36</v>
      </c>
      <c r="BI53" s="48">
        <f t="shared" si="410"/>
        <v>50944.509999999995</v>
      </c>
      <c r="BJ53" s="48">
        <f>[1]Fakts_Izd!AA67</f>
        <v>50944.509999999995</v>
      </c>
      <c r="BK53" s="111" t="s">
        <v>36</v>
      </c>
      <c r="BL53" s="111" t="s">
        <v>36</v>
      </c>
      <c r="BM53" s="48">
        <f>BI53-BQ53</f>
        <v>50944.509999999995</v>
      </c>
      <c r="BN53" s="48">
        <f>BJ53-BR53</f>
        <v>50944.509999999995</v>
      </c>
      <c r="BO53" s="111" t="s">
        <v>36</v>
      </c>
      <c r="BP53" s="111" t="s">
        <v>36</v>
      </c>
      <c r="BQ53" s="48">
        <f>SUMIFS([1]SP2024!$BP$7:$BP$148,[1]SP2024!$J$7:$J$148,$B51,[1]SP2024!$K$7:$K$148,$B53)</f>
        <v>0</v>
      </c>
      <c r="BR53" s="111"/>
      <c r="BS53" s="111" t="s">
        <v>36</v>
      </c>
      <c r="BT53" s="111" t="s">
        <v>36</v>
      </c>
      <c r="BU53" s="48">
        <f t="shared" si="0"/>
        <v>39.041827921555402</v>
      </c>
      <c r="BV53" s="103">
        <f t="shared" si="0"/>
        <v>39.041827921555402</v>
      </c>
      <c r="BW53" s="46">
        <f>SUMIFS([1]SP2024!$AW$7:$AW$148,[1]SP2024!$L$7:$L$148,$B51,[1]SP2024!$M$7:$M$148,$B53)</f>
        <v>1289.0333333333333</v>
      </c>
      <c r="BX53" s="46">
        <f>VLOOKUP($B51,[1]!LTV7_RL7[[LTV7]:[Q3]],4,0)</f>
        <v>1179.51</v>
      </c>
      <c r="BY53" s="46">
        <f t="shared" si="411"/>
        <v>58.380132850241537</v>
      </c>
      <c r="BZ53" s="46">
        <f t="shared" ref="BZ53" si="415">IFERROR(BX53/$BX$66*100,0)</f>
        <v>53.41981007457224</v>
      </c>
      <c r="CA53" s="111" t="s">
        <v>36</v>
      </c>
      <c r="CB53" s="111" t="s">
        <v>36</v>
      </c>
      <c r="CC53" s="112">
        <f>CS53*'[2]Pielikums nr. 1.'!$EY$14</f>
        <v>86857.807142193633</v>
      </c>
      <c r="CD53" s="48">
        <v>47486.759999999987</v>
      </c>
      <c r="CE53" s="111" t="s">
        <v>36</v>
      </c>
      <c r="CF53" s="111" t="s">
        <v>36</v>
      </c>
      <c r="CG53" s="112">
        <f>CC53-CK53</f>
        <v>86857.807142193633</v>
      </c>
      <c r="CH53" s="112">
        <f>CD53-CL53</f>
        <v>47486.759999999987</v>
      </c>
      <c r="CI53" s="111" t="s">
        <v>36</v>
      </c>
      <c r="CJ53" s="111" t="s">
        <v>36</v>
      </c>
      <c r="CK53" s="112"/>
      <c r="CL53" s="112"/>
      <c r="CM53" s="111" t="s">
        <v>36</v>
      </c>
      <c r="CN53" s="111" t="s">
        <v>36</v>
      </c>
      <c r="CO53" s="112">
        <f t="shared" si="374"/>
        <v>67.38</v>
      </c>
      <c r="CP53" s="112">
        <f t="shared" si="374"/>
        <v>40.26</v>
      </c>
      <c r="CQ53" s="111" t="s">
        <v>36</v>
      </c>
      <c r="CR53" s="111" t="s">
        <v>36</v>
      </c>
      <c r="CS53" s="48">
        <f>SUMIFS([1]SP2024!$BS$7:$BS$148,[1]SP2024!$L$7:$L$148,$B51,[1]SP2024!$M$7:$M$148,$B53)</f>
        <v>87202.95</v>
      </c>
      <c r="CT53" s="48">
        <f>[1]Fakts_Izd!AB67</f>
        <v>47486.76</v>
      </c>
      <c r="CU53" s="111" t="s">
        <v>36</v>
      </c>
      <c r="CV53" s="111" t="s">
        <v>36</v>
      </c>
      <c r="CW53" s="48">
        <f>CS53-DA53</f>
        <v>87202.95</v>
      </c>
      <c r="CX53" s="48">
        <f>CT53-DB53</f>
        <v>47486.76</v>
      </c>
      <c r="CY53" s="111" t="s">
        <v>36</v>
      </c>
      <c r="CZ53" s="111" t="s">
        <v>36</v>
      </c>
      <c r="DA53" s="48">
        <f>SUMIFS([1]SP2024!$BQ$7:$BQ$148,[1]SP2024!$J$7:$J$148,$B51,[1]SP2024!$K$7:$K$148,$B53)</f>
        <v>0</v>
      </c>
      <c r="DB53" s="48"/>
      <c r="DC53" s="111" t="s">
        <v>36</v>
      </c>
      <c r="DD53" s="111" t="s">
        <v>36</v>
      </c>
      <c r="DE53" s="48">
        <f t="shared" si="1"/>
        <v>67.649879754855064</v>
      </c>
      <c r="DF53" s="48">
        <f t="shared" si="1"/>
        <v>40.259734974692883</v>
      </c>
      <c r="DG53" s="46">
        <v>1633.7550000000001</v>
      </c>
      <c r="DH53" s="46">
        <v>1202.77</v>
      </c>
      <c r="DI53" s="46">
        <v>73.992527173913032</v>
      </c>
      <c r="DJ53" s="46">
        <v>54.473278985507257</v>
      </c>
      <c r="DK53" s="111" t="s">
        <v>36</v>
      </c>
      <c r="DL53" s="111" t="s">
        <v>36</v>
      </c>
      <c r="DM53" s="112">
        <v>72086.672517831525</v>
      </c>
      <c r="DN53" s="48">
        <v>57977.750000000022</v>
      </c>
      <c r="DO53" s="111" t="s">
        <v>36</v>
      </c>
      <c r="DP53" s="111" t="s">
        <v>36</v>
      </c>
      <c r="DQ53" s="112">
        <v>72086.672517831525</v>
      </c>
      <c r="DR53" s="48">
        <v>57977.750000000022</v>
      </c>
      <c r="DS53" s="111" t="s">
        <v>36</v>
      </c>
      <c r="DT53" s="111" t="s">
        <v>36</v>
      </c>
      <c r="DU53" s="112"/>
      <c r="DV53" s="112"/>
      <c r="DW53" s="111" t="s">
        <v>36</v>
      </c>
      <c r="DX53" s="111" t="s">
        <v>36</v>
      </c>
      <c r="DY53" s="112">
        <v>44.12</v>
      </c>
      <c r="DZ53" s="112">
        <v>48.2</v>
      </c>
      <c r="EA53" s="111" t="s">
        <v>36</v>
      </c>
      <c r="EB53" s="111" t="s">
        <v>36</v>
      </c>
      <c r="EC53" s="48">
        <v>72373.119999999995</v>
      </c>
      <c r="ED53" s="48">
        <v>57977.75</v>
      </c>
      <c r="EE53" s="111" t="s">
        <v>36</v>
      </c>
      <c r="EF53" s="111" t="s">
        <v>36</v>
      </c>
      <c r="EG53" s="48">
        <v>72373.119999999995</v>
      </c>
      <c r="EH53" s="48">
        <v>57977.75</v>
      </c>
      <c r="EI53" s="111" t="s">
        <v>36</v>
      </c>
      <c r="EJ53" s="111" t="s">
        <v>36</v>
      </c>
      <c r="EK53" s="48">
        <v>0</v>
      </c>
      <c r="EL53" s="111"/>
      <c r="EM53" s="111" t="s">
        <v>36</v>
      </c>
      <c r="EN53" s="111" t="s">
        <v>36</v>
      </c>
      <c r="EO53" s="48">
        <v>44.298637188562537</v>
      </c>
      <c r="EP53" s="48">
        <v>48.203521870349277</v>
      </c>
      <c r="EQ53" s="46">
        <v>5555.5583333333334</v>
      </c>
      <c r="ER53" s="46">
        <v>5015.0499999999993</v>
      </c>
      <c r="ES53" s="46">
        <v>63.246338038858532</v>
      </c>
      <c r="ET53" s="46">
        <v>57.093002796371842</v>
      </c>
      <c r="EU53" s="111" t="s">
        <v>36</v>
      </c>
      <c r="EV53" s="111" t="s">
        <v>36</v>
      </c>
      <c r="EW53" s="48">
        <v>267499.63966002513</v>
      </c>
      <c r="EX53" s="48">
        <v>214019.67</v>
      </c>
      <c r="EY53" s="111" t="s">
        <v>36</v>
      </c>
      <c r="EZ53" s="111" t="s">
        <v>36</v>
      </c>
      <c r="FA53" s="48">
        <v>267499.63966002513</v>
      </c>
      <c r="FB53" s="48">
        <v>214019.67</v>
      </c>
      <c r="FC53" s="111" t="s">
        <v>36</v>
      </c>
      <c r="FD53" s="111" t="s">
        <v>36</v>
      </c>
      <c r="FE53" s="48">
        <v>0</v>
      </c>
      <c r="FF53" s="48">
        <v>0</v>
      </c>
      <c r="FG53" s="111" t="s">
        <v>36</v>
      </c>
      <c r="FH53" s="111" t="s">
        <v>36</v>
      </c>
      <c r="FI53" s="112">
        <v>48.15</v>
      </c>
      <c r="FJ53" s="112">
        <v>42.68</v>
      </c>
      <c r="FK53" s="111" t="s">
        <v>36</v>
      </c>
      <c r="FL53" s="111" t="s">
        <v>36</v>
      </c>
      <c r="FM53" s="48">
        <v>268131.23</v>
      </c>
      <c r="FN53" s="48">
        <v>214019.66999999998</v>
      </c>
      <c r="FO53" s="111" t="s">
        <v>36</v>
      </c>
      <c r="FP53" s="111" t="s">
        <v>36</v>
      </c>
      <c r="FQ53" s="48">
        <v>268131.23</v>
      </c>
      <c r="FR53" s="48">
        <v>214019.66999999998</v>
      </c>
      <c r="FS53" s="111" t="s">
        <v>36</v>
      </c>
      <c r="FT53" s="111" t="s">
        <v>36</v>
      </c>
      <c r="FU53" s="48">
        <v>0</v>
      </c>
      <c r="FV53" s="48">
        <v>0</v>
      </c>
      <c r="FW53" s="111" t="s">
        <v>36</v>
      </c>
      <c r="FX53" s="111" t="s">
        <v>36</v>
      </c>
      <c r="FY53" s="48">
        <v>48.263597268201359</v>
      </c>
      <c r="FZ53" s="48">
        <v>42.675480802783625</v>
      </c>
      <c r="GA53" s="50">
        <v>-540.50833333333412</v>
      </c>
      <c r="GB53" s="46">
        <v>-9.7291451354274407</v>
      </c>
      <c r="GC53" s="111" t="s">
        <v>36</v>
      </c>
      <c r="GD53" s="46" t="s">
        <v>36</v>
      </c>
      <c r="GE53" s="51">
        <v>-53479.969660025119</v>
      </c>
      <c r="GF53" s="46">
        <v>-19.992538953695316</v>
      </c>
      <c r="GG53" s="111" t="s">
        <v>36</v>
      </c>
      <c r="GH53" s="113" t="s">
        <v>36</v>
      </c>
      <c r="GI53" s="51">
        <v>-53479.969660025119</v>
      </c>
      <c r="GJ53" s="46">
        <v>-19.992538953695316</v>
      </c>
      <c r="GK53" s="111" t="s">
        <v>36</v>
      </c>
      <c r="GL53" s="114" t="s">
        <v>36</v>
      </c>
      <c r="GM53" s="51">
        <v>0</v>
      </c>
      <c r="GN53" s="46" t="s">
        <v>88</v>
      </c>
      <c r="GO53" s="111" t="s">
        <v>36</v>
      </c>
      <c r="GP53" s="113" t="s">
        <v>36</v>
      </c>
      <c r="GQ53" s="51">
        <v>-5.4699999999999989</v>
      </c>
      <c r="GR53" s="44"/>
      <c r="GS53" s="44"/>
      <c r="GT53" s="44"/>
      <c r="GU53" s="44"/>
      <c r="GV53" s="44"/>
      <c r="GW53" s="44"/>
    </row>
    <row r="54" spans="1:205">
      <c r="A54" s="418" t="s">
        <v>56</v>
      </c>
      <c r="B54" s="65" t="s">
        <v>57</v>
      </c>
      <c r="C54" s="35">
        <f>SUM(C55:C56)</f>
        <v>247.85</v>
      </c>
      <c r="D54" s="35">
        <f>SUM(D55:D56)</f>
        <v>247.85</v>
      </c>
      <c r="E54" s="35">
        <f t="shared" ref="E54" si="416">IFERROR(C54/$C$64*100,0)</f>
        <v>5.6742216117216113</v>
      </c>
      <c r="F54" s="35">
        <f t="shared" ref="F54" si="417">IFERROR(D54/$D$64*100,0)</f>
        <v>5.6742216117216113</v>
      </c>
      <c r="G54" s="59" t="s">
        <v>36</v>
      </c>
      <c r="H54" s="59" t="s">
        <v>36</v>
      </c>
      <c r="I54" s="37">
        <f t="shared" si="2"/>
        <v>153161.34</v>
      </c>
      <c r="J54" s="37">
        <f>SUM(J55:J56)</f>
        <v>153161.34</v>
      </c>
      <c r="K54" s="59" t="s">
        <v>36</v>
      </c>
      <c r="L54" s="59" t="s">
        <v>36</v>
      </c>
      <c r="M54" s="37">
        <f>SUM(M55:M56)</f>
        <v>153161.34</v>
      </c>
      <c r="N54" s="37">
        <f>SUM(N55:N56)</f>
        <v>153161.34</v>
      </c>
      <c r="O54" s="59" t="s">
        <v>36</v>
      </c>
      <c r="P54" s="59" t="s">
        <v>36</v>
      </c>
      <c r="Q54" s="37">
        <f>SUM(Q55:Q56)</f>
        <v>0</v>
      </c>
      <c r="R54" s="37">
        <f>SUM(R55:R56)</f>
        <v>0</v>
      </c>
      <c r="S54" s="59" t="s">
        <v>36</v>
      </c>
      <c r="T54" s="59" t="s">
        <v>36</v>
      </c>
      <c r="U54" s="37">
        <f t="shared" si="364"/>
        <v>617.96</v>
      </c>
      <c r="V54" s="37">
        <f t="shared" si="364"/>
        <v>617.96</v>
      </c>
      <c r="W54" s="59" t="s">
        <v>36</v>
      </c>
      <c r="X54" s="59" t="s">
        <v>36</v>
      </c>
      <c r="Y54" s="37">
        <f>SUM(Y55:Y56)</f>
        <v>152672.46</v>
      </c>
      <c r="Z54" s="37">
        <f>SUM(Z55:Z56)</f>
        <v>152672.46</v>
      </c>
      <c r="AA54" s="59" t="s">
        <v>36</v>
      </c>
      <c r="AB54" s="59" t="s">
        <v>36</v>
      </c>
      <c r="AC54" s="37">
        <f>SUM(AC55:AC56)</f>
        <v>117388.94</v>
      </c>
      <c r="AD54" s="37">
        <f>SUM(AD55:AD56)</f>
        <v>117388.94</v>
      </c>
      <c r="AE54" s="59" t="s">
        <v>36</v>
      </c>
      <c r="AF54" s="59" t="s">
        <v>36</v>
      </c>
      <c r="AG54" s="37">
        <f>SUM(AG55:AG56)</f>
        <v>35283.519999999997</v>
      </c>
      <c r="AH54" s="37">
        <f>AH55</f>
        <v>35283.519999999997</v>
      </c>
      <c r="AI54" s="59" t="s">
        <v>36</v>
      </c>
      <c r="AJ54" s="59" t="s">
        <v>36</v>
      </c>
      <c r="AK54" s="37">
        <f t="shared" si="4"/>
        <v>615.9873310470042</v>
      </c>
      <c r="AL54" s="37">
        <f t="shared" si="4"/>
        <v>615.9873310470042</v>
      </c>
      <c r="AM54" s="35">
        <f>SUM(AM55:AM56)</f>
        <v>236.03</v>
      </c>
      <c r="AN54" s="35">
        <f>SUM(AN55:AN56)</f>
        <v>236.03</v>
      </c>
      <c r="AO54" s="35">
        <f t="shared" ref="AO54" si="418">IFERROR(AM54/$AM$64*100,0)</f>
        <v>5.4036172161172162</v>
      </c>
      <c r="AP54" s="35">
        <f t="shared" ref="AP54" si="419">IFERROR(AN54/$AN$64*100,0)</f>
        <v>5.4036172161172162</v>
      </c>
      <c r="AQ54" s="59" t="s">
        <v>36</v>
      </c>
      <c r="AR54" s="59" t="s">
        <v>36</v>
      </c>
      <c r="AS54" s="37">
        <f>SUM(AS55:AS56)</f>
        <v>151952.29999999999</v>
      </c>
      <c r="AT54" s="37">
        <f>SUM(AT55:AT56)</f>
        <v>151952.29999999999</v>
      </c>
      <c r="AU54" s="59" t="s">
        <v>36</v>
      </c>
      <c r="AV54" s="59" t="s">
        <v>36</v>
      </c>
      <c r="AW54" s="37">
        <f>SUM(AW55:AW56)</f>
        <v>151952.29999999999</v>
      </c>
      <c r="AX54" s="37">
        <f>SUM(AX55:AX56)</f>
        <v>151952.29999999999</v>
      </c>
      <c r="AY54" s="59" t="s">
        <v>36</v>
      </c>
      <c r="AZ54" s="59" t="s">
        <v>36</v>
      </c>
      <c r="BA54" s="37">
        <f>SUM(BA55:BA56)</f>
        <v>0</v>
      </c>
      <c r="BB54" s="37">
        <f>SUM(BB55:BB56)</f>
        <v>0</v>
      </c>
      <c r="BC54" s="59" t="s">
        <v>36</v>
      </c>
      <c r="BD54" s="59" t="s">
        <v>36</v>
      </c>
      <c r="BE54" s="37">
        <f t="shared" si="369"/>
        <v>643.78</v>
      </c>
      <c r="BF54" s="37">
        <f t="shared" si="369"/>
        <v>643.78</v>
      </c>
      <c r="BG54" s="59" t="s">
        <v>36</v>
      </c>
      <c r="BH54" s="59" t="s">
        <v>36</v>
      </c>
      <c r="BI54" s="37">
        <f>SUM(BI55:BI56)</f>
        <v>147543.28999999998</v>
      </c>
      <c r="BJ54" s="37">
        <f>SUM(BJ55:BJ56)</f>
        <v>147543.28999999998</v>
      </c>
      <c r="BK54" s="59" t="s">
        <v>36</v>
      </c>
      <c r="BL54" s="59" t="s">
        <v>36</v>
      </c>
      <c r="BM54" s="37">
        <f>SUM(BM55:BM56)</f>
        <v>101739.59</v>
      </c>
      <c r="BN54" s="37">
        <f>SUM(BN55:BN56)</f>
        <v>101739.59</v>
      </c>
      <c r="BO54" s="59" t="s">
        <v>36</v>
      </c>
      <c r="BP54" s="59" t="s">
        <v>36</v>
      </c>
      <c r="BQ54" s="37">
        <f t="shared" ref="BQ54:BR54" si="420">SUM(BQ55:BQ56)</f>
        <v>45803.700000000004</v>
      </c>
      <c r="BR54" s="37">
        <f t="shared" si="420"/>
        <v>45803.700000000004</v>
      </c>
      <c r="BS54" s="59" t="s">
        <v>36</v>
      </c>
      <c r="BT54" s="59" t="s">
        <v>36</v>
      </c>
      <c r="BU54" s="37">
        <f t="shared" si="0"/>
        <v>625.10396983434305</v>
      </c>
      <c r="BV54" s="60">
        <f t="shared" si="0"/>
        <v>625.10396983434305</v>
      </c>
      <c r="BW54" s="35">
        <f>SUM(BW55:BW56)</f>
        <v>210</v>
      </c>
      <c r="BX54" s="35">
        <f>SUM(BX55:BX56)</f>
        <v>213.2236111111111</v>
      </c>
      <c r="BY54" s="35">
        <f t="shared" ref="BY54" si="421">IFERROR(BW54/$BW$64*100,0)</f>
        <v>4.7554347826086962</v>
      </c>
      <c r="BZ54" s="35">
        <f t="shared" ref="BZ54" si="422">IFERROR(BX54/$BX$64*100,0)</f>
        <v>4.8284292742564565</v>
      </c>
      <c r="CA54" s="59" t="s">
        <v>36</v>
      </c>
      <c r="CB54" s="59" t="s">
        <v>36</v>
      </c>
      <c r="CC54" s="37">
        <f>SUM(CC55:CC56)</f>
        <v>197955.47347513383</v>
      </c>
      <c r="CD54" s="37">
        <f>SUM(CD55:CD56)</f>
        <v>122749.53000000001</v>
      </c>
      <c r="CE54" s="59" t="s">
        <v>36</v>
      </c>
      <c r="CF54" s="59" t="s">
        <v>36</v>
      </c>
      <c r="CG54" s="37">
        <f>SUM(CG55:CG56)</f>
        <v>197955.47347513383</v>
      </c>
      <c r="CH54" s="37">
        <f>SUM(CH55:CH56)</f>
        <v>91843.510000000009</v>
      </c>
      <c r="CI54" s="59" t="s">
        <v>36</v>
      </c>
      <c r="CJ54" s="59" t="s">
        <v>36</v>
      </c>
      <c r="CK54" s="37">
        <f>SUM(CK55:CK56)</f>
        <v>0</v>
      </c>
      <c r="CL54" s="37">
        <f>SUM(CL55:CL56)</f>
        <v>30906.02</v>
      </c>
      <c r="CM54" s="59" t="s">
        <v>36</v>
      </c>
      <c r="CN54" s="59" t="s">
        <v>36</v>
      </c>
      <c r="CO54" s="37">
        <f t="shared" si="374"/>
        <v>942.65</v>
      </c>
      <c r="CP54" s="37">
        <f t="shared" si="374"/>
        <v>575.67999999999995</v>
      </c>
      <c r="CQ54" s="59" t="s">
        <v>36</v>
      </c>
      <c r="CR54" s="59" t="s">
        <v>36</v>
      </c>
      <c r="CS54" s="37">
        <f>SUM(CS55:CS56)</f>
        <v>198742.08000000002</v>
      </c>
      <c r="CT54" s="37">
        <f>SUM(CT55:CT56)</f>
        <v>147363.92999999996</v>
      </c>
      <c r="CU54" s="59" t="s">
        <v>36</v>
      </c>
      <c r="CV54" s="59" t="s">
        <v>36</v>
      </c>
      <c r="CW54" s="37">
        <f>SUM(CW55:CW56)</f>
        <v>198742.08000000002</v>
      </c>
      <c r="CX54" s="37">
        <f>SUM(CX55:CX56)</f>
        <v>109967.63999999996</v>
      </c>
      <c r="CY54" s="59" t="s">
        <v>36</v>
      </c>
      <c r="CZ54" s="59" t="s">
        <v>36</v>
      </c>
      <c r="DA54" s="37">
        <f t="shared" ref="DA54:DB54" si="423">SUM(DA55:DA56)</f>
        <v>0</v>
      </c>
      <c r="DB54" s="37">
        <f t="shared" si="423"/>
        <v>37396.29</v>
      </c>
      <c r="DC54" s="59" t="s">
        <v>36</v>
      </c>
      <c r="DD54" s="59" t="s">
        <v>36</v>
      </c>
      <c r="DE54" s="37">
        <f t="shared" si="1"/>
        <v>946.39085714285727</v>
      </c>
      <c r="DF54" s="37">
        <f t="shared" si="1"/>
        <v>691.12388272614157</v>
      </c>
      <c r="DG54" s="35">
        <v>250</v>
      </c>
      <c r="DH54" s="35">
        <v>212.27</v>
      </c>
      <c r="DI54" s="35">
        <v>5.6612318840579698</v>
      </c>
      <c r="DJ54" s="35">
        <v>4.8068387681159432</v>
      </c>
      <c r="DK54" s="59" t="s">
        <v>36</v>
      </c>
      <c r="DL54" s="59" t="s">
        <v>36</v>
      </c>
      <c r="DM54" s="37">
        <v>192482.71034130803</v>
      </c>
      <c r="DN54" s="37">
        <v>245780.69</v>
      </c>
      <c r="DO54" s="59" t="s">
        <v>36</v>
      </c>
      <c r="DP54" s="59" t="s">
        <v>36</v>
      </c>
      <c r="DQ54" s="37">
        <v>192482.71034130803</v>
      </c>
      <c r="DR54" s="37">
        <v>216224.85</v>
      </c>
      <c r="DS54" s="59" t="s">
        <v>36</v>
      </c>
      <c r="DT54" s="59" t="s">
        <v>36</v>
      </c>
      <c r="DU54" s="37">
        <v>0</v>
      </c>
      <c r="DV54" s="37">
        <v>29555.84</v>
      </c>
      <c r="DW54" s="59" t="s">
        <v>36</v>
      </c>
      <c r="DX54" s="59" t="s">
        <v>36</v>
      </c>
      <c r="DY54" s="37">
        <v>769.93</v>
      </c>
      <c r="DZ54" s="37">
        <v>1157.8699999999999</v>
      </c>
      <c r="EA54" s="59" t="s">
        <v>36</v>
      </c>
      <c r="EB54" s="59" t="s">
        <v>36</v>
      </c>
      <c r="EC54" s="37">
        <v>193247.57</v>
      </c>
      <c r="ED54" s="37">
        <v>205209.99999999994</v>
      </c>
      <c r="EE54" s="59" t="s">
        <v>36</v>
      </c>
      <c r="EF54" s="59" t="s">
        <v>36</v>
      </c>
      <c r="EG54" s="37">
        <v>193247.57</v>
      </c>
      <c r="EH54" s="37">
        <v>169447.42999999993</v>
      </c>
      <c r="EI54" s="59" t="s">
        <v>36</v>
      </c>
      <c r="EJ54" s="59" t="s">
        <v>36</v>
      </c>
      <c r="EK54" s="37">
        <v>0</v>
      </c>
      <c r="EL54" s="37">
        <v>35762.570000000022</v>
      </c>
      <c r="EM54" s="59" t="s">
        <v>36</v>
      </c>
      <c r="EN54" s="59" t="s">
        <v>36</v>
      </c>
      <c r="EO54" s="37">
        <v>772.99027999999998</v>
      </c>
      <c r="EP54" s="37">
        <v>966.7404720403257</v>
      </c>
      <c r="EQ54" s="40">
        <v>943.88</v>
      </c>
      <c r="ER54" s="35">
        <v>909.37361111111113</v>
      </c>
      <c r="ES54" s="40">
        <v>5.3727231329690346</v>
      </c>
      <c r="ET54" s="40">
        <v>5.1763059209298321</v>
      </c>
      <c r="EU54" s="59" t="s">
        <v>36</v>
      </c>
      <c r="EV54" s="59" t="s">
        <v>36</v>
      </c>
      <c r="EW54" s="37">
        <v>695551.82381644181</v>
      </c>
      <c r="EX54" s="37">
        <v>673643.8600000001</v>
      </c>
      <c r="EY54" s="59" t="s">
        <v>36</v>
      </c>
      <c r="EZ54" s="59" t="s">
        <v>36</v>
      </c>
      <c r="FA54" s="37">
        <v>695551.82381644181</v>
      </c>
      <c r="FB54" s="37">
        <v>613182</v>
      </c>
      <c r="FC54" s="59" t="s">
        <v>36</v>
      </c>
      <c r="FD54" s="59" t="s">
        <v>36</v>
      </c>
      <c r="FE54" s="37">
        <v>0</v>
      </c>
      <c r="FF54" s="37">
        <v>60461.86</v>
      </c>
      <c r="FG54" s="59" t="s">
        <v>36</v>
      </c>
      <c r="FH54" s="59" t="s">
        <v>36</v>
      </c>
      <c r="FI54" s="37">
        <v>736.91</v>
      </c>
      <c r="FJ54" s="37">
        <v>740.78</v>
      </c>
      <c r="FK54" s="59" t="s">
        <v>36</v>
      </c>
      <c r="FL54" s="59" t="s">
        <v>36</v>
      </c>
      <c r="FM54" s="37">
        <v>692205.4</v>
      </c>
      <c r="FN54" s="37">
        <v>652789.67999999993</v>
      </c>
      <c r="FO54" s="59" t="s">
        <v>36</v>
      </c>
      <c r="FP54" s="59" t="s">
        <v>36</v>
      </c>
      <c r="FQ54" s="37">
        <v>611118.17999999993</v>
      </c>
      <c r="FR54" s="37">
        <v>498543.59999999986</v>
      </c>
      <c r="FS54" s="59" t="s">
        <v>36</v>
      </c>
      <c r="FT54" s="59" t="s">
        <v>36</v>
      </c>
      <c r="FU54" s="37">
        <v>81087.22</v>
      </c>
      <c r="FV54" s="37">
        <v>154246.08000000002</v>
      </c>
      <c r="FW54" s="59" t="s">
        <v>36</v>
      </c>
      <c r="FX54" s="59" t="s">
        <v>36</v>
      </c>
      <c r="FY54" s="37">
        <v>733.36165614273</v>
      </c>
      <c r="FZ54" s="37">
        <v>717.84541801514774</v>
      </c>
      <c r="GA54" s="39">
        <v>-34.506388888888864</v>
      </c>
      <c r="GB54" s="35">
        <v>-3.6558025266865357</v>
      </c>
      <c r="GC54" s="59" t="s">
        <v>36</v>
      </c>
      <c r="GD54" s="40" t="s">
        <v>36</v>
      </c>
      <c r="GE54" s="41">
        <v>-21907.963816441712</v>
      </c>
      <c r="GF54" s="40">
        <v>-3.1497241566033618</v>
      </c>
      <c r="GG54" s="59" t="s">
        <v>36</v>
      </c>
      <c r="GH54" s="61" t="s">
        <v>36</v>
      </c>
      <c r="GI54" s="41">
        <v>-82369.823816441814</v>
      </c>
      <c r="GJ54" s="40">
        <v>-11.842370474206309</v>
      </c>
      <c r="GK54" s="59" t="s">
        <v>36</v>
      </c>
      <c r="GL54" s="62" t="s">
        <v>36</v>
      </c>
      <c r="GM54" s="41">
        <v>60461.86</v>
      </c>
      <c r="GN54" s="40" t="s">
        <v>88</v>
      </c>
      <c r="GO54" s="59" t="s">
        <v>36</v>
      </c>
      <c r="GP54" s="61" t="s">
        <v>36</v>
      </c>
      <c r="GQ54" s="41">
        <v>3.8700000000000045</v>
      </c>
      <c r="GR54" s="44"/>
      <c r="GS54" s="44"/>
      <c r="GT54" s="44"/>
      <c r="GU54" s="44"/>
      <c r="GV54" s="44"/>
      <c r="GW54" s="44"/>
    </row>
    <row r="55" spans="1:205">
      <c r="A55" s="418"/>
      <c r="B55" s="45" t="s">
        <v>38</v>
      </c>
      <c r="C55" s="46">
        <f t="shared" ref="C55:C56" si="424">D55</f>
        <v>107.35</v>
      </c>
      <c r="D55" s="46">
        <f>VLOOKUP($B54,[1]!LTV1_RL2[[LTV1]:[Q1]],2,0)</f>
        <v>107.35</v>
      </c>
      <c r="E55" s="46">
        <f t="shared" ref="E55" si="425">IFERROR(C55/$C$65*100,0)</f>
        <v>4.9152930402930401</v>
      </c>
      <c r="F55" s="46">
        <f t="shared" ref="F55" si="426">IFERROR(D55/$D$65*100,0)</f>
        <v>4.9152930402930401</v>
      </c>
      <c r="G55" s="55" t="s">
        <v>36</v>
      </c>
      <c r="H55" s="55" t="s">
        <v>36</v>
      </c>
      <c r="I55" s="48">
        <f t="shared" si="2"/>
        <v>66337.986076255795</v>
      </c>
      <c r="J55" s="48">
        <f>D55/D54*153161.34</f>
        <v>66337.986076255795</v>
      </c>
      <c r="K55" s="55" t="s">
        <v>36</v>
      </c>
      <c r="L55" s="55" t="s">
        <v>36</v>
      </c>
      <c r="M55" s="48">
        <f>I55-Q55</f>
        <v>66337.986076255795</v>
      </c>
      <c r="N55" s="48">
        <f>J55-R55</f>
        <v>66337.986076255795</v>
      </c>
      <c r="O55" s="55" t="s">
        <v>36</v>
      </c>
      <c r="P55" s="55" t="s">
        <v>36</v>
      </c>
      <c r="Q55" s="48"/>
      <c r="R55" s="48"/>
      <c r="S55" s="55" t="s">
        <v>36</v>
      </c>
      <c r="T55" s="55" t="s">
        <v>36</v>
      </c>
      <c r="U55" s="48">
        <f t="shared" si="364"/>
        <v>617.96</v>
      </c>
      <c r="V55" s="48">
        <f t="shared" si="364"/>
        <v>617.96</v>
      </c>
      <c r="W55" s="55" t="s">
        <v>36</v>
      </c>
      <c r="X55" s="55" t="s">
        <v>36</v>
      </c>
      <c r="Y55" s="48">
        <f>Z55</f>
        <v>66126.239987895897</v>
      </c>
      <c r="Z55" s="48">
        <f>[1]Fakts_Izd!AM3</f>
        <v>66126.239987895897</v>
      </c>
      <c r="AA55" s="55" t="s">
        <v>36</v>
      </c>
      <c r="AB55" s="55" t="s">
        <v>36</v>
      </c>
      <c r="AC55" s="48">
        <f>Y55-AG55</f>
        <v>30842.7199878959</v>
      </c>
      <c r="AD55" s="48">
        <f>Z55-AH55</f>
        <v>30842.7199878959</v>
      </c>
      <c r="AE55" s="55" t="s">
        <v>36</v>
      </c>
      <c r="AF55" s="55" t="s">
        <v>36</v>
      </c>
      <c r="AG55" s="48">
        <f>AH55</f>
        <v>35283.519999999997</v>
      </c>
      <c r="AH55" s="48">
        <v>35283.519999999997</v>
      </c>
      <c r="AI55" s="55" t="s">
        <v>36</v>
      </c>
      <c r="AJ55" s="55" t="s">
        <v>36</v>
      </c>
      <c r="AK55" s="48">
        <f t="shared" si="4"/>
        <v>615.9873310470042</v>
      </c>
      <c r="AL55" s="48">
        <f t="shared" si="4"/>
        <v>615.9873310470042</v>
      </c>
      <c r="AM55" s="46">
        <f t="shared" ref="AM55:AM56" si="427">AN55</f>
        <v>105.93</v>
      </c>
      <c r="AN55" s="46">
        <f>VLOOKUP($B54,[1]!LTV1_RL2[[LTV1]:[Q2]],3,0)</f>
        <v>105.93</v>
      </c>
      <c r="AO55" s="63">
        <f t="shared" ref="AO55:AO56" si="428">IFERROR(AM55/$AM$65*100,0)</f>
        <v>4.8502747252747254</v>
      </c>
      <c r="AP55" s="46">
        <f t="shared" ref="AP55" si="429">IFERROR(AN55/$AN$65*100,0)</f>
        <v>4.8502747252747254</v>
      </c>
      <c r="AQ55" s="55" t="s">
        <v>36</v>
      </c>
      <c r="AR55" s="55" t="s">
        <v>36</v>
      </c>
      <c r="AS55" s="48">
        <f t="shared" ref="AS55:AS56" si="430">AT55</f>
        <v>68196.022281065962</v>
      </c>
      <c r="AT55" s="48">
        <f>151952.3/AN54*AN55</f>
        <v>68196.022281065962</v>
      </c>
      <c r="AU55" s="55" t="s">
        <v>36</v>
      </c>
      <c r="AV55" s="55" t="s">
        <v>36</v>
      </c>
      <c r="AW55" s="48">
        <f>AS55-BA55</f>
        <v>68196.022281065962</v>
      </c>
      <c r="AX55" s="48">
        <f>AT55-BB55</f>
        <v>68196.022281065962</v>
      </c>
      <c r="AY55" s="55" t="s">
        <v>36</v>
      </c>
      <c r="AZ55" s="55" t="s">
        <v>36</v>
      </c>
      <c r="BA55" s="48"/>
      <c r="BB55" s="48"/>
      <c r="BC55" s="55" t="s">
        <v>36</v>
      </c>
      <c r="BD55" s="55" t="s">
        <v>36</v>
      </c>
      <c r="BE55" s="48">
        <f t="shared" si="369"/>
        <v>643.78</v>
      </c>
      <c r="BF55" s="48">
        <f t="shared" si="369"/>
        <v>643.78</v>
      </c>
      <c r="BG55" s="55" t="s">
        <v>36</v>
      </c>
      <c r="BH55" s="55" t="s">
        <v>36</v>
      </c>
      <c r="BI55" s="48">
        <f t="shared" ref="BI55:BI56" si="431">BJ55</f>
        <v>66217.263524551963</v>
      </c>
      <c r="BJ55" s="48">
        <f>[1]Fakts_Izd!AO3</f>
        <v>66217.263524551963</v>
      </c>
      <c r="BK55" s="55" t="s">
        <v>36</v>
      </c>
      <c r="BL55" s="55" t="s">
        <v>36</v>
      </c>
      <c r="BM55" s="48">
        <f t="shared" ref="BM55:BM56" si="432">BI55-BQ55</f>
        <v>20413.563524551959</v>
      </c>
      <c r="BN55" s="48">
        <f>BJ55-BR55</f>
        <v>20413.563524551959</v>
      </c>
      <c r="BO55" s="55" t="s">
        <v>36</v>
      </c>
      <c r="BP55" s="55" t="s">
        <v>36</v>
      </c>
      <c r="BQ55" s="48">
        <f>BR55</f>
        <v>45803.700000000004</v>
      </c>
      <c r="BR55" s="48">
        <v>45803.700000000004</v>
      </c>
      <c r="BS55" s="55" t="s">
        <v>36</v>
      </c>
      <c r="BT55" s="55" t="s">
        <v>36</v>
      </c>
      <c r="BU55" s="48">
        <f t="shared" si="0"/>
        <v>625.10396983434305</v>
      </c>
      <c r="BV55" s="49">
        <f t="shared" si="0"/>
        <v>625.10396983434305</v>
      </c>
      <c r="BW55" s="46">
        <f>SUMIFS([1]SP2024!$AW$7:$AW$148,[1]SP2024!$L$7:$L$148,$B54,[1]SP2024!$M$7:$M$148,$B55)</f>
        <v>100</v>
      </c>
      <c r="BX55" s="46">
        <f>VLOOKUP($B54,[1]!LTV1_RL2[[LTV1]:[Q3]],4,0)</f>
        <v>101.02249999999999</v>
      </c>
      <c r="BY55" s="46">
        <f t="shared" ref="BY55:BY56" si="433">IFERROR(BW55/$BW$65*100,0)</f>
        <v>4.5289855072463769</v>
      </c>
      <c r="BZ55" s="46">
        <f t="shared" ref="BZ55" si="434">IFERROR(BX55/$BX$65*100,0)</f>
        <v>4.5752892037033472</v>
      </c>
      <c r="CA55" s="55" t="s">
        <v>36</v>
      </c>
      <c r="CB55" s="55" t="s">
        <v>36</v>
      </c>
      <c r="CC55" s="48">
        <f>CS55*'[2]Pielikums nr. 1.'!$EY$14</f>
        <v>89626.166639879521</v>
      </c>
      <c r="CD55" s="48">
        <f>122749.53/BX54*BX55</f>
        <v>58157.088372183614</v>
      </c>
      <c r="CE55" s="55" t="s">
        <v>36</v>
      </c>
      <c r="CF55" s="55" t="s">
        <v>36</v>
      </c>
      <c r="CG55" s="48">
        <f>CC55-CK55</f>
        <v>89626.166639879521</v>
      </c>
      <c r="CH55" s="48">
        <f>CD55-CL55</f>
        <v>27251.068372183614</v>
      </c>
      <c r="CI55" s="55" t="s">
        <v>36</v>
      </c>
      <c r="CJ55" s="55" t="s">
        <v>36</v>
      </c>
      <c r="CK55" s="48"/>
      <c r="CL55" s="48">
        <f>ROUND((DB55/1.21),2)</f>
        <v>30906.02</v>
      </c>
      <c r="CM55" s="55" t="s">
        <v>36</v>
      </c>
      <c r="CN55" s="55" t="s">
        <v>36</v>
      </c>
      <c r="CO55" s="48">
        <f t="shared" si="374"/>
        <v>896.26</v>
      </c>
      <c r="CP55" s="48">
        <f t="shared" si="374"/>
        <v>575.67999999999995</v>
      </c>
      <c r="CQ55" s="55" t="s">
        <v>36</v>
      </c>
      <c r="CR55" s="55" t="s">
        <v>36</v>
      </c>
      <c r="CS55" s="48">
        <f>SUMIFS([1]SP2024!$BS$7:$BS$148,[1]SP2024!$L$7:$L$148,$B54,[1]SP2024!$M$7:$M$148,$B55)-20000</f>
        <v>89982.31</v>
      </c>
      <c r="CT55" s="48">
        <f>[1]Fakts_Izd!AQ3</f>
        <v>69819.06244270163</v>
      </c>
      <c r="CU55" s="55" t="s">
        <v>36</v>
      </c>
      <c r="CV55" s="55" t="s">
        <v>36</v>
      </c>
      <c r="CW55" s="48">
        <f t="shared" ref="CW55:CX56" si="435">CS55-DA55</f>
        <v>89982.31</v>
      </c>
      <c r="CX55" s="48">
        <f t="shared" si="435"/>
        <v>32422.772442701629</v>
      </c>
      <c r="CY55" s="55" t="s">
        <v>36</v>
      </c>
      <c r="CZ55" s="55" t="s">
        <v>36</v>
      </c>
      <c r="DA55" s="48">
        <f>SUMIFS([1]SP2024!$BQ$7:$BQ$148,[1]SP2024!$J$7:$J$148,$B54,[1]SP2024!$K$7:$K$148,$B55)</f>
        <v>0</v>
      </c>
      <c r="DB55" s="48">
        <v>37396.29</v>
      </c>
      <c r="DC55" s="55" t="s">
        <v>36</v>
      </c>
      <c r="DD55" s="55" t="s">
        <v>36</v>
      </c>
      <c r="DE55" s="48">
        <f t="shared" si="1"/>
        <v>899.82309999999995</v>
      </c>
      <c r="DF55" s="48">
        <f t="shared" si="1"/>
        <v>691.12388272614157</v>
      </c>
      <c r="DG55" s="46">
        <v>120</v>
      </c>
      <c r="DH55" s="46">
        <v>102.4</v>
      </c>
      <c r="DI55" s="46">
        <v>5.4347826086956514</v>
      </c>
      <c r="DJ55" s="46">
        <v>4.6376811594202909</v>
      </c>
      <c r="DK55" s="55" t="s">
        <v>36</v>
      </c>
      <c r="DL55" s="55" t="s">
        <v>36</v>
      </c>
      <c r="DM55" s="48">
        <v>87105.004864020142</v>
      </c>
      <c r="DN55" s="48">
        <v>117974.73</v>
      </c>
      <c r="DO55" s="55" t="s">
        <v>36</v>
      </c>
      <c r="DP55" s="55" t="s">
        <v>36</v>
      </c>
      <c r="DQ55" s="48">
        <v>87105.004864020142</v>
      </c>
      <c r="DR55" s="48">
        <v>88418.89</v>
      </c>
      <c r="DS55" s="55" t="s">
        <v>36</v>
      </c>
      <c r="DT55" s="55" t="s">
        <v>36</v>
      </c>
      <c r="DU55" s="48"/>
      <c r="DV55" s="48">
        <v>29555.84</v>
      </c>
      <c r="DW55" s="55" t="s">
        <v>36</v>
      </c>
      <c r="DX55" s="55" t="s">
        <v>36</v>
      </c>
      <c r="DY55" s="48">
        <v>725.88</v>
      </c>
      <c r="DZ55" s="48">
        <v>1152.0999999999999</v>
      </c>
      <c r="EA55" s="55" t="s">
        <v>36</v>
      </c>
      <c r="EB55" s="55" t="s">
        <v>36</v>
      </c>
      <c r="EC55" s="48">
        <v>87451.13</v>
      </c>
      <c r="ED55" s="48">
        <v>98500.799999999974</v>
      </c>
      <c r="EE55" s="55" t="s">
        <v>36</v>
      </c>
      <c r="EF55" s="55" t="s">
        <v>36</v>
      </c>
      <c r="EG55" s="48">
        <v>87451.13</v>
      </c>
      <c r="EH55" s="48">
        <v>62738.229999999952</v>
      </c>
      <c r="EI55" s="55" t="s">
        <v>36</v>
      </c>
      <c r="EJ55" s="55" t="s">
        <v>36</v>
      </c>
      <c r="EK55" s="48">
        <v>0</v>
      </c>
      <c r="EL55" s="48">
        <v>35762.570000000022</v>
      </c>
      <c r="EM55" s="55" t="s">
        <v>36</v>
      </c>
      <c r="EN55" s="55" t="s">
        <v>36</v>
      </c>
      <c r="EO55" s="48">
        <v>728.75941666666665</v>
      </c>
      <c r="EP55" s="48">
        <v>961.92187499999966</v>
      </c>
      <c r="EQ55" s="46">
        <v>433.28</v>
      </c>
      <c r="ER55" s="46">
        <v>416.70249999999999</v>
      </c>
      <c r="ES55" s="46">
        <v>4.932604735883424</v>
      </c>
      <c r="ET55" s="46">
        <v>4.7438795697064062</v>
      </c>
      <c r="EU55" s="55" t="s">
        <v>36</v>
      </c>
      <c r="EV55" s="55" t="s">
        <v>36</v>
      </c>
      <c r="EW55" s="48">
        <v>311265.1798612214</v>
      </c>
      <c r="EX55" s="48">
        <v>310665.82672950538</v>
      </c>
      <c r="EY55" s="55" t="s">
        <v>36</v>
      </c>
      <c r="EZ55" s="55" t="s">
        <v>36</v>
      </c>
      <c r="FA55" s="48">
        <v>311265.1798612214</v>
      </c>
      <c r="FB55" s="48">
        <v>250203.9667295054</v>
      </c>
      <c r="FC55" s="55" t="s">
        <v>36</v>
      </c>
      <c r="FD55" s="55" t="s">
        <v>36</v>
      </c>
      <c r="FE55" s="48">
        <v>0</v>
      </c>
      <c r="FF55" s="48">
        <v>60461.86</v>
      </c>
      <c r="FG55" s="55" t="s">
        <v>36</v>
      </c>
      <c r="FH55" s="55" t="s">
        <v>36</v>
      </c>
      <c r="FI55" s="48">
        <v>718.39</v>
      </c>
      <c r="FJ55" s="48">
        <v>745.53</v>
      </c>
      <c r="FK55" s="55" t="s">
        <v>36</v>
      </c>
      <c r="FL55" s="55" t="s">
        <v>36</v>
      </c>
      <c r="FM55" s="48">
        <v>309776.94351244788</v>
      </c>
      <c r="FN55" s="48">
        <v>300663.36595514946</v>
      </c>
      <c r="FO55" s="55" t="s">
        <v>36</v>
      </c>
      <c r="FP55" s="55" t="s">
        <v>36</v>
      </c>
      <c r="FQ55" s="48">
        <v>228689.72351244785</v>
      </c>
      <c r="FR55" s="48">
        <v>146417.28595514945</v>
      </c>
      <c r="FS55" s="55" t="s">
        <v>36</v>
      </c>
      <c r="FT55" s="55" t="s">
        <v>36</v>
      </c>
      <c r="FU55" s="48">
        <v>81087.22</v>
      </c>
      <c r="FV55" s="48">
        <v>154246.08000000002</v>
      </c>
      <c r="FW55" s="55" t="s">
        <v>36</v>
      </c>
      <c r="FX55" s="55" t="s">
        <v>36</v>
      </c>
      <c r="FY55" s="48">
        <v>714.95786445819772</v>
      </c>
      <c r="FZ55" s="48">
        <v>721.53002671006163</v>
      </c>
      <c r="GA55" s="50">
        <v>-16.577499999999986</v>
      </c>
      <c r="GB55" s="46">
        <v>-3.8260478212703064</v>
      </c>
      <c r="GC55" s="55" t="s">
        <v>36</v>
      </c>
      <c r="GD55" s="46" t="s">
        <v>36</v>
      </c>
      <c r="GE55" s="51">
        <v>-599.3531317160232</v>
      </c>
      <c r="GF55" s="46">
        <v>-0.19255386419491094</v>
      </c>
      <c r="GG55" s="55" t="s">
        <v>36</v>
      </c>
      <c r="GH55" s="57" t="s">
        <v>36</v>
      </c>
      <c r="GI55" s="51">
        <v>-61061.213131716009</v>
      </c>
      <c r="GJ55" s="46">
        <v>-19.617103705252337</v>
      </c>
      <c r="GK55" s="55" t="s">
        <v>36</v>
      </c>
      <c r="GL55" s="58" t="s">
        <v>36</v>
      </c>
      <c r="GM55" s="51">
        <v>60461.86</v>
      </c>
      <c r="GN55" s="46" t="s">
        <v>88</v>
      </c>
      <c r="GO55" s="55" t="s">
        <v>36</v>
      </c>
      <c r="GP55" s="57" t="s">
        <v>36</v>
      </c>
      <c r="GQ55" s="51">
        <v>27.139999999999986</v>
      </c>
      <c r="GR55" s="44"/>
      <c r="GS55" s="44"/>
      <c r="GT55" s="44"/>
      <c r="GU55" s="44"/>
      <c r="GV55" s="44"/>
      <c r="GW55" s="44"/>
    </row>
    <row r="56" spans="1:205">
      <c r="A56" s="418"/>
      <c r="B56" s="45" t="s">
        <v>39</v>
      </c>
      <c r="C56" s="46">
        <f t="shared" si="424"/>
        <v>140.5</v>
      </c>
      <c r="D56" s="46">
        <f>VLOOKUP($B54,[1]!LTV7_RL7[[LTV7]:[Q1]],2,0)</f>
        <v>140.5</v>
      </c>
      <c r="E56" s="46">
        <f t="shared" ref="E56" si="436">IFERROR(C56/$C$66*100,0)</f>
        <v>6.4331501831501825</v>
      </c>
      <c r="F56" s="46">
        <f t="shared" ref="F56" si="437">IFERROR(D56/$D$66*100,0)</f>
        <v>6.4331501831501825</v>
      </c>
      <c r="G56" s="55" t="s">
        <v>36</v>
      </c>
      <c r="H56" s="55" t="s">
        <v>36</v>
      </c>
      <c r="I56" s="48">
        <f t="shared" si="2"/>
        <v>86823.353923744202</v>
      </c>
      <c r="J56" s="48">
        <f>D56/D54*153161.34</f>
        <v>86823.353923744202</v>
      </c>
      <c r="K56" s="55" t="s">
        <v>36</v>
      </c>
      <c r="L56" s="55" t="s">
        <v>36</v>
      </c>
      <c r="M56" s="48">
        <f>I56-Q56</f>
        <v>86823.353923744202</v>
      </c>
      <c r="N56" s="48">
        <f>J56-R56</f>
        <v>86823.353923744202</v>
      </c>
      <c r="O56" s="55" t="s">
        <v>36</v>
      </c>
      <c r="P56" s="55" t="s">
        <v>36</v>
      </c>
      <c r="Q56" s="48"/>
      <c r="R56" s="48"/>
      <c r="S56" s="55" t="s">
        <v>36</v>
      </c>
      <c r="T56" s="55" t="s">
        <v>36</v>
      </c>
      <c r="U56" s="48">
        <f t="shared" si="364"/>
        <v>617.96</v>
      </c>
      <c r="V56" s="48">
        <f t="shared" si="364"/>
        <v>617.96</v>
      </c>
      <c r="W56" s="55" t="s">
        <v>36</v>
      </c>
      <c r="X56" s="55" t="s">
        <v>36</v>
      </c>
      <c r="Y56" s="48">
        <f>Z56</f>
        <v>86546.220012104095</v>
      </c>
      <c r="Z56" s="48">
        <f>[1]Fakts_Izd!AM4</f>
        <v>86546.220012104095</v>
      </c>
      <c r="AA56" s="55" t="s">
        <v>36</v>
      </c>
      <c r="AB56" s="55" t="s">
        <v>36</v>
      </c>
      <c r="AC56" s="48">
        <f>Y56-AG56</f>
        <v>86546.220012104095</v>
      </c>
      <c r="AD56" s="48">
        <f>Z56-AH56</f>
        <v>86546.220012104095</v>
      </c>
      <c r="AE56" s="55" t="s">
        <v>36</v>
      </c>
      <c r="AF56" s="55" t="s">
        <v>36</v>
      </c>
      <c r="AG56" s="48">
        <f>SUMIFS([1]SP2024!$BO$7:$BO$148,[1]SP2024!$J$7:$J$148,$B54,[1]SP2024!$K$7:$K$148,$B56)</f>
        <v>0</v>
      </c>
      <c r="AH56" s="48"/>
      <c r="AI56" s="55" t="s">
        <v>36</v>
      </c>
      <c r="AJ56" s="55" t="s">
        <v>36</v>
      </c>
      <c r="AK56" s="48">
        <f t="shared" si="4"/>
        <v>615.9873310470042</v>
      </c>
      <c r="AL56" s="48">
        <f t="shared" si="4"/>
        <v>615.9873310470042</v>
      </c>
      <c r="AM56" s="46">
        <f t="shared" si="427"/>
        <v>130.1</v>
      </c>
      <c r="AN56" s="46">
        <f>VLOOKUP($B54,[1]!LTV7_RL7[[LTV7]:[Q2]],3,0)</f>
        <v>130.1</v>
      </c>
      <c r="AO56" s="63">
        <f t="shared" si="428"/>
        <v>5.9569597069597062</v>
      </c>
      <c r="AP56" s="46">
        <f t="shared" ref="AP56" si="438">IFERROR(AN56/$AN$66*100,0)</f>
        <v>5.956959706959708</v>
      </c>
      <c r="AQ56" s="55" t="s">
        <v>36</v>
      </c>
      <c r="AR56" s="55" t="s">
        <v>36</v>
      </c>
      <c r="AS56" s="48">
        <f t="shared" si="430"/>
        <v>83756.277718934012</v>
      </c>
      <c r="AT56" s="48">
        <f>151952.3/AN54*AN56</f>
        <v>83756.277718934012</v>
      </c>
      <c r="AU56" s="55" t="s">
        <v>36</v>
      </c>
      <c r="AV56" s="55" t="s">
        <v>36</v>
      </c>
      <c r="AW56" s="48">
        <f>AS56-BA56</f>
        <v>83756.277718934012</v>
      </c>
      <c r="AX56" s="48">
        <f>AT56-BB56</f>
        <v>83756.277718934012</v>
      </c>
      <c r="AY56" s="55" t="s">
        <v>36</v>
      </c>
      <c r="AZ56" s="55" t="s">
        <v>36</v>
      </c>
      <c r="BA56" s="48"/>
      <c r="BB56" s="48"/>
      <c r="BC56" s="55" t="s">
        <v>36</v>
      </c>
      <c r="BD56" s="55" t="s">
        <v>36</v>
      </c>
      <c r="BE56" s="48">
        <f t="shared" si="369"/>
        <v>643.78</v>
      </c>
      <c r="BF56" s="48">
        <f t="shared" si="369"/>
        <v>643.78</v>
      </c>
      <c r="BG56" s="55" t="s">
        <v>36</v>
      </c>
      <c r="BH56" s="55" t="s">
        <v>36</v>
      </c>
      <c r="BI56" s="48">
        <f t="shared" si="431"/>
        <v>81326.02647544803</v>
      </c>
      <c r="BJ56" s="48">
        <f>[1]Fakts_Izd!AO4</f>
        <v>81326.02647544803</v>
      </c>
      <c r="BK56" s="55" t="s">
        <v>36</v>
      </c>
      <c r="BL56" s="55" t="s">
        <v>36</v>
      </c>
      <c r="BM56" s="48">
        <f t="shared" si="432"/>
        <v>81326.02647544803</v>
      </c>
      <c r="BN56" s="48">
        <f>BJ56-BR56</f>
        <v>81326.02647544803</v>
      </c>
      <c r="BO56" s="55" t="s">
        <v>36</v>
      </c>
      <c r="BP56" s="55" t="s">
        <v>36</v>
      </c>
      <c r="BQ56" s="48">
        <f>SUMIFS([1]SP2024!$BP$7:$BP$148,[1]SP2024!$J$7:$J$148,$B54,[1]SP2024!$K$7:$K$148,$B56)</f>
        <v>0</v>
      </c>
      <c r="BR56" s="48"/>
      <c r="BS56" s="55" t="s">
        <v>36</v>
      </c>
      <c r="BT56" s="55" t="s">
        <v>36</v>
      </c>
      <c r="BU56" s="48">
        <f t="shared" si="0"/>
        <v>625.10396983434305</v>
      </c>
      <c r="BV56" s="49">
        <f t="shared" si="0"/>
        <v>625.10396983434305</v>
      </c>
      <c r="BW56" s="46">
        <f>SUMIFS([1]SP2024!$AW$7:$AW$148,[1]SP2024!$L$7:$L$148,$B54,[1]SP2024!$M$7:$M$148,$B56)</f>
        <v>110</v>
      </c>
      <c r="BX56" s="46">
        <f>VLOOKUP($B54,[1]!LTV7_RL7[[LTV7]:[Q3]],4,0)</f>
        <v>112.20111111111112</v>
      </c>
      <c r="BY56" s="46">
        <f t="shared" si="433"/>
        <v>4.9818840579710146</v>
      </c>
      <c r="BZ56" s="46">
        <f t="shared" ref="BZ56" si="439">IFERROR(BX56/$BX$66*100,0)</f>
        <v>5.081569504041112</v>
      </c>
      <c r="CA56" s="55" t="s">
        <v>36</v>
      </c>
      <c r="CB56" s="55" t="s">
        <v>36</v>
      </c>
      <c r="CC56" s="48">
        <f>CS56*'[2]Pielikums nr. 1.'!$EY$14</f>
        <v>108329.30683525429</v>
      </c>
      <c r="CD56" s="48">
        <f>122749.53/BX54*BX56</f>
        <v>64592.441627816399</v>
      </c>
      <c r="CE56" s="55" t="s">
        <v>36</v>
      </c>
      <c r="CF56" s="55" t="s">
        <v>36</v>
      </c>
      <c r="CG56" s="48">
        <f>CC56-CK56</f>
        <v>108329.30683525429</v>
      </c>
      <c r="CH56" s="48">
        <f>CD56-CL56</f>
        <v>64592.441627816399</v>
      </c>
      <c r="CI56" s="55" t="s">
        <v>36</v>
      </c>
      <c r="CJ56" s="55" t="s">
        <v>36</v>
      </c>
      <c r="CK56" s="48"/>
      <c r="CL56" s="48"/>
      <c r="CM56" s="55" t="s">
        <v>36</v>
      </c>
      <c r="CN56" s="55" t="s">
        <v>36</v>
      </c>
      <c r="CO56" s="48">
        <f t="shared" si="374"/>
        <v>984.81</v>
      </c>
      <c r="CP56" s="48">
        <f t="shared" si="374"/>
        <v>575.67999999999995</v>
      </c>
      <c r="CQ56" s="55" t="s">
        <v>36</v>
      </c>
      <c r="CR56" s="55" t="s">
        <v>36</v>
      </c>
      <c r="CS56" s="48">
        <f>SUMIFS([1]SP2024!$BS$7:$BS$148,[1]SP2024!$L$7:$L$148,$B54,[1]SP2024!$M$7:$M$148,$B56)-20000</f>
        <v>108759.77</v>
      </c>
      <c r="CT56" s="48">
        <f>[1]Fakts_Izd!AQ4</f>
        <v>77544.867557298334</v>
      </c>
      <c r="CU56" s="55" t="s">
        <v>36</v>
      </c>
      <c r="CV56" s="55" t="s">
        <v>36</v>
      </c>
      <c r="CW56" s="48">
        <f t="shared" si="435"/>
        <v>108759.77</v>
      </c>
      <c r="CX56" s="48">
        <f t="shared" si="435"/>
        <v>77544.867557298334</v>
      </c>
      <c r="CY56" s="55" t="s">
        <v>36</v>
      </c>
      <c r="CZ56" s="55" t="s">
        <v>36</v>
      </c>
      <c r="DA56" s="48">
        <f>SUMIFS([1]SP2024!$BQ$7:$BQ$148,[1]SP2024!$J$7:$J$148,$B54,[1]SP2024!$K$7:$K$148,$B56)</f>
        <v>0</v>
      </c>
      <c r="DB56" s="48"/>
      <c r="DC56" s="55" t="s">
        <v>36</v>
      </c>
      <c r="DD56" s="55" t="s">
        <v>36</v>
      </c>
      <c r="DE56" s="48">
        <f t="shared" si="1"/>
        <v>988.72518181818191</v>
      </c>
      <c r="DF56" s="48">
        <f t="shared" si="1"/>
        <v>691.12388272614146</v>
      </c>
      <c r="DG56" s="46">
        <v>130</v>
      </c>
      <c r="DH56" s="46">
        <v>109.87</v>
      </c>
      <c r="DI56" s="46">
        <v>5.8876811594202891</v>
      </c>
      <c r="DJ56" s="46">
        <v>4.9759963768115956</v>
      </c>
      <c r="DK56" s="55" t="s">
        <v>36</v>
      </c>
      <c r="DL56" s="55" t="s">
        <v>36</v>
      </c>
      <c r="DM56" s="48">
        <v>105377.70547728788</v>
      </c>
      <c r="DN56" s="48">
        <v>127805.96</v>
      </c>
      <c r="DO56" s="55" t="s">
        <v>36</v>
      </c>
      <c r="DP56" s="55" t="s">
        <v>36</v>
      </c>
      <c r="DQ56" s="48">
        <v>105377.70547728788</v>
      </c>
      <c r="DR56" s="48">
        <v>127805.96</v>
      </c>
      <c r="DS56" s="55" t="s">
        <v>36</v>
      </c>
      <c r="DT56" s="55" t="s">
        <v>36</v>
      </c>
      <c r="DU56" s="48"/>
      <c r="DV56" s="48"/>
      <c r="DW56" s="55" t="s">
        <v>36</v>
      </c>
      <c r="DX56" s="55" t="s">
        <v>36</v>
      </c>
      <c r="DY56" s="48">
        <v>810.6</v>
      </c>
      <c r="DZ56" s="48">
        <v>1163.25</v>
      </c>
      <c r="EA56" s="55" t="s">
        <v>36</v>
      </c>
      <c r="EB56" s="55" t="s">
        <v>36</v>
      </c>
      <c r="EC56" s="48">
        <v>105796.44</v>
      </c>
      <c r="ED56" s="48">
        <v>106709.19999999997</v>
      </c>
      <c r="EE56" s="55" t="s">
        <v>36</v>
      </c>
      <c r="EF56" s="55" t="s">
        <v>36</v>
      </c>
      <c r="EG56" s="48">
        <v>105796.44</v>
      </c>
      <c r="EH56" s="48">
        <v>106709.19999999997</v>
      </c>
      <c r="EI56" s="55" t="s">
        <v>36</v>
      </c>
      <c r="EJ56" s="55" t="s">
        <v>36</v>
      </c>
      <c r="EK56" s="48">
        <v>0</v>
      </c>
      <c r="EL56" s="48"/>
      <c r="EM56" s="55" t="s">
        <v>36</v>
      </c>
      <c r="EN56" s="55" t="s">
        <v>36</v>
      </c>
      <c r="EO56" s="48">
        <v>813.81876923076925</v>
      </c>
      <c r="EP56" s="48">
        <v>971.23145535632989</v>
      </c>
      <c r="EQ56" s="46">
        <v>510.6</v>
      </c>
      <c r="ER56" s="46">
        <v>492.67111111111114</v>
      </c>
      <c r="ES56" s="46">
        <v>5.8128415300546452</v>
      </c>
      <c r="ET56" s="46">
        <v>5.6087323405266742</v>
      </c>
      <c r="EU56" s="55" t="s">
        <v>36</v>
      </c>
      <c r="EV56" s="55" t="s">
        <v>36</v>
      </c>
      <c r="EW56" s="48">
        <v>384286.64395522041</v>
      </c>
      <c r="EX56" s="48">
        <v>362978.03327049466</v>
      </c>
      <c r="EY56" s="55" t="s">
        <v>36</v>
      </c>
      <c r="EZ56" s="55" t="s">
        <v>36</v>
      </c>
      <c r="FA56" s="48">
        <v>384286.64395522041</v>
      </c>
      <c r="FB56" s="48">
        <v>362978.03327049466</v>
      </c>
      <c r="FC56" s="55" t="s">
        <v>36</v>
      </c>
      <c r="FD56" s="55" t="s">
        <v>36</v>
      </c>
      <c r="FE56" s="48">
        <v>0</v>
      </c>
      <c r="FF56" s="48">
        <v>0</v>
      </c>
      <c r="FG56" s="55" t="s">
        <v>36</v>
      </c>
      <c r="FH56" s="55" t="s">
        <v>36</v>
      </c>
      <c r="FI56" s="48">
        <v>752.62</v>
      </c>
      <c r="FJ56" s="48">
        <v>736.76</v>
      </c>
      <c r="FK56" s="55" t="s">
        <v>36</v>
      </c>
      <c r="FL56" s="55" t="s">
        <v>36</v>
      </c>
      <c r="FM56" s="48">
        <v>382428.45648755215</v>
      </c>
      <c r="FN56" s="48">
        <v>352126.31404485041</v>
      </c>
      <c r="FO56" s="55" t="s">
        <v>36</v>
      </c>
      <c r="FP56" s="55" t="s">
        <v>36</v>
      </c>
      <c r="FQ56" s="48">
        <v>382428.45648755215</v>
      </c>
      <c r="FR56" s="48">
        <v>352126.31404485041</v>
      </c>
      <c r="FS56" s="55" t="s">
        <v>36</v>
      </c>
      <c r="FT56" s="55" t="s">
        <v>36</v>
      </c>
      <c r="FU56" s="48">
        <v>0</v>
      </c>
      <c r="FV56" s="48">
        <v>0</v>
      </c>
      <c r="FW56" s="55" t="s">
        <v>36</v>
      </c>
      <c r="FX56" s="55" t="s">
        <v>36</v>
      </c>
      <c r="FY56" s="48">
        <v>748.97856734734069</v>
      </c>
      <c r="FZ56" s="48">
        <v>714.72896645128446</v>
      </c>
      <c r="GA56" s="98">
        <v>-17.928888888888878</v>
      </c>
      <c r="GB56" s="56">
        <v>-3.5113374243809004</v>
      </c>
      <c r="GC56" s="55" t="s">
        <v>36</v>
      </c>
      <c r="GD56" s="56" t="s">
        <v>36</v>
      </c>
      <c r="GE56" s="99">
        <v>-21308.610684725747</v>
      </c>
      <c r="GF56" s="56">
        <v>-5.5449782135048036</v>
      </c>
      <c r="GG56" s="55" t="s">
        <v>36</v>
      </c>
      <c r="GH56" s="57" t="s">
        <v>36</v>
      </c>
      <c r="GI56" s="99">
        <v>-21308.610684725747</v>
      </c>
      <c r="GJ56" s="56">
        <v>-5.5449782135048036</v>
      </c>
      <c r="GK56" s="55" t="s">
        <v>36</v>
      </c>
      <c r="GL56" s="58" t="s">
        <v>36</v>
      </c>
      <c r="GM56" s="99">
        <v>0</v>
      </c>
      <c r="GN56" s="56" t="s">
        <v>88</v>
      </c>
      <c r="GO56" s="55" t="s">
        <v>36</v>
      </c>
      <c r="GP56" s="57" t="s">
        <v>36</v>
      </c>
      <c r="GQ56" s="99">
        <v>-15.860000000000014</v>
      </c>
      <c r="GR56" s="44"/>
      <c r="GS56" s="44"/>
      <c r="GT56" s="44"/>
      <c r="GU56" s="44"/>
      <c r="GV56" s="44"/>
      <c r="GW56" s="44"/>
    </row>
    <row r="57" spans="1:205">
      <c r="A57" s="418" t="s">
        <v>37</v>
      </c>
      <c r="B57" s="115" t="s">
        <v>58</v>
      </c>
      <c r="C57" s="35">
        <f>SUM(C58:C59)</f>
        <v>0.25</v>
      </c>
      <c r="D57" s="35">
        <f>SUM(D58:D59)</f>
        <v>0.25</v>
      </c>
      <c r="E57" s="35">
        <f t="shared" ref="E57" si="440">IFERROR(C57/$C$64*100,0)</f>
        <v>5.7234432234432231E-3</v>
      </c>
      <c r="F57" s="35">
        <f t="shared" ref="F57" si="441">IFERROR(D57/$D$64*100,0)</f>
        <v>5.7234432234432231E-3</v>
      </c>
      <c r="G57" s="116"/>
      <c r="H57" s="116"/>
      <c r="I57" s="117"/>
      <c r="J57" s="117"/>
      <c r="K57" s="116"/>
      <c r="L57" s="116"/>
      <c r="M57" s="117"/>
      <c r="N57" s="117"/>
      <c r="O57" s="116"/>
      <c r="P57" s="116"/>
      <c r="Q57" s="117"/>
      <c r="R57" s="117"/>
      <c r="S57" s="116"/>
      <c r="T57" s="116"/>
      <c r="U57" s="117"/>
      <c r="V57" s="117"/>
      <c r="W57" s="116"/>
      <c r="X57" s="116"/>
      <c r="Y57" s="116"/>
      <c r="Z57" s="116"/>
      <c r="AA57" s="116"/>
      <c r="AB57" s="116"/>
      <c r="AC57" s="117"/>
      <c r="AD57" s="117"/>
      <c r="AE57" s="116"/>
      <c r="AF57" s="116"/>
      <c r="AG57" s="117"/>
      <c r="AH57" s="117"/>
      <c r="AI57" s="116"/>
      <c r="AJ57" s="116"/>
      <c r="AK57" s="117"/>
      <c r="AL57" s="117"/>
      <c r="AM57" s="35">
        <f>SUM(AM58:AM59)</f>
        <v>1.28</v>
      </c>
      <c r="AN57" s="35">
        <f>SUM(AN58:AN59)</f>
        <v>1.28</v>
      </c>
      <c r="AO57" s="35">
        <f t="shared" ref="AO57" si="442">IFERROR(AM57/$AM$64*100,0)</f>
        <v>2.9304029304029304E-2</v>
      </c>
      <c r="AP57" s="35">
        <f t="shared" ref="AP57" si="443">IFERROR(AN57/$AN$64*100,0)</f>
        <v>2.9304029304029304E-2</v>
      </c>
      <c r="AQ57" s="116"/>
      <c r="AR57" s="116"/>
      <c r="AS57" s="117"/>
      <c r="AT57" s="117"/>
      <c r="AU57" s="116"/>
      <c r="AV57" s="116"/>
      <c r="AW57" s="117"/>
      <c r="AX57" s="117"/>
      <c r="AY57" s="116"/>
      <c r="AZ57" s="116"/>
      <c r="BA57" s="117"/>
      <c r="BB57" s="117"/>
      <c r="BC57" s="116"/>
      <c r="BD57" s="116"/>
      <c r="BE57" s="117"/>
      <c r="BF57" s="117"/>
      <c r="BG57" s="116"/>
      <c r="BH57" s="116"/>
      <c r="BI57" s="116"/>
      <c r="BJ57" s="116"/>
      <c r="BK57" s="116"/>
      <c r="BL57" s="116"/>
      <c r="BM57" s="117"/>
      <c r="BN57" s="117"/>
      <c r="BO57" s="116"/>
      <c r="BP57" s="116"/>
      <c r="BQ57" s="117"/>
      <c r="BR57" s="117"/>
      <c r="BS57" s="116"/>
      <c r="BT57" s="116"/>
      <c r="BU57" s="117"/>
      <c r="BV57" s="118"/>
      <c r="BW57" s="35">
        <f>SUM(BW58:BW59)</f>
        <v>0.8</v>
      </c>
      <c r="BX57" s="35">
        <f>SUM(BX58:BX59)</f>
        <v>1.9900000000000002</v>
      </c>
      <c r="BY57" s="35">
        <f t="shared" ref="BY57" si="444">IFERROR(BW57/$BW$64*100,0)</f>
        <v>1.8115942028985508E-2</v>
      </c>
      <c r="BZ57" s="35">
        <f t="shared" ref="BZ57" si="445">IFERROR(BX57/$BX$64*100,0)</f>
        <v>4.5063368947275306E-2</v>
      </c>
      <c r="CA57" s="116"/>
      <c r="CB57" s="116"/>
      <c r="CC57" s="117"/>
      <c r="CD57" s="117"/>
      <c r="CE57" s="116"/>
      <c r="CF57" s="116"/>
      <c r="CG57" s="117"/>
      <c r="CH57" s="117"/>
      <c r="CI57" s="116"/>
      <c r="CJ57" s="116"/>
      <c r="CK57" s="117"/>
      <c r="CL57" s="117"/>
      <c r="CM57" s="116"/>
      <c r="CN57" s="116"/>
      <c r="CO57" s="117"/>
      <c r="CP57" s="117"/>
      <c r="CQ57" s="116"/>
      <c r="CR57" s="116"/>
      <c r="CS57" s="116"/>
      <c r="CT57" s="116"/>
      <c r="CU57" s="116"/>
      <c r="CV57" s="116"/>
      <c r="CW57" s="117"/>
      <c r="CX57" s="117"/>
      <c r="CY57" s="116"/>
      <c r="CZ57" s="116"/>
      <c r="DA57" s="116"/>
      <c r="DB57" s="116"/>
      <c r="DC57" s="116"/>
      <c r="DD57" s="116"/>
      <c r="DE57" s="117"/>
      <c r="DF57" s="117"/>
      <c r="DG57" s="35">
        <v>1.49</v>
      </c>
      <c r="DH57" s="35">
        <v>0.89</v>
      </c>
      <c r="DI57" s="35">
        <v>3.3740942028985497E-2</v>
      </c>
      <c r="DJ57" s="35">
        <v>2.0153985507246383E-2</v>
      </c>
      <c r="DK57" s="116"/>
      <c r="DL57" s="116"/>
      <c r="DM57" s="117"/>
      <c r="DN57" s="117"/>
      <c r="DO57" s="116"/>
      <c r="DP57" s="116"/>
      <c r="DQ57" s="117"/>
      <c r="DR57" s="117"/>
      <c r="DS57" s="116"/>
      <c r="DT57" s="116"/>
      <c r="DU57" s="117"/>
      <c r="DV57" s="117"/>
      <c r="DW57" s="116"/>
      <c r="DX57" s="116"/>
      <c r="DY57" s="117"/>
      <c r="DZ57" s="117"/>
      <c r="EA57" s="116"/>
      <c r="EB57" s="116"/>
      <c r="EC57" s="116"/>
      <c r="ED57" s="116"/>
      <c r="EE57" s="116"/>
      <c r="EF57" s="116"/>
      <c r="EG57" s="117"/>
      <c r="EH57" s="117"/>
      <c r="EI57" s="116"/>
      <c r="EJ57" s="116"/>
      <c r="EK57" s="116"/>
      <c r="EL57" s="116"/>
      <c r="EM57" s="116"/>
      <c r="EN57" s="116"/>
      <c r="EO57" s="117"/>
      <c r="EP57" s="117"/>
      <c r="EQ57" s="40">
        <v>3.82</v>
      </c>
      <c r="ER57" s="35">
        <v>4.41</v>
      </c>
      <c r="ES57" s="40">
        <v>2.1744080145719488E-2</v>
      </c>
      <c r="ET57" s="40">
        <v>2.5102453856571609E-2</v>
      </c>
      <c r="EU57" s="116"/>
      <c r="EV57" s="116"/>
      <c r="EW57" s="117"/>
      <c r="EX57" s="117"/>
      <c r="EY57" s="116"/>
      <c r="EZ57" s="116"/>
      <c r="FA57" s="117"/>
      <c r="FB57" s="117"/>
      <c r="FC57" s="116"/>
      <c r="FD57" s="116"/>
      <c r="FE57" s="117"/>
      <c r="FF57" s="117"/>
      <c r="FG57" s="116"/>
      <c r="FH57" s="116"/>
      <c r="FI57" s="117"/>
      <c r="FJ57" s="117"/>
      <c r="FK57" s="116"/>
      <c r="FL57" s="116"/>
      <c r="FM57" s="116"/>
      <c r="FN57" s="116"/>
      <c r="FO57" s="116"/>
      <c r="FP57" s="116"/>
      <c r="FQ57" s="117"/>
      <c r="FR57" s="117"/>
      <c r="FS57" s="116"/>
      <c r="FT57" s="116"/>
      <c r="FU57" s="117"/>
      <c r="FV57" s="117"/>
      <c r="FW57" s="116"/>
      <c r="FX57" s="116"/>
      <c r="FY57" s="117"/>
      <c r="FZ57" s="117"/>
      <c r="GA57" s="119">
        <v>0.5900000000000003</v>
      </c>
      <c r="GB57" s="35">
        <v>15.44502617801049</v>
      </c>
      <c r="GC57" s="116"/>
      <c r="GD57" s="116"/>
      <c r="GE57" s="120"/>
      <c r="GF57" s="121"/>
      <c r="GG57" s="116"/>
      <c r="GH57" s="122"/>
      <c r="GI57" s="120"/>
      <c r="GJ57" s="121" t="s">
        <v>88</v>
      </c>
      <c r="GK57" s="116"/>
      <c r="GL57" s="123"/>
      <c r="GM57" s="120"/>
      <c r="GN57" s="121" t="s">
        <v>88</v>
      </c>
      <c r="GO57" s="116"/>
      <c r="GP57" s="122"/>
      <c r="GQ57" s="120"/>
      <c r="GR57" s="44"/>
      <c r="GS57" s="44"/>
      <c r="GT57" s="44"/>
      <c r="GU57" s="44"/>
      <c r="GV57" s="44"/>
      <c r="GW57" s="44"/>
    </row>
    <row r="58" spans="1:205">
      <c r="A58" s="418"/>
      <c r="B58" s="124" t="s">
        <v>38</v>
      </c>
      <c r="C58" s="46">
        <f t="shared" ref="C58:C59" si="446">D58</f>
        <v>0.15</v>
      </c>
      <c r="D58" s="46">
        <f>VLOOKUP($B57,[1]!LTV1_RL2[[LTV1]:[Q1]],2,0)</f>
        <v>0.15</v>
      </c>
      <c r="E58" s="46">
        <f t="shared" ref="E58" si="447">IFERROR(C58/$C$65*100,0)</f>
        <v>6.868131868131868E-3</v>
      </c>
      <c r="F58" s="46">
        <f t="shared" ref="F58" si="448">IFERROR(D58/$D$65*100,0)</f>
        <v>6.868131868131868E-3</v>
      </c>
      <c r="G58" s="125"/>
      <c r="H58" s="125"/>
      <c r="I58" s="126"/>
      <c r="J58" s="126"/>
      <c r="K58" s="125"/>
      <c r="L58" s="125"/>
      <c r="M58" s="126"/>
      <c r="N58" s="126"/>
      <c r="O58" s="125"/>
      <c r="P58" s="125"/>
      <c r="Q58" s="126"/>
      <c r="R58" s="126"/>
      <c r="S58" s="125"/>
      <c r="T58" s="125"/>
      <c r="U58" s="126"/>
      <c r="V58" s="126"/>
      <c r="W58" s="125"/>
      <c r="X58" s="125"/>
      <c r="Y58" s="125"/>
      <c r="Z58" s="125"/>
      <c r="AA58" s="125"/>
      <c r="AB58" s="125"/>
      <c r="AC58" s="126"/>
      <c r="AD58" s="126"/>
      <c r="AE58" s="125"/>
      <c r="AF58" s="125"/>
      <c r="AG58" s="126"/>
      <c r="AH58" s="126"/>
      <c r="AI58" s="125"/>
      <c r="AJ58" s="125"/>
      <c r="AK58" s="126"/>
      <c r="AL58" s="126"/>
      <c r="AM58" s="46">
        <f t="shared" ref="AM58:AM59" si="449">AN58</f>
        <v>1.26</v>
      </c>
      <c r="AN58" s="46">
        <f>VLOOKUP($B57,[1]!LTV1_RL2[[LTV1]:[Q2]],3,0)</f>
        <v>1.26</v>
      </c>
      <c r="AO58" s="63">
        <f t="shared" ref="AO58:AO59" si="450">IFERROR(AM58/$AM$65*100,0)</f>
        <v>5.7692307692307696E-2</v>
      </c>
      <c r="AP58" s="46">
        <f t="shared" ref="AP58" si="451">IFERROR(AN58/$AN$65*100,0)</f>
        <v>5.7692307692307696E-2</v>
      </c>
      <c r="AQ58" s="125"/>
      <c r="AR58" s="125"/>
      <c r="AS58" s="126"/>
      <c r="AT58" s="126"/>
      <c r="AU58" s="125"/>
      <c r="AV58" s="125"/>
      <c r="AW58" s="126"/>
      <c r="AX58" s="126"/>
      <c r="AY58" s="125"/>
      <c r="AZ58" s="125"/>
      <c r="BA58" s="126"/>
      <c r="BB58" s="126"/>
      <c r="BC58" s="125"/>
      <c r="BD58" s="125"/>
      <c r="BE58" s="126"/>
      <c r="BF58" s="126"/>
      <c r="BG58" s="125"/>
      <c r="BH58" s="125"/>
      <c r="BI58" s="125"/>
      <c r="BJ58" s="125"/>
      <c r="BK58" s="125"/>
      <c r="BL58" s="125"/>
      <c r="BM58" s="126"/>
      <c r="BN58" s="126"/>
      <c r="BO58" s="125"/>
      <c r="BP58" s="125"/>
      <c r="BQ58" s="126"/>
      <c r="BR58" s="126"/>
      <c r="BS58" s="125"/>
      <c r="BT58" s="125"/>
      <c r="BU58" s="126"/>
      <c r="BV58" s="127"/>
      <c r="BW58" s="46">
        <f>SUMIFS([1]SP2024!$AW$7:$AW$148,[1]SP2024!$L$7:$L$148,$B57,[1]SP2024!$M$7:$M$148,$B58)</f>
        <v>0.8</v>
      </c>
      <c r="BX58" s="46">
        <f>VLOOKUP($B57,[1]!LTV1_RL2[[LTV1]:[Q3]],4,0)</f>
        <v>1.9300000000000002</v>
      </c>
      <c r="BY58" s="46">
        <f t="shared" ref="BY58:BY59" si="452">IFERROR(BW58/$BW$65*100,0)</f>
        <v>3.6231884057971016E-2</v>
      </c>
      <c r="BZ58" s="46">
        <f t="shared" ref="BZ58" si="453">IFERROR(BX58/$BX$65*100,0)</f>
        <v>8.7409321320967723E-2</v>
      </c>
      <c r="CA58" s="125"/>
      <c r="CB58" s="125"/>
      <c r="CC58" s="126"/>
      <c r="CD58" s="126"/>
      <c r="CE58" s="125"/>
      <c r="CF58" s="125"/>
      <c r="CG58" s="126"/>
      <c r="CH58" s="126"/>
      <c r="CI58" s="125"/>
      <c r="CJ58" s="125"/>
      <c r="CK58" s="126"/>
      <c r="CL58" s="126"/>
      <c r="CM58" s="125"/>
      <c r="CN58" s="125"/>
      <c r="CO58" s="126"/>
      <c r="CP58" s="126"/>
      <c r="CQ58" s="125"/>
      <c r="CR58" s="125"/>
      <c r="CS58" s="125"/>
      <c r="CT58" s="125"/>
      <c r="CU58" s="125"/>
      <c r="CV58" s="125"/>
      <c r="CW58" s="126"/>
      <c r="CX58" s="126"/>
      <c r="CY58" s="125"/>
      <c r="CZ58" s="125"/>
      <c r="DA58" s="125"/>
      <c r="DB58" s="125"/>
      <c r="DC58" s="125"/>
      <c r="DD58" s="125"/>
      <c r="DE58" s="126"/>
      <c r="DF58" s="126"/>
      <c r="DG58" s="46">
        <v>1.48</v>
      </c>
      <c r="DH58" s="46">
        <v>0.87</v>
      </c>
      <c r="DI58" s="46">
        <v>6.7028985507246355E-2</v>
      </c>
      <c r="DJ58" s="46">
        <v>3.9402173913043487E-2</v>
      </c>
      <c r="DK58" s="125"/>
      <c r="DL58" s="125"/>
      <c r="DM58" s="126"/>
      <c r="DN58" s="126"/>
      <c r="DO58" s="125"/>
      <c r="DP58" s="125"/>
      <c r="DQ58" s="126"/>
      <c r="DR58" s="126"/>
      <c r="DS58" s="125"/>
      <c r="DT58" s="125"/>
      <c r="DU58" s="126"/>
      <c r="DV58" s="126"/>
      <c r="DW58" s="125"/>
      <c r="DX58" s="125"/>
      <c r="DY58" s="126"/>
      <c r="DZ58" s="126"/>
      <c r="EA58" s="125"/>
      <c r="EB58" s="125"/>
      <c r="EC58" s="125"/>
      <c r="ED58" s="125"/>
      <c r="EE58" s="125"/>
      <c r="EF58" s="125"/>
      <c r="EG58" s="126"/>
      <c r="EH58" s="126"/>
      <c r="EI58" s="125"/>
      <c r="EJ58" s="125"/>
      <c r="EK58" s="125"/>
      <c r="EL58" s="125"/>
      <c r="EM58" s="125"/>
      <c r="EN58" s="125"/>
      <c r="EO58" s="126"/>
      <c r="EP58" s="126"/>
      <c r="EQ58" s="46">
        <v>3.69</v>
      </c>
      <c r="ER58" s="46">
        <v>4.21</v>
      </c>
      <c r="ES58" s="46">
        <v>4.2008196721311473E-2</v>
      </c>
      <c r="ET58" s="46">
        <v>4.7928037361100476E-2</v>
      </c>
      <c r="EU58" s="125"/>
      <c r="EV58" s="125"/>
      <c r="EW58" s="126"/>
      <c r="EX58" s="126"/>
      <c r="EY58" s="125"/>
      <c r="EZ58" s="125"/>
      <c r="FA58" s="126"/>
      <c r="FB58" s="126"/>
      <c r="FC58" s="125"/>
      <c r="FD58" s="125"/>
      <c r="FE58" s="126"/>
      <c r="FF58" s="126"/>
      <c r="FG58" s="125"/>
      <c r="FH58" s="125"/>
      <c r="FI58" s="126"/>
      <c r="FJ58" s="126"/>
      <c r="FK58" s="125"/>
      <c r="FL58" s="125"/>
      <c r="FM58" s="125"/>
      <c r="FN58" s="125"/>
      <c r="FO58" s="125"/>
      <c r="FP58" s="125"/>
      <c r="FQ58" s="126"/>
      <c r="FR58" s="126"/>
      <c r="FS58" s="125"/>
      <c r="FT58" s="125"/>
      <c r="FU58" s="126"/>
      <c r="FV58" s="126"/>
      <c r="FW58" s="125"/>
      <c r="FX58" s="125"/>
      <c r="FY58" s="126"/>
      <c r="FZ58" s="126"/>
      <c r="GA58" s="50">
        <v>0.52</v>
      </c>
      <c r="GB58" s="46">
        <v>14.092140921409225</v>
      </c>
      <c r="GC58" s="125"/>
      <c r="GD58" s="125"/>
      <c r="GE58" s="128"/>
      <c r="GF58" s="129"/>
      <c r="GG58" s="125"/>
      <c r="GH58" s="130"/>
      <c r="GI58" s="128"/>
      <c r="GJ58" s="129" t="s">
        <v>88</v>
      </c>
      <c r="GK58" s="125"/>
      <c r="GL58" s="131"/>
      <c r="GM58" s="128"/>
      <c r="GN58" s="129" t="s">
        <v>88</v>
      </c>
      <c r="GO58" s="125"/>
      <c r="GP58" s="130"/>
      <c r="GQ58" s="128"/>
      <c r="GR58" s="44"/>
      <c r="GS58" s="44"/>
      <c r="GT58" s="44"/>
      <c r="GU58" s="44"/>
      <c r="GV58" s="44"/>
      <c r="GW58" s="44"/>
    </row>
    <row r="59" spans="1:205">
      <c r="A59" s="418"/>
      <c r="B59" s="124" t="s">
        <v>39</v>
      </c>
      <c r="C59" s="46">
        <f t="shared" si="446"/>
        <v>0.1</v>
      </c>
      <c r="D59" s="46">
        <f>VLOOKUP($B57,[1]!LTV7_RL7[[LTV7]:[Q1]],2,0)</f>
        <v>0.1</v>
      </c>
      <c r="E59" s="46">
        <f t="shared" ref="E59" si="454">IFERROR(C59/$C$66*100,0)</f>
        <v>4.578754578754579E-3</v>
      </c>
      <c r="F59" s="46">
        <f t="shared" ref="F59" si="455">IFERROR(D59/$D$66*100,0)</f>
        <v>4.578754578754579E-3</v>
      </c>
      <c r="G59" s="125"/>
      <c r="H59" s="125"/>
      <c r="I59" s="126"/>
      <c r="J59" s="126"/>
      <c r="K59" s="125"/>
      <c r="L59" s="125"/>
      <c r="M59" s="126"/>
      <c r="N59" s="126"/>
      <c r="O59" s="125"/>
      <c r="P59" s="125"/>
      <c r="Q59" s="126"/>
      <c r="R59" s="126"/>
      <c r="S59" s="125"/>
      <c r="T59" s="125"/>
      <c r="U59" s="126"/>
      <c r="V59" s="126"/>
      <c r="W59" s="125"/>
      <c r="X59" s="125"/>
      <c r="Y59" s="125"/>
      <c r="Z59" s="125"/>
      <c r="AA59" s="125"/>
      <c r="AB59" s="125"/>
      <c r="AC59" s="126"/>
      <c r="AD59" s="126"/>
      <c r="AE59" s="125"/>
      <c r="AF59" s="125"/>
      <c r="AG59" s="126"/>
      <c r="AH59" s="126"/>
      <c r="AI59" s="125"/>
      <c r="AJ59" s="125"/>
      <c r="AK59" s="126"/>
      <c r="AL59" s="126"/>
      <c r="AM59" s="46">
        <f t="shared" si="449"/>
        <v>0.02</v>
      </c>
      <c r="AN59" s="46">
        <f>VLOOKUP($B57,[1]!LTV7_RL7[[LTV7]:[Q2]],3,0)</f>
        <v>0.02</v>
      </c>
      <c r="AO59" s="63">
        <f t="shared" si="450"/>
        <v>9.1575091575091575E-4</v>
      </c>
      <c r="AP59" s="46">
        <f t="shared" ref="AP59" si="456">IFERROR(AN59/$AN$66*100,0)</f>
        <v>9.1575091575091597E-4</v>
      </c>
      <c r="AQ59" s="125"/>
      <c r="AR59" s="125"/>
      <c r="AS59" s="126"/>
      <c r="AT59" s="126"/>
      <c r="AU59" s="125"/>
      <c r="AV59" s="125"/>
      <c r="AW59" s="126"/>
      <c r="AX59" s="126"/>
      <c r="AY59" s="125"/>
      <c r="AZ59" s="125"/>
      <c r="BA59" s="126"/>
      <c r="BB59" s="126"/>
      <c r="BC59" s="125"/>
      <c r="BD59" s="125"/>
      <c r="BE59" s="126"/>
      <c r="BF59" s="126"/>
      <c r="BG59" s="125"/>
      <c r="BH59" s="125"/>
      <c r="BI59" s="125"/>
      <c r="BJ59" s="125"/>
      <c r="BK59" s="125"/>
      <c r="BL59" s="125"/>
      <c r="BM59" s="126"/>
      <c r="BN59" s="126"/>
      <c r="BO59" s="125"/>
      <c r="BP59" s="125"/>
      <c r="BQ59" s="126"/>
      <c r="BR59" s="126"/>
      <c r="BS59" s="125"/>
      <c r="BT59" s="125"/>
      <c r="BU59" s="126"/>
      <c r="BV59" s="127"/>
      <c r="BW59" s="46">
        <f>SUMIFS([1]SP2024!$AW$7:$AW$148,[1]SP2024!$L$7:$L$148,$B57,[1]SP2024!$M$7:$M$148,$B59)</f>
        <v>0</v>
      </c>
      <c r="BX59" s="46">
        <f>VLOOKUP($B57,[1]!LTV7_RL7[[LTV7]:[Q3]],4,0)</f>
        <v>0.06</v>
      </c>
      <c r="BY59" s="46">
        <f t="shared" si="452"/>
        <v>0</v>
      </c>
      <c r="BZ59" s="46">
        <f t="shared" ref="BZ59" si="457">IFERROR(BX59/$BX$66*100,0)</f>
        <v>2.7173899369011996E-3</v>
      </c>
      <c r="CA59" s="125"/>
      <c r="CB59" s="125"/>
      <c r="CC59" s="126"/>
      <c r="CD59" s="126"/>
      <c r="CE59" s="125"/>
      <c r="CF59" s="125"/>
      <c r="CG59" s="126"/>
      <c r="CH59" s="126"/>
      <c r="CI59" s="125"/>
      <c r="CJ59" s="125"/>
      <c r="CK59" s="126"/>
      <c r="CL59" s="126"/>
      <c r="CM59" s="125"/>
      <c r="CN59" s="125"/>
      <c r="CO59" s="126"/>
      <c r="CP59" s="126"/>
      <c r="CQ59" s="125"/>
      <c r="CR59" s="125"/>
      <c r="CS59" s="125"/>
      <c r="CT59" s="125"/>
      <c r="CU59" s="125"/>
      <c r="CV59" s="125"/>
      <c r="CW59" s="126"/>
      <c r="CX59" s="126"/>
      <c r="CY59" s="125"/>
      <c r="CZ59" s="125"/>
      <c r="DA59" s="125"/>
      <c r="DB59" s="125"/>
      <c r="DC59" s="125"/>
      <c r="DD59" s="125"/>
      <c r="DE59" s="126"/>
      <c r="DF59" s="126"/>
      <c r="DG59" s="46">
        <v>0.01</v>
      </c>
      <c r="DH59" s="46">
        <v>0.02</v>
      </c>
      <c r="DI59" s="46">
        <v>4.5289855072463758E-4</v>
      </c>
      <c r="DJ59" s="46">
        <v>9.0579710144927548E-4</v>
      </c>
      <c r="DK59" s="125"/>
      <c r="DL59" s="125"/>
      <c r="DM59" s="126"/>
      <c r="DN59" s="126"/>
      <c r="DO59" s="125"/>
      <c r="DP59" s="125"/>
      <c r="DQ59" s="126"/>
      <c r="DR59" s="126"/>
      <c r="DS59" s="125"/>
      <c r="DT59" s="125"/>
      <c r="DU59" s="126"/>
      <c r="DV59" s="126"/>
      <c r="DW59" s="125"/>
      <c r="DX59" s="125"/>
      <c r="DY59" s="126"/>
      <c r="DZ59" s="126"/>
      <c r="EA59" s="125"/>
      <c r="EB59" s="125"/>
      <c r="EC59" s="125"/>
      <c r="ED59" s="125"/>
      <c r="EE59" s="125"/>
      <c r="EF59" s="125"/>
      <c r="EG59" s="126"/>
      <c r="EH59" s="126"/>
      <c r="EI59" s="125"/>
      <c r="EJ59" s="125"/>
      <c r="EK59" s="125"/>
      <c r="EL59" s="125"/>
      <c r="EM59" s="125"/>
      <c r="EN59" s="125"/>
      <c r="EO59" s="126"/>
      <c r="EP59" s="126"/>
      <c r="EQ59" s="46">
        <v>0.13</v>
      </c>
      <c r="ER59" s="46">
        <v>0.19999999999999998</v>
      </c>
      <c r="ES59" s="46">
        <v>1.4799635701275046E-3</v>
      </c>
      <c r="ET59" s="46">
        <v>2.2768667429585686E-3</v>
      </c>
      <c r="EU59" s="125"/>
      <c r="EV59" s="125"/>
      <c r="EW59" s="126"/>
      <c r="EX59" s="126"/>
      <c r="EY59" s="125"/>
      <c r="EZ59" s="125"/>
      <c r="FA59" s="126"/>
      <c r="FB59" s="126"/>
      <c r="FC59" s="125"/>
      <c r="FD59" s="125"/>
      <c r="FE59" s="126"/>
      <c r="FF59" s="126"/>
      <c r="FG59" s="125"/>
      <c r="FH59" s="125"/>
      <c r="FI59" s="126"/>
      <c r="FJ59" s="126"/>
      <c r="FK59" s="125"/>
      <c r="FL59" s="125"/>
      <c r="FM59" s="125"/>
      <c r="FN59" s="125"/>
      <c r="FO59" s="125"/>
      <c r="FP59" s="125"/>
      <c r="FQ59" s="126"/>
      <c r="FR59" s="126"/>
      <c r="FS59" s="125"/>
      <c r="FT59" s="125"/>
      <c r="FU59" s="126"/>
      <c r="FV59" s="126"/>
      <c r="FW59" s="125"/>
      <c r="FX59" s="125"/>
      <c r="FY59" s="126"/>
      <c r="FZ59" s="126"/>
      <c r="GA59" s="50">
        <v>6.9999999999999979E-2</v>
      </c>
      <c r="GB59" s="46">
        <v>53.846153846153832</v>
      </c>
      <c r="GC59" s="125"/>
      <c r="GD59" s="125"/>
      <c r="GE59" s="128"/>
      <c r="GF59" s="129"/>
      <c r="GG59" s="125"/>
      <c r="GH59" s="130"/>
      <c r="GI59" s="128"/>
      <c r="GJ59" s="129" t="s">
        <v>88</v>
      </c>
      <c r="GK59" s="125"/>
      <c r="GL59" s="131"/>
      <c r="GM59" s="128"/>
      <c r="GN59" s="129" t="s">
        <v>88</v>
      </c>
      <c r="GO59" s="125"/>
      <c r="GP59" s="130"/>
      <c r="GQ59" s="128"/>
      <c r="GR59" s="44"/>
      <c r="GS59" s="44"/>
      <c r="GT59" s="44"/>
      <c r="GU59" s="44"/>
      <c r="GV59" s="44"/>
      <c r="GW59" s="44"/>
    </row>
    <row r="60" spans="1:205">
      <c r="A60" s="418"/>
      <c r="B60" s="115" t="s">
        <v>59</v>
      </c>
      <c r="C60" s="35">
        <f>SUM(C61:C62)</f>
        <v>3.91</v>
      </c>
      <c r="D60" s="35">
        <f>SUM(D61:D62)</f>
        <v>3.91</v>
      </c>
      <c r="E60" s="35">
        <f t="shared" ref="E60" si="458">IFERROR(C60/$C$64*100,0)</f>
        <v>8.9514652014652016E-2</v>
      </c>
      <c r="F60" s="35">
        <f t="shared" ref="F60" si="459">IFERROR(D60/$D$64*100,0)</f>
        <v>8.9514652014652016E-2</v>
      </c>
      <c r="G60" s="116"/>
      <c r="H60" s="116"/>
      <c r="I60" s="117"/>
      <c r="J60" s="117"/>
      <c r="K60" s="116"/>
      <c r="L60" s="116"/>
      <c r="M60" s="117"/>
      <c r="N60" s="117"/>
      <c r="O60" s="116"/>
      <c r="P60" s="116"/>
      <c r="Q60" s="117"/>
      <c r="R60" s="117"/>
      <c r="S60" s="116"/>
      <c r="T60" s="116"/>
      <c r="U60" s="117"/>
      <c r="V60" s="117"/>
      <c r="W60" s="116"/>
      <c r="X60" s="116"/>
      <c r="Y60" s="116"/>
      <c r="Z60" s="116"/>
      <c r="AA60" s="116"/>
      <c r="AB60" s="116"/>
      <c r="AC60" s="117"/>
      <c r="AD60" s="117"/>
      <c r="AE60" s="116"/>
      <c r="AF60" s="116"/>
      <c r="AG60" s="117"/>
      <c r="AH60" s="117"/>
      <c r="AI60" s="116"/>
      <c r="AJ60" s="116"/>
      <c r="AK60" s="117"/>
      <c r="AL60" s="117"/>
      <c r="AM60" s="35">
        <f>SUM(AM61:AM62)</f>
        <v>3.68</v>
      </c>
      <c r="AN60" s="35">
        <f>SUM(AN61:AN62)</f>
        <v>3.68</v>
      </c>
      <c r="AO60" s="35">
        <f t="shared" ref="AO60" si="460">IFERROR(AM60/$AM$64*100,0)</f>
        <v>8.4249084249084255E-2</v>
      </c>
      <c r="AP60" s="35">
        <f t="shared" ref="AP60" si="461">IFERROR(AN60/$AN$64*100,0)</f>
        <v>8.4249084249084255E-2</v>
      </c>
      <c r="AQ60" s="116"/>
      <c r="AR60" s="116"/>
      <c r="AS60" s="117"/>
      <c r="AT60" s="117"/>
      <c r="AU60" s="116"/>
      <c r="AV60" s="116"/>
      <c r="AW60" s="117"/>
      <c r="AX60" s="117"/>
      <c r="AY60" s="116"/>
      <c r="AZ60" s="116"/>
      <c r="BA60" s="117"/>
      <c r="BB60" s="117"/>
      <c r="BC60" s="116"/>
      <c r="BD60" s="116"/>
      <c r="BE60" s="117"/>
      <c r="BF60" s="117"/>
      <c r="BG60" s="116"/>
      <c r="BH60" s="116"/>
      <c r="BI60" s="116"/>
      <c r="BJ60" s="116"/>
      <c r="BK60" s="116"/>
      <c r="BL60" s="116"/>
      <c r="BM60" s="117"/>
      <c r="BN60" s="117"/>
      <c r="BO60" s="116"/>
      <c r="BP60" s="116"/>
      <c r="BQ60" s="117"/>
      <c r="BR60" s="117"/>
      <c r="BS60" s="116"/>
      <c r="BT60" s="116"/>
      <c r="BU60" s="117"/>
      <c r="BV60" s="118"/>
      <c r="BW60" s="35">
        <f>SUM(BW61:BW62)</f>
        <v>7.5</v>
      </c>
      <c r="BX60" s="35">
        <f>SUM(BX61:BX62)</f>
        <v>8.2999999999999989</v>
      </c>
      <c r="BY60" s="35">
        <f t="shared" ref="BY60" si="462">IFERROR(BW60/$BW$64*100,0)</f>
        <v>0.16983695652173914</v>
      </c>
      <c r="BZ60" s="35">
        <f t="shared" ref="BZ60" si="463">IFERROR(BX60/$BX$64*100,0)</f>
        <v>0.18795274485546981</v>
      </c>
      <c r="CA60" s="116"/>
      <c r="CB60" s="116"/>
      <c r="CC60" s="117"/>
      <c r="CD60" s="117"/>
      <c r="CE60" s="116"/>
      <c r="CF60" s="116"/>
      <c r="CG60" s="117"/>
      <c r="CH60" s="117"/>
      <c r="CI60" s="116"/>
      <c r="CJ60" s="116"/>
      <c r="CK60" s="117"/>
      <c r="CL60" s="117"/>
      <c r="CM60" s="116"/>
      <c r="CN60" s="116"/>
      <c r="CO60" s="117"/>
      <c r="CP60" s="117"/>
      <c r="CQ60" s="116"/>
      <c r="CR60" s="116"/>
      <c r="CS60" s="116"/>
      <c r="CT60" s="116"/>
      <c r="CU60" s="116"/>
      <c r="CV60" s="116"/>
      <c r="CW60" s="117"/>
      <c r="CX60" s="117"/>
      <c r="CY60" s="116"/>
      <c r="CZ60" s="116"/>
      <c r="DA60" s="116"/>
      <c r="DB60" s="116"/>
      <c r="DC60" s="116"/>
      <c r="DD60" s="116"/>
      <c r="DE60" s="117"/>
      <c r="DF60" s="117"/>
      <c r="DG60" s="35">
        <v>7.5</v>
      </c>
      <c r="DH60" s="35">
        <v>6.8699999999999992</v>
      </c>
      <c r="DI60" s="35">
        <v>0.16983695652173911</v>
      </c>
      <c r="DJ60" s="35">
        <v>0.15557065217391305</v>
      </c>
      <c r="DK60" s="116"/>
      <c r="DL60" s="116"/>
      <c r="DM60" s="117"/>
      <c r="DN60" s="117"/>
      <c r="DO60" s="116"/>
      <c r="DP60" s="116"/>
      <c r="DQ60" s="117"/>
      <c r="DR60" s="117"/>
      <c r="DS60" s="116"/>
      <c r="DT60" s="116"/>
      <c r="DU60" s="117"/>
      <c r="DV60" s="117"/>
      <c r="DW60" s="116"/>
      <c r="DX60" s="116"/>
      <c r="DY60" s="117"/>
      <c r="DZ60" s="117"/>
      <c r="EA60" s="116"/>
      <c r="EB60" s="116"/>
      <c r="EC60" s="116"/>
      <c r="ED60" s="116"/>
      <c r="EE60" s="116"/>
      <c r="EF60" s="116"/>
      <c r="EG60" s="117"/>
      <c r="EH60" s="117"/>
      <c r="EI60" s="116"/>
      <c r="EJ60" s="116"/>
      <c r="EK60" s="116"/>
      <c r="EL60" s="116"/>
      <c r="EM60" s="116"/>
      <c r="EN60" s="116"/>
      <c r="EO60" s="117"/>
      <c r="EP60" s="117"/>
      <c r="EQ60" s="40">
        <v>22.590000000000003</v>
      </c>
      <c r="ER60" s="35">
        <v>22.759999999999998</v>
      </c>
      <c r="ES60" s="40">
        <v>0.1285860655737705</v>
      </c>
      <c r="ET60" s="40">
        <v>0.12955370743210196</v>
      </c>
      <c r="EU60" s="116"/>
      <c r="EV60" s="116"/>
      <c r="EW60" s="117"/>
      <c r="EX60" s="117"/>
      <c r="EY60" s="116"/>
      <c r="EZ60" s="116"/>
      <c r="FA60" s="117"/>
      <c r="FB60" s="117"/>
      <c r="FC60" s="116"/>
      <c r="FD60" s="116"/>
      <c r="FE60" s="117"/>
      <c r="FF60" s="117"/>
      <c r="FG60" s="116"/>
      <c r="FH60" s="116"/>
      <c r="FI60" s="117"/>
      <c r="FJ60" s="117"/>
      <c r="FK60" s="116"/>
      <c r="FL60" s="116"/>
      <c r="FM60" s="116"/>
      <c r="FN60" s="116"/>
      <c r="FO60" s="116"/>
      <c r="FP60" s="116"/>
      <c r="FQ60" s="117"/>
      <c r="FR60" s="117"/>
      <c r="FS60" s="116"/>
      <c r="FT60" s="116"/>
      <c r="FU60" s="117"/>
      <c r="FV60" s="117"/>
      <c r="FW60" s="116"/>
      <c r="FX60" s="116"/>
      <c r="FY60" s="117"/>
      <c r="FZ60" s="117"/>
      <c r="GA60" s="119">
        <v>0.1699999999999946</v>
      </c>
      <c r="GB60" s="35">
        <v>0.75254537405928801</v>
      </c>
      <c r="GC60" s="116"/>
      <c r="GD60" s="116"/>
      <c r="GE60" s="120"/>
      <c r="GF60" s="121"/>
      <c r="GG60" s="116"/>
      <c r="GH60" s="122"/>
      <c r="GI60" s="120"/>
      <c r="GJ60" s="121" t="s">
        <v>88</v>
      </c>
      <c r="GK60" s="116"/>
      <c r="GL60" s="123"/>
      <c r="GM60" s="120"/>
      <c r="GN60" s="121" t="s">
        <v>88</v>
      </c>
      <c r="GO60" s="116"/>
      <c r="GP60" s="122"/>
      <c r="GQ60" s="120"/>
      <c r="GR60" s="44"/>
      <c r="GS60" s="44"/>
      <c r="GT60" s="44"/>
      <c r="GU60" s="44"/>
      <c r="GV60" s="44"/>
      <c r="GW60" s="44"/>
    </row>
    <row r="61" spans="1:205">
      <c r="A61" s="418"/>
      <c r="B61" s="45" t="s">
        <v>38</v>
      </c>
      <c r="C61" s="46">
        <f t="shared" ref="C61:C62" si="464">D61</f>
        <v>1.41</v>
      </c>
      <c r="D61" s="46">
        <f>VLOOKUP($B60,[1]!LTV1_RL2[[LTV1]:[Q1]],2,0)</f>
        <v>1.41</v>
      </c>
      <c r="E61" s="46">
        <f t="shared" ref="E61" si="465">IFERROR(C61/$C$65*100,0)</f>
        <v>6.4560439560439553E-2</v>
      </c>
      <c r="F61" s="46">
        <f t="shared" ref="F61" si="466">IFERROR(D61/$D$65*100,0)</f>
        <v>6.4560439560439553E-2</v>
      </c>
      <c r="G61" s="125"/>
      <c r="H61" s="125"/>
      <c r="I61" s="126"/>
      <c r="J61" s="126"/>
      <c r="K61" s="125"/>
      <c r="L61" s="125"/>
      <c r="M61" s="126"/>
      <c r="N61" s="126"/>
      <c r="O61" s="125"/>
      <c r="P61" s="125"/>
      <c r="Q61" s="126"/>
      <c r="R61" s="126"/>
      <c r="S61" s="125"/>
      <c r="T61" s="125"/>
      <c r="U61" s="126"/>
      <c r="V61" s="126"/>
      <c r="W61" s="125"/>
      <c r="X61" s="125"/>
      <c r="Y61" s="125"/>
      <c r="Z61" s="125"/>
      <c r="AA61" s="125"/>
      <c r="AB61" s="125"/>
      <c r="AC61" s="126"/>
      <c r="AD61" s="126"/>
      <c r="AE61" s="125"/>
      <c r="AF61" s="125"/>
      <c r="AG61" s="126"/>
      <c r="AH61" s="126"/>
      <c r="AI61" s="125"/>
      <c r="AJ61" s="125"/>
      <c r="AK61" s="126"/>
      <c r="AL61" s="126"/>
      <c r="AM61" s="46">
        <f t="shared" ref="AM61:AM62" si="467">AN61</f>
        <v>1.37</v>
      </c>
      <c r="AN61" s="46">
        <f>VLOOKUP($B60,[1]!LTV1_RL2[[LTV1]:[Q2]],3,0)</f>
        <v>1.37</v>
      </c>
      <c r="AO61" s="63">
        <f t="shared" ref="AO61:AO62" si="468">IFERROR(AM61/$AM$65*100,0)</f>
        <v>6.2728937728937728E-2</v>
      </c>
      <c r="AP61" s="46">
        <f t="shared" ref="AP61" si="469">IFERROR(AN61/$AN$65*100,0)</f>
        <v>6.2728937728937728E-2</v>
      </c>
      <c r="AQ61" s="125"/>
      <c r="AR61" s="125"/>
      <c r="AS61" s="126"/>
      <c r="AT61" s="126"/>
      <c r="AU61" s="125"/>
      <c r="AV61" s="125"/>
      <c r="AW61" s="126"/>
      <c r="AX61" s="126"/>
      <c r="AY61" s="125"/>
      <c r="AZ61" s="125"/>
      <c r="BA61" s="126"/>
      <c r="BB61" s="126"/>
      <c r="BC61" s="125"/>
      <c r="BD61" s="125"/>
      <c r="BE61" s="126"/>
      <c r="BF61" s="126"/>
      <c r="BG61" s="125"/>
      <c r="BH61" s="125"/>
      <c r="BI61" s="125"/>
      <c r="BJ61" s="125"/>
      <c r="BK61" s="125"/>
      <c r="BL61" s="125"/>
      <c r="BM61" s="126"/>
      <c r="BN61" s="126"/>
      <c r="BO61" s="125"/>
      <c r="BP61" s="125"/>
      <c r="BQ61" s="126"/>
      <c r="BR61" s="126"/>
      <c r="BS61" s="125"/>
      <c r="BT61" s="125"/>
      <c r="BU61" s="126"/>
      <c r="BV61" s="127"/>
      <c r="BW61" s="46">
        <f>SUMIFS([1]SP2024!$AW$7:$AW$148,[1]SP2024!$L$7:$L$148,$B60,[1]SP2024!$M$7:$M$148,$B61)</f>
        <v>3.85</v>
      </c>
      <c r="BX61" s="46">
        <f>VLOOKUP($B60,[1]!LTV1_RL2[[LTV1]:[Q3]],4,0)</f>
        <v>3.4699999999999993</v>
      </c>
      <c r="BY61" s="46">
        <f t="shared" ref="BY61:BY62" si="470">IFERROR(BW61/$BW$65*100,0)</f>
        <v>0.1743659420289855</v>
      </c>
      <c r="BZ61" s="46">
        <f t="shared" ref="BZ61" si="471">IFERROR(BX61/$BX$65*100,0)</f>
        <v>0.15715561916256887</v>
      </c>
      <c r="CA61" s="125"/>
      <c r="CB61" s="125"/>
      <c r="CC61" s="126"/>
      <c r="CD61" s="126"/>
      <c r="CE61" s="125"/>
      <c r="CF61" s="125"/>
      <c r="CG61" s="126"/>
      <c r="CH61" s="126"/>
      <c r="CI61" s="125"/>
      <c r="CJ61" s="125"/>
      <c r="CK61" s="126"/>
      <c r="CL61" s="126"/>
      <c r="CM61" s="125"/>
      <c r="CN61" s="125"/>
      <c r="CO61" s="126"/>
      <c r="CP61" s="126"/>
      <c r="CQ61" s="125"/>
      <c r="CR61" s="125"/>
      <c r="CS61" s="125"/>
      <c r="CT61" s="125"/>
      <c r="CU61" s="125"/>
      <c r="CV61" s="125"/>
      <c r="CW61" s="126"/>
      <c r="CX61" s="126"/>
      <c r="CY61" s="125"/>
      <c r="CZ61" s="125"/>
      <c r="DA61" s="125"/>
      <c r="DB61" s="125"/>
      <c r="DC61" s="125"/>
      <c r="DD61" s="125"/>
      <c r="DE61" s="126"/>
      <c r="DF61" s="126"/>
      <c r="DG61" s="46">
        <v>3.54</v>
      </c>
      <c r="DH61" s="46">
        <v>1.83</v>
      </c>
      <c r="DI61" s="46">
        <v>0.16032608695652173</v>
      </c>
      <c r="DJ61" s="46">
        <v>8.2880434782608717E-2</v>
      </c>
      <c r="DK61" s="125"/>
      <c r="DL61" s="125"/>
      <c r="DM61" s="126"/>
      <c r="DN61" s="126"/>
      <c r="DO61" s="125"/>
      <c r="DP61" s="125"/>
      <c r="DQ61" s="126"/>
      <c r="DR61" s="126"/>
      <c r="DS61" s="125"/>
      <c r="DT61" s="125"/>
      <c r="DU61" s="126"/>
      <c r="DV61" s="126"/>
      <c r="DW61" s="125"/>
      <c r="DX61" s="125"/>
      <c r="DY61" s="126"/>
      <c r="DZ61" s="126"/>
      <c r="EA61" s="125"/>
      <c r="EB61" s="125"/>
      <c r="EC61" s="125"/>
      <c r="ED61" s="125"/>
      <c r="EE61" s="125"/>
      <c r="EF61" s="125"/>
      <c r="EG61" s="126"/>
      <c r="EH61" s="126"/>
      <c r="EI61" s="125"/>
      <c r="EJ61" s="125"/>
      <c r="EK61" s="125"/>
      <c r="EL61" s="125"/>
      <c r="EM61" s="125"/>
      <c r="EN61" s="125"/>
      <c r="EO61" s="126"/>
      <c r="EP61" s="126"/>
      <c r="EQ61" s="46">
        <v>10.170000000000002</v>
      </c>
      <c r="ER61" s="46">
        <v>8.08</v>
      </c>
      <c r="ES61" s="46">
        <v>0.11577868852459018</v>
      </c>
      <c r="ET61" s="46">
        <v>9.1985401871185715E-2</v>
      </c>
      <c r="EU61" s="125"/>
      <c r="EV61" s="125"/>
      <c r="EW61" s="126"/>
      <c r="EX61" s="126"/>
      <c r="EY61" s="125"/>
      <c r="EZ61" s="125"/>
      <c r="FA61" s="126"/>
      <c r="FB61" s="126"/>
      <c r="FC61" s="125"/>
      <c r="FD61" s="125"/>
      <c r="FE61" s="126"/>
      <c r="FF61" s="126"/>
      <c r="FG61" s="125"/>
      <c r="FH61" s="125"/>
      <c r="FI61" s="126"/>
      <c r="FJ61" s="126"/>
      <c r="FK61" s="125"/>
      <c r="FL61" s="125"/>
      <c r="FM61" s="125"/>
      <c r="FN61" s="125"/>
      <c r="FO61" s="125"/>
      <c r="FP61" s="125"/>
      <c r="FQ61" s="126"/>
      <c r="FR61" s="126"/>
      <c r="FS61" s="125"/>
      <c r="FT61" s="125"/>
      <c r="FU61" s="126"/>
      <c r="FV61" s="126"/>
      <c r="FW61" s="125"/>
      <c r="FX61" s="125"/>
      <c r="FY61" s="126"/>
      <c r="FZ61" s="126"/>
      <c r="GA61" s="50">
        <v>-2.0900000000000016</v>
      </c>
      <c r="GB61" s="46">
        <v>-20.550639134709947</v>
      </c>
      <c r="GC61" s="125"/>
      <c r="GD61" s="125"/>
      <c r="GE61" s="128"/>
      <c r="GF61" s="129"/>
      <c r="GG61" s="125"/>
      <c r="GH61" s="130"/>
      <c r="GI61" s="128"/>
      <c r="GJ61" s="129" t="s">
        <v>88</v>
      </c>
      <c r="GK61" s="125"/>
      <c r="GL61" s="131"/>
      <c r="GM61" s="128"/>
      <c r="GN61" s="129" t="s">
        <v>88</v>
      </c>
      <c r="GO61" s="125"/>
      <c r="GP61" s="130"/>
      <c r="GQ61" s="128"/>
      <c r="GR61" s="44"/>
      <c r="GS61" s="44"/>
      <c r="GT61" s="44"/>
      <c r="GU61" s="44"/>
      <c r="GV61" s="44"/>
      <c r="GW61" s="44"/>
    </row>
    <row r="62" spans="1:205">
      <c r="A62" s="418"/>
      <c r="B62" s="45" t="s">
        <v>39</v>
      </c>
      <c r="C62" s="46">
        <f t="shared" si="464"/>
        <v>2.5</v>
      </c>
      <c r="D62" s="46">
        <f>VLOOKUP($B60,[1]!LTV7_RL7[[LTV7]:[Q1]],2,0)</f>
        <v>2.5</v>
      </c>
      <c r="E62" s="46">
        <f t="shared" ref="E62" si="472">IFERROR(C62/$C$66*100,0)</f>
        <v>0.11446886446886448</v>
      </c>
      <c r="F62" s="46">
        <f t="shared" ref="F62" si="473">IFERROR(D62/$D$66*100,0)</f>
        <v>0.11446886446886448</v>
      </c>
      <c r="G62" s="125"/>
      <c r="H62" s="125"/>
      <c r="I62" s="126"/>
      <c r="J62" s="126"/>
      <c r="K62" s="125"/>
      <c r="L62" s="125"/>
      <c r="M62" s="126"/>
      <c r="N62" s="126"/>
      <c r="O62" s="125"/>
      <c r="P62" s="125"/>
      <c r="Q62" s="126"/>
      <c r="R62" s="126"/>
      <c r="S62" s="125"/>
      <c r="T62" s="125"/>
      <c r="U62" s="126"/>
      <c r="V62" s="126"/>
      <c r="W62" s="125"/>
      <c r="X62" s="125"/>
      <c r="Y62" s="125"/>
      <c r="Z62" s="125"/>
      <c r="AA62" s="125"/>
      <c r="AB62" s="125"/>
      <c r="AC62" s="126"/>
      <c r="AD62" s="126"/>
      <c r="AE62" s="125"/>
      <c r="AF62" s="125"/>
      <c r="AG62" s="126"/>
      <c r="AH62" s="126"/>
      <c r="AI62" s="125"/>
      <c r="AJ62" s="125"/>
      <c r="AK62" s="126"/>
      <c r="AL62" s="126"/>
      <c r="AM62" s="46">
        <f t="shared" si="467"/>
        <v>2.31</v>
      </c>
      <c r="AN62" s="46">
        <f>VLOOKUP($B60,[1]!LTV7_RL7[[LTV7]:[Q2]],3,0)</f>
        <v>2.31</v>
      </c>
      <c r="AO62" s="63">
        <f t="shared" si="468"/>
        <v>0.10576923076923077</v>
      </c>
      <c r="AP62" s="46">
        <f t="shared" ref="AP62" si="474">IFERROR(AN62/$AN$66*100,0)</f>
        <v>0.10576923076923078</v>
      </c>
      <c r="AQ62" s="125"/>
      <c r="AR62" s="125"/>
      <c r="AS62" s="126"/>
      <c r="AT62" s="126"/>
      <c r="AU62" s="125"/>
      <c r="AV62" s="125"/>
      <c r="AW62" s="126"/>
      <c r="AX62" s="126"/>
      <c r="AY62" s="125"/>
      <c r="AZ62" s="125"/>
      <c r="BA62" s="126"/>
      <c r="BB62" s="126"/>
      <c r="BC62" s="125"/>
      <c r="BD62" s="125"/>
      <c r="BE62" s="126"/>
      <c r="BF62" s="126"/>
      <c r="BG62" s="125"/>
      <c r="BH62" s="125"/>
      <c r="BI62" s="125"/>
      <c r="BJ62" s="125"/>
      <c r="BK62" s="125"/>
      <c r="BL62" s="125"/>
      <c r="BM62" s="126"/>
      <c r="BN62" s="126"/>
      <c r="BO62" s="125"/>
      <c r="BP62" s="125"/>
      <c r="BQ62" s="126"/>
      <c r="BR62" s="126"/>
      <c r="BS62" s="125"/>
      <c r="BT62" s="125"/>
      <c r="BU62" s="126"/>
      <c r="BV62" s="127"/>
      <c r="BW62" s="46">
        <f>SUMIFS([1]SP2024!$AW$7:$AW$148,[1]SP2024!$L$7:$L$148,$B60,[1]SP2024!$M$7:$M$148,$B62)</f>
        <v>3.65</v>
      </c>
      <c r="BX62" s="46">
        <f>VLOOKUP($B60,[1]!LTV7_RL7[[LTV7]:[Q3]],4,0)</f>
        <v>4.83</v>
      </c>
      <c r="BY62" s="46">
        <f t="shared" si="470"/>
        <v>0.16530797101449274</v>
      </c>
      <c r="BZ62" s="46">
        <f t="shared" ref="BZ62" si="475">IFERROR(BX62/$BX$66*100,0)</f>
        <v>0.21874988992054656</v>
      </c>
      <c r="CA62" s="125"/>
      <c r="CB62" s="125"/>
      <c r="CC62" s="126"/>
      <c r="CD62" s="126"/>
      <c r="CE62" s="125"/>
      <c r="CF62" s="125"/>
      <c r="CG62" s="126"/>
      <c r="CH62" s="126"/>
      <c r="CI62" s="125"/>
      <c r="CJ62" s="125"/>
      <c r="CK62" s="126"/>
      <c r="CL62" s="126"/>
      <c r="CM62" s="125"/>
      <c r="CN62" s="125"/>
      <c r="CO62" s="126"/>
      <c r="CP62" s="126"/>
      <c r="CQ62" s="125"/>
      <c r="CR62" s="125"/>
      <c r="CS62" s="125"/>
      <c r="CT62" s="125"/>
      <c r="CU62" s="125"/>
      <c r="CV62" s="125"/>
      <c r="CW62" s="126"/>
      <c r="CX62" s="126"/>
      <c r="CY62" s="125"/>
      <c r="CZ62" s="125"/>
      <c r="DA62" s="125"/>
      <c r="DB62" s="125"/>
      <c r="DC62" s="125"/>
      <c r="DD62" s="125"/>
      <c r="DE62" s="126"/>
      <c r="DF62" s="126"/>
      <c r="DG62" s="46">
        <v>3.96</v>
      </c>
      <c r="DH62" s="46">
        <v>5.0399999999999991</v>
      </c>
      <c r="DI62" s="46">
        <v>0.17934782608695649</v>
      </c>
      <c r="DJ62" s="46">
        <v>0.22826086956521741</v>
      </c>
      <c r="DK62" s="125"/>
      <c r="DL62" s="125"/>
      <c r="DM62" s="126"/>
      <c r="DN62" s="126"/>
      <c r="DO62" s="125"/>
      <c r="DP62" s="125"/>
      <c r="DQ62" s="126"/>
      <c r="DR62" s="126"/>
      <c r="DS62" s="125"/>
      <c r="DT62" s="125"/>
      <c r="DU62" s="126"/>
      <c r="DV62" s="126"/>
      <c r="DW62" s="125"/>
      <c r="DX62" s="125"/>
      <c r="DY62" s="126"/>
      <c r="DZ62" s="126"/>
      <c r="EA62" s="125"/>
      <c r="EB62" s="125"/>
      <c r="EC62" s="125"/>
      <c r="ED62" s="125"/>
      <c r="EE62" s="125"/>
      <c r="EF62" s="125"/>
      <c r="EG62" s="126"/>
      <c r="EH62" s="126"/>
      <c r="EI62" s="125"/>
      <c r="EJ62" s="125"/>
      <c r="EK62" s="125"/>
      <c r="EL62" s="125"/>
      <c r="EM62" s="125"/>
      <c r="EN62" s="125"/>
      <c r="EO62" s="126"/>
      <c r="EP62" s="126"/>
      <c r="EQ62" s="46">
        <v>12.420000000000002</v>
      </c>
      <c r="ER62" s="46">
        <v>14.68</v>
      </c>
      <c r="ES62" s="46">
        <v>0.14139344262295084</v>
      </c>
      <c r="ET62" s="46">
        <v>0.16712201893315895</v>
      </c>
      <c r="EU62" s="125"/>
      <c r="EV62" s="125"/>
      <c r="EW62" s="126"/>
      <c r="EX62" s="126"/>
      <c r="EY62" s="125"/>
      <c r="EZ62" s="125"/>
      <c r="FA62" s="126"/>
      <c r="FB62" s="126"/>
      <c r="FC62" s="125"/>
      <c r="FD62" s="125"/>
      <c r="FE62" s="126"/>
      <c r="FF62" s="126"/>
      <c r="FG62" s="125"/>
      <c r="FH62" s="125"/>
      <c r="FI62" s="126"/>
      <c r="FJ62" s="126"/>
      <c r="FK62" s="125"/>
      <c r="FL62" s="125"/>
      <c r="FM62" s="125"/>
      <c r="FN62" s="125"/>
      <c r="FO62" s="125"/>
      <c r="FP62" s="125"/>
      <c r="FQ62" s="126"/>
      <c r="FR62" s="126"/>
      <c r="FS62" s="125"/>
      <c r="FT62" s="125"/>
      <c r="FU62" s="126"/>
      <c r="FV62" s="126"/>
      <c r="FW62" s="125"/>
      <c r="FX62" s="125"/>
      <c r="FY62" s="126"/>
      <c r="FZ62" s="126"/>
      <c r="GA62" s="50">
        <v>2.259999999999998</v>
      </c>
      <c r="GB62" s="46">
        <v>18.196457326892101</v>
      </c>
      <c r="GC62" s="125"/>
      <c r="GD62" s="125"/>
      <c r="GE62" s="128"/>
      <c r="GF62" s="129"/>
      <c r="GG62" s="125"/>
      <c r="GH62" s="130"/>
      <c r="GI62" s="128"/>
      <c r="GJ62" s="129" t="s">
        <v>88</v>
      </c>
      <c r="GK62" s="125"/>
      <c r="GL62" s="131"/>
      <c r="GM62" s="128"/>
      <c r="GN62" s="129" t="s">
        <v>88</v>
      </c>
      <c r="GO62" s="125"/>
      <c r="GP62" s="130"/>
      <c r="GQ62" s="128"/>
      <c r="GR62" s="44"/>
      <c r="GS62" s="44"/>
      <c r="GT62" s="44"/>
      <c r="GU62" s="44"/>
      <c r="GV62" s="44"/>
      <c r="GW62" s="44"/>
    </row>
    <row r="63" spans="1:205">
      <c r="A63" s="33" t="s">
        <v>61</v>
      </c>
      <c r="B63" s="132" t="s">
        <v>60</v>
      </c>
      <c r="C63" s="133" t="s">
        <v>36</v>
      </c>
      <c r="D63" s="133" t="s">
        <v>36</v>
      </c>
      <c r="E63" s="133" t="s">
        <v>36</v>
      </c>
      <c r="F63" s="133" t="s">
        <v>36</v>
      </c>
      <c r="G63" s="134" t="s">
        <v>36</v>
      </c>
      <c r="H63" s="134" t="s">
        <v>36</v>
      </c>
      <c r="I63" s="135">
        <f>J63</f>
        <v>3318.32</v>
      </c>
      <c r="J63" s="135">
        <v>3318.32</v>
      </c>
      <c r="K63" s="134" t="s">
        <v>36</v>
      </c>
      <c r="L63" s="134" t="s">
        <v>36</v>
      </c>
      <c r="M63" s="135">
        <f>I63-Q63</f>
        <v>3318.32</v>
      </c>
      <c r="N63" s="135">
        <f>J63-R63</f>
        <v>3318.32</v>
      </c>
      <c r="O63" s="134" t="s">
        <v>36</v>
      </c>
      <c r="P63" s="134" t="s">
        <v>36</v>
      </c>
      <c r="Q63" s="135"/>
      <c r="R63" s="135"/>
      <c r="S63" s="134" t="s">
        <v>36</v>
      </c>
      <c r="T63" s="134" t="s">
        <v>36</v>
      </c>
      <c r="U63" s="134" t="s">
        <v>36</v>
      </c>
      <c r="V63" s="134" t="s">
        <v>36</v>
      </c>
      <c r="W63" s="134" t="s">
        <v>36</v>
      </c>
      <c r="X63" s="134" t="s">
        <v>36</v>
      </c>
      <c r="Y63" s="135">
        <f>Z63</f>
        <v>4173.33</v>
      </c>
      <c r="Z63" s="135">
        <f>[1]Fakts_Izd!Z69</f>
        <v>4173.33</v>
      </c>
      <c r="AA63" s="134" t="s">
        <v>36</v>
      </c>
      <c r="AB63" s="134" t="s">
        <v>36</v>
      </c>
      <c r="AC63" s="135">
        <f>Y63-AG63</f>
        <v>4173.33</v>
      </c>
      <c r="AD63" s="135">
        <f>Z63-AH63</f>
        <v>4173.33</v>
      </c>
      <c r="AE63" s="134" t="s">
        <v>36</v>
      </c>
      <c r="AF63" s="134" t="s">
        <v>36</v>
      </c>
      <c r="AG63" s="134"/>
      <c r="AH63" s="134"/>
      <c r="AI63" s="134" t="s">
        <v>36</v>
      </c>
      <c r="AJ63" s="134" t="s">
        <v>36</v>
      </c>
      <c r="AK63" s="136">
        <f t="shared" si="4"/>
        <v>0</v>
      </c>
      <c r="AL63" s="136">
        <f t="shared" si="4"/>
        <v>0</v>
      </c>
      <c r="AM63" s="133" t="s">
        <v>36</v>
      </c>
      <c r="AN63" s="133" t="s">
        <v>36</v>
      </c>
      <c r="AO63" s="133" t="s">
        <v>36</v>
      </c>
      <c r="AP63" s="133" t="s">
        <v>36</v>
      </c>
      <c r="AQ63" s="134" t="s">
        <v>36</v>
      </c>
      <c r="AR63" s="134" t="s">
        <v>36</v>
      </c>
      <c r="AS63" s="135">
        <f>AT63</f>
        <v>3474.48</v>
      </c>
      <c r="AT63" s="135">
        <v>3474.48</v>
      </c>
      <c r="AU63" s="134" t="s">
        <v>36</v>
      </c>
      <c r="AV63" s="134" t="s">
        <v>36</v>
      </c>
      <c r="AW63" s="135">
        <f>AS63-BA63</f>
        <v>3474.48</v>
      </c>
      <c r="AX63" s="135">
        <f>AT63-BB63</f>
        <v>3474.48</v>
      </c>
      <c r="AY63" s="134" t="s">
        <v>36</v>
      </c>
      <c r="AZ63" s="134" t="s">
        <v>36</v>
      </c>
      <c r="BA63" s="135"/>
      <c r="BB63" s="135"/>
      <c r="BC63" s="134" t="s">
        <v>36</v>
      </c>
      <c r="BD63" s="134" t="s">
        <v>36</v>
      </c>
      <c r="BE63" s="134" t="s">
        <v>36</v>
      </c>
      <c r="BF63" s="134" t="s">
        <v>36</v>
      </c>
      <c r="BG63" s="134" t="s">
        <v>36</v>
      </c>
      <c r="BH63" s="134" t="s">
        <v>36</v>
      </c>
      <c r="BI63" s="135">
        <f>BJ63</f>
        <v>4088.7299999999996</v>
      </c>
      <c r="BJ63" s="135">
        <f>[1]Fakts_Izd!AA69</f>
        <v>4088.7299999999996</v>
      </c>
      <c r="BK63" s="134" t="s">
        <v>36</v>
      </c>
      <c r="BL63" s="134" t="s">
        <v>36</v>
      </c>
      <c r="BM63" s="135">
        <f>BI63-BQ63</f>
        <v>4088.7299999999996</v>
      </c>
      <c r="BN63" s="135">
        <f>BJ63-BR63</f>
        <v>4088.7299999999996</v>
      </c>
      <c r="BO63" s="134" t="s">
        <v>36</v>
      </c>
      <c r="BP63" s="134" t="s">
        <v>36</v>
      </c>
      <c r="BQ63" s="134"/>
      <c r="BR63" s="134"/>
      <c r="BS63" s="134" t="s">
        <v>36</v>
      </c>
      <c r="BT63" s="134" t="s">
        <v>36</v>
      </c>
      <c r="BU63" s="136">
        <f t="shared" si="0"/>
        <v>0</v>
      </c>
      <c r="BV63" s="136">
        <f t="shared" si="0"/>
        <v>0</v>
      </c>
      <c r="BW63" s="133" t="s">
        <v>36</v>
      </c>
      <c r="BX63" s="133" t="s">
        <v>36</v>
      </c>
      <c r="BY63" s="133" t="s">
        <v>36</v>
      </c>
      <c r="BZ63" s="133" t="s">
        <v>36</v>
      </c>
      <c r="CA63" s="134" t="s">
        <v>36</v>
      </c>
      <c r="CB63" s="134" t="s">
        <v>36</v>
      </c>
      <c r="CC63" s="135">
        <f>CS63*'[2]Pielikums nr. 1.'!$EY$14</f>
        <v>4213.2579713355926</v>
      </c>
      <c r="CD63" s="135">
        <v>3677.55</v>
      </c>
      <c r="CE63" s="134" t="s">
        <v>36</v>
      </c>
      <c r="CF63" s="134" t="s">
        <v>36</v>
      </c>
      <c r="CG63" s="135">
        <f>CC63-CK63</f>
        <v>4213.2579713355926</v>
      </c>
      <c r="CH63" s="135">
        <f>CD63-CL63</f>
        <v>3677.55</v>
      </c>
      <c r="CI63" s="134" t="s">
        <v>36</v>
      </c>
      <c r="CJ63" s="134" t="s">
        <v>36</v>
      </c>
      <c r="CK63" s="135"/>
      <c r="CL63" s="135"/>
      <c r="CM63" s="134" t="s">
        <v>36</v>
      </c>
      <c r="CN63" s="134" t="s">
        <v>36</v>
      </c>
      <c r="CO63" s="134" t="s">
        <v>36</v>
      </c>
      <c r="CP63" s="134" t="s">
        <v>36</v>
      </c>
      <c r="CQ63" s="134" t="s">
        <v>36</v>
      </c>
      <c r="CR63" s="134" t="s">
        <v>36</v>
      </c>
      <c r="CS63" s="135">
        <f>[1]SP2024!BS153</f>
        <v>4230</v>
      </c>
      <c r="CT63" s="135">
        <f>[1]Fakts_Izd!AB69</f>
        <v>4291.8</v>
      </c>
      <c r="CU63" s="134" t="s">
        <v>36</v>
      </c>
      <c r="CV63" s="134" t="s">
        <v>36</v>
      </c>
      <c r="CW63" s="135">
        <f>CS63-DA63</f>
        <v>4230</v>
      </c>
      <c r="CX63" s="135">
        <f>CT63-DB63</f>
        <v>4291.8</v>
      </c>
      <c r="CY63" s="134" t="s">
        <v>36</v>
      </c>
      <c r="CZ63" s="134" t="s">
        <v>36</v>
      </c>
      <c r="DA63" s="134"/>
      <c r="DB63" s="134"/>
      <c r="DC63" s="134" t="s">
        <v>36</v>
      </c>
      <c r="DD63" s="134" t="s">
        <v>36</v>
      </c>
      <c r="DE63" s="136">
        <f t="shared" si="1"/>
        <v>0</v>
      </c>
      <c r="DF63" s="136">
        <f t="shared" si="1"/>
        <v>0</v>
      </c>
      <c r="DG63" s="133" t="s">
        <v>36</v>
      </c>
      <c r="DH63" s="133" t="s">
        <v>36</v>
      </c>
      <c r="DI63" s="133" t="s">
        <v>36</v>
      </c>
      <c r="DJ63" s="133" t="s">
        <v>36</v>
      </c>
      <c r="DK63" s="134" t="s">
        <v>36</v>
      </c>
      <c r="DL63" s="134" t="s">
        <v>36</v>
      </c>
      <c r="DM63" s="135">
        <v>4410.414539384331</v>
      </c>
      <c r="DN63" s="135">
        <v>7289.4999999999991</v>
      </c>
      <c r="DO63" s="134" t="s">
        <v>36</v>
      </c>
      <c r="DP63" s="134" t="s">
        <v>36</v>
      </c>
      <c r="DQ63" s="135">
        <v>4410.414539384331</v>
      </c>
      <c r="DR63" s="135">
        <v>7289.4999999999991</v>
      </c>
      <c r="DS63" s="134" t="s">
        <v>36</v>
      </c>
      <c r="DT63" s="134" t="s">
        <v>36</v>
      </c>
      <c r="DU63" s="135"/>
      <c r="DV63" s="135"/>
      <c r="DW63" s="134" t="s">
        <v>36</v>
      </c>
      <c r="DX63" s="134" t="s">
        <v>36</v>
      </c>
      <c r="DY63" s="134" t="s">
        <v>36</v>
      </c>
      <c r="DZ63" s="134" t="s">
        <v>36</v>
      </c>
      <c r="EA63" s="134" t="s">
        <v>36</v>
      </c>
      <c r="EB63" s="134" t="s">
        <v>36</v>
      </c>
      <c r="EC63" s="135">
        <v>4427.9399999999996</v>
      </c>
      <c r="ED63" s="135">
        <v>4670.68</v>
      </c>
      <c r="EE63" s="134" t="s">
        <v>36</v>
      </c>
      <c r="EF63" s="134" t="s">
        <v>36</v>
      </c>
      <c r="EG63" s="135">
        <v>4427.9399999999996</v>
      </c>
      <c r="EH63" s="137">
        <v>4670.68</v>
      </c>
      <c r="EI63" s="134" t="s">
        <v>36</v>
      </c>
      <c r="EJ63" s="134" t="s">
        <v>36</v>
      </c>
      <c r="EK63" s="134"/>
      <c r="EL63" s="134"/>
      <c r="EM63" s="134" t="s">
        <v>36</v>
      </c>
      <c r="EN63" s="134" t="s">
        <v>36</v>
      </c>
      <c r="EO63" s="136">
        <v>0</v>
      </c>
      <c r="EP63" s="136">
        <v>0</v>
      </c>
      <c r="EQ63" s="133" t="s">
        <v>36</v>
      </c>
      <c r="ER63" s="133" t="s">
        <v>36</v>
      </c>
      <c r="ES63" s="133">
        <v>0</v>
      </c>
      <c r="ET63" s="133"/>
      <c r="EU63" s="134" t="s">
        <v>36</v>
      </c>
      <c r="EV63" s="134" t="s">
        <v>36</v>
      </c>
      <c r="EW63" s="138">
        <v>15416.472510719923</v>
      </c>
      <c r="EX63" s="138">
        <v>17759.849999999999</v>
      </c>
      <c r="EY63" s="134" t="s">
        <v>36</v>
      </c>
      <c r="EZ63" s="134" t="s">
        <v>36</v>
      </c>
      <c r="FA63" s="138">
        <v>15416.472510719923</v>
      </c>
      <c r="FB63" s="138">
        <v>17759.849999999999</v>
      </c>
      <c r="FC63" s="134" t="s">
        <v>36</v>
      </c>
      <c r="FD63" s="134" t="s">
        <v>36</v>
      </c>
      <c r="FE63" s="138">
        <v>0</v>
      </c>
      <c r="FF63" s="138">
        <v>0</v>
      </c>
      <c r="FG63" s="134" t="s">
        <v>36</v>
      </c>
      <c r="FH63" s="134" t="s">
        <v>36</v>
      </c>
      <c r="FI63" s="139" t="s">
        <v>36</v>
      </c>
      <c r="FJ63" s="139" t="s">
        <v>36</v>
      </c>
      <c r="FK63" s="134" t="s">
        <v>36</v>
      </c>
      <c r="FL63" s="134" t="s">
        <v>36</v>
      </c>
      <c r="FM63" s="135">
        <v>16920</v>
      </c>
      <c r="FN63" s="135">
        <v>17224.54</v>
      </c>
      <c r="FO63" s="134" t="s">
        <v>36</v>
      </c>
      <c r="FP63" s="134" t="s">
        <v>36</v>
      </c>
      <c r="FQ63" s="135">
        <v>16920</v>
      </c>
      <c r="FR63" s="135">
        <v>17224.54</v>
      </c>
      <c r="FS63" s="134" t="s">
        <v>36</v>
      </c>
      <c r="FT63" s="134" t="s">
        <v>36</v>
      </c>
      <c r="FU63" s="135">
        <v>0</v>
      </c>
      <c r="FV63" s="135">
        <v>0</v>
      </c>
      <c r="FW63" s="134" t="s">
        <v>36</v>
      </c>
      <c r="FX63" s="134" t="s">
        <v>36</v>
      </c>
      <c r="FY63" s="136">
        <v>0</v>
      </c>
      <c r="FZ63" s="136">
        <v>0</v>
      </c>
      <c r="GA63" s="140" t="s">
        <v>36</v>
      </c>
      <c r="GB63" s="133" t="s">
        <v>36</v>
      </c>
      <c r="GC63" s="134" t="s">
        <v>36</v>
      </c>
      <c r="GD63" s="141" t="s">
        <v>36</v>
      </c>
      <c r="GE63" s="142">
        <v>2343.3774892800757</v>
      </c>
      <c r="GF63" s="143">
        <v>15.200477850238414</v>
      </c>
      <c r="GG63" s="134" t="s">
        <v>36</v>
      </c>
      <c r="GH63" s="144" t="s">
        <v>36</v>
      </c>
      <c r="GI63" s="142">
        <v>2343.3774892800757</v>
      </c>
      <c r="GJ63" s="143">
        <v>15.200477850238414</v>
      </c>
      <c r="GK63" s="134" t="s">
        <v>36</v>
      </c>
      <c r="GL63" s="145" t="s">
        <v>36</v>
      </c>
      <c r="GM63" s="142">
        <v>0</v>
      </c>
      <c r="GN63" s="143" t="s">
        <v>88</v>
      </c>
      <c r="GO63" s="134" t="s">
        <v>36</v>
      </c>
      <c r="GP63" s="144" t="s">
        <v>36</v>
      </c>
      <c r="GQ63" s="146"/>
      <c r="GR63" s="44"/>
      <c r="GS63" s="44"/>
      <c r="GT63" s="44"/>
      <c r="GU63" s="44"/>
      <c r="GV63" s="44"/>
      <c r="GW63" s="44"/>
    </row>
    <row r="64" spans="1:205" ht="13.15" customHeight="1">
      <c r="A64" s="147"/>
      <c r="B64" s="106" t="s">
        <v>62</v>
      </c>
      <c r="C64" s="78">
        <f>C65+C66</f>
        <v>4368</v>
      </c>
      <c r="D64" s="78">
        <f>D65+D66</f>
        <v>4368</v>
      </c>
      <c r="E64" s="148">
        <f>IFERROR(C64/$C$76*100,0)</f>
        <v>100</v>
      </c>
      <c r="F64" s="148">
        <f>IFERROR(D64/$D$64*100,0)</f>
        <v>100</v>
      </c>
      <c r="G64" s="77">
        <f>I64+K64</f>
        <v>5930578.1699999999</v>
      </c>
      <c r="H64" s="77">
        <f>J64+L64</f>
        <v>5930578.1699999999</v>
      </c>
      <c r="I64" s="76">
        <f>I65+I66+I63</f>
        <v>3602362.8499999992</v>
      </c>
      <c r="J64" s="76">
        <f>J65+J66+J63</f>
        <v>3602362.8499999992</v>
      </c>
      <c r="K64" s="77">
        <f>L64</f>
        <v>2328215.3200000003</v>
      </c>
      <c r="L64" s="77">
        <v>2328215.3200000003</v>
      </c>
      <c r="M64" s="76">
        <f>M65+M66+M63</f>
        <v>3538367.8299999991</v>
      </c>
      <c r="N64" s="76">
        <f>N65+N66+N63</f>
        <v>3538367.8299999991</v>
      </c>
      <c r="O64" s="149">
        <f>K64-S64</f>
        <v>2286855.1927247299</v>
      </c>
      <c r="P64" s="150">
        <f>L64-T64</f>
        <v>2286855.1927247299</v>
      </c>
      <c r="Q64" s="76">
        <f>Q65+Q66+Q63</f>
        <v>63995.020000000026</v>
      </c>
      <c r="R64" s="76">
        <f>R65+R66+R63</f>
        <v>63995.020000000026</v>
      </c>
      <c r="S64" s="149">
        <f>Q64/I64*K64</f>
        <v>41360.127275270599</v>
      </c>
      <c r="T64" s="150">
        <f>IFERROR((R64/J64*L64),0)</f>
        <v>41360.127275270599</v>
      </c>
      <c r="U64" s="108">
        <f t="shared" ref="U64:V66" si="476">IFERROR(ROUND(I64/C64,2),0)</f>
        <v>824.72</v>
      </c>
      <c r="V64" s="108">
        <f t="shared" si="476"/>
        <v>824.72</v>
      </c>
      <c r="W64" s="76">
        <f>Y64+AA64</f>
        <v>6403019.9500000011</v>
      </c>
      <c r="X64" s="76">
        <f>Z64+AB64</f>
        <v>6403019.9500000011</v>
      </c>
      <c r="Y64" s="76">
        <f t="shared" ref="Y64" si="477">Y65+Y66+Y63</f>
        <v>4213490.3800000008</v>
      </c>
      <c r="Z64" s="76">
        <f>Z65+Z66+Z63</f>
        <v>4213490.3800000008</v>
      </c>
      <c r="AA64" s="76">
        <f>AE64+AI64</f>
        <v>2189529.5699999998</v>
      </c>
      <c r="AB64" s="76">
        <f>AF64+AJ64</f>
        <v>2189529.5699999998</v>
      </c>
      <c r="AC64" s="76">
        <f>AC65+AC66+AC63</f>
        <v>4049245.6700000004</v>
      </c>
      <c r="AD64" s="76">
        <f t="shared" ref="AD64:AH64" si="478">AD65+AD66+AD63</f>
        <v>4049245.6700000004</v>
      </c>
      <c r="AE64" s="76">
        <f>AF64</f>
        <v>2104180.2199999997</v>
      </c>
      <c r="AF64" s="76">
        <f>'[1]NPL netiešās'!AA5</f>
        <v>2104180.2199999997</v>
      </c>
      <c r="AG64" s="76">
        <f t="shared" si="478"/>
        <v>164244.71</v>
      </c>
      <c r="AH64" s="76">
        <f t="shared" si="478"/>
        <v>164244.71</v>
      </c>
      <c r="AI64" s="76">
        <f>AJ64</f>
        <v>85349.35</v>
      </c>
      <c r="AJ64" s="76">
        <f>'[1]NPL netiešās'!Z5</f>
        <v>85349.35</v>
      </c>
      <c r="AK64" s="76">
        <f t="shared" si="4"/>
        <v>964.62691849816872</v>
      </c>
      <c r="AL64" s="76">
        <f t="shared" si="4"/>
        <v>964.62691849816872</v>
      </c>
      <c r="AM64" s="78">
        <f>AM65+AM66</f>
        <v>4368</v>
      </c>
      <c r="AN64" s="78">
        <f>AN65+AN66</f>
        <v>4368</v>
      </c>
      <c r="AO64" s="74">
        <f>IFERROR(AM64/$AM$76*100,0)</f>
        <v>100</v>
      </c>
      <c r="AP64" s="148">
        <f t="shared" ref="AP64" si="479">IFERROR(AN64/$AN$64*100,0)</f>
        <v>100</v>
      </c>
      <c r="AQ64" s="77">
        <f>AS64+AU64</f>
        <v>6922681.0500000007</v>
      </c>
      <c r="AR64" s="77">
        <f>AT64+AV64</f>
        <v>6922681.0500000007</v>
      </c>
      <c r="AS64" s="76">
        <f>AS65+AS66+AS63</f>
        <v>4573295.4400000004</v>
      </c>
      <c r="AT64" s="76">
        <f>AT65+AT66+AT63</f>
        <v>4573295.4400000004</v>
      </c>
      <c r="AU64" s="77">
        <f>AV64</f>
        <v>2349385.61</v>
      </c>
      <c r="AV64" s="77">
        <v>2349385.61</v>
      </c>
      <c r="AW64" s="76">
        <f>AW65+AW66+AW63</f>
        <v>4505633.6300000008</v>
      </c>
      <c r="AX64" s="76">
        <f>AX65+AX66+AX63</f>
        <v>4505633.6300000008</v>
      </c>
      <c r="AY64" s="149">
        <f>AU64-BC64</f>
        <v>2314626.499234885</v>
      </c>
      <c r="AZ64" s="150">
        <f>AV64-BD64</f>
        <v>2314626.499234885</v>
      </c>
      <c r="BA64" s="76">
        <f>BA65+BA66+BA63</f>
        <v>67661.809999999983</v>
      </c>
      <c r="BB64" s="76">
        <f>BB65+BB66+BB63</f>
        <v>67661.809999999983</v>
      </c>
      <c r="BC64" s="149">
        <f>BA64/AS64*AU64</f>
        <v>34759.110765114718</v>
      </c>
      <c r="BD64" s="150">
        <f>IFERROR((BB64/AT64*AV64),0)</f>
        <v>34759.110765114718</v>
      </c>
      <c r="BE64" s="108">
        <f t="shared" ref="BE64:BF66" si="480">IFERROR(ROUND(AS64/AM64,2),0)</f>
        <v>1047</v>
      </c>
      <c r="BF64" s="108">
        <f t="shared" si="480"/>
        <v>1047</v>
      </c>
      <c r="BG64" s="76">
        <f>BI64+BK64</f>
        <v>6378781.9900000002</v>
      </c>
      <c r="BH64" s="76">
        <f>BJ64+BL64</f>
        <v>6378781.9900000002</v>
      </c>
      <c r="BI64" s="77">
        <f>BM64+BQ64</f>
        <v>4216543.79</v>
      </c>
      <c r="BJ64" s="77">
        <f>BN64+BR64</f>
        <v>4216543.79</v>
      </c>
      <c r="BK64" s="76">
        <f>BO64+BS64</f>
        <v>2162238.2000000002</v>
      </c>
      <c r="BL64" s="76">
        <f>BP64+BT64</f>
        <v>2162238.2000000002</v>
      </c>
      <c r="BM64" s="76">
        <f>BM65+BM66+BM63</f>
        <v>4147117.2500000005</v>
      </c>
      <c r="BN64" s="76">
        <f t="shared" ref="BN64" si="481">BN65+BN66+BN63</f>
        <v>4147117.2500000005</v>
      </c>
      <c r="BO64" s="76">
        <f>BP64</f>
        <v>2126636.3600000003</v>
      </c>
      <c r="BP64" s="76">
        <f>'[1]NPL netiešās'!AA14</f>
        <v>2126636.3600000003</v>
      </c>
      <c r="BQ64" s="76">
        <f t="shared" ref="BQ64:BR64" si="482">BQ65+BQ66+BQ63</f>
        <v>69426.540000000008</v>
      </c>
      <c r="BR64" s="76">
        <f t="shared" si="482"/>
        <v>69426.540000000008</v>
      </c>
      <c r="BS64" s="76">
        <f>BT64</f>
        <v>35601.839999999997</v>
      </c>
      <c r="BT64" s="76">
        <f>'[1]NPL netiešās'!Z14</f>
        <v>35601.839999999997</v>
      </c>
      <c r="BU64" s="76">
        <f t="shared" si="0"/>
        <v>965.32595924908424</v>
      </c>
      <c r="BV64" s="76">
        <f t="shared" si="0"/>
        <v>965.32595924908424</v>
      </c>
      <c r="BW64" s="78">
        <f>BW65+BW66</f>
        <v>4416</v>
      </c>
      <c r="BX64" s="78">
        <f>BX65+BX66</f>
        <v>4416.0036111111103</v>
      </c>
      <c r="BY64" s="151">
        <f>IFERROR(BW64/$BW$76*100,0)</f>
        <v>100</v>
      </c>
      <c r="BZ64" s="148">
        <f>IFERROR(BX64/$BX$64*100,0)</f>
        <v>100</v>
      </c>
      <c r="CA64" s="77">
        <f>CC64+CE64</f>
        <v>5419792.2076320257</v>
      </c>
      <c r="CB64" s="77">
        <f>CD64+CF64</f>
        <v>5711646.5099999998</v>
      </c>
      <c r="CC64" s="76">
        <f>CC65+CC66+CC63</f>
        <v>3294441.9680638411</v>
      </c>
      <c r="CD64" s="76">
        <f>CD65+CD66+CD63</f>
        <v>3617294.2299999995</v>
      </c>
      <c r="CE64" s="77">
        <f>1.139*CC64*'[1]Proporcija NPL vs PZA'!AK64</f>
        <v>2125350.2395681851</v>
      </c>
      <c r="CF64" s="77">
        <f>2093530.28+822</f>
        <v>2094352.28</v>
      </c>
      <c r="CG64" s="76">
        <f>CG65+CG66+CG63</f>
        <v>3207441.9680638411</v>
      </c>
      <c r="CH64" s="76">
        <f>CH65+CH66+CH63</f>
        <v>3511873.46</v>
      </c>
      <c r="CI64" s="149">
        <f>CE64-CM64</f>
        <v>2069223.747544681</v>
      </c>
      <c r="CJ64" s="150">
        <f>CF64-CN64</f>
        <v>2033315.4342334184</v>
      </c>
      <c r="CK64" s="76">
        <f>CK65+CK66+CK63</f>
        <v>87000</v>
      </c>
      <c r="CL64" s="76">
        <f>CL65+CL66+CL63</f>
        <v>105420.77</v>
      </c>
      <c r="CM64" s="149">
        <f>CK64/CC64*CE64</f>
        <v>56126.492023504034</v>
      </c>
      <c r="CN64" s="150">
        <f>IFERROR((CL64/CD64*CF64),0)</f>
        <v>61036.845766581624</v>
      </c>
      <c r="CO64" s="108">
        <f t="shared" ref="CO64:CP66" si="483">IFERROR(ROUND(CC64/BW64,2),0)</f>
        <v>746.02</v>
      </c>
      <c r="CP64" s="108">
        <f t="shared" si="483"/>
        <v>819.13</v>
      </c>
      <c r="CQ64" s="76">
        <f>CS64+CU64</f>
        <v>6509021.5199999996</v>
      </c>
      <c r="CR64" s="76">
        <f>CT64+CV64</f>
        <v>6473884.2200000007</v>
      </c>
      <c r="CS64" s="76">
        <f t="shared" ref="CS64" si="484">CS65+CS66+CS63</f>
        <v>3307532.9400000004</v>
      </c>
      <c r="CT64" s="77">
        <f>CX64+DB64</f>
        <v>3252955.6700000004</v>
      </c>
      <c r="CU64" s="76">
        <f>CY64+DC64</f>
        <v>3201488.5799999996</v>
      </c>
      <c r="CV64" s="76">
        <f>CZ64+DD64</f>
        <v>3220928.55</v>
      </c>
      <c r="CW64" s="76">
        <f>CW65+CW66+CW63</f>
        <v>3217232.9400000004</v>
      </c>
      <c r="CX64" s="76">
        <f>CX65+CX66+CX63</f>
        <v>3120829.2800000003</v>
      </c>
      <c r="CY64" s="76">
        <f>'[1]NPL netiešās'!P23</f>
        <v>3114083.7299999995</v>
      </c>
      <c r="CZ64" s="76">
        <f>'[1]NPL netiešās'!AA23</f>
        <v>3090103.02</v>
      </c>
      <c r="DA64" s="76">
        <f t="shared" ref="DA64:DB64" si="485">DA65+DA66+DA63</f>
        <v>90300</v>
      </c>
      <c r="DB64" s="76">
        <f t="shared" si="485"/>
        <v>132126.39000000001</v>
      </c>
      <c r="DC64" s="76">
        <f>'[1]NPL netiešās'!O23</f>
        <v>87404.85</v>
      </c>
      <c r="DD64" s="76">
        <f>'[1]NPL netiešās'!Z23</f>
        <v>130825.53</v>
      </c>
      <c r="DE64" s="76">
        <f t="shared" si="1"/>
        <v>748.98843750000015</v>
      </c>
      <c r="DF64" s="76">
        <f t="shared" si="1"/>
        <v>736.6288518911615</v>
      </c>
      <c r="DG64" s="78">
        <v>4416.0000000000009</v>
      </c>
      <c r="DH64" s="78">
        <v>4415.9999999999991</v>
      </c>
      <c r="DI64" s="74">
        <v>100</v>
      </c>
      <c r="DJ64" s="148">
        <v>100</v>
      </c>
      <c r="DK64" s="77">
        <v>7357591.8758492069</v>
      </c>
      <c r="DL64" s="77">
        <v>6840193.5499999989</v>
      </c>
      <c r="DM64" s="76">
        <v>4473857.0906476723</v>
      </c>
      <c r="DN64" s="76">
        <v>4568522.6199999992</v>
      </c>
      <c r="DO64" s="77">
        <v>2883734.7852015346</v>
      </c>
      <c r="DP64" s="77">
        <v>2271670.9299999997</v>
      </c>
      <c r="DQ64" s="76">
        <v>4313857.0906476723</v>
      </c>
      <c r="DR64" s="76">
        <v>4392597.9399999995</v>
      </c>
      <c r="DS64" s="149">
        <v>2780602.8441753518</v>
      </c>
      <c r="DT64" s="150">
        <v>2184193.420383214</v>
      </c>
      <c r="DU64" s="76">
        <v>160000</v>
      </c>
      <c r="DV64" s="76">
        <v>175924.68000000002</v>
      </c>
      <c r="DW64" s="149">
        <v>103131.9410261828</v>
      </c>
      <c r="DX64" s="150">
        <v>87477.509616785581</v>
      </c>
      <c r="DY64" s="108">
        <v>1013.1</v>
      </c>
      <c r="DZ64" s="108">
        <v>1034.54</v>
      </c>
      <c r="EA64" s="76">
        <v>10596290.470000001</v>
      </c>
      <c r="EB64" s="76">
        <v>10647813.709999999</v>
      </c>
      <c r="EC64" s="76">
        <v>4491634.6500000004</v>
      </c>
      <c r="ED64" s="76">
        <v>4746538.7899999991</v>
      </c>
      <c r="EE64" s="76">
        <v>6104655.8200000003</v>
      </c>
      <c r="EF64" s="76">
        <v>5901274.9199999999</v>
      </c>
      <c r="EG64" s="76">
        <v>4353134.6500000004</v>
      </c>
      <c r="EH64" s="76">
        <v>4541458.2199999988</v>
      </c>
      <c r="EI64" s="76">
        <v>5916418.1500000004</v>
      </c>
      <c r="EJ64" s="76">
        <v>5614858.5</v>
      </c>
      <c r="EK64" s="76">
        <v>138500</v>
      </c>
      <c r="EL64" s="76">
        <v>205080.57</v>
      </c>
      <c r="EM64" s="76">
        <v>188237.67</v>
      </c>
      <c r="EN64" s="76">
        <v>286416.42</v>
      </c>
      <c r="EO64" s="76">
        <v>1017.1274116847825</v>
      </c>
      <c r="EP64" s="76">
        <v>1074.8502694746378</v>
      </c>
      <c r="EQ64" s="74">
        <v>17568</v>
      </c>
      <c r="ER64" s="74">
        <v>17568.003611111111</v>
      </c>
      <c r="ES64" s="79">
        <v>100</v>
      </c>
      <c r="ET64" s="79">
        <v>100</v>
      </c>
      <c r="EU64" s="77">
        <v>25630643.303481232</v>
      </c>
      <c r="EV64" s="77">
        <v>25405099.280000001</v>
      </c>
      <c r="EW64" s="108">
        <v>15943957.348711513</v>
      </c>
      <c r="EX64" s="108">
        <v>16361475.140000001</v>
      </c>
      <c r="EY64" s="77">
        <v>9686685.9547697194</v>
      </c>
      <c r="EZ64" s="77">
        <v>9043624.1400000006</v>
      </c>
      <c r="FA64" s="108">
        <v>15565300.518711511</v>
      </c>
      <c r="FB64" s="108">
        <v>15948472.859999998</v>
      </c>
      <c r="FC64" s="149">
        <v>9451308.2836796474</v>
      </c>
      <c r="FD64" s="149">
        <v>8818990.5465762466</v>
      </c>
      <c r="FE64" s="108">
        <v>378656.83</v>
      </c>
      <c r="FF64" s="108">
        <v>413002.28</v>
      </c>
      <c r="FG64" s="149">
        <v>235377.67109007214</v>
      </c>
      <c r="FH64" s="149">
        <v>224633.59342375252</v>
      </c>
      <c r="FI64" s="152">
        <v>907.56</v>
      </c>
      <c r="FJ64" s="152">
        <v>931.32</v>
      </c>
      <c r="FK64" s="76">
        <v>29887113.93</v>
      </c>
      <c r="FL64" s="76">
        <v>29903499.869999997</v>
      </c>
      <c r="FM64" s="108">
        <v>16229201.760000002</v>
      </c>
      <c r="FN64" s="108">
        <v>16429528.629999997</v>
      </c>
      <c r="FO64" s="76">
        <v>13657912.17</v>
      </c>
      <c r="FP64" s="76">
        <v>13473971.239999998</v>
      </c>
      <c r="FQ64" s="108">
        <v>15766730.510000002</v>
      </c>
      <c r="FR64" s="108">
        <v>15858650.420000002</v>
      </c>
      <c r="FS64" s="76">
        <v>13261318.460000001</v>
      </c>
      <c r="FT64" s="76">
        <v>12935778.1</v>
      </c>
      <c r="FU64" s="108">
        <v>462471.25</v>
      </c>
      <c r="FV64" s="108">
        <v>570878.21</v>
      </c>
      <c r="FW64" s="76">
        <v>396593.71</v>
      </c>
      <c r="FX64" s="76">
        <v>538193.14</v>
      </c>
      <c r="FY64" s="76">
        <v>923.79336065573784</v>
      </c>
      <c r="FZ64" s="76">
        <v>935.19610956870076</v>
      </c>
      <c r="GA64" s="78">
        <v>3.6111111112404615E-3</v>
      </c>
      <c r="GB64" s="74">
        <v>0</v>
      </c>
      <c r="GC64" s="149">
        <v>-225544.02348123118</v>
      </c>
      <c r="GD64" s="74">
        <v>-0.87997800449509667</v>
      </c>
      <c r="GE64" s="79">
        <v>417517.79128848761</v>
      </c>
      <c r="GF64" s="74">
        <v>2.6186584808082669</v>
      </c>
      <c r="GG64" s="149">
        <v>-643061.8147697188</v>
      </c>
      <c r="GH64" s="153">
        <v>-6.6386152887828009</v>
      </c>
      <c r="GI64" s="79">
        <v>383172.3412884865</v>
      </c>
      <c r="GJ64" s="74">
        <v>2.4617085987377108</v>
      </c>
      <c r="GK64" s="149">
        <v>-632317.73710340075</v>
      </c>
      <c r="GL64" s="154">
        <v>-6.6902667665097333</v>
      </c>
      <c r="GM64" s="79">
        <v>34345.450000000012</v>
      </c>
      <c r="GN64" s="74">
        <v>9.0703368535568263</v>
      </c>
      <c r="GO64" s="149">
        <v>-10744.077666319616</v>
      </c>
      <c r="GP64" s="153">
        <v>-4.5646121046920225</v>
      </c>
      <c r="GQ64" s="79">
        <v>23.760000000000105</v>
      </c>
      <c r="GR64" s="44"/>
      <c r="GS64" s="44"/>
      <c r="GT64" s="44"/>
      <c r="GU64" s="44"/>
      <c r="GV64" s="44"/>
      <c r="GW64" s="44"/>
    </row>
    <row r="65" spans="1:205" ht="13.15" customHeight="1">
      <c r="A65" s="82"/>
      <c r="B65" s="83" t="s">
        <v>38</v>
      </c>
      <c r="C65" s="84">
        <f>C49+C52+C55+C58+C61</f>
        <v>2184</v>
      </c>
      <c r="D65" s="84">
        <f>D49+D52+D55+D58+D61</f>
        <v>2184</v>
      </c>
      <c r="E65" s="148">
        <f>IFERROR(C65/$C$77*100,0)</f>
        <v>100</v>
      </c>
      <c r="F65" s="148">
        <f>IFERROR(D65/$D$65*100,0)</f>
        <v>100</v>
      </c>
      <c r="G65" s="75" t="s">
        <v>36</v>
      </c>
      <c r="H65" s="75" t="s">
        <v>36</v>
      </c>
      <c r="I65" s="76">
        <f>I49+I52+I55+I58+I61</f>
        <v>3078810.6509655281</v>
      </c>
      <c r="J65" s="76">
        <f>J49+J52+J55+J58+J61</f>
        <v>3078810.6509655281</v>
      </c>
      <c r="K65" s="75" t="s">
        <v>36</v>
      </c>
      <c r="L65" s="75" t="s">
        <v>36</v>
      </c>
      <c r="M65" s="76">
        <f>M49+M52+M55+M58+M61</f>
        <v>3014815.6309655281</v>
      </c>
      <c r="N65" s="76">
        <f>N49+N52+N55+N58+N61</f>
        <v>3014815.6309655281</v>
      </c>
      <c r="O65" s="75" t="s">
        <v>36</v>
      </c>
      <c r="P65" s="75" t="s">
        <v>36</v>
      </c>
      <c r="Q65" s="76">
        <f>Q49+Q52+Q55+Q58+Q61</f>
        <v>63995.020000000026</v>
      </c>
      <c r="R65" s="76">
        <f>R49+R52+R55+R58+R61</f>
        <v>63995.020000000026</v>
      </c>
      <c r="S65" s="75" t="s">
        <v>36</v>
      </c>
      <c r="T65" s="75" t="s">
        <v>36</v>
      </c>
      <c r="U65" s="76">
        <f t="shared" si="476"/>
        <v>1409.71</v>
      </c>
      <c r="V65" s="76">
        <f t="shared" si="476"/>
        <v>1409.71</v>
      </c>
      <c r="W65" s="75" t="s">
        <v>36</v>
      </c>
      <c r="X65" s="75" t="s">
        <v>36</v>
      </c>
      <c r="Y65" s="76">
        <f t="shared" ref="Y65:Z66" si="486">Y49+Y52+Y55+Y58+Y61</f>
        <v>3135846.3032166781</v>
      </c>
      <c r="Z65" s="76">
        <f t="shared" si="486"/>
        <v>3135846.3032166781</v>
      </c>
      <c r="AA65" s="75" t="s">
        <v>36</v>
      </c>
      <c r="AB65" s="75" t="s">
        <v>36</v>
      </c>
      <c r="AC65" s="76">
        <f>AC49+AC52+AC55+AC58+AC61</f>
        <v>2971601.5932166781</v>
      </c>
      <c r="AD65" s="76">
        <f t="shared" ref="AD65:AH66" si="487">AD49+AD52+AD55+AD58+AD61</f>
        <v>2971601.5932166781</v>
      </c>
      <c r="AE65" s="75" t="s">
        <v>36</v>
      </c>
      <c r="AF65" s="75" t="s">
        <v>36</v>
      </c>
      <c r="AG65" s="76">
        <f t="shared" si="487"/>
        <v>164244.71</v>
      </c>
      <c r="AH65" s="76">
        <f t="shared" si="487"/>
        <v>164244.71</v>
      </c>
      <c r="AI65" s="75" t="s">
        <v>36</v>
      </c>
      <c r="AJ65" s="75" t="s">
        <v>36</v>
      </c>
      <c r="AK65" s="76">
        <f t="shared" si="4"/>
        <v>1435.8270619123984</v>
      </c>
      <c r="AL65" s="76">
        <f t="shared" si="4"/>
        <v>1435.8270619123984</v>
      </c>
      <c r="AM65" s="84">
        <f>AM49+AM52+AM55+AM58+AM61</f>
        <v>2184</v>
      </c>
      <c r="AN65" s="84">
        <f>AN49+AN52+AN55+AN58+AN61</f>
        <v>2184</v>
      </c>
      <c r="AO65" s="84">
        <f>IFERROR(AM65/$AM$77*100,0)</f>
        <v>100</v>
      </c>
      <c r="AP65" s="148">
        <f>IFERROR(AN65/$AN$65*100,0)</f>
        <v>100</v>
      </c>
      <c r="AQ65" s="75" t="s">
        <v>36</v>
      </c>
      <c r="AR65" s="75" t="s">
        <v>36</v>
      </c>
      <c r="AS65" s="76">
        <f>AS49+AS52+AS55+AS58+AS61</f>
        <v>3393334.1048791236</v>
      </c>
      <c r="AT65" s="76">
        <f>AT49+AT52+AT55+AT58+AT61</f>
        <v>3393334.1048791236</v>
      </c>
      <c r="AU65" s="75" t="s">
        <v>36</v>
      </c>
      <c r="AV65" s="75" t="s">
        <v>36</v>
      </c>
      <c r="AW65" s="76">
        <f>AW49+AW52+AW55+AW58+AW61</f>
        <v>3325672.2948791236</v>
      </c>
      <c r="AX65" s="76">
        <f>AX49+AX52+AX55+AX58+AX61</f>
        <v>3325672.2948791236</v>
      </c>
      <c r="AY65" s="75" t="s">
        <v>36</v>
      </c>
      <c r="AZ65" s="75" t="s">
        <v>36</v>
      </c>
      <c r="BA65" s="76">
        <f>BA49+BA52+BA55+BA58+BA61</f>
        <v>67661.809999999983</v>
      </c>
      <c r="BB65" s="76">
        <f>BB49+BB52+BB55+BB58+BB61</f>
        <v>67661.809999999983</v>
      </c>
      <c r="BC65" s="75" t="s">
        <v>36</v>
      </c>
      <c r="BD65" s="75" t="s">
        <v>36</v>
      </c>
      <c r="BE65" s="76">
        <f t="shared" si="480"/>
        <v>1553.72</v>
      </c>
      <c r="BF65" s="76">
        <f t="shared" si="480"/>
        <v>1553.72</v>
      </c>
      <c r="BG65" s="75" t="s">
        <v>36</v>
      </c>
      <c r="BH65" s="75" t="s">
        <v>36</v>
      </c>
      <c r="BI65" s="76">
        <f t="shared" ref="BI65:BJ66" si="488">BI49+BI52+BI55+BI58+BI61</f>
        <v>3310840.6346655823</v>
      </c>
      <c r="BJ65" s="76">
        <f t="shared" si="488"/>
        <v>3310840.6346655823</v>
      </c>
      <c r="BK65" s="75" t="s">
        <v>36</v>
      </c>
      <c r="BL65" s="75" t="s">
        <v>36</v>
      </c>
      <c r="BM65" s="76">
        <f>BM49+BM52+BM55+BM58+BM61</f>
        <v>3241414.0946655828</v>
      </c>
      <c r="BN65" s="76">
        <f t="shared" ref="BN65:BN66" si="489">BN49+BN52+BN55+BN58+BN61</f>
        <v>3241414.0946655828</v>
      </c>
      <c r="BO65" s="75" t="s">
        <v>36</v>
      </c>
      <c r="BP65" s="75" t="s">
        <v>36</v>
      </c>
      <c r="BQ65" s="76">
        <f t="shared" ref="BQ65:BR66" si="490">BQ49+BQ52+BQ55+BQ58+BQ61</f>
        <v>69426.540000000008</v>
      </c>
      <c r="BR65" s="76">
        <f t="shared" si="490"/>
        <v>69426.540000000008</v>
      </c>
      <c r="BS65" s="75" t="s">
        <v>36</v>
      </c>
      <c r="BT65" s="75" t="s">
        <v>36</v>
      </c>
      <c r="BU65" s="76">
        <f t="shared" si="0"/>
        <v>1515.952671550175</v>
      </c>
      <c r="BV65" s="76">
        <f t="shared" si="0"/>
        <v>1515.952671550175</v>
      </c>
      <c r="BW65" s="84">
        <f>BW49+BW52+BW55+BW58+BW61</f>
        <v>2208</v>
      </c>
      <c r="BX65" s="84">
        <f>BX49+BX52+BX55+BX58+BX61</f>
        <v>2208.0024999999996</v>
      </c>
      <c r="BY65" s="151">
        <f>IFERROR(BW65/$BW$77*100,0)</f>
        <v>100</v>
      </c>
      <c r="BZ65" s="148">
        <f>IFERROR(BX65/$BX$65*100,0)</f>
        <v>100</v>
      </c>
      <c r="CA65" s="75" t="s">
        <v>36</v>
      </c>
      <c r="CB65" s="75" t="s">
        <v>36</v>
      </c>
      <c r="CC65" s="76">
        <f>CC49+CC52+CC55+CC58+CC61</f>
        <v>2459214.5925215697</v>
      </c>
      <c r="CD65" s="76">
        <f>CD49+CD52+CD55+CD58+CD61</f>
        <v>2827731.2282193038</v>
      </c>
      <c r="CE65" s="75" t="s">
        <v>36</v>
      </c>
      <c r="CF65" s="75" t="s">
        <v>36</v>
      </c>
      <c r="CG65" s="76">
        <f>CG49+CG52+CG55+CG58+CG61</f>
        <v>2372214.5925215697</v>
      </c>
      <c r="CH65" s="76">
        <f>CH49+CH52+CH55+CH58+CH61</f>
        <v>2722310.4582193042</v>
      </c>
      <c r="CI65" s="75" t="s">
        <v>36</v>
      </c>
      <c r="CJ65" s="75" t="s">
        <v>36</v>
      </c>
      <c r="CK65" s="76">
        <f>CK49+CK52+CK55+CK58+CK61</f>
        <v>87000</v>
      </c>
      <c r="CL65" s="76">
        <f>CL49+CL52+CL55+CL58+CL61</f>
        <v>105420.77</v>
      </c>
      <c r="CM65" s="75" t="s">
        <v>36</v>
      </c>
      <c r="CN65" s="75" t="s">
        <v>36</v>
      </c>
      <c r="CO65" s="76">
        <f t="shared" si="483"/>
        <v>1113.77</v>
      </c>
      <c r="CP65" s="76">
        <f t="shared" si="483"/>
        <v>1280.67</v>
      </c>
      <c r="CQ65" s="75" t="s">
        <v>36</v>
      </c>
      <c r="CR65" s="75" t="s">
        <v>36</v>
      </c>
      <c r="CS65" s="76">
        <f t="shared" ref="CS65:CT66" si="491">CS49+CS52+CS55+CS58+CS61</f>
        <v>2468986.66</v>
      </c>
      <c r="CT65" s="76">
        <f t="shared" si="491"/>
        <v>2686316.4996339795</v>
      </c>
      <c r="CU65" s="75" t="s">
        <v>36</v>
      </c>
      <c r="CV65" s="75" t="s">
        <v>36</v>
      </c>
      <c r="CW65" s="76">
        <f>CW49+CW52+CW55+CW58+CW61</f>
        <v>2378686.66</v>
      </c>
      <c r="CX65" s="76">
        <f>CX49+CX52+CX55+CX58+CX61</f>
        <v>2578329.6096339799</v>
      </c>
      <c r="CY65" s="75" t="s">
        <v>36</v>
      </c>
      <c r="CZ65" s="75" t="s">
        <v>36</v>
      </c>
      <c r="DA65" s="76">
        <f t="shared" ref="DA65:DB66" si="492">DA49+DA52+DA55+DA58+DA61</f>
        <v>90300</v>
      </c>
      <c r="DB65" s="76">
        <f t="shared" si="492"/>
        <v>107986.89000000001</v>
      </c>
      <c r="DC65" s="75" t="s">
        <v>36</v>
      </c>
      <c r="DD65" s="75" t="s">
        <v>36</v>
      </c>
      <c r="DE65" s="76">
        <f t="shared" si="1"/>
        <v>1118.2004800724637</v>
      </c>
      <c r="DF65" s="76">
        <f t="shared" si="1"/>
        <v>1216.6274719498642</v>
      </c>
      <c r="DG65" s="84">
        <v>2208.0000000000005</v>
      </c>
      <c r="DH65" s="84">
        <v>2207.9999999999995</v>
      </c>
      <c r="DI65" s="84">
        <v>100</v>
      </c>
      <c r="DJ65" s="148">
        <v>100</v>
      </c>
      <c r="DK65" s="75" t="s">
        <v>36</v>
      </c>
      <c r="DL65" s="75" t="s">
        <v>36</v>
      </c>
      <c r="DM65" s="76">
        <v>4069308.6162414406</v>
      </c>
      <c r="DN65" s="76">
        <v>3520830.7299999995</v>
      </c>
      <c r="DO65" s="75" t="s">
        <v>36</v>
      </c>
      <c r="DP65" s="75" t="s">
        <v>36</v>
      </c>
      <c r="DQ65" s="76">
        <v>3909308.6162414406</v>
      </c>
      <c r="DR65" s="76">
        <v>3350328.5499999989</v>
      </c>
      <c r="DS65" s="75" t="s">
        <v>36</v>
      </c>
      <c r="DT65" s="75" t="s">
        <v>36</v>
      </c>
      <c r="DU65" s="76">
        <v>160000</v>
      </c>
      <c r="DV65" s="76">
        <v>170502.18000000002</v>
      </c>
      <c r="DW65" s="75" t="s">
        <v>36</v>
      </c>
      <c r="DX65" s="75" t="s">
        <v>36</v>
      </c>
      <c r="DY65" s="76">
        <v>1842.98</v>
      </c>
      <c r="DZ65" s="76">
        <v>1594.58</v>
      </c>
      <c r="EA65" s="75" t="s">
        <v>36</v>
      </c>
      <c r="EB65" s="75" t="s">
        <v>36</v>
      </c>
      <c r="EC65" s="76">
        <v>4085478.64</v>
      </c>
      <c r="ED65" s="76">
        <v>4000550.8145333324</v>
      </c>
      <c r="EE65" s="75" t="s">
        <v>36</v>
      </c>
      <c r="EF65" s="75" t="s">
        <v>36</v>
      </c>
      <c r="EG65" s="76">
        <v>3946978.64</v>
      </c>
      <c r="EH65" s="76">
        <v>3795470.2445333325</v>
      </c>
      <c r="EI65" s="75" t="s">
        <v>36</v>
      </c>
      <c r="EJ65" s="75" t="s">
        <v>36</v>
      </c>
      <c r="EK65" s="76">
        <v>138500</v>
      </c>
      <c r="EL65" s="76">
        <v>205080.57</v>
      </c>
      <c r="EM65" s="75" t="s">
        <v>36</v>
      </c>
      <c r="EN65" s="75" t="s">
        <v>36</v>
      </c>
      <c r="EO65" s="76">
        <v>1850.3073550724635</v>
      </c>
      <c r="EP65" s="76">
        <v>1811.8436660024154</v>
      </c>
      <c r="EQ65" s="84">
        <v>8784.0000000000018</v>
      </c>
      <c r="ER65" s="84">
        <v>8784.0024999999987</v>
      </c>
      <c r="ES65" s="86">
        <v>100.00000000000003</v>
      </c>
      <c r="ET65" s="86">
        <v>99.999999999999972</v>
      </c>
      <c r="EU65" s="75" t="s">
        <v>36</v>
      </c>
      <c r="EV65" s="75" t="s">
        <v>36</v>
      </c>
      <c r="EW65" s="76">
        <v>13000667.964607663</v>
      </c>
      <c r="EX65" s="76">
        <v>12820706.714063957</v>
      </c>
      <c r="EY65" s="75" t="s">
        <v>36</v>
      </c>
      <c r="EZ65" s="75" t="s">
        <v>36</v>
      </c>
      <c r="FA65" s="76">
        <v>12622011.134607662</v>
      </c>
      <c r="FB65" s="76">
        <v>12413126.934063954</v>
      </c>
      <c r="FC65" s="75" t="s">
        <v>36</v>
      </c>
      <c r="FD65" s="75" t="s">
        <v>36</v>
      </c>
      <c r="FE65" s="76">
        <v>378656.83</v>
      </c>
      <c r="FF65" s="76">
        <v>407579.78</v>
      </c>
      <c r="FG65" s="75" t="s">
        <v>36</v>
      </c>
      <c r="FH65" s="75" t="s">
        <v>36</v>
      </c>
      <c r="FI65" s="155">
        <v>1480.04</v>
      </c>
      <c r="FJ65" s="155">
        <v>1459.55</v>
      </c>
      <c r="FK65" s="75" t="s">
        <v>36</v>
      </c>
      <c r="FL65" s="75" t="s">
        <v>36</v>
      </c>
      <c r="FM65" s="76">
        <v>13001152.23788226</v>
      </c>
      <c r="FN65" s="76">
        <v>13133554.252049571</v>
      </c>
      <c r="FO65" s="75" t="s">
        <v>36</v>
      </c>
      <c r="FP65" s="75" t="s">
        <v>36</v>
      </c>
      <c r="FQ65" s="76">
        <v>12538680.98788226</v>
      </c>
      <c r="FR65" s="76">
        <v>12586815.542049576</v>
      </c>
      <c r="FS65" s="75" t="s">
        <v>36</v>
      </c>
      <c r="FT65" s="75" t="s">
        <v>36</v>
      </c>
      <c r="FU65" s="76">
        <v>462471.25</v>
      </c>
      <c r="FV65" s="76">
        <v>546738.71</v>
      </c>
      <c r="FW65" s="75" t="s">
        <v>36</v>
      </c>
      <c r="FX65" s="75" t="s">
        <v>36</v>
      </c>
      <c r="FY65" s="76">
        <v>1480.0947447498015</v>
      </c>
      <c r="FZ65" s="76">
        <v>1495.1674082571781</v>
      </c>
      <c r="GA65" s="85">
        <v>2.4999999968713382E-3</v>
      </c>
      <c r="GB65" s="84">
        <v>0</v>
      </c>
      <c r="GC65" s="75" t="s">
        <v>36</v>
      </c>
      <c r="GD65" s="84" t="s">
        <v>36</v>
      </c>
      <c r="GE65" s="86">
        <v>-179961.25054370612</v>
      </c>
      <c r="GF65" s="84">
        <v>-1.3842461866853562</v>
      </c>
      <c r="GG65" s="75" t="s">
        <v>36</v>
      </c>
      <c r="GH65" s="80" t="s">
        <v>36</v>
      </c>
      <c r="GI65" s="86">
        <v>-208884.20054370724</v>
      </c>
      <c r="GJ65" s="84">
        <v>-1.6549201099258948</v>
      </c>
      <c r="GK65" s="75" t="s">
        <v>36</v>
      </c>
      <c r="GL65" s="81" t="s">
        <v>36</v>
      </c>
      <c r="GM65" s="86">
        <v>28922.950000000012</v>
      </c>
      <c r="GN65" s="84">
        <v>7.6383014139742356</v>
      </c>
      <c r="GO65" s="75" t="s">
        <v>36</v>
      </c>
      <c r="GP65" s="80" t="s">
        <v>36</v>
      </c>
      <c r="GQ65" s="86">
        <v>-20.490000000000009</v>
      </c>
      <c r="GR65" s="44"/>
      <c r="GS65" s="44"/>
      <c r="GT65" s="44"/>
      <c r="GU65" s="44"/>
      <c r="GV65" s="44"/>
      <c r="GW65" s="44"/>
    </row>
    <row r="66" spans="1:205" ht="13.15" customHeight="1">
      <c r="A66" s="87"/>
      <c r="B66" s="88" t="s">
        <v>39</v>
      </c>
      <c r="C66" s="89">
        <f>C50+C53+C56+C59+C62</f>
        <v>2184</v>
      </c>
      <c r="D66" s="89">
        <f>D50+D53+D56+D59+D62</f>
        <v>2184</v>
      </c>
      <c r="E66" s="156">
        <f>IFERROR(C66/$C$78*100,0)</f>
        <v>100</v>
      </c>
      <c r="F66" s="156">
        <f>IFERROR(D66/$D$66*100,0)</f>
        <v>100</v>
      </c>
      <c r="G66" s="90" t="s">
        <v>36</v>
      </c>
      <c r="H66" s="90" t="s">
        <v>36</v>
      </c>
      <c r="I66" s="91">
        <f>I50+I53+I56+I59+I62</f>
        <v>520233.87903447123</v>
      </c>
      <c r="J66" s="91">
        <f>J50+J53+J56+J59+J62</f>
        <v>520233.87903447123</v>
      </c>
      <c r="K66" s="90" t="s">
        <v>36</v>
      </c>
      <c r="L66" s="90" t="s">
        <v>36</v>
      </c>
      <c r="M66" s="91">
        <f>M50+M53+M56+M59+M62</f>
        <v>520233.87903447123</v>
      </c>
      <c r="N66" s="91">
        <f>N50+N53+N56+N59+N62</f>
        <v>520233.87903447123</v>
      </c>
      <c r="O66" s="90" t="s">
        <v>36</v>
      </c>
      <c r="P66" s="90" t="s">
        <v>36</v>
      </c>
      <c r="Q66" s="91">
        <f>Q50+Q53+Q56+Q59+Q62</f>
        <v>0</v>
      </c>
      <c r="R66" s="91">
        <f>R50+R53+R56+R59+R62</f>
        <v>0</v>
      </c>
      <c r="S66" s="90" t="s">
        <v>36</v>
      </c>
      <c r="T66" s="90" t="s">
        <v>36</v>
      </c>
      <c r="U66" s="91">
        <f t="shared" si="476"/>
        <v>238.2</v>
      </c>
      <c r="V66" s="91">
        <f t="shared" si="476"/>
        <v>238.2</v>
      </c>
      <c r="W66" s="90" t="s">
        <v>36</v>
      </c>
      <c r="X66" s="90" t="s">
        <v>36</v>
      </c>
      <c r="Y66" s="91">
        <f t="shared" si="486"/>
        <v>1073470.7467833222</v>
      </c>
      <c r="Z66" s="91">
        <f t="shared" si="486"/>
        <v>1073470.7467833222</v>
      </c>
      <c r="AA66" s="90" t="s">
        <v>36</v>
      </c>
      <c r="AB66" s="90" t="s">
        <v>36</v>
      </c>
      <c r="AC66" s="91">
        <f>AC50+AC53+AC56+AC59+AC62</f>
        <v>1073470.7467833222</v>
      </c>
      <c r="AD66" s="91">
        <f t="shared" si="487"/>
        <v>1073470.7467833222</v>
      </c>
      <c r="AE66" s="90" t="s">
        <v>36</v>
      </c>
      <c r="AF66" s="90" t="s">
        <v>36</v>
      </c>
      <c r="AG66" s="91">
        <f t="shared" si="487"/>
        <v>0</v>
      </c>
      <c r="AH66" s="91">
        <f t="shared" si="487"/>
        <v>0</v>
      </c>
      <c r="AI66" s="90" t="s">
        <v>36</v>
      </c>
      <c r="AJ66" s="90" t="s">
        <v>36</v>
      </c>
      <c r="AK66" s="91">
        <f t="shared" si="4"/>
        <v>491.51590969932334</v>
      </c>
      <c r="AL66" s="91">
        <f t="shared" si="4"/>
        <v>491.51590969932334</v>
      </c>
      <c r="AM66" s="89">
        <f>AM50+AM53+AM56+AM59+AM62</f>
        <v>2183.9999999999995</v>
      </c>
      <c r="AN66" s="89">
        <f>AN50+AN53+AN56+AN59+AN62</f>
        <v>2183.9999999999995</v>
      </c>
      <c r="AO66" s="89">
        <f>IFERROR(AM66/$AM$78*100,0)</f>
        <v>100</v>
      </c>
      <c r="AP66" s="156">
        <f>IFERROR(AN66/$AN$66*100,0)</f>
        <v>100</v>
      </c>
      <c r="AQ66" s="90" t="s">
        <v>36</v>
      </c>
      <c r="AR66" s="90" t="s">
        <v>36</v>
      </c>
      <c r="AS66" s="91">
        <f>AS50+AS53+AS56+AS59+AS62</f>
        <v>1176486.8551208766</v>
      </c>
      <c r="AT66" s="91">
        <f>AT50+AT53+AT56+AT59+AT62</f>
        <v>1176486.8551208766</v>
      </c>
      <c r="AU66" s="90" t="s">
        <v>36</v>
      </c>
      <c r="AV66" s="90" t="s">
        <v>36</v>
      </c>
      <c r="AW66" s="91">
        <f>AW50+AW53+AW56+AW59+AW62</f>
        <v>1176486.8551208766</v>
      </c>
      <c r="AX66" s="91">
        <f>AX50+AX53+AX56+AX59+AX62</f>
        <v>1176486.8551208766</v>
      </c>
      <c r="AY66" s="90" t="s">
        <v>36</v>
      </c>
      <c r="AZ66" s="90" t="s">
        <v>36</v>
      </c>
      <c r="BA66" s="91">
        <f>BA50+BA53+BA56+BA59+BA62</f>
        <v>0</v>
      </c>
      <c r="BB66" s="91">
        <f>BB50+BB53+BB56+BB59+BB62</f>
        <v>0</v>
      </c>
      <c r="BC66" s="90" t="s">
        <v>36</v>
      </c>
      <c r="BD66" s="90" t="s">
        <v>36</v>
      </c>
      <c r="BE66" s="91">
        <f t="shared" si="480"/>
        <v>538.67999999999995</v>
      </c>
      <c r="BF66" s="91">
        <f t="shared" si="480"/>
        <v>538.67999999999995</v>
      </c>
      <c r="BG66" s="90" t="s">
        <v>36</v>
      </c>
      <c r="BH66" s="90" t="s">
        <v>36</v>
      </c>
      <c r="BI66" s="91">
        <f t="shared" si="488"/>
        <v>901614.42533441784</v>
      </c>
      <c r="BJ66" s="91">
        <f t="shared" si="488"/>
        <v>901614.42533441784</v>
      </c>
      <c r="BK66" s="90" t="s">
        <v>36</v>
      </c>
      <c r="BL66" s="90" t="s">
        <v>36</v>
      </c>
      <c r="BM66" s="91">
        <f>BM50+BM53+BM56+BM59+BM62</f>
        <v>901614.42533441784</v>
      </c>
      <c r="BN66" s="91">
        <f t="shared" si="489"/>
        <v>901614.42533441784</v>
      </c>
      <c r="BO66" s="90" t="s">
        <v>36</v>
      </c>
      <c r="BP66" s="90" t="s">
        <v>36</v>
      </c>
      <c r="BQ66" s="91">
        <f t="shared" si="490"/>
        <v>0</v>
      </c>
      <c r="BR66" s="91">
        <f t="shared" si="490"/>
        <v>0</v>
      </c>
      <c r="BS66" s="90" t="s">
        <v>36</v>
      </c>
      <c r="BT66" s="90" t="s">
        <v>36</v>
      </c>
      <c r="BU66" s="91">
        <f t="shared" si="0"/>
        <v>412.82711782711448</v>
      </c>
      <c r="BV66" s="91">
        <f t="shared" si="0"/>
        <v>412.82711782711448</v>
      </c>
      <c r="BW66" s="89">
        <f>BW50+BW53+BW56+BW59+BW62</f>
        <v>2208</v>
      </c>
      <c r="BX66" s="89">
        <f>BX50+BX53+BX56+BX59+BX62</f>
        <v>2208.0011111111107</v>
      </c>
      <c r="BY66" s="157">
        <f>IFERROR(BW66/$BW$78*100,0)</f>
        <v>100</v>
      </c>
      <c r="BZ66" s="156">
        <f>IFERROR(BX66/$BX$66*100,0)</f>
        <v>100</v>
      </c>
      <c r="CA66" s="90" t="s">
        <v>36</v>
      </c>
      <c r="CB66" s="90" t="s">
        <v>36</v>
      </c>
      <c r="CC66" s="91">
        <f>CC50+CC53+CC56+CC59+CC62</f>
        <v>831014.11757093575</v>
      </c>
      <c r="CD66" s="91">
        <f>CD50+CD53+CD56+CD59+CD62</f>
        <v>785885.45178069617</v>
      </c>
      <c r="CE66" s="90" t="s">
        <v>36</v>
      </c>
      <c r="CF66" s="90" t="s">
        <v>36</v>
      </c>
      <c r="CG66" s="91">
        <f>CG50+CG53+CG56+CG59+CG62</f>
        <v>831014.11757093575</v>
      </c>
      <c r="CH66" s="91">
        <f>CH50+CH53+CH56+CH59+CH62</f>
        <v>785885.45178069617</v>
      </c>
      <c r="CI66" s="90" t="s">
        <v>36</v>
      </c>
      <c r="CJ66" s="90" t="s">
        <v>36</v>
      </c>
      <c r="CK66" s="91">
        <f>CK50+CK53+CK56+CK59+CK62</f>
        <v>0</v>
      </c>
      <c r="CL66" s="91">
        <f>CL50+CL53+CL56+CL59+CL62</f>
        <v>0</v>
      </c>
      <c r="CM66" s="90" t="s">
        <v>36</v>
      </c>
      <c r="CN66" s="90" t="s">
        <v>36</v>
      </c>
      <c r="CO66" s="91">
        <f t="shared" si="483"/>
        <v>376.37</v>
      </c>
      <c r="CP66" s="91">
        <f t="shared" si="483"/>
        <v>355.93</v>
      </c>
      <c r="CQ66" s="90" t="s">
        <v>36</v>
      </c>
      <c r="CR66" s="90" t="s">
        <v>36</v>
      </c>
      <c r="CS66" s="91">
        <f t="shared" si="491"/>
        <v>834316.28</v>
      </c>
      <c r="CT66" s="91">
        <f t="shared" si="491"/>
        <v>562347.37036602083</v>
      </c>
      <c r="CU66" s="90" t="s">
        <v>36</v>
      </c>
      <c r="CV66" s="90" t="s">
        <v>36</v>
      </c>
      <c r="CW66" s="91">
        <f>CW50+CW53+CW56+CW59+CW62</f>
        <v>834316.28</v>
      </c>
      <c r="CX66" s="91">
        <f>CX50+CX53+CX56+CX59+CX62</f>
        <v>538207.87036602083</v>
      </c>
      <c r="CY66" s="90" t="s">
        <v>36</v>
      </c>
      <c r="CZ66" s="90" t="s">
        <v>36</v>
      </c>
      <c r="DA66" s="91">
        <f t="shared" si="492"/>
        <v>0</v>
      </c>
      <c r="DB66" s="91">
        <f t="shared" si="492"/>
        <v>24139.5</v>
      </c>
      <c r="DC66" s="90" t="s">
        <v>36</v>
      </c>
      <c r="DD66" s="90" t="s">
        <v>36</v>
      </c>
      <c r="DE66" s="91">
        <f t="shared" si="1"/>
        <v>377.86063405797103</v>
      </c>
      <c r="DF66" s="91">
        <f t="shared" si="1"/>
        <v>254.68618087924614</v>
      </c>
      <c r="DG66" s="89">
        <v>2208.0000000000005</v>
      </c>
      <c r="DH66" s="89">
        <v>2207.9999999999995</v>
      </c>
      <c r="DI66" s="89">
        <v>100</v>
      </c>
      <c r="DJ66" s="156">
        <v>100</v>
      </c>
      <c r="DK66" s="90" t="s">
        <v>36</v>
      </c>
      <c r="DL66" s="90" t="s">
        <v>36</v>
      </c>
      <c r="DM66" s="91">
        <v>400138.059866847</v>
      </c>
      <c r="DN66" s="91">
        <v>1040402.3900000001</v>
      </c>
      <c r="DO66" s="90" t="s">
        <v>36</v>
      </c>
      <c r="DP66" s="90" t="s">
        <v>36</v>
      </c>
      <c r="DQ66" s="91">
        <v>400138.059866847</v>
      </c>
      <c r="DR66" s="91">
        <v>1034979.8900000001</v>
      </c>
      <c r="DS66" s="90" t="s">
        <v>36</v>
      </c>
      <c r="DT66" s="90" t="s">
        <v>36</v>
      </c>
      <c r="DU66" s="91">
        <v>0</v>
      </c>
      <c r="DV66" s="91">
        <v>5422.5</v>
      </c>
      <c r="DW66" s="90" t="s">
        <v>36</v>
      </c>
      <c r="DX66" s="90" t="s">
        <v>36</v>
      </c>
      <c r="DY66" s="91">
        <v>181.22</v>
      </c>
      <c r="DZ66" s="91">
        <v>471.2</v>
      </c>
      <c r="EA66" s="90" t="s">
        <v>36</v>
      </c>
      <c r="EB66" s="90" t="s">
        <v>36</v>
      </c>
      <c r="EC66" s="91">
        <v>401728.07</v>
      </c>
      <c r="ED66" s="91">
        <v>741317.29546666658</v>
      </c>
      <c r="EE66" s="90" t="s">
        <v>36</v>
      </c>
      <c r="EF66" s="90" t="s">
        <v>36</v>
      </c>
      <c r="EG66" s="91">
        <v>401728.07</v>
      </c>
      <c r="EH66" s="91">
        <v>741317.29546666658</v>
      </c>
      <c r="EI66" s="90" t="s">
        <v>36</v>
      </c>
      <c r="EJ66" s="90" t="s">
        <v>36</v>
      </c>
      <c r="EK66" s="91">
        <v>0</v>
      </c>
      <c r="EL66" s="91">
        <v>0</v>
      </c>
      <c r="EM66" s="90" t="s">
        <v>36</v>
      </c>
      <c r="EN66" s="90" t="s">
        <v>36</v>
      </c>
      <c r="EO66" s="91">
        <v>181.94206068840577</v>
      </c>
      <c r="EP66" s="91">
        <v>335.7415287439614</v>
      </c>
      <c r="EQ66" s="89">
        <v>8784</v>
      </c>
      <c r="ER66" s="89">
        <v>8784.0011111111107</v>
      </c>
      <c r="ES66" s="94">
        <v>100</v>
      </c>
      <c r="ET66" s="94">
        <v>100.00000000000003</v>
      </c>
      <c r="EU66" s="90" t="s">
        <v>36</v>
      </c>
      <c r="EV66" s="90" t="s">
        <v>36</v>
      </c>
      <c r="EW66" s="91">
        <v>2927872.9115931303</v>
      </c>
      <c r="EX66" s="91">
        <v>3523008.5759360441</v>
      </c>
      <c r="EY66" s="90" t="s">
        <v>36</v>
      </c>
      <c r="EZ66" s="90" t="s">
        <v>36</v>
      </c>
      <c r="FA66" s="91">
        <v>2927872.9115931303</v>
      </c>
      <c r="FB66" s="91">
        <v>3517586.0759360441</v>
      </c>
      <c r="FC66" s="90" t="s">
        <v>36</v>
      </c>
      <c r="FD66" s="90" t="s">
        <v>36</v>
      </c>
      <c r="FE66" s="91">
        <v>0</v>
      </c>
      <c r="FF66" s="91">
        <v>5422.5</v>
      </c>
      <c r="FG66" s="90" t="s">
        <v>36</v>
      </c>
      <c r="FH66" s="90" t="s">
        <v>36</v>
      </c>
      <c r="FI66" s="158">
        <v>333.32</v>
      </c>
      <c r="FJ66" s="158">
        <v>401.07</v>
      </c>
      <c r="FK66" s="90" t="s">
        <v>36</v>
      </c>
      <c r="FL66" s="90" t="s">
        <v>36</v>
      </c>
      <c r="FM66" s="91">
        <v>3211129.5221177405</v>
      </c>
      <c r="FN66" s="91">
        <v>3278749.8379504276</v>
      </c>
      <c r="FO66" s="90" t="s">
        <v>36</v>
      </c>
      <c r="FP66" s="90" t="s">
        <v>36</v>
      </c>
      <c r="FQ66" s="91">
        <v>3211129.5221177405</v>
      </c>
      <c r="FR66" s="91">
        <v>3254610.3379504276</v>
      </c>
      <c r="FS66" s="90" t="s">
        <v>36</v>
      </c>
      <c r="FT66" s="90" t="s">
        <v>36</v>
      </c>
      <c r="FU66" s="91">
        <v>0</v>
      </c>
      <c r="FV66" s="91">
        <v>24139.5</v>
      </c>
      <c r="FW66" s="90" t="s">
        <v>36</v>
      </c>
      <c r="FX66" s="90" t="s">
        <v>36</v>
      </c>
      <c r="FY66" s="91">
        <v>365.56574705347685</v>
      </c>
      <c r="FZ66" s="91">
        <v>373.2638232255062</v>
      </c>
      <c r="GA66" s="93">
        <v>1.1111111107311444E-3</v>
      </c>
      <c r="GB66" s="89">
        <v>0</v>
      </c>
      <c r="GC66" s="90" t="s">
        <v>36</v>
      </c>
      <c r="GD66" s="89" t="s">
        <v>36</v>
      </c>
      <c r="GE66" s="94">
        <v>595135.66434291378</v>
      </c>
      <c r="GF66" s="89">
        <v>20.326553860532325</v>
      </c>
      <c r="GG66" s="90" t="s">
        <v>36</v>
      </c>
      <c r="GH66" s="95" t="s">
        <v>36</v>
      </c>
      <c r="GI66" s="94">
        <v>589713.16434291378</v>
      </c>
      <c r="GJ66" s="89">
        <v>20.141351149768163</v>
      </c>
      <c r="GK66" s="90" t="s">
        <v>36</v>
      </c>
      <c r="GL66" s="96" t="s">
        <v>36</v>
      </c>
      <c r="GM66" s="94">
        <v>5422.5</v>
      </c>
      <c r="GN66" s="89" t="s">
        <v>88</v>
      </c>
      <c r="GO66" s="90" t="s">
        <v>36</v>
      </c>
      <c r="GP66" s="95" t="s">
        <v>36</v>
      </c>
      <c r="GQ66" s="94">
        <v>67.75</v>
      </c>
      <c r="GR66" s="44"/>
      <c r="GS66" s="44"/>
      <c r="GT66" s="44"/>
      <c r="GU66" s="44"/>
      <c r="GV66" s="44"/>
      <c r="GW66" s="44"/>
    </row>
    <row r="67" spans="1:205" ht="13.15" customHeight="1">
      <c r="A67" s="419" t="s">
        <v>64</v>
      </c>
      <c r="B67" s="159" t="s">
        <v>63</v>
      </c>
      <c r="C67" s="160" t="s">
        <v>36</v>
      </c>
      <c r="D67" s="161" t="s">
        <v>36</v>
      </c>
      <c r="E67" s="161" t="s">
        <v>36</v>
      </c>
      <c r="F67" s="161" t="s">
        <v>36</v>
      </c>
      <c r="G67" s="162">
        <f>I67+K67</f>
        <v>96022.329999999987</v>
      </c>
      <c r="H67" s="162">
        <f>J67+L67</f>
        <v>96022.329999999987</v>
      </c>
      <c r="I67" s="163">
        <f t="shared" ref="I67:I68" si="493">J67</f>
        <v>56268.49</v>
      </c>
      <c r="J67" s="164">
        <v>56268.49</v>
      </c>
      <c r="K67" s="165">
        <f>L67</f>
        <v>39753.839999999997</v>
      </c>
      <c r="L67" s="165">
        <v>39753.839999999997</v>
      </c>
      <c r="M67" s="166">
        <f t="shared" ref="M67:N74" si="494">I67-Q67</f>
        <v>56268.49</v>
      </c>
      <c r="N67" s="166">
        <f t="shared" si="494"/>
        <v>56268.49</v>
      </c>
      <c r="O67" s="165">
        <f>P67</f>
        <v>39753.839999999997</v>
      </c>
      <c r="P67" s="167">
        <f>L67-T67</f>
        <v>39753.839999999997</v>
      </c>
      <c r="Q67" s="168">
        <v>0</v>
      </c>
      <c r="R67" s="168">
        <v>0</v>
      </c>
      <c r="S67" s="169">
        <v>0</v>
      </c>
      <c r="T67" s="169">
        <v>0</v>
      </c>
      <c r="U67" s="169" t="s">
        <v>36</v>
      </c>
      <c r="V67" s="170" t="s">
        <v>36</v>
      </c>
      <c r="W67" s="162">
        <f t="shared" ref="W67:X69" si="495">Y67+AA67</f>
        <v>99298.75</v>
      </c>
      <c r="X67" s="162">
        <f t="shared" si="495"/>
        <v>99298.75</v>
      </c>
      <c r="Y67" s="162">
        <f>Z67</f>
        <v>65343.280000000006</v>
      </c>
      <c r="Z67" s="162">
        <f>[1]Fakts_Izd!Z70</f>
        <v>65343.280000000006</v>
      </c>
      <c r="AA67" s="162">
        <f t="shared" ref="AA67:AB69" si="496">AE67+AI67</f>
        <v>33955.47</v>
      </c>
      <c r="AB67" s="162">
        <f t="shared" si="496"/>
        <v>33955.47</v>
      </c>
      <c r="AC67" s="171">
        <f t="shared" ref="AC67:AD73" si="497">Y67-AG67</f>
        <v>65343.280000000006</v>
      </c>
      <c r="AD67" s="171">
        <f t="shared" si="497"/>
        <v>65343.280000000006</v>
      </c>
      <c r="AE67" s="171">
        <f>AF67</f>
        <v>33955.47</v>
      </c>
      <c r="AF67" s="171">
        <f>'[1]NPL netiešās'!Y6</f>
        <v>33955.47</v>
      </c>
      <c r="AG67" s="165"/>
      <c r="AH67" s="162"/>
      <c r="AI67" s="172"/>
      <c r="AJ67" s="172"/>
      <c r="AK67" s="165">
        <f t="shared" si="4"/>
        <v>0</v>
      </c>
      <c r="AL67" s="165">
        <f t="shared" si="4"/>
        <v>0</v>
      </c>
      <c r="AM67" s="173" t="s">
        <v>36</v>
      </c>
      <c r="AN67" s="174" t="s">
        <v>36</v>
      </c>
      <c r="AO67" s="174" t="s">
        <v>36</v>
      </c>
      <c r="AP67" s="174" t="s">
        <v>36</v>
      </c>
      <c r="AQ67" s="162">
        <f>AS67+AU67</f>
        <v>89275.93</v>
      </c>
      <c r="AR67" s="162">
        <f>AT67+AV67</f>
        <v>89275.93</v>
      </c>
      <c r="AS67" s="163">
        <f t="shared" ref="AS67:AS68" si="498">AT67</f>
        <v>55420.899999999994</v>
      </c>
      <c r="AT67" s="164">
        <v>55420.899999999994</v>
      </c>
      <c r="AU67" s="165">
        <f>AV67</f>
        <v>33855.03</v>
      </c>
      <c r="AV67" s="165">
        <v>33855.03</v>
      </c>
      <c r="AW67" s="166">
        <f t="shared" ref="AW67:AX74" si="499">AS67-BA67</f>
        <v>55420.899999999994</v>
      </c>
      <c r="AX67" s="166">
        <f t="shared" si="499"/>
        <v>55420.899999999994</v>
      </c>
      <c r="AY67" s="165">
        <f>AU67-BC67</f>
        <v>33855.03</v>
      </c>
      <c r="AZ67" s="167">
        <f>AV67-BD67</f>
        <v>33855.03</v>
      </c>
      <c r="BA67" s="168">
        <v>0</v>
      </c>
      <c r="BB67" s="168">
        <v>0</v>
      </c>
      <c r="BC67" s="169">
        <v>0</v>
      </c>
      <c r="BD67" s="169">
        <v>0</v>
      </c>
      <c r="BE67" s="169" t="s">
        <v>36</v>
      </c>
      <c r="BF67" s="170" t="s">
        <v>36</v>
      </c>
      <c r="BG67" s="162">
        <f t="shared" ref="BG67:BH69" si="500">BI67+BK67</f>
        <v>94717.48000000001</v>
      </c>
      <c r="BH67" s="162">
        <f t="shared" si="500"/>
        <v>94717.48000000001</v>
      </c>
      <c r="BI67" s="162">
        <f t="shared" ref="BI67:BI68" si="501">BJ67</f>
        <v>62610.76</v>
      </c>
      <c r="BJ67" s="162">
        <f>[1]Fakts_Izd!AA70</f>
        <v>62610.76</v>
      </c>
      <c r="BK67" s="162">
        <f t="shared" ref="BK67:BL69" si="502">BO67+BS67</f>
        <v>32106.720000000001</v>
      </c>
      <c r="BL67" s="162">
        <f t="shared" si="502"/>
        <v>32106.720000000001</v>
      </c>
      <c r="BM67" s="171">
        <f t="shared" ref="BM67:BN73" si="503">BI67-BQ67</f>
        <v>62610.76</v>
      </c>
      <c r="BN67" s="175">
        <f t="shared" si="503"/>
        <v>62610.76</v>
      </c>
      <c r="BO67" s="171">
        <f>BP67</f>
        <v>32106.720000000001</v>
      </c>
      <c r="BP67" s="171">
        <f>'[1]NPL netiešās'!Y15</f>
        <v>32106.720000000001</v>
      </c>
      <c r="BQ67" s="165"/>
      <c r="BR67" s="165"/>
      <c r="BS67" s="172"/>
      <c r="BT67" s="172"/>
      <c r="BU67" s="165">
        <f t="shared" si="0"/>
        <v>0</v>
      </c>
      <c r="BV67" s="176">
        <f t="shared" si="0"/>
        <v>0</v>
      </c>
      <c r="BW67" s="177" t="s">
        <v>36</v>
      </c>
      <c r="BX67" s="161" t="s">
        <v>36</v>
      </c>
      <c r="BY67" s="177" t="s">
        <v>36</v>
      </c>
      <c r="BZ67" s="178" t="s">
        <v>36</v>
      </c>
      <c r="CA67" s="162">
        <f>CC67+CE67</f>
        <v>90675.466219896392</v>
      </c>
      <c r="CB67" s="162">
        <f>CD67+CF67</f>
        <v>88011.17</v>
      </c>
      <c r="CC67" s="163">
        <f>CS67*'[1]Proporcija NPL vs PZA'!AJ67</f>
        <v>52986.90289719023</v>
      </c>
      <c r="CD67" s="164">
        <v>52588.32</v>
      </c>
      <c r="CE67" s="165">
        <f>1.139*CC67*'[1]Proporcija NPL vs PZA'!AK67</f>
        <v>37688.56332270617</v>
      </c>
      <c r="CF67" s="165">
        <v>35422.85</v>
      </c>
      <c r="CG67" s="166">
        <f t="shared" ref="CG67:CH74" si="504">CC67-CK67</f>
        <v>52986.90289719023</v>
      </c>
      <c r="CH67" s="166">
        <f t="shared" si="504"/>
        <v>52588.32</v>
      </c>
      <c r="CI67" s="165">
        <f>CE67-CM67</f>
        <v>37688.56332270617</v>
      </c>
      <c r="CJ67" s="167">
        <f>CF67-CN67</f>
        <v>35422.85</v>
      </c>
      <c r="CK67" s="168">
        <v>0</v>
      </c>
      <c r="CL67" s="168">
        <v>0</v>
      </c>
      <c r="CM67" s="169">
        <v>0</v>
      </c>
      <c r="CN67" s="169">
        <v>0</v>
      </c>
      <c r="CO67" s="169" t="s">
        <v>36</v>
      </c>
      <c r="CP67" s="170" t="s">
        <v>36</v>
      </c>
      <c r="CQ67" s="162">
        <f t="shared" ref="CQ67:CR69" si="505">CS67+CU67</f>
        <v>119620.45000000001</v>
      </c>
      <c r="CR67" s="162">
        <f t="shared" si="505"/>
        <v>123101</v>
      </c>
      <c r="CS67" s="162">
        <f>[1]SP2024!BS154</f>
        <v>60784.65</v>
      </c>
      <c r="CT67" s="162">
        <f>[1]Fakts_Izd!AB70</f>
        <v>61855</v>
      </c>
      <c r="CU67" s="162">
        <f t="shared" ref="CU67:CV69" si="506">CY67+DC67</f>
        <v>58835.8</v>
      </c>
      <c r="CV67" s="162">
        <f t="shared" si="506"/>
        <v>61246</v>
      </c>
      <c r="CW67" s="171">
        <f t="shared" ref="CW67:CX70" si="507">CS67-DA67</f>
        <v>60784.65</v>
      </c>
      <c r="CX67" s="171">
        <f t="shared" si="507"/>
        <v>61855</v>
      </c>
      <c r="CY67" s="171">
        <f>'[1]NPL netiešās'!N24</f>
        <v>58835.8</v>
      </c>
      <c r="CZ67" s="171">
        <f>'[1]NPL netiešās'!Y24</f>
        <v>61246</v>
      </c>
      <c r="DA67" s="179"/>
      <c r="DB67" s="179"/>
      <c r="DC67" s="172"/>
      <c r="DD67" s="172"/>
      <c r="DE67" s="165">
        <f t="shared" si="1"/>
        <v>0</v>
      </c>
      <c r="DF67" s="165">
        <f t="shared" si="1"/>
        <v>0</v>
      </c>
      <c r="DG67" s="177" t="s">
        <v>36</v>
      </c>
      <c r="DH67" s="161" t="s">
        <v>36</v>
      </c>
      <c r="DI67" s="161" t="s">
        <v>36</v>
      </c>
      <c r="DJ67" s="178" t="s">
        <v>36</v>
      </c>
      <c r="DK67" s="162">
        <v>102340.94666338977</v>
      </c>
      <c r="DL67" s="162">
        <v>88827.960000000021</v>
      </c>
      <c r="DM67" s="163">
        <v>59803.715705292729</v>
      </c>
      <c r="DN67" s="164">
        <v>55934.630000000019</v>
      </c>
      <c r="DO67" s="165">
        <v>42537.230958097047</v>
      </c>
      <c r="DP67" s="165">
        <v>32893.33</v>
      </c>
      <c r="DQ67" s="166">
        <v>59803.715705292729</v>
      </c>
      <c r="DR67" s="180">
        <v>55934.630000000019</v>
      </c>
      <c r="DS67" s="165">
        <v>42537.230958097047</v>
      </c>
      <c r="DT67" s="167">
        <v>32893.33</v>
      </c>
      <c r="DU67" s="168">
        <v>0</v>
      </c>
      <c r="DV67" s="168">
        <v>0</v>
      </c>
      <c r="DW67" s="169">
        <v>0</v>
      </c>
      <c r="DX67" s="169">
        <v>0</v>
      </c>
      <c r="DY67" s="169" t="s">
        <v>36</v>
      </c>
      <c r="DZ67" s="170" t="s">
        <v>36</v>
      </c>
      <c r="EA67" s="162">
        <v>161846.38</v>
      </c>
      <c r="EB67" s="162">
        <v>145165.5</v>
      </c>
      <c r="EC67" s="181">
        <v>68604.649999999994</v>
      </c>
      <c r="ED67" s="181">
        <v>64711.28</v>
      </c>
      <c r="EE67" s="162">
        <v>93241.73</v>
      </c>
      <c r="EF67" s="162">
        <v>80454.22</v>
      </c>
      <c r="EG67" s="171">
        <v>68604.649999999994</v>
      </c>
      <c r="EH67" s="171">
        <v>64711.28</v>
      </c>
      <c r="EI67" s="171">
        <v>93241.73</v>
      </c>
      <c r="EJ67" s="171">
        <v>80454.22</v>
      </c>
      <c r="EK67" s="179"/>
      <c r="EL67" s="182"/>
      <c r="EM67" s="172"/>
      <c r="EN67" s="172"/>
      <c r="EO67" s="165">
        <v>0</v>
      </c>
      <c r="EP67" s="165">
        <v>0</v>
      </c>
      <c r="EQ67" s="177" t="s">
        <v>36</v>
      </c>
      <c r="ER67" s="161" t="s">
        <v>36</v>
      </c>
      <c r="ES67" s="161" t="s">
        <v>36</v>
      </c>
      <c r="ET67" s="161" t="s">
        <v>36</v>
      </c>
      <c r="EU67" s="183">
        <v>378314.67288328614</v>
      </c>
      <c r="EV67" s="183">
        <v>362137.39</v>
      </c>
      <c r="EW67" s="171">
        <v>224480.00860248294</v>
      </c>
      <c r="EX67" s="171">
        <v>220212.34000000003</v>
      </c>
      <c r="EY67" s="183">
        <v>153834.66428080323</v>
      </c>
      <c r="EZ67" s="183">
        <v>141925.04999999999</v>
      </c>
      <c r="FA67" s="171">
        <v>224480.00860248294</v>
      </c>
      <c r="FB67" s="171">
        <v>220212.34000000003</v>
      </c>
      <c r="FC67" s="171">
        <v>153834.66428080323</v>
      </c>
      <c r="FD67" s="171">
        <v>141925.04999999999</v>
      </c>
      <c r="FE67" s="171">
        <v>0</v>
      </c>
      <c r="FF67" s="171">
        <v>0</v>
      </c>
      <c r="FG67" s="184">
        <v>0</v>
      </c>
      <c r="FH67" s="184">
        <v>0</v>
      </c>
      <c r="FI67" s="185" t="s">
        <v>36</v>
      </c>
      <c r="FJ67" s="186" t="s">
        <v>36</v>
      </c>
      <c r="FK67" s="162">
        <v>475483.06</v>
      </c>
      <c r="FL67" s="162">
        <v>462282.73</v>
      </c>
      <c r="FM67" s="187">
        <v>257343.34</v>
      </c>
      <c r="FN67" s="187">
        <v>254520.32000000001</v>
      </c>
      <c r="FO67" s="187">
        <v>218139.72</v>
      </c>
      <c r="FP67" s="187">
        <v>207762.41</v>
      </c>
      <c r="FQ67" s="187">
        <v>257343.34</v>
      </c>
      <c r="FR67" s="187">
        <v>254520.32000000001</v>
      </c>
      <c r="FS67" s="187">
        <v>218139.72</v>
      </c>
      <c r="FT67" s="187">
        <v>207762.41</v>
      </c>
      <c r="FU67" s="187">
        <v>0</v>
      </c>
      <c r="FV67" s="187">
        <v>0</v>
      </c>
      <c r="FW67" s="187">
        <v>0</v>
      </c>
      <c r="FX67" s="187">
        <v>0</v>
      </c>
      <c r="FY67" s="165">
        <v>0</v>
      </c>
      <c r="FZ67" s="165">
        <v>0</v>
      </c>
      <c r="GA67" s="188" t="s">
        <v>36</v>
      </c>
      <c r="GB67" s="189" t="s">
        <v>36</v>
      </c>
      <c r="GC67" s="190">
        <v>-16177.282883286127</v>
      </c>
      <c r="GD67" s="191">
        <v>-4.2761447130751362</v>
      </c>
      <c r="GE67" s="192">
        <v>-4267.6686024829105</v>
      </c>
      <c r="GF67" s="191">
        <v>-1.9011352632475331</v>
      </c>
      <c r="GG67" s="190">
        <v>-11909.614280803245</v>
      </c>
      <c r="GH67" s="193">
        <v>-7.7418274590335123</v>
      </c>
      <c r="GI67" s="192">
        <v>-4267.6686024829105</v>
      </c>
      <c r="GJ67" s="191">
        <v>-1.9011352632475331</v>
      </c>
      <c r="GK67" s="190">
        <v>-11909.614280803245</v>
      </c>
      <c r="GL67" s="194">
        <v>-7.7418274590335123</v>
      </c>
      <c r="GM67" s="192">
        <v>0</v>
      </c>
      <c r="GN67" s="191" t="s">
        <v>88</v>
      </c>
      <c r="GO67" s="190">
        <v>0</v>
      </c>
      <c r="GP67" s="193" t="s">
        <v>88</v>
      </c>
      <c r="GQ67" s="195" t="s">
        <v>36</v>
      </c>
      <c r="GR67" s="44"/>
      <c r="GS67" s="44"/>
      <c r="GT67" s="44"/>
      <c r="GU67" s="44"/>
      <c r="GV67" s="44"/>
      <c r="GW67" s="44"/>
    </row>
    <row r="68" spans="1:205" ht="13.15" customHeight="1">
      <c r="A68" s="420"/>
      <c r="B68" s="196" t="s">
        <v>65</v>
      </c>
      <c r="C68" s="160" t="s">
        <v>36</v>
      </c>
      <c r="D68" s="160" t="s">
        <v>36</v>
      </c>
      <c r="E68" s="160" t="s">
        <v>36</v>
      </c>
      <c r="F68" s="160" t="s">
        <v>36</v>
      </c>
      <c r="G68" s="197">
        <f>I68+K68</f>
        <v>23155.77</v>
      </c>
      <c r="H68" s="197">
        <f>J68+L68</f>
        <v>23155.77</v>
      </c>
      <c r="I68" s="198">
        <f t="shared" si="493"/>
        <v>13578.6</v>
      </c>
      <c r="J68" s="199">
        <v>13578.6</v>
      </c>
      <c r="K68" s="200">
        <f>L68</f>
        <v>9577.17</v>
      </c>
      <c r="L68" s="200">
        <v>9577.17</v>
      </c>
      <c r="M68" s="201">
        <f t="shared" si="494"/>
        <v>13578.6</v>
      </c>
      <c r="N68" s="201">
        <f t="shared" si="494"/>
        <v>13578.6</v>
      </c>
      <c r="O68" s="200">
        <f>P68</f>
        <v>9577.17</v>
      </c>
      <c r="P68" s="202">
        <f>L68-T68</f>
        <v>9577.17</v>
      </c>
      <c r="Q68" s="203">
        <v>0</v>
      </c>
      <c r="R68" s="203">
        <v>0</v>
      </c>
      <c r="S68" s="204">
        <v>0</v>
      </c>
      <c r="T68" s="204">
        <v>0</v>
      </c>
      <c r="U68" s="204" t="s">
        <v>36</v>
      </c>
      <c r="V68" s="204" t="s">
        <v>36</v>
      </c>
      <c r="W68" s="162">
        <f t="shared" si="495"/>
        <v>20078.41</v>
      </c>
      <c r="X68" s="162">
        <f t="shared" si="495"/>
        <v>20078.41</v>
      </c>
      <c r="Y68" s="197">
        <f>Z68</f>
        <v>13212.54</v>
      </c>
      <c r="Z68" s="197">
        <f>[1]Fakts_Izd!Z71</f>
        <v>13212.54</v>
      </c>
      <c r="AA68" s="197">
        <f t="shared" si="496"/>
        <v>6865.87</v>
      </c>
      <c r="AB68" s="197">
        <f t="shared" si="496"/>
        <v>6865.87</v>
      </c>
      <c r="AC68" s="205">
        <f t="shared" si="497"/>
        <v>13212.54</v>
      </c>
      <c r="AD68" s="205">
        <f t="shared" si="497"/>
        <v>13212.54</v>
      </c>
      <c r="AE68" s="205">
        <f>AF68</f>
        <v>6865.87</v>
      </c>
      <c r="AF68" s="205">
        <f>'[1]NPL netiešās'!Y7</f>
        <v>6865.87</v>
      </c>
      <c r="AG68" s="200"/>
      <c r="AH68" s="197"/>
      <c r="AI68" s="134"/>
      <c r="AJ68" s="134"/>
      <c r="AK68" s="200">
        <f t="shared" si="4"/>
        <v>0</v>
      </c>
      <c r="AL68" s="200">
        <f t="shared" si="4"/>
        <v>0</v>
      </c>
      <c r="AM68" s="206" t="s">
        <v>36</v>
      </c>
      <c r="AN68" s="206" t="s">
        <v>36</v>
      </c>
      <c r="AO68" s="206" t="s">
        <v>36</v>
      </c>
      <c r="AP68" s="206" t="s">
        <v>36</v>
      </c>
      <c r="AQ68" s="197">
        <f>AS68+AU68</f>
        <v>19797.72</v>
      </c>
      <c r="AR68" s="197">
        <f>AT68+AV68</f>
        <v>19797.72</v>
      </c>
      <c r="AS68" s="198">
        <f t="shared" si="498"/>
        <v>12322.45</v>
      </c>
      <c r="AT68" s="199">
        <v>12322.45</v>
      </c>
      <c r="AU68" s="200">
        <f>AV68</f>
        <v>7475.27</v>
      </c>
      <c r="AV68" s="200">
        <v>7475.27</v>
      </c>
      <c r="AW68" s="166">
        <f>AS68-BA68</f>
        <v>12322.45</v>
      </c>
      <c r="AX68" s="201">
        <f t="shared" si="499"/>
        <v>12322.45</v>
      </c>
      <c r="AY68" s="200">
        <f>AU68-BC68</f>
        <v>7475.27</v>
      </c>
      <c r="AZ68" s="202">
        <f>AV68-BD68</f>
        <v>7475.27</v>
      </c>
      <c r="BA68" s="203">
        <v>0</v>
      </c>
      <c r="BB68" s="203">
        <v>0</v>
      </c>
      <c r="BC68" s="204">
        <v>0</v>
      </c>
      <c r="BD68" s="204">
        <v>0</v>
      </c>
      <c r="BE68" s="204" t="s">
        <v>36</v>
      </c>
      <c r="BF68" s="204" t="s">
        <v>36</v>
      </c>
      <c r="BG68" s="162">
        <f t="shared" si="500"/>
        <v>17332.97</v>
      </c>
      <c r="BH68" s="162">
        <f t="shared" si="500"/>
        <v>17332.97</v>
      </c>
      <c r="BI68" s="162">
        <f t="shared" si="501"/>
        <v>11457.550000000003</v>
      </c>
      <c r="BJ68" s="162">
        <f>[1]Fakts_Izd!AA71</f>
        <v>11457.550000000003</v>
      </c>
      <c r="BK68" s="197">
        <f t="shared" si="502"/>
        <v>5875.42</v>
      </c>
      <c r="BL68" s="197">
        <f t="shared" si="502"/>
        <v>5875.42</v>
      </c>
      <c r="BM68" s="205">
        <f t="shared" si="503"/>
        <v>11457.550000000003</v>
      </c>
      <c r="BN68" s="207">
        <f t="shared" si="503"/>
        <v>11457.550000000003</v>
      </c>
      <c r="BO68" s="205">
        <f>BP68</f>
        <v>5875.42</v>
      </c>
      <c r="BP68" s="205">
        <f>'[1]NPL netiešās'!Y16</f>
        <v>5875.42</v>
      </c>
      <c r="BQ68" s="200"/>
      <c r="BR68" s="200"/>
      <c r="BS68" s="134"/>
      <c r="BT68" s="134"/>
      <c r="BU68" s="200">
        <f t="shared" si="0"/>
        <v>0</v>
      </c>
      <c r="BV68" s="208">
        <f t="shared" si="0"/>
        <v>0</v>
      </c>
      <c r="BW68" s="160" t="s">
        <v>36</v>
      </c>
      <c r="BX68" s="160" t="s">
        <v>36</v>
      </c>
      <c r="BY68" s="160" t="s">
        <v>36</v>
      </c>
      <c r="BZ68" s="209" t="s">
        <v>36</v>
      </c>
      <c r="CA68" s="197">
        <f>CC68+CE68</f>
        <v>18646.867716581492</v>
      </c>
      <c r="CB68" s="197">
        <f>CD68+CF68</f>
        <v>20204.920000000002</v>
      </c>
      <c r="CC68" s="198">
        <f>CS68*'[1]Proporcija NPL vs PZA'!AJ67</f>
        <v>10896.439910649777</v>
      </c>
      <c r="CD68" s="199">
        <v>12112.830000000002</v>
      </c>
      <c r="CE68" s="200">
        <f>1.139*CC68*'[1]Proporcija NPL vs PZA'!AK67</f>
        <v>7750.4278059317148</v>
      </c>
      <c r="CF68" s="200">
        <v>8092.09</v>
      </c>
      <c r="CG68" s="201">
        <f t="shared" si="504"/>
        <v>10896.439910649777</v>
      </c>
      <c r="CH68" s="201">
        <f t="shared" si="504"/>
        <v>12112.830000000002</v>
      </c>
      <c r="CI68" s="200">
        <f>CE68-CM68</f>
        <v>7750.4278059317148</v>
      </c>
      <c r="CJ68" s="202">
        <f>CF68-CN68</f>
        <v>8092.09</v>
      </c>
      <c r="CK68" s="203">
        <v>0</v>
      </c>
      <c r="CL68" s="203">
        <v>0</v>
      </c>
      <c r="CM68" s="204">
        <v>0</v>
      </c>
      <c r="CN68" s="204">
        <v>0</v>
      </c>
      <c r="CO68" s="204" t="s">
        <v>36</v>
      </c>
      <c r="CP68" s="204" t="s">
        <v>36</v>
      </c>
      <c r="CQ68" s="162">
        <f t="shared" si="505"/>
        <v>24599.23</v>
      </c>
      <c r="CR68" s="162">
        <f t="shared" si="505"/>
        <v>26955.07</v>
      </c>
      <c r="CS68" s="162">
        <f>[1]SP2024!BS155</f>
        <v>12500</v>
      </c>
      <c r="CT68" s="162">
        <f>[1]Fakts_Izd!AB71</f>
        <v>13544.209999999997</v>
      </c>
      <c r="CU68" s="197">
        <f t="shared" si="506"/>
        <v>12099.23</v>
      </c>
      <c r="CV68" s="197">
        <f t="shared" si="506"/>
        <v>13410.86</v>
      </c>
      <c r="CW68" s="205">
        <f t="shared" si="507"/>
        <v>12500</v>
      </c>
      <c r="CX68" s="205">
        <f t="shared" si="507"/>
        <v>13544.209999999997</v>
      </c>
      <c r="CY68" s="205">
        <f>'[1]NPL netiešās'!N25</f>
        <v>12099.23</v>
      </c>
      <c r="CZ68" s="205">
        <f>'[1]NPL netiešās'!Y25</f>
        <v>13410.86</v>
      </c>
      <c r="DA68" s="179"/>
      <c r="DB68" s="179"/>
      <c r="DC68" s="134"/>
      <c r="DD68" s="134"/>
      <c r="DE68" s="200">
        <f t="shared" si="1"/>
        <v>0</v>
      </c>
      <c r="DF68" s="200">
        <f t="shared" si="1"/>
        <v>0</v>
      </c>
      <c r="DG68" s="160" t="s">
        <v>36</v>
      </c>
      <c r="DH68" s="160" t="s">
        <v>36</v>
      </c>
      <c r="DI68" s="160" t="s">
        <v>36</v>
      </c>
      <c r="DJ68" s="209" t="s">
        <v>36</v>
      </c>
      <c r="DK68" s="197">
        <v>19139.010766851679</v>
      </c>
      <c r="DL68" s="197">
        <v>18015.599999999991</v>
      </c>
      <c r="DM68" s="198">
        <v>11184.027469923572</v>
      </c>
      <c r="DN68" s="199">
        <v>11397.279999999993</v>
      </c>
      <c r="DO68" s="200">
        <v>7954.9832969281078</v>
      </c>
      <c r="DP68" s="200">
        <v>6618.32</v>
      </c>
      <c r="DQ68" s="201">
        <v>11184.027469923572</v>
      </c>
      <c r="DR68" s="210">
        <v>11397.279999999993</v>
      </c>
      <c r="DS68" s="200">
        <v>7954.9832969281078</v>
      </c>
      <c r="DT68" s="202">
        <v>6618.32</v>
      </c>
      <c r="DU68" s="203">
        <v>0</v>
      </c>
      <c r="DV68" s="203">
        <v>0</v>
      </c>
      <c r="DW68" s="204">
        <v>0</v>
      </c>
      <c r="DX68" s="204">
        <v>0</v>
      </c>
      <c r="DY68" s="204" t="s">
        <v>36</v>
      </c>
      <c r="DZ68" s="204" t="s">
        <v>36</v>
      </c>
      <c r="EA68" s="162">
        <v>30267.26</v>
      </c>
      <c r="EB68" s="162">
        <v>24041.23</v>
      </c>
      <c r="EC68" s="181">
        <v>12829.91</v>
      </c>
      <c r="ED68" s="181">
        <v>10717</v>
      </c>
      <c r="EE68" s="197">
        <v>17437.349999999999</v>
      </c>
      <c r="EF68" s="197">
        <v>13324.23</v>
      </c>
      <c r="EG68" s="205">
        <v>12829.91</v>
      </c>
      <c r="EH68" s="205">
        <v>10717</v>
      </c>
      <c r="EI68" s="205">
        <v>17437.349999999999</v>
      </c>
      <c r="EJ68" s="205">
        <v>13324.23</v>
      </c>
      <c r="EK68" s="179"/>
      <c r="EL68" s="182"/>
      <c r="EM68" s="134"/>
      <c r="EN68" s="134"/>
      <c r="EO68" s="200">
        <v>0</v>
      </c>
      <c r="EP68" s="200">
        <v>0</v>
      </c>
      <c r="EQ68" s="160" t="s">
        <v>36</v>
      </c>
      <c r="ER68" s="160" t="s">
        <v>36</v>
      </c>
      <c r="ES68" s="160" t="s">
        <v>36</v>
      </c>
      <c r="ET68" s="160" t="s">
        <v>36</v>
      </c>
      <c r="EU68" s="211">
        <v>80739.36848343318</v>
      </c>
      <c r="EV68" s="211">
        <v>81174.009999999995</v>
      </c>
      <c r="EW68" s="205">
        <v>47981.51738057335</v>
      </c>
      <c r="EX68" s="205">
        <v>49411.159999999996</v>
      </c>
      <c r="EY68" s="211">
        <v>32757.851102859826</v>
      </c>
      <c r="EZ68" s="211">
        <v>31762.850000000002</v>
      </c>
      <c r="FA68" s="205">
        <v>47981.51738057335</v>
      </c>
      <c r="FB68" s="205">
        <v>49411.159999999996</v>
      </c>
      <c r="FC68" s="205">
        <v>32757.851102859826</v>
      </c>
      <c r="FD68" s="205">
        <v>31762.850000000002</v>
      </c>
      <c r="FE68" s="205">
        <v>0</v>
      </c>
      <c r="FF68" s="205">
        <v>0</v>
      </c>
      <c r="FG68" s="212">
        <v>0</v>
      </c>
      <c r="FH68" s="212">
        <v>0</v>
      </c>
      <c r="FI68" s="213" t="s">
        <v>36</v>
      </c>
      <c r="FJ68" s="213" t="s">
        <v>36</v>
      </c>
      <c r="FK68" s="162">
        <v>92277.87</v>
      </c>
      <c r="FL68" s="162">
        <v>88407.680000000008</v>
      </c>
      <c r="FM68" s="198">
        <v>50000</v>
      </c>
      <c r="FN68" s="198">
        <v>48931.3</v>
      </c>
      <c r="FO68" s="198">
        <v>42277.869999999995</v>
      </c>
      <c r="FP68" s="198">
        <v>39476.380000000005</v>
      </c>
      <c r="FQ68" s="198">
        <v>50000</v>
      </c>
      <c r="FR68" s="198">
        <v>48931.3</v>
      </c>
      <c r="FS68" s="198">
        <v>42277.869999999995</v>
      </c>
      <c r="FT68" s="198">
        <v>39476.380000000005</v>
      </c>
      <c r="FU68" s="198">
        <v>0</v>
      </c>
      <c r="FV68" s="198">
        <v>0</v>
      </c>
      <c r="FW68" s="198">
        <v>0</v>
      </c>
      <c r="FX68" s="198">
        <v>0</v>
      </c>
      <c r="FY68" s="200">
        <v>0</v>
      </c>
      <c r="FZ68" s="200">
        <v>0</v>
      </c>
      <c r="GA68" s="188" t="s">
        <v>36</v>
      </c>
      <c r="GB68" s="189" t="s">
        <v>36</v>
      </c>
      <c r="GC68" s="190">
        <v>434.64151656681497</v>
      </c>
      <c r="GD68" s="191">
        <v>0.53832662396411379</v>
      </c>
      <c r="GE68" s="192">
        <v>1429.642619426646</v>
      </c>
      <c r="GF68" s="191">
        <v>2.9795694206316892</v>
      </c>
      <c r="GG68" s="190">
        <v>-995.00110285982373</v>
      </c>
      <c r="GH68" s="193">
        <v>-3.0374431452646733</v>
      </c>
      <c r="GI68" s="192">
        <v>1429.642619426646</v>
      </c>
      <c r="GJ68" s="191">
        <v>2.9795694206316892</v>
      </c>
      <c r="GK68" s="190">
        <v>-995.00110285982373</v>
      </c>
      <c r="GL68" s="194">
        <v>-3.0374431452646733</v>
      </c>
      <c r="GM68" s="192">
        <v>0</v>
      </c>
      <c r="GN68" s="191" t="s">
        <v>88</v>
      </c>
      <c r="GO68" s="190">
        <v>0</v>
      </c>
      <c r="GP68" s="193" t="s">
        <v>88</v>
      </c>
      <c r="GQ68" s="195" t="s">
        <v>36</v>
      </c>
      <c r="GR68" s="44"/>
      <c r="GS68" s="44"/>
      <c r="GT68" s="44"/>
      <c r="GU68" s="44"/>
      <c r="GV68" s="44"/>
      <c r="GW68" s="44"/>
    </row>
    <row r="69" spans="1:205" ht="13.15" customHeight="1">
      <c r="A69" s="214"/>
      <c r="B69" s="73" t="s">
        <v>66</v>
      </c>
      <c r="C69" s="215"/>
      <c r="D69" s="215"/>
      <c r="E69" s="215"/>
      <c r="F69" s="215"/>
      <c r="G69" s="216">
        <f>G67+G68</f>
        <v>119178.09999999999</v>
      </c>
      <c r="H69" s="216">
        <f t="shared" ref="H69:T69" si="508">H67+H68</f>
        <v>119178.09999999999</v>
      </c>
      <c r="I69" s="216">
        <f t="shared" si="508"/>
        <v>69847.09</v>
      </c>
      <c r="J69" s="216">
        <f t="shared" si="508"/>
        <v>69847.09</v>
      </c>
      <c r="K69" s="216">
        <f t="shared" si="508"/>
        <v>49331.009999999995</v>
      </c>
      <c r="L69" s="216">
        <f t="shared" si="508"/>
        <v>49331.009999999995</v>
      </c>
      <c r="M69" s="216">
        <f t="shared" si="508"/>
        <v>69847.09</v>
      </c>
      <c r="N69" s="216">
        <f t="shared" si="508"/>
        <v>69847.09</v>
      </c>
      <c r="O69" s="216">
        <f t="shared" si="508"/>
        <v>49331.009999999995</v>
      </c>
      <c r="P69" s="216">
        <f t="shared" si="508"/>
        <v>49331.009999999995</v>
      </c>
      <c r="Q69" s="216">
        <f t="shared" si="508"/>
        <v>0</v>
      </c>
      <c r="R69" s="216">
        <f t="shared" si="508"/>
        <v>0</v>
      </c>
      <c r="S69" s="216">
        <f t="shared" si="508"/>
        <v>0</v>
      </c>
      <c r="T69" s="216">
        <f t="shared" si="508"/>
        <v>0</v>
      </c>
      <c r="U69" s="217"/>
      <c r="V69" s="217"/>
      <c r="W69" s="216">
        <f t="shared" si="495"/>
        <v>119377.16</v>
      </c>
      <c r="X69" s="216">
        <f>Z69+AB69</f>
        <v>119377.16</v>
      </c>
      <c r="Y69" s="216">
        <f t="shared" ref="Y69:Z69" si="509">Y67+Y68</f>
        <v>78555.820000000007</v>
      </c>
      <c r="Z69" s="216">
        <f t="shared" si="509"/>
        <v>78555.820000000007</v>
      </c>
      <c r="AA69" s="216">
        <f t="shared" si="496"/>
        <v>40821.340000000004</v>
      </c>
      <c r="AB69" s="216">
        <f>AF69+AJ69</f>
        <v>40821.340000000004</v>
      </c>
      <c r="AC69" s="216">
        <f t="shared" ref="AC69:AJ69" si="510">AC67+AC68</f>
        <v>78555.820000000007</v>
      </c>
      <c r="AD69" s="216">
        <f t="shared" si="510"/>
        <v>78555.820000000007</v>
      </c>
      <c r="AE69" s="216">
        <f t="shared" si="510"/>
        <v>40821.340000000004</v>
      </c>
      <c r="AF69" s="216">
        <f t="shared" si="510"/>
        <v>40821.340000000004</v>
      </c>
      <c r="AG69" s="216">
        <f t="shared" si="510"/>
        <v>0</v>
      </c>
      <c r="AH69" s="216">
        <f t="shared" si="510"/>
        <v>0</v>
      </c>
      <c r="AI69" s="216">
        <f t="shared" si="510"/>
        <v>0</v>
      </c>
      <c r="AJ69" s="216">
        <f t="shared" si="510"/>
        <v>0</v>
      </c>
      <c r="AK69" s="216">
        <f t="shared" si="4"/>
        <v>0</v>
      </c>
      <c r="AL69" s="216">
        <f t="shared" si="4"/>
        <v>0</v>
      </c>
      <c r="AM69" s="218"/>
      <c r="AN69" s="218"/>
      <c r="AO69" s="218"/>
      <c r="AP69" s="218"/>
      <c r="AQ69" s="216">
        <f t="shared" ref="AQ69:BD69" si="511">AQ67+AQ68</f>
        <v>109073.65</v>
      </c>
      <c r="AR69" s="216">
        <f t="shared" si="511"/>
        <v>109073.65</v>
      </c>
      <c r="AS69" s="216">
        <f t="shared" si="511"/>
        <v>67743.349999999991</v>
      </c>
      <c r="AT69" s="216">
        <f t="shared" si="511"/>
        <v>67743.349999999991</v>
      </c>
      <c r="AU69" s="216">
        <f t="shared" si="511"/>
        <v>41330.300000000003</v>
      </c>
      <c r="AV69" s="216">
        <f t="shared" si="511"/>
        <v>41330.300000000003</v>
      </c>
      <c r="AW69" s="216">
        <f t="shared" si="511"/>
        <v>67743.349999999991</v>
      </c>
      <c r="AX69" s="216">
        <f t="shared" si="511"/>
        <v>67743.349999999991</v>
      </c>
      <c r="AY69" s="216">
        <f t="shared" si="511"/>
        <v>41330.300000000003</v>
      </c>
      <c r="AZ69" s="216">
        <f t="shared" si="511"/>
        <v>41330.300000000003</v>
      </c>
      <c r="BA69" s="216">
        <f t="shared" si="511"/>
        <v>0</v>
      </c>
      <c r="BB69" s="216">
        <f t="shared" si="511"/>
        <v>0</v>
      </c>
      <c r="BC69" s="216">
        <f t="shared" si="511"/>
        <v>0</v>
      </c>
      <c r="BD69" s="216">
        <f t="shared" si="511"/>
        <v>0</v>
      </c>
      <c r="BE69" s="108">
        <f t="shared" ref="BE69:BF69" si="512">IFERROR(ROUND(AS69/AM69,2),0)</f>
        <v>0</v>
      </c>
      <c r="BF69" s="219">
        <f t="shared" si="512"/>
        <v>0</v>
      </c>
      <c r="BG69" s="216">
        <f t="shared" si="500"/>
        <v>112050.45</v>
      </c>
      <c r="BH69" s="216">
        <f t="shared" si="500"/>
        <v>112050.45</v>
      </c>
      <c r="BI69" s="216">
        <f t="shared" ref="BI69:BJ69" si="513">BI67+BI68</f>
        <v>74068.31</v>
      </c>
      <c r="BJ69" s="216">
        <f t="shared" si="513"/>
        <v>74068.31</v>
      </c>
      <c r="BK69" s="216">
        <f t="shared" si="502"/>
        <v>37982.14</v>
      </c>
      <c r="BL69" s="216">
        <f t="shared" si="502"/>
        <v>37982.14</v>
      </c>
      <c r="BM69" s="216">
        <f t="shared" ref="BM69:BR69" si="514">BM67+BM68</f>
        <v>74068.31</v>
      </c>
      <c r="BN69" s="216">
        <f t="shared" si="514"/>
        <v>74068.31</v>
      </c>
      <c r="BO69" s="216">
        <f t="shared" si="514"/>
        <v>37982.14</v>
      </c>
      <c r="BP69" s="216">
        <f t="shared" si="514"/>
        <v>37982.14</v>
      </c>
      <c r="BQ69" s="216">
        <f t="shared" si="514"/>
        <v>0</v>
      </c>
      <c r="BR69" s="216">
        <f t="shared" si="514"/>
        <v>0</v>
      </c>
      <c r="BS69" s="216"/>
      <c r="BT69" s="216"/>
      <c r="BU69" s="216">
        <f t="shared" si="0"/>
        <v>0</v>
      </c>
      <c r="BV69" s="216">
        <f t="shared" si="0"/>
        <v>0</v>
      </c>
      <c r="BW69" s="216"/>
      <c r="BX69" s="216"/>
      <c r="BY69" s="216"/>
      <c r="BZ69" s="216"/>
      <c r="CA69" s="216">
        <f t="shared" ref="CA69:CN69" si="515">CA67+CA68</f>
        <v>109322.33393647788</v>
      </c>
      <c r="CB69" s="216">
        <f t="shared" si="515"/>
        <v>108216.09</v>
      </c>
      <c r="CC69" s="216">
        <f t="shared" si="515"/>
        <v>63883.342807840003</v>
      </c>
      <c r="CD69" s="216">
        <f t="shared" si="515"/>
        <v>64701.15</v>
      </c>
      <c r="CE69" s="216">
        <f t="shared" si="515"/>
        <v>45438.991128637885</v>
      </c>
      <c r="CF69" s="216">
        <f t="shared" si="515"/>
        <v>43514.94</v>
      </c>
      <c r="CG69" s="216">
        <f t="shared" si="515"/>
        <v>63883.342807840003</v>
      </c>
      <c r="CH69" s="216">
        <f t="shared" si="515"/>
        <v>64701.15</v>
      </c>
      <c r="CI69" s="216">
        <f t="shared" si="515"/>
        <v>45438.991128637885</v>
      </c>
      <c r="CJ69" s="216">
        <f t="shared" si="515"/>
        <v>43514.94</v>
      </c>
      <c r="CK69" s="216">
        <f t="shared" si="515"/>
        <v>0</v>
      </c>
      <c r="CL69" s="216">
        <f t="shared" si="515"/>
        <v>0</v>
      </c>
      <c r="CM69" s="216">
        <f t="shared" si="515"/>
        <v>0</v>
      </c>
      <c r="CN69" s="216">
        <f t="shared" si="515"/>
        <v>0</v>
      </c>
      <c r="CO69" s="108">
        <f t="shared" ref="CO69" si="516">IFERROR(ROUND(CC69/BW69,2),0)</f>
        <v>0</v>
      </c>
      <c r="CP69" s="216"/>
      <c r="CQ69" s="216">
        <f t="shared" si="505"/>
        <v>144219.68</v>
      </c>
      <c r="CR69" s="216">
        <f t="shared" si="505"/>
        <v>150056.07</v>
      </c>
      <c r="CS69" s="216">
        <f t="shared" ref="CS69:CT69" si="517">CS67+CS68</f>
        <v>73284.649999999994</v>
      </c>
      <c r="CT69" s="216">
        <f t="shared" si="517"/>
        <v>75399.209999999992</v>
      </c>
      <c r="CU69" s="216">
        <f t="shared" si="506"/>
        <v>70935.03</v>
      </c>
      <c r="CV69" s="216">
        <f t="shared" si="506"/>
        <v>74656.86</v>
      </c>
      <c r="CW69" s="216">
        <f t="shared" ref="CW69:DB69" si="518">CW67+CW68</f>
        <v>73284.649999999994</v>
      </c>
      <c r="CX69" s="216">
        <f t="shared" si="518"/>
        <v>75399.209999999992</v>
      </c>
      <c r="CY69" s="216">
        <f t="shared" si="518"/>
        <v>70935.03</v>
      </c>
      <c r="CZ69" s="216">
        <f t="shared" si="518"/>
        <v>74656.86</v>
      </c>
      <c r="DA69" s="216">
        <f t="shared" si="518"/>
        <v>0</v>
      </c>
      <c r="DB69" s="216">
        <f t="shared" si="518"/>
        <v>0</v>
      </c>
      <c r="DC69" s="216"/>
      <c r="DD69" s="216"/>
      <c r="DE69" s="216">
        <f t="shared" si="1"/>
        <v>0</v>
      </c>
      <c r="DF69" s="216">
        <f t="shared" si="1"/>
        <v>0</v>
      </c>
      <c r="DG69" s="216"/>
      <c r="DH69" s="216"/>
      <c r="DI69" s="216"/>
      <c r="DJ69" s="216"/>
      <c r="DK69" s="216">
        <v>121479.95743024145</v>
      </c>
      <c r="DL69" s="216">
        <v>106843.56000000001</v>
      </c>
      <c r="DM69" s="216">
        <v>70987.743175216296</v>
      </c>
      <c r="DN69" s="216">
        <v>67331.910000000018</v>
      </c>
      <c r="DO69" s="216">
        <v>50492.214255025152</v>
      </c>
      <c r="DP69" s="216">
        <v>39511.65</v>
      </c>
      <c r="DQ69" s="216">
        <v>70987.743175216296</v>
      </c>
      <c r="DR69" s="216">
        <v>67331.910000000018</v>
      </c>
      <c r="DS69" s="216">
        <v>50492.214255025152</v>
      </c>
      <c r="DT69" s="216">
        <v>39511.65</v>
      </c>
      <c r="DU69" s="216">
        <v>0</v>
      </c>
      <c r="DV69" s="216">
        <v>0</v>
      </c>
      <c r="DW69" s="216">
        <v>0</v>
      </c>
      <c r="DX69" s="216">
        <v>0</v>
      </c>
      <c r="DY69" s="216"/>
      <c r="DZ69" s="216"/>
      <c r="EA69" s="216">
        <v>192113.63999999998</v>
      </c>
      <c r="EB69" s="216">
        <v>169206.72999999998</v>
      </c>
      <c r="EC69" s="216">
        <v>81434.559999999998</v>
      </c>
      <c r="ED69" s="216">
        <v>75428.28</v>
      </c>
      <c r="EE69" s="216">
        <v>110679.07999999999</v>
      </c>
      <c r="EF69" s="216">
        <v>93778.45</v>
      </c>
      <c r="EG69" s="216">
        <v>81434.559999999998</v>
      </c>
      <c r="EH69" s="216">
        <v>75428.28</v>
      </c>
      <c r="EI69" s="216">
        <v>110679.07999999999</v>
      </c>
      <c r="EJ69" s="216">
        <v>93778.45</v>
      </c>
      <c r="EK69" s="216">
        <v>0</v>
      </c>
      <c r="EL69" s="216">
        <v>0</v>
      </c>
      <c r="EM69" s="216"/>
      <c r="EN69" s="216"/>
      <c r="EO69" s="216">
        <v>0</v>
      </c>
      <c r="EP69" s="216">
        <v>0</v>
      </c>
      <c r="EQ69" s="215"/>
      <c r="ER69" s="215"/>
      <c r="ES69" s="215"/>
      <c r="ET69" s="215"/>
      <c r="EU69" s="216">
        <v>459054.04136671929</v>
      </c>
      <c r="EV69" s="216">
        <v>443311.4</v>
      </c>
      <c r="EW69" s="216">
        <v>272461.52598305629</v>
      </c>
      <c r="EX69" s="216">
        <v>269623.5</v>
      </c>
      <c r="EY69" s="216">
        <v>186592.51538366306</v>
      </c>
      <c r="EZ69" s="216">
        <v>173687.9</v>
      </c>
      <c r="FA69" s="216">
        <v>272461.52598305629</v>
      </c>
      <c r="FB69" s="216">
        <v>269623.5</v>
      </c>
      <c r="FC69" s="216">
        <v>186592.51538366306</v>
      </c>
      <c r="FD69" s="216">
        <v>173687.9</v>
      </c>
      <c r="FE69" s="216">
        <v>0</v>
      </c>
      <c r="FF69" s="216">
        <v>0</v>
      </c>
      <c r="FG69" s="216">
        <v>0</v>
      </c>
      <c r="FH69" s="216">
        <v>0</v>
      </c>
      <c r="FI69" s="216"/>
      <c r="FJ69" s="216"/>
      <c r="FK69" s="216">
        <v>567760.92999999993</v>
      </c>
      <c r="FL69" s="216">
        <v>550690.41</v>
      </c>
      <c r="FM69" s="216">
        <v>307343.33999999997</v>
      </c>
      <c r="FN69" s="216">
        <v>303451.62</v>
      </c>
      <c r="FO69" s="216">
        <v>260417.59</v>
      </c>
      <c r="FP69" s="216">
        <v>247238.79</v>
      </c>
      <c r="FQ69" s="216">
        <v>307343.33999999997</v>
      </c>
      <c r="FR69" s="216">
        <v>303451.62</v>
      </c>
      <c r="FS69" s="216">
        <v>260417.59</v>
      </c>
      <c r="FT69" s="216">
        <v>247238.79</v>
      </c>
      <c r="FU69" s="216">
        <v>0</v>
      </c>
      <c r="FV69" s="216">
        <v>0</v>
      </c>
      <c r="FW69" s="216">
        <v>0</v>
      </c>
      <c r="FX69" s="216">
        <v>0</v>
      </c>
      <c r="FY69" s="216">
        <v>0</v>
      </c>
      <c r="FZ69" s="216">
        <v>0</v>
      </c>
      <c r="GA69" s="220" t="s">
        <v>36</v>
      </c>
      <c r="GB69" s="220" t="s">
        <v>36</v>
      </c>
      <c r="GC69" s="149">
        <v>-15742.641366719268</v>
      </c>
      <c r="GD69" s="74">
        <v>-3.4293655970982106</v>
      </c>
      <c r="GE69" s="79">
        <v>-2838.0259830562863</v>
      </c>
      <c r="GF69" s="74">
        <v>-1.0416244909502437</v>
      </c>
      <c r="GG69" s="149">
        <v>-12904.615383663069</v>
      </c>
      <c r="GH69" s="153">
        <v>-6.9159340915305068</v>
      </c>
      <c r="GI69" s="79">
        <v>-2838.0259830562863</v>
      </c>
      <c r="GJ69" s="74">
        <v>-1.0416244909502437</v>
      </c>
      <c r="GK69" s="149">
        <v>-12904.615383663069</v>
      </c>
      <c r="GL69" s="154">
        <v>-6.9159340915305068</v>
      </c>
      <c r="GM69" s="79">
        <v>0</v>
      </c>
      <c r="GN69" s="74" t="s">
        <v>88</v>
      </c>
      <c r="GO69" s="149">
        <v>0</v>
      </c>
      <c r="GP69" s="153" t="s">
        <v>88</v>
      </c>
      <c r="GQ69" s="79" t="s">
        <v>36</v>
      </c>
      <c r="GR69" s="44"/>
      <c r="GS69" s="44"/>
      <c r="GT69" s="44"/>
      <c r="GU69" s="44"/>
      <c r="GV69" s="44"/>
      <c r="GW69" s="44"/>
    </row>
    <row r="70" spans="1:205" ht="41.25">
      <c r="A70" s="421" t="s">
        <v>67</v>
      </c>
      <c r="B70" s="221" t="s">
        <v>68</v>
      </c>
      <c r="C70" s="222" t="s">
        <v>36</v>
      </c>
      <c r="D70" s="222" t="s">
        <v>36</v>
      </c>
      <c r="E70" s="222" t="s">
        <v>36</v>
      </c>
      <c r="F70" s="222" t="s">
        <v>36</v>
      </c>
      <c r="G70" s="223" t="s">
        <v>36</v>
      </c>
      <c r="H70" s="223" t="s">
        <v>36</v>
      </c>
      <c r="I70" s="224">
        <f t="shared" ref="I70:I73" si="519">J70</f>
        <v>143608.22</v>
      </c>
      <c r="J70" s="225">
        <v>143608.22</v>
      </c>
      <c r="K70" s="223" t="s">
        <v>36</v>
      </c>
      <c r="L70" s="223" t="s">
        <v>36</v>
      </c>
      <c r="M70" s="224">
        <f t="shared" si="494"/>
        <v>143608.22</v>
      </c>
      <c r="N70" s="224">
        <f t="shared" si="494"/>
        <v>143608.22</v>
      </c>
      <c r="O70" s="223" t="s">
        <v>36</v>
      </c>
      <c r="P70" s="223" t="s">
        <v>36</v>
      </c>
      <c r="Q70" s="224"/>
      <c r="R70" s="224"/>
      <c r="S70" s="223" t="s">
        <v>36</v>
      </c>
      <c r="T70" s="223" t="s">
        <v>36</v>
      </c>
      <c r="U70" s="226" t="s">
        <v>36</v>
      </c>
      <c r="V70" s="226" t="s">
        <v>36</v>
      </c>
      <c r="W70" s="226" t="s">
        <v>36</v>
      </c>
      <c r="X70" s="226" t="s">
        <v>36</v>
      </c>
      <c r="Y70" s="227">
        <f t="shared" ref="Y70:Y73" si="520">Z70</f>
        <v>146278.01</v>
      </c>
      <c r="Z70" s="227">
        <f>[1]Fakts_Izd!Z72</f>
        <v>146278.01</v>
      </c>
      <c r="AA70" s="226" t="s">
        <v>36</v>
      </c>
      <c r="AB70" s="226" t="s">
        <v>36</v>
      </c>
      <c r="AC70" s="228">
        <f t="shared" si="497"/>
        <v>146278.01</v>
      </c>
      <c r="AD70" s="228">
        <f t="shared" si="497"/>
        <v>146278.01</v>
      </c>
      <c r="AE70" s="226" t="s">
        <v>36</v>
      </c>
      <c r="AF70" s="226" t="s">
        <v>36</v>
      </c>
      <c r="AG70" s="223"/>
      <c r="AH70" s="162"/>
      <c r="AI70" s="226" t="s">
        <v>36</v>
      </c>
      <c r="AJ70" s="226" t="s">
        <v>36</v>
      </c>
      <c r="AK70" s="229">
        <f t="shared" si="4"/>
        <v>0</v>
      </c>
      <c r="AL70" s="229">
        <f t="shared" si="4"/>
        <v>0</v>
      </c>
      <c r="AM70" s="222" t="s">
        <v>36</v>
      </c>
      <c r="AN70" s="222" t="s">
        <v>36</v>
      </c>
      <c r="AO70" s="222" t="s">
        <v>36</v>
      </c>
      <c r="AP70" s="222" t="s">
        <v>36</v>
      </c>
      <c r="AQ70" s="223" t="s">
        <v>36</v>
      </c>
      <c r="AR70" s="223" t="s">
        <v>36</v>
      </c>
      <c r="AS70" s="224">
        <f t="shared" ref="AS70:AS73" si="521">AT70</f>
        <v>154041.56000000008</v>
      </c>
      <c r="AT70" s="225">
        <v>154041.56000000008</v>
      </c>
      <c r="AU70" s="223" t="s">
        <v>36</v>
      </c>
      <c r="AV70" s="223" t="s">
        <v>36</v>
      </c>
      <c r="AW70" s="224">
        <f t="shared" si="499"/>
        <v>154041.56000000008</v>
      </c>
      <c r="AX70" s="224">
        <f t="shared" si="499"/>
        <v>154041.56000000008</v>
      </c>
      <c r="AY70" s="223" t="s">
        <v>36</v>
      </c>
      <c r="AZ70" s="223" t="s">
        <v>36</v>
      </c>
      <c r="BA70" s="224"/>
      <c r="BB70" s="224"/>
      <c r="BC70" s="223" t="s">
        <v>36</v>
      </c>
      <c r="BD70" s="223" t="s">
        <v>36</v>
      </c>
      <c r="BE70" s="226" t="s">
        <v>36</v>
      </c>
      <c r="BF70" s="226" t="s">
        <v>36</v>
      </c>
      <c r="BG70" s="226" t="s">
        <v>36</v>
      </c>
      <c r="BH70" s="226" t="s">
        <v>36</v>
      </c>
      <c r="BI70" s="227">
        <f t="shared" ref="BI70:BI73" si="522">BJ70</f>
        <v>145092.30999999994</v>
      </c>
      <c r="BJ70" s="227">
        <f>[1]Fakts_Izd!AA72</f>
        <v>145092.30999999994</v>
      </c>
      <c r="BK70" s="226" t="s">
        <v>36</v>
      </c>
      <c r="BL70" s="226" t="s">
        <v>36</v>
      </c>
      <c r="BM70" s="228">
        <f t="shared" si="503"/>
        <v>145092.30999999994</v>
      </c>
      <c r="BN70" s="228">
        <f t="shared" si="503"/>
        <v>145092.30999999994</v>
      </c>
      <c r="BO70" s="226" t="s">
        <v>36</v>
      </c>
      <c r="BP70" s="226" t="s">
        <v>36</v>
      </c>
      <c r="BQ70" s="223"/>
      <c r="BR70" s="223"/>
      <c r="BS70" s="226" t="s">
        <v>36</v>
      </c>
      <c r="BT70" s="226" t="s">
        <v>36</v>
      </c>
      <c r="BU70" s="229">
        <f t="shared" si="0"/>
        <v>0</v>
      </c>
      <c r="BV70" s="229">
        <f t="shared" si="0"/>
        <v>0</v>
      </c>
      <c r="BW70" s="222" t="s">
        <v>36</v>
      </c>
      <c r="BX70" s="222" t="s">
        <v>36</v>
      </c>
      <c r="BY70" s="222" t="s">
        <v>36</v>
      </c>
      <c r="BZ70" s="222" t="s">
        <v>36</v>
      </c>
      <c r="CA70" s="223" t="s">
        <v>36</v>
      </c>
      <c r="CB70" s="223" t="s">
        <v>36</v>
      </c>
      <c r="CC70" s="224">
        <f>CS70*'[2]Pielikums nr. 1.'!$EY$14</f>
        <v>206334.2690420587</v>
      </c>
      <c r="CD70" s="225">
        <v>198134.69999999998</v>
      </c>
      <c r="CE70" s="223" t="s">
        <v>36</v>
      </c>
      <c r="CF70" s="223" t="s">
        <v>36</v>
      </c>
      <c r="CG70" s="224">
        <f t="shared" si="504"/>
        <v>206334.2690420587</v>
      </c>
      <c r="CH70" s="224">
        <f t="shared" si="504"/>
        <v>198134.69999999998</v>
      </c>
      <c r="CI70" s="223" t="s">
        <v>36</v>
      </c>
      <c r="CJ70" s="223" t="s">
        <v>36</v>
      </c>
      <c r="CK70" s="224"/>
      <c r="CL70" s="224"/>
      <c r="CM70" s="223" t="s">
        <v>36</v>
      </c>
      <c r="CN70" s="223" t="s">
        <v>36</v>
      </c>
      <c r="CO70" s="226" t="s">
        <v>36</v>
      </c>
      <c r="CP70" s="226" t="s">
        <v>36</v>
      </c>
      <c r="CQ70" s="226" t="s">
        <v>36</v>
      </c>
      <c r="CR70" s="226" t="s">
        <v>36</v>
      </c>
      <c r="CS70" s="227">
        <f>[1]SP2024!BS156-25000</f>
        <v>207154.16999999998</v>
      </c>
      <c r="CT70" s="227">
        <f>[1]Fakts_Izd!AB72</f>
        <v>213170.11000000002</v>
      </c>
      <c r="CU70" s="226" t="s">
        <v>36</v>
      </c>
      <c r="CV70" s="226" t="s">
        <v>36</v>
      </c>
      <c r="CW70" s="228">
        <f t="shared" si="507"/>
        <v>207154.16999999998</v>
      </c>
      <c r="CX70" s="228">
        <f t="shared" si="507"/>
        <v>213170.11000000002</v>
      </c>
      <c r="CY70" s="226" t="s">
        <v>36</v>
      </c>
      <c r="CZ70" s="226" t="s">
        <v>36</v>
      </c>
      <c r="DA70" s="223"/>
      <c r="DB70" s="223"/>
      <c r="DC70" s="226" t="s">
        <v>36</v>
      </c>
      <c r="DD70" s="226" t="s">
        <v>36</v>
      </c>
      <c r="DE70" s="229">
        <f t="shared" si="1"/>
        <v>0</v>
      </c>
      <c r="DF70" s="229">
        <f t="shared" si="1"/>
        <v>0</v>
      </c>
      <c r="DG70" s="230" t="s">
        <v>36</v>
      </c>
      <c r="DH70" s="222" t="s">
        <v>36</v>
      </c>
      <c r="DI70" s="222" t="s">
        <v>36</v>
      </c>
      <c r="DJ70" s="222" t="s">
        <v>36</v>
      </c>
      <c r="DK70" s="223" t="s">
        <v>36</v>
      </c>
      <c r="DL70" s="223" t="s">
        <v>36</v>
      </c>
      <c r="DM70" s="224">
        <v>205583.46248739844</v>
      </c>
      <c r="DN70" s="225">
        <v>210407.54999999996</v>
      </c>
      <c r="DO70" s="223" t="s">
        <v>36</v>
      </c>
      <c r="DP70" s="223" t="s">
        <v>36</v>
      </c>
      <c r="DQ70" s="224">
        <v>205583.46248739844</v>
      </c>
      <c r="DR70" s="224">
        <v>210407.54999999996</v>
      </c>
      <c r="DS70" s="223" t="s">
        <v>36</v>
      </c>
      <c r="DT70" s="223" t="s">
        <v>36</v>
      </c>
      <c r="DU70" s="224"/>
      <c r="DV70" s="224"/>
      <c r="DW70" s="223" t="s">
        <v>36</v>
      </c>
      <c r="DX70" s="223" t="s">
        <v>36</v>
      </c>
      <c r="DY70" s="226" t="s">
        <v>36</v>
      </c>
      <c r="DZ70" s="226" t="s">
        <v>36</v>
      </c>
      <c r="EA70" s="226" t="s">
        <v>36</v>
      </c>
      <c r="EB70" s="226" t="s">
        <v>36</v>
      </c>
      <c r="EC70" s="231">
        <v>206400.38</v>
      </c>
      <c r="ED70" s="231">
        <v>199976.78</v>
      </c>
      <c r="EE70" s="226" t="s">
        <v>36</v>
      </c>
      <c r="EF70" s="226" t="s">
        <v>36</v>
      </c>
      <c r="EG70" s="228">
        <v>206400.38</v>
      </c>
      <c r="EH70" s="228">
        <v>199976.78</v>
      </c>
      <c r="EI70" s="226" t="s">
        <v>36</v>
      </c>
      <c r="EJ70" s="226" t="s">
        <v>36</v>
      </c>
      <c r="EK70" s="223"/>
      <c r="EL70" s="228"/>
      <c r="EM70" s="226" t="s">
        <v>36</v>
      </c>
      <c r="EN70" s="226" t="s">
        <v>36</v>
      </c>
      <c r="EO70" s="229">
        <v>0</v>
      </c>
      <c r="EP70" s="229">
        <v>0</v>
      </c>
      <c r="EQ70" s="232" t="s">
        <v>36</v>
      </c>
      <c r="ER70" s="232" t="s">
        <v>36</v>
      </c>
      <c r="ES70" s="232" t="s">
        <v>36</v>
      </c>
      <c r="ET70" s="232" t="s">
        <v>36</v>
      </c>
      <c r="EU70" s="223" t="s">
        <v>36</v>
      </c>
      <c r="EV70" s="223" t="s">
        <v>36</v>
      </c>
      <c r="EW70" s="233">
        <v>709567.51152945717</v>
      </c>
      <c r="EX70" s="233">
        <v>706192.03</v>
      </c>
      <c r="EY70" s="223" t="s">
        <v>36</v>
      </c>
      <c r="EZ70" s="223" t="s">
        <v>36</v>
      </c>
      <c r="FA70" s="233">
        <v>709567.51152945717</v>
      </c>
      <c r="FB70" s="233">
        <v>706192.03</v>
      </c>
      <c r="FC70" s="223" t="s">
        <v>36</v>
      </c>
      <c r="FD70" s="223" t="s">
        <v>36</v>
      </c>
      <c r="FE70" s="233">
        <v>0</v>
      </c>
      <c r="FF70" s="233">
        <v>0</v>
      </c>
      <c r="FG70" s="223" t="s">
        <v>36</v>
      </c>
      <c r="FH70" s="223" t="s">
        <v>36</v>
      </c>
      <c r="FI70" s="234" t="s">
        <v>36</v>
      </c>
      <c r="FJ70" s="234" t="s">
        <v>36</v>
      </c>
      <c r="FK70" s="226" t="s">
        <v>36</v>
      </c>
      <c r="FL70" s="226" t="s">
        <v>36</v>
      </c>
      <c r="FM70" s="228">
        <v>704924.86999999988</v>
      </c>
      <c r="FN70" s="228">
        <v>704517.21</v>
      </c>
      <c r="FO70" s="226" t="s">
        <v>36</v>
      </c>
      <c r="FP70" s="226" t="s">
        <v>36</v>
      </c>
      <c r="FQ70" s="228">
        <v>704924.86999999988</v>
      </c>
      <c r="FR70" s="228">
        <v>704517.21</v>
      </c>
      <c r="FS70" s="226" t="s">
        <v>36</v>
      </c>
      <c r="FT70" s="226" t="s">
        <v>36</v>
      </c>
      <c r="FU70" s="228">
        <v>0</v>
      </c>
      <c r="FV70" s="228">
        <v>0</v>
      </c>
      <c r="FW70" s="226" t="s">
        <v>36</v>
      </c>
      <c r="FX70" s="226" t="s">
        <v>36</v>
      </c>
      <c r="FY70" s="229">
        <v>0</v>
      </c>
      <c r="FZ70" s="229">
        <v>0</v>
      </c>
      <c r="GA70" s="188" t="s">
        <v>36</v>
      </c>
      <c r="GB70" s="189" t="s">
        <v>36</v>
      </c>
      <c r="GC70" s="235" t="s">
        <v>36</v>
      </c>
      <c r="GD70" s="236" t="s">
        <v>36</v>
      </c>
      <c r="GE70" s="237">
        <v>-3375.4815294571454</v>
      </c>
      <c r="GF70" s="238">
        <v>-0.47570970691448444</v>
      </c>
      <c r="GG70" s="235" t="s">
        <v>36</v>
      </c>
      <c r="GH70" s="239" t="s">
        <v>36</v>
      </c>
      <c r="GI70" s="237">
        <v>-3375.4815294571454</v>
      </c>
      <c r="GJ70" s="238">
        <v>-0.47570970691448444</v>
      </c>
      <c r="GK70" s="235" t="s">
        <v>36</v>
      </c>
      <c r="GL70" s="240" t="s">
        <v>36</v>
      </c>
      <c r="GM70" s="237">
        <v>0</v>
      </c>
      <c r="GN70" s="240" t="s">
        <v>88</v>
      </c>
      <c r="GO70" s="235" t="s">
        <v>36</v>
      </c>
      <c r="GP70" s="239" t="s">
        <v>36</v>
      </c>
      <c r="GQ70" s="237"/>
      <c r="GR70" s="44"/>
      <c r="GS70" s="44"/>
      <c r="GT70" s="44"/>
      <c r="GU70" s="44"/>
      <c r="GV70" s="44"/>
      <c r="GW70" s="44"/>
    </row>
    <row r="71" spans="1:205" ht="15.75">
      <c r="A71" s="418"/>
      <c r="B71" s="132" t="s">
        <v>69</v>
      </c>
      <c r="C71" s="241">
        <f>D71</f>
        <v>6349</v>
      </c>
      <c r="D71" s="241">
        <v>6349</v>
      </c>
      <c r="E71" s="242">
        <f>(C71/(C71+C72+C73))*100</f>
        <v>61.971693509028789</v>
      </c>
      <c r="F71" s="242">
        <f>(D71/(D71+D72+D73))*100</f>
        <v>61.971693509028789</v>
      </c>
      <c r="G71" s="134" t="s">
        <v>36</v>
      </c>
      <c r="H71" s="134" t="s">
        <v>36</v>
      </c>
      <c r="I71" s="243">
        <f t="shared" si="519"/>
        <v>347925.02007961215</v>
      </c>
      <c r="J71" s="243">
        <f>(Z71/(Z71+Z73))*368037.02</f>
        <v>347925.02007961215</v>
      </c>
      <c r="K71" s="134" t="s">
        <v>36</v>
      </c>
      <c r="L71" s="134" t="s">
        <v>36</v>
      </c>
      <c r="M71" s="243">
        <f t="shared" si="494"/>
        <v>343352.27007961215</v>
      </c>
      <c r="N71" s="243">
        <f t="shared" si="494"/>
        <v>343352.27007961215</v>
      </c>
      <c r="O71" s="134" t="s">
        <v>36</v>
      </c>
      <c r="P71" s="134" t="s">
        <v>36</v>
      </c>
      <c r="Q71" s="243">
        <f>R71</f>
        <v>4572.75</v>
      </c>
      <c r="R71" s="243">
        <v>4572.75</v>
      </c>
      <c r="S71" s="134" t="s">
        <v>36</v>
      </c>
      <c r="T71" s="134" t="s">
        <v>36</v>
      </c>
      <c r="U71" s="243">
        <f t="shared" ref="U71:V73" si="523">IFERROR(ROUND(I71/C71,2),0)</f>
        <v>54.8</v>
      </c>
      <c r="V71" s="243">
        <f t="shared" si="523"/>
        <v>54.8</v>
      </c>
      <c r="W71" s="134" t="s">
        <v>36</v>
      </c>
      <c r="X71" s="134" t="s">
        <v>36</v>
      </c>
      <c r="Y71" s="162">
        <f t="shared" si="520"/>
        <v>367548.74</v>
      </c>
      <c r="Z71" s="162">
        <f>[1]Fakts_Izd!Z73</f>
        <v>367548.74</v>
      </c>
      <c r="AA71" s="134" t="s">
        <v>36</v>
      </c>
      <c r="AB71" s="134" t="s">
        <v>36</v>
      </c>
      <c r="AC71" s="244">
        <f t="shared" si="497"/>
        <v>362975.99</v>
      </c>
      <c r="AD71" s="244">
        <f t="shared" si="497"/>
        <v>362975.99</v>
      </c>
      <c r="AE71" s="134" t="s">
        <v>36</v>
      </c>
      <c r="AF71" s="134" t="s">
        <v>36</v>
      </c>
      <c r="AG71" s="134">
        <f>AH71</f>
        <v>4572.75</v>
      </c>
      <c r="AH71" s="162">
        <v>4572.75</v>
      </c>
      <c r="AI71" s="134" t="s">
        <v>36</v>
      </c>
      <c r="AJ71" s="134" t="s">
        <v>36</v>
      </c>
      <c r="AK71" s="136">
        <f t="shared" si="4"/>
        <v>57.890808001260041</v>
      </c>
      <c r="AL71" s="136">
        <f t="shared" si="4"/>
        <v>57.890808001260041</v>
      </c>
      <c r="AM71" s="241">
        <f t="shared" ref="AM71:AM73" si="524">AN71</f>
        <v>6206</v>
      </c>
      <c r="AN71" s="241">
        <v>6206</v>
      </c>
      <c r="AO71" s="242">
        <f>(AM71/(AM71+AM72+AM73))*100</f>
        <v>58.83022087401649</v>
      </c>
      <c r="AP71" s="242">
        <f>(AN71/(AN71+AN72+AN73))*100</f>
        <v>58.83022087401649</v>
      </c>
      <c r="AQ71" s="134" t="s">
        <v>36</v>
      </c>
      <c r="AR71" s="134" t="s">
        <v>36</v>
      </c>
      <c r="AS71" s="243">
        <f t="shared" si="521"/>
        <v>400073.3444500168</v>
      </c>
      <c r="AT71" s="243">
        <f>BJ71/(BJ71+BJ73)*427959.56</f>
        <v>400073.3444500168</v>
      </c>
      <c r="AU71" s="134" t="s">
        <v>36</v>
      </c>
      <c r="AV71" s="134" t="s">
        <v>36</v>
      </c>
      <c r="AW71" s="243">
        <f t="shared" si="499"/>
        <v>395500.5944500168</v>
      </c>
      <c r="AX71" s="243">
        <f t="shared" si="499"/>
        <v>395500.5944500168</v>
      </c>
      <c r="AY71" s="134" t="s">
        <v>36</v>
      </c>
      <c r="AZ71" s="134" t="s">
        <v>36</v>
      </c>
      <c r="BA71" s="243">
        <f>BB71</f>
        <v>4572.75</v>
      </c>
      <c r="BB71" s="243">
        <v>4572.75</v>
      </c>
      <c r="BC71" s="134" t="s">
        <v>36</v>
      </c>
      <c r="BD71" s="134" t="s">
        <v>36</v>
      </c>
      <c r="BE71" s="243">
        <f t="shared" ref="BE71:BF73" si="525">IFERROR(ROUND(AS71/AM71,2),0)</f>
        <v>64.47</v>
      </c>
      <c r="BF71" s="243">
        <f t="shared" si="525"/>
        <v>64.47</v>
      </c>
      <c r="BG71" s="134" t="s">
        <v>36</v>
      </c>
      <c r="BH71" s="134" t="s">
        <v>36</v>
      </c>
      <c r="BI71" s="162">
        <f t="shared" si="522"/>
        <v>359182.1999999999</v>
      </c>
      <c r="BJ71" s="162">
        <f>[1]Fakts_Izd!AA73</f>
        <v>359182.1999999999</v>
      </c>
      <c r="BK71" s="134" t="s">
        <v>36</v>
      </c>
      <c r="BL71" s="134" t="s">
        <v>36</v>
      </c>
      <c r="BM71" s="244">
        <f t="shared" si="503"/>
        <v>351010.06999999989</v>
      </c>
      <c r="BN71" s="245">
        <f t="shared" si="503"/>
        <v>351010.06999999989</v>
      </c>
      <c r="BO71" s="134" t="s">
        <v>36</v>
      </c>
      <c r="BP71" s="134" t="s">
        <v>36</v>
      </c>
      <c r="BQ71" s="162">
        <f>BR71</f>
        <v>8172.13</v>
      </c>
      <c r="BR71" s="162">
        <v>8172.13</v>
      </c>
      <c r="BS71" s="134" t="s">
        <v>36</v>
      </c>
      <c r="BT71" s="134" t="s">
        <v>36</v>
      </c>
      <c r="BU71" s="136">
        <f t="shared" si="0"/>
        <v>57.876603287141457</v>
      </c>
      <c r="BV71" s="136">
        <f t="shared" si="0"/>
        <v>57.876603287141457</v>
      </c>
      <c r="BW71" s="241">
        <v>8647</v>
      </c>
      <c r="BX71" s="241">
        <v>5576</v>
      </c>
      <c r="BY71" s="242">
        <v>61.987884870425461</v>
      </c>
      <c r="BZ71" s="242">
        <v>54.474404064087537</v>
      </c>
      <c r="CA71" s="134" t="s">
        <v>36</v>
      </c>
      <c r="CB71" s="134" t="s">
        <v>36</v>
      </c>
      <c r="CC71" s="243">
        <v>475225.2095271966</v>
      </c>
      <c r="CD71" s="243">
        <v>404832.83620774187</v>
      </c>
      <c r="CE71" s="134" t="s">
        <v>36</v>
      </c>
      <c r="CF71" s="134" t="s">
        <v>36</v>
      </c>
      <c r="CG71" s="243">
        <v>475225.2095271966</v>
      </c>
      <c r="CH71" s="243">
        <v>386541.83620774187</v>
      </c>
      <c r="CI71" s="134" t="s">
        <v>36</v>
      </c>
      <c r="CJ71" s="134" t="s">
        <v>36</v>
      </c>
      <c r="CK71" s="243"/>
      <c r="CL71" s="243">
        <v>18291</v>
      </c>
      <c r="CM71" s="134" t="s">
        <v>36</v>
      </c>
      <c r="CN71" s="134" t="s">
        <v>36</v>
      </c>
      <c r="CO71" s="243">
        <v>54.96</v>
      </c>
      <c r="CP71" s="243">
        <v>72.599999999999994</v>
      </c>
      <c r="CQ71" s="134" t="s">
        <v>36</v>
      </c>
      <c r="CR71" s="134" t="s">
        <v>36</v>
      </c>
      <c r="CS71" s="162">
        <v>477113.59</v>
      </c>
      <c r="CT71" s="162">
        <v>461129.87999999989</v>
      </c>
      <c r="CU71" s="134" t="s">
        <v>36</v>
      </c>
      <c r="CV71" s="134" t="s">
        <v>36</v>
      </c>
      <c r="CW71" s="244">
        <v>477113.59</v>
      </c>
      <c r="CX71" s="244">
        <v>442838.87999999989</v>
      </c>
      <c r="CY71" s="134" t="s">
        <v>36</v>
      </c>
      <c r="CZ71" s="134" t="s">
        <v>36</v>
      </c>
      <c r="DA71" s="134"/>
      <c r="DB71" s="244">
        <v>18291</v>
      </c>
      <c r="DC71" s="134" t="s">
        <v>36</v>
      </c>
      <c r="DD71" s="134" t="s">
        <v>36</v>
      </c>
      <c r="DE71" s="136">
        <v>55.176776916849775</v>
      </c>
      <c r="DF71" s="136">
        <v>82.699045911047321</v>
      </c>
      <c r="DG71" s="241">
        <v>8647</v>
      </c>
      <c r="DH71" s="241">
        <v>6247</v>
      </c>
      <c r="DI71" s="242">
        <v>61.987884870425461</v>
      </c>
      <c r="DJ71" s="133"/>
      <c r="DK71" s="134" t="s">
        <v>36</v>
      </c>
      <c r="DL71" s="134" t="s">
        <v>36</v>
      </c>
      <c r="DM71" s="243">
        <v>474748.64323666104</v>
      </c>
      <c r="DN71" s="243">
        <v>450235.31</v>
      </c>
      <c r="DO71" s="134" t="s">
        <v>36</v>
      </c>
      <c r="DP71" s="134" t="s">
        <v>36</v>
      </c>
      <c r="DQ71" s="243">
        <v>474748.64323666104</v>
      </c>
      <c r="DR71" s="243">
        <v>411687.84</v>
      </c>
      <c r="DS71" s="134" t="s">
        <v>36</v>
      </c>
      <c r="DT71" s="134" t="s">
        <v>36</v>
      </c>
      <c r="DU71" s="243"/>
      <c r="DV71" s="243">
        <v>38547.469999999994</v>
      </c>
      <c r="DW71" s="134" t="s">
        <v>36</v>
      </c>
      <c r="DX71" s="134" t="s">
        <v>36</v>
      </c>
      <c r="DY71" s="243">
        <v>54.9</v>
      </c>
      <c r="DZ71" s="243">
        <v>72.069999999999993</v>
      </c>
      <c r="EA71" s="134" t="s">
        <v>36</v>
      </c>
      <c r="EB71" s="134" t="s">
        <v>36</v>
      </c>
      <c r="EC71" s="246">
        <v>476635.13</v>
      </c>
      <c r="ED71" s="246">
        <v>461331.98999999993</v>
      </c>
      <c r="EE71" s="134" t="s">
        <v>36</v>
      </c>
      <c r="EF71" s="134" t="s">
        <v>36</v>
      </c>
      <c r="EG71" s="244">
        <v>476635.13</v>
      </c>
      <c r="EH71" s="244">
        <v>422784.51999999996</v>
      </c>
      <c r="EI71" s="134" t="s">
        <v>36</v>
      </c>
      <c r="EJ71" s="134" t="s">
        <v>36</v>
      </c>
      <c r="EK71" s="134"/>
      <c r="EL71" s="244">
        <v>38547.469999999994</v>
      </c>
      <c r="EM71" s="134" t="s">
        <v>36</v>
      </c>
      <c r="EN71" s="134" t="s">
        <v>36</v>
      </c>
      <c r="EO71" s="136">
        <v>55.121444431594774</v>
      </c>
      <c r="EP71" s="136">
        <v>73.848565711541525</v>
      </c>
      <c r="EQ71" s="139">
        <v>29849</v>
      </c>
      <c r="ER71" s="139">
        <v>24378</v>
      </c>
      <c r="ES71" s="247">
        <v>61.300392253506665</v>
      </c>
      <c r="ET71" s="247">
        <v>58.678541340714887</v>
      </c>
      <c r="EU71" s="134" t="s">
        <v>36</v>
      </c>
      <c r="EV71" s="134" t="s">
        <v>36</v>
      </c>
      <c r="EW71" s="205">
        <v>1697972.2172934867</v>
      </c>
      <c r="EX71" s="205">
        <v>1603066.5107373709</v>
      </c>
      <c r="EY71" s="134" t="s">
        <v>36</v>
      </c>
      <c r="EZ71" s="134" t="s">
        <v>36</v>
      </c>
      <c r="FA71" s="205">
        <v>1688826.7172934867</v>
      </c>
      <c r="FB71" s="205">
        <v>1537082.540737371</v>
      </c>
      <c r="FC71" s="134" t="s">
        <v>36</v>
      </c>
      <c r="FD71" s="134" t="s">
        <v>36</v>
      </c>
      <c r="FE71" s="205">
        <v>9145.5</v>
      </c>
      <c r="FF71" s="205">
        <v>65983.97</v>
      </c>
      <c r="FG71" s="134" t="s">
        <v>36</v>
      </c>
      <c r="FH71" s="134" t="s">
        <v>36</v>
      </c>
      <c r="FI71" s="139">
        <v>56.89</v>
      </c>
      <c r="FJ71" s="241">
        <v>65.760000000000005</v>
      </c>
      <c r="FK71" s="134" t="s">
        <v>36</v>
      </c>
      <c r="FL71" s="134" t="s">
        <v>36</v>
      </c>
      <c r="FM71" s="244">
        <v>1680479.6600000001</v>
      </c>
      <c r="FN71" s="244">
        <v>1649192.8099999998</v>
      </c>
      <c r="FO71" s="134" t="s">
        <v>36</v>
      </c>
      <c r="FP71" s="134" t="s">
        <v>36</v>
      </c>
      <c r="FQ71" s="244">
        <v>1667734.7799999998</v>
      </c>
      <c r="FR71" s="244">
        <v>1579609.4599999997</v>
      </c>
      <c r="FS71" s="134" t="s">
        <v>36</v>
      </c>
      <c r="FT71" s="134" t="s">
        <v>36</v>
      </c>
      <c r="FU71" s="244">
        <v>12744.880000000001</v>
      </c>
      <c r="FV71" s="244">
        <v>69583.349999999991</v>
      </c>
      <c r="FW71" s="134" t="s">
        <v>36</v>
      </c>
      <c r="FX71" s="134" t="s">
        <v>36</v>
      </c>
      <c r="FY71" s="136">
        <v>56.29936212268418</v>
      </c>
      <c r="FZ71" s="136">
        <v>67.650865944704236</v>
      </c>
      <c r="GA71" s="248">
        <v>-5471</v>
      </c>
      <c r="GB71" s="249">
        <v>-18.328922241951151</v>
      </c>
      <c r="GC71" s="134" t="s">
        <v>36</v>
      </c>
      <c r="GD71" s="250" t="s">
        <v>36</v>
      </c>
      <c r="GE71" s="237">
        <v>-94905.706556115765</v>
      </c>
      <c r="GF71" s="250">
        <v>-5.589355679057717</v>
      </c>
      <c r="GG71" s="134" t="s">
        <v>36</v>
      </c>
      <c r="GH71" s="144" t="s">
        <v>36</v>
      </c>
      <c r="GI71" s="237">
        <v>-151744.17655611574</v>
      </c>
      <c r="GJ71" s="250">
        <v>-8.9851833229699807</v>
      </c>
      <c r="GK71" s="134" t="s">
        <v>36</v>
      </c>
      <c r="GL71" s="145" t="s">
        <v>36</v>
      </c>
      <c r="GM71" s="237">
        <v>56838.47</v>
      </c>
      <c r="GN71" s="250">
        <v>621.49111584932484</v>
      </c>
      <c r="GO71" s="134" t="s">
        <v>36</v>
      </c>
      <c r="GP71" s="144" t="s">
        <v>36</v>
      </c>
      <c r="GQ71" s="237">
        <v>8.8700000000000045</v>
      </c>
      <c r="GR71" s="44"/>
      <c r="GS71" s="44"/>
      <c r="GT71" s="44"/>
      <c r="GU71" s="44"/>
      <c r="GV71" s="44"/>
      <c r="GW71" s="44"/>
    </row>
    <row r="72" spans="1:205" ht="15.75">
      <c r="A72" s="418"/>
      <c r="B72" s="132" t="s">
        <v>70</v>
      </c>
      <c r="C72" s="241">
        <f>D72</f>
        <v>2986</v>
      </c>
      <c r="D72" s="241">
        <v>2986</v>
      </c>
      <c r="E72" s="242">
        <f>(C72/(C72+C73+C71))*100</f>
        <v>29.145924841386041</v>
      </c>
      <c r="F72" s="242">
        <f>(D72/(D72+D73+D71))*100</f>
        <v>29.145924841386041</v>
      </c>
      <c r="G72" s="134" t="s">
        <v>36</v>
      </c>
      <c r="H72" s="134" t="s">
        <v>36</v>
      </c>
      <c r="I72" s="243">
        <f t="shared" si="519"/>
        <v>383085.1999999999</v>
      </c>
      <c r="J72" s="243">
        <v>383085.1999999999</v>
      </c>
      <c r="K72" s="134" t="s">
        <v>36</v>
      </c>
      <c r="L72" s="134" t="s">
        <v>36</v>
      </c>
      <c r="M72" s="243">
        <f t="shared" si="494"/>
        <v>383085.1999999999</v>
      </c>
      <c r="N72" s="243">
        <f t="shared" si="494"/>
        <v>383085.1999999999</v>
      </c>
      <c r="O72" s="134" t="s">
        <v>36</v>
      </c>
      <c r="P72" s="134" t="s">
        <v>36</v>
      </c>
      <c r="Q72" s="243"/>
      <c r="R72" s="243"/>
      <c r="S72" s="134" t="s">
        <v>36</v>
      </c>
      <c r="T72" s="134" t="s">
        <v>36</v>
      </c>
      <c r="U72" s="243">
        <f t="shared" si="523"/>
        <v>128.29</v>
      </c>
      <c r="V72" s="243">
        <f t="shared" si="523"/>
        <v>128.29</v>
      </c>
      <c r="W72" s="134" t="s">
        <v>36</v>
      </c>
      <c r="X72" s="134" t="s">
        <v>36</v>
      </c>
      <c r="Y72" s="162">
        <f t="shared" si="520"/>
        <v>359619.04000000004</v>
      </c>
      <c r="Z72" s="162">
        <f>[1]Fakts_Izd!Z74</f>
        <v>359619.04000000004</v>
      </c>
      <c r="AA72" s="134" t="s">
        <v>36</v>
      </c>
      <c r="AB72" s="134" t="s">
        <v>36</v>
      </c>
      <c r="AC72" s="245">
        <f t="shared" si="497"/>
        <v>359619.04000000004</v>
      </c>
      <c r="AD72" s="245">
        <f t="shared" si="497"/>
        <v>359619.04000000004</v>
      </c>
      <c r="AE72" s="134" t="s">
        <v>36</v>
      </c>
      <c r="AF72" s="134" t="s">
        <v>36</v>
      </c>
      <c r="AG72" s="134"/>
      <c r="AH72" s="134"/>
      <c r="AI72" s="134" t="s">
        <v>36</v>
      </c>
      <c r="AJ72" s="134" t="s">
        <v>36</v>
      </c>
      <c r="AK72" s="136">
        <f t="shared" si="4"/>
        <v>120.4350435365037</v>
      </c>
      <c r="AL72" s="136">
        <f t="shared" si="4"/>
        <v>120.4350435365037</v>
      </c>
      <c r="AM72" s="241">
        <f t="shared" si="524"/>
        <v>3188</v>
      </c>
      <c r="AN72" s="241">
        <v>3188</v>
      </c>
      <c r="AO72" s="242">
        <f>(AM72/(AM72+AM73+AM71))*100</f>
        <v>30.220874016494452</v>
      </c>
      <c r="AP72" s="242">
        <f>(AN72/(AN72+AN73+AN71))*100</f>
        <v>30.220874016494452</v>
      </c>
      <c r="AQ72" s="134" t="s">
        <v>36</v>
      </c>
      <c r="AR72" s="134" t="s">
        <v>36</v>
      </c>
      <c r="AS72" s="243">
        <f t="shared" si="521"/>
        <v>401896.75999999989</v>
      </c>
      <c r="AT72" s="243">
        <v>401896.75999999989</v>
      </c>
      <c r="AU72" s="134" t="s">
        <v>36</v>
      </c>
      <c r="AV72" s="134" t="s">
        <v>36</v>
      </c>
      <c r="AW72" s="243">
        <f t="shared" si="499"/>
        <v>396670.62999999989</v>
      </c>
      <c r="AX72" s="243">
        <f t="shared" si="499"/>
        <v>396670.62999999989</v>
      </c>
      <c r="AY72" s="134" t="s">
        <v>36</v>
      </c>
      <c r="AZ72" s="134" t="s">
        <v>36</v>
      </c>
      <c r="BA72" s="243">
        <f>BB72</f>
        <v>5226.13</v>
      </c>
      <c r="BB72" s="243">
        <v>5226.13</v>
      </c>
      <c r="BC72" s="134" t="s">
        <v>36</v>
      </c>
      <c r="BD72" s="134" t="s">
        <v>36</v>
      </c>
      <c r="BE72" s="243">
        <f t="shared" si="525"/>
        <v>126.07</v>
      </c>
      <c r="BF72" s="243">
        <f t="shared" si="525"/>
        <v>126.07</v>
      </c>
      <c r="BG72" s="134" t="s">
        <v>36</v>
      </c>
      <c r="BH72" s="134" t="s">
        <v>36</v>
      </c>
      <c r="BI72" s="162">
        <f t="shared" si="522"/>
        <v>381575.3499999998</v>
      </c>
      <c r="BJ72" s="162">
        <f>[1]Fakts_Izd!AA74</f>
        <v>381575.3499999998</v>
      </c>
      <c r="BK72" s="134" t="s">
        <v>36</v>
      </c>
      <c r="BL72" s="134" t="s">
        <v>36</v>
      </c>
      <c r="BM72" s="245">
        <f t="shared" si="503"/>
        <v>376349.2199999998</v>
      </c>
      <c r="BN72" s="245">
        <f t="shared" si="503"/>
        <v>376349.2199999998</v>
      </c>
      <c r="BO72" s="134" t="s">
        <v>36</v>
      </c>
      <c r="BP72" s="134" t="s">
        <v>36</v>
      </c>
      <c r="BQ72" s="162">
        <f>BR72</f>
        <v>5226.13</v>
      </c>
      <c r="BR72" s="162">
        <v>5226.13</v>
      </c>
      <c r="BS72" s="134" t="s">
        <v>36</v>
      </c>
      <c r="BT72" s="134" t="s">
        <v>36</v>
      </c>
      <c r="BU72" s="136">
        <f t="shared" si="0"/>
        <v>119.69113864491838</v>
      </c>
      <c r="BV72" s="136">
        <f t="shared" si="0"/>
        <v>119.69113864491838</v>
      </c>
      <c r="BW72" s="241">
        <v>4048</v>
      </c>
      <c r="BX72" s="241">
        <v>3254</v>
      </c>
      <c r="BY72" s="242">
        <v>29.018961253091508</v>
      </c>
      <c r="BZ72" s="242">
        <v>31.789761625635016</v>
      </c>
      <c r="CA72" s="134" t="s">
        <v>36</v>
      </c>
      <c r="CB72" s="134" t="s">
        <v>36</v>
      </c>
      <c r="CC72" s="243">
        <v>336296.43438629713</v>
      </c>
      <c r="CD72" s="243">
        <v>320869.12</v>
      </c>
      <c r="CE72" s="134" t="s">
        <v>36</v>
      </c>
      <c r="CF72" s="134" t="s">
        <v>36</v>
      </c>
      <c r="CG72" s="243">
        <v>336296.43438629713</v>
      </c>
      <c r="CH72" s="243">
        <v>320869.12</v>
      </c>
      <c r="CI72" s="134" t="s">
        <v>36</v>
      </c>
      <c r="CJ72" s="134" t="s">
        <v>36</v>
      </c>
      <c r="CK72" s="243"/>
      <c r="CL72" s="243"/>
      <c r="CM72" s="134" t="s">
        <v>36</v>
      </c>
      <c r="CN72" s="134" t="s">
        <v>36</v>
      </c>
      <c r="CO72" s="243">
        <v>83.08</v>
      </c>
      <c r="CP72" s="243">
        <v>98.61</v>
      </c>
      <c r="CQ72" s="134" t="s">
        <v>36</v>
      </c>
      <c r="CR72" s="134" t="s">
        <v>36</v>
      </c>
      <c r="CS72" s="162">
        <v>337632.76</v>
      </c>
      <c r="CT72" s="162">
        <v>345588.61999999994</v>
      </c>
      <c r="CU72" s="134" t="s">
        <v>36</v>
      </c>
      <c r="CV72" s="134" t="s">
        <v>36</v>
      </c>
      <c r="CW72" s="245">
        <v>337632.76</v>
      </c>
      <c r="CX72" s="245">
        <v>345588.61999999994</v>
      </c>
      <c r="CY72" s="134" t="s">
        <v>36</v>
      </c>
      <c r="CZ72" s="134" t="s">
        <v>36</v>
      </c>
      <c r="DA72" s="134"/>
      <c r="DB72" s="134"/>
      <c r="DC72" s="134" t="s">
        <v>36</v>
      </c>
      <c r="DD72" s="134" t="s">
        <v>36</v>
      </c>
      <c r="DE72" s="136">
        <v>83.407302371541505</v>
      </c>
      <c r="DF72" s="136">
        <v>106.20424708051627</v>
      </c>
      <c r="DG72" s="241">
        <v>4048</v>
      </c>
      <c r="DH72" s="241">
        <v>3276</v>
      </c>
      <c r="DI72" s="242">
        <v>29.018961253091508</v>
      </c>
      <c r="DJ72" s="133"/>
      <c r="DK72" s="134" t="s">
        <v>36</v>
      </c>
      <c r="DL72" s="134" t="s">
        <v>36</v>
      </c>
      <c r="DM72" s="243">
        <v>407214.26149117772</v>
      </c>
      <c r="DN72" s="243">
        <v>410255.97000000015</v>
      </c>
      <c r="DO72" s="134" t="s">
        <v>36</v>
      </c>
      <c r="DP72" s="134" t="s">
        <v>36</v>
      </c>
      <c r="DQ72" s="243">
        <v>407214.26149117772</v>
      </c>
      <c r="DR72" s="243">
        <v>410255.97000000015</v>
      </c>
      <c r="DS72" s="134" t="s">
        <v>36</v>
      </c>
      <c r="DT72" s="134" t="s">
        <v>36</v>
      </c>
      <c r="DU72" s="243"/>
      <c r="DV72" s="243"/>
      <c r="DW72" s="134" t="s">
        <v>36</v>
      </c>
      <c r="DX72" s="134" t="s">
        <v>36</v>
      </c>
      <c r="DY72" s="243">
        <v>100.6</v>
      </c>
      <c r="DZ72" s="243">
        <v>125.23</v>
      </c>
      <c r="EA72" s="134" t="s">
        <v>36</v>
      </c>
      <c r="EB72" s="134" t="s">
        <v>36</v>
      </c>
      <c r="EC72" s="246">
        <v>408832.39</v>
      </c>
      <c r="ED72" s="246">
        <v>387915.26999999984</v>
      </c>
      <c r="EE72" s="134" t="s">
        <v>36</v>
      </c>
      <c r="EF72" s="134" t="s">
        <v>36</v>
      </c>
      <c r="EG72" s="245">
        <v>408832.39</v>
      </c>
      <c r="EH72" s="245">
        <v>387915.26999999984</v>
      </c>
      <c r="EI72" s="134" t="s">
        <v>36</v>
      </c>
      <c r="EJ72" s="134" t="s">
        <v>36</v>
      </c>
      <c r="EK72" s="134"/>
      <c r="EL72" s="245"/>
      <c r="EM72" s="134" t="s">
        <v>36</v>
      </c>
      <c r="EN72" s="134" t="s">
        <v>36</v>
      </c>
      <c r="EO72" s="136">
        <v>100.99614377470355</v>
      </c>
      <c r="EP72" s="136">
        <v>118.41125457875454</v>
      </c>
      <c r="EQ72" s="139">
        <v>14270</v>
      </c>
      <c r="ER72" s="139">
        <v>12704</v>
      </c>
      <c r="ES72" s="247">
        <v>29.306060419362122</v>
      </c>
      <c r="ET72" s="247">
        <v>30.578890359850764</v>
      </c>
      <c r="EU72" s="134" t="s">
        <v>36</v>
      </c>
      <c r="EV72" s="134" t="s">
        <v>36</v>
      </c>
      <c r="EW72" s="205">
        <v>1528492.6558774747</v>
      </c>
      <c r="EX72" s="205">
        <v>1516107.0499999998</v>
      </c>
      <c r="EY72" s="134" t="s">
        <v>36</v>
      </c>
      <c r="EZ72" s="134" t="s">
        <v>36</v>
      </c>
      <c r="FA72" s="205">
        <v>1523266.5258774748</v>
      </c>
      <c r="FB72" s="205">
        <v>1510880.92</v>
      </c>
      <c r="FC72" s="134" t="s">
        <v>36</v>
      </c>
      <c r="FD72" s="134" t="s">
        <v>36</v>
      </c>
      <c r="FE72" s="205">
        <v>5226.13</v>
      </c>
      <c r="FF72" s="205">
        <v>5226.13</v>
      </c>
      <c r="FG72" s="134" t="s">
        <v>36</v>
      </c>
      <c r="FH72" s="134" t="s">
        <v>36</v>
      </c>
      <c r="FI72" s="139">
        <v>107.11</v>
      </c>
      <c r="FJ72" s="241">
        <v>119.34</v>
      </c>
      <c r="FK72" s="134" t="s">
        <v>36</v>
      </c>
      <c r="FL72" s="134" t="s">
        <v>36</v>
      </c>
      <c r="FM72" s="244">
        <v>1487659.54</v>
      </c>
      <c r="FN72" s="244">
        <v>1474698.2799999996</v>
      </c>
      <c r="FO72" s="134" t="s">
        <v>36</v>
      </c>
      <c r="FP72" s="134" t="s">
        <v>36</v>
      </c>
      <c r="FQ72" s="244">
        <v>1482433.4099999997</v>
      </c>
      <c r="FR72" s="244">
        <v>1469472.1499999994</v>
      </c>
      <c r="FS72" s="134" t="s">
        <v>36</v>
      </c>
      <c r="FT72" s="134" t="s">
        <v>36</v>
      </c>
      <c r="FU72" s="244">
        <v>5226.13</v>
      </c>
      <c r="FV72" s="244">
        <v>5226.13</v>
      </c>
      <c r="FW72" s="134" t="s">
        <v>36</v>
      </c>
      <c r="FX72" s="134" t="s">
        <v>36</v>
      </c>
      <c r="FY72" s="136">
        <v>104.25084372810092</v>
      </c>
      <c r="FZ72" s="136">
        <v>116.08141372795966</v>
      </c>
      <c r="GA72" s="248">
        <v>-1566</v>
      </c>
      <c r="GB72" s="249">
        <v>-10.97407147862649</v>
      </c>
      <c r="GC72" s="134" t="s">
        <v>36</v>
      </c>
      <c r="GD72" s="250" t="s">
        <v>36</v>
      </c>
      <c r="GE72" s="237">
        <v>-12385.605877474882</v>
      </c>
      <c r="GF72" s="250">
        <v>-0.81031504010495858</v>
      </c>
      <c r="GG72" s="134" t="s">
        <v>36</v>
      </c>
      <c r="GH72" s="144" t="s">
        <v>36</v>
      </c>
      <c r="GI72" s="237">
        <v>-12385.605877474882</v>
      </c>
      <c r="GJ72" s="250">
        <v>-0.81309512597214084</v>
      </c>
      <c r="GK72" s="134" t="s">
        <v>36</v>
      </c>
      <c r="GL72" s="145" t="s">
        <v>36</v>
      </c>
      <c r="GM72" s="237">
        <v>0</v>
      </c>
      <c r="GN72" s="250">
        <v>0</v>
      </c>
      <c r="GO72" s="134" t="s">
        <v>36</v>
      </c>
      <c r="GP72" s="144" t="s">
        <v>36</v>
      </c>
      <c r="GQ72" s="237">
        <v>12.230000000000004</v>
      </c>
      <c r="GR72" s="44"/>
      <c r="GS72" s="44"/>
      <c r="GT72" s="44"/>
      <c r="GU72" s="44"/>
      <c r="GV72" s="44"/>
      <c r="GW72" s="44"/>
    </row>
    <row r="73" spans="1:205" ht="15.75">
      <c r="A73" s="418"/>
      <c r="B73" s="251" t="s">
        <v>71</v>
      </c>
      <c r="C73" s="241">
        <f>D73</f>
        <v>910</v>
      </c>
      <c r="D73" s="241">
        <v>910</v>
      </c>
      <c r="E73" s="242">
        <f>(C73/(C73+C71+C72))*100</f>
        <v>8.8823816495851631</v>
      </c>
      <c r="F73" s="242">
        <f>(D73/(D73+D71+D72))*100</f>
        <v>8.8823816495851631</v>
      </c>
      <c r="G73" s="134" t="s">
        <v>36</v>
      </c>
      <c r="H73" s="134" t="s">
        <v>36</v>
      </c>
      <c r="I73" s="243">
        <f t="shared" si="519"/>
        <v>20111.999920387887</v>
      </c>
      <c r="J73" s="243">
        <f>(Z73/(Z71+Z73))*368037.02</f>
        <v>20111.999920387887</v>
      </c>
      <c r="K73" s="134" t="s">
        <v>36</v>
      </c>
      <c r="L73" s="134" t="s">
        <v>36</v>
      </c>
      <c r="M73" s="243">
        <f t="shared" si="494"/>
        <v>20111.999920387887</v>
      </c>
      <c r="N73" s="243">
        <f t="shared" si="494"/>
        <v>20111.999920387887</v>
      </c>
      <c r="O73" s="134" t="s">
        <v>36</v>
      </c>
      <c r="P73" s="134" t="s">
        <v>36</v>
      </c>
      <c r="Q73" s="243"/>
      <c r="R73" s="243"/>
      <c r="S73" s="134" t="s">
        <v>36</v>
      </c>
      <c r="T73" s="134" t="s">
        <v>36</v>
      </c>
      <c r="U73" s="243">
        <f t="shared" si="523"/>
        <v>22.1</v>
      </c>
      <c r="V73" s="243">
        <f t="shared" si="523"/>
        <v>22.1</v>
      </c>
      <c r="W73" s="134" t="s">
        <v>36</v>
      </c>
      <c r="X73" s="134" t="s">
        <v>36</v>
      </c>
      <c r="Y73" s="162">
        <f t="shared" si="520"/>
        <v>21246.359999999997</v>
      </c>
      <c r="Z73" s="162">
        <f>[1]Fakts_Izd!Z75</f>
        <v>21246.359999999997</v>
      </c>
      <c r="AA73" s="134" t="s">
        <v>36</v>
      </c>
      <c r="AB73" s="134" t="s">
        <v>36</v>
      </c>
      <c r="AC73" s="245">
        <f t="shared" si="497"/>
        <v>21246.359999999997</v>
      </c>
      <c r="AD73" s="245">
        <f t="shared" si="497"/>
        <v>21246.359999999997</v>
      </c>
      <c r="AE73" s="134" t="s">
        <v>36</v>
      </c>
      <c r="AF73" s="134" t="s">
        <v>36</v>
      </c>
      <c r="AG73" s="134"/>
      <c r="AH73" s="134"/>
      <c r="AI73" s="134" t="s">
        <v>36</v>
      </c>
      <c r="AJ73" s="134" t="s">
        <v>36</v>
      </c>
      <c r="AK73" s="136">
        <f t="shared" si="4"/>
        <v>23.347648351648349</v>
      </c>
      <c r="AL73" s="136">
        <f t="shared" si="4"/>
        <v>23.347648351648349</v>
      </c>
      <c r="AM73" s="241">
        <f t="shared" si="524"/>
        <v>1155</v>
      </c>
      <c r="AN73" s="241">
        <v>1155</v>
      </c>
      <c r="AO73" s="242">
        <f>(AM73/(AM73+AM71+AM72))*100</f>
        <v>10.948905109489052</v>
      </c>
      <c r="AP73" s="242">
        <f>(AN73/(AN73+AN71+AN72))*100</f>
        <v>10.948905109489052</v>
      </c>
      <c r="AQ73" s="134" t="s">
        <v>36</v>
      </c>
      <c r="AR73" s="134" t="s">
        <v>36</v>
      </c>
      <c r="AS73" s="243">
        <f t="shared" si="521"/>
        <v>27886.215549983208</v>
      </c>
      <c r="AT73" s="243">
        <f>BJ73/(BJ71+BJ73)*427959.56</f>
        <v>27886.215549983208</v>
      </c>
      <c r="AU73" s="134" t="s">
        <v>36</v>
      </c>
      <c r="AV73" s="134" t="s">
        <v>36</v>
      </c>
      <c r="AW73" s="243">
        <f t="shared" si="499"/>
        <v>27886.215549983208</v>
      </c>
      <c r="AX73" s="243">
        <f t="shared" si="499"/>
        <v>27886.215549983208</v>
      </c>
      <c r="AY73" s="134" t="s">
        <v>36</v>
      </c>
      <c r="AZ73" s="134" t="s">
        <v>36</v>
      </c>
      <c r="BA73" s="243"/>
      <c r="BB73" s="243"/>
      <c r="BC73" s="134" t="s">
        <v>36</v>
      </c>
      <c r="BD73" s="134" t="s">
        <v>36</v>
      </c>
      <c r="BE73" s="243">
        <f t="shared" si="525"/>
        <v>24.14</v>
      </c>
      <c r="BF73" s="243">
        <f t="shared" si="525"/>
        <v>24.14</v>
      </c>
      <c r="BG73" s="134" t="s">
        <v>36</v>
      </c>
      <c r="BH73" s="134" t="s">
        <v>36</v>
      </c>
      <c r="BI73" s="162">
        <f t="shared" si="522"/>
        <v>25035.99</v>
      </c>
      <c r="BJ73" s="162">
        <f>[1]Fakts_Izd!AA75</f>
        <v>25035.99</v>
      </c>
      <c r="BK73" s="134" t="s">
        <v>36</v>
      </c>
      <c r="BL73" s="134" t="s">
        <v>36</v>
      </c>
      <c r="BM73" s="245">
        <f t="shared" si="503"/>
        <v>25035.99</v>
      </c>
      <c r="BN73" s="245">
        <f t="shared" si="503"/>
        <v>25035.99</v>
      </c>
      <c r="BO73" s="134" t="s">
        <v>36</v>
      </c>
      <c r="BP73" s="134" t="s">
        <v>36</v>
      </c>
      <c r="BQ73" s="134"/>
      <c r="BR73" s="134"/>
      <c r="BS73" s="134" t="s">
        <v>36</v>
      </c>
      <c r="BT73" s="134" t="s">
        <v>36</v>
      </c>
      <c r="BU73" s="136">
        <f t="shared" si="0"/>
        <v>21.676181818181821</v>
      </c>
      <c r="BV73" s="136">
        <f t="shared" si="0"/>
        <v>21.676181818181821</v>
      </c>
      <c r="BW73" s="241">
        <v>1254.5</v>
      </c>
      <c r="BX73" s="241">
        <v>1406</v>
      </c>
      <c r="BY73" s="242">
        <v>8.9931538764830279</v>
      </c>
      <c r="BZ73" s="242">
        <v>13.735834310277454</v>
      </c>
      <c r="CA73" s="134" t="s">
        <v>36</v>
      </c>
      <c r="CB73" s="134" t="s">
        <v>36</v>
      </c>
      <c r="CC73" s="243">
        <v>18714.256024916154</v>
      </c>
      <c r="CD73" s="243">
        <v>20938.623792258117</v>
      </c>
      <c r="CE73" s="134" t="s">
        <v>36</v>
      </c>
      <c r="CF73" s="134" t="s">
        <v>36</v>
      </c>
      <c r="CG73" s="243">
        <v>18714.256024916154</v>
      </c>
      <c r="CH73" s="243">
        <v>20938.623792258117</v>
      </c>
      <c r="CI73" s="134" t="s">
        <v>36</v>
      </c>
      <c r="CJ73" s="134" t="s">
        <v>36</v>
      </c>
      <c r="CK73" s="243"/>
      <c r="CL73" s="243"/>
      <c r="CM73" s="134" t="s">
        <v>36</v>
      </c>
      <c r="CN73" s="134" t="s">
        <v>36</v>
      </c>
      <c r="CO73" s="243">
        <v>14.92</v>
      </c>
      <c r="CP73" s="243">
        <v>14.89</v>
      </c>
      <c r="CQ73" s="134" t="s">
        <v>36</v>
      </c>
      <c r="CR73" s="134" t="s">
        <v>36</v>
      </c>
      <c r="CS73" s="162">
        <v>18788.62</v>
      </c>
      <c r="CT73" s="162">
        <v>23850.400000000001</v>
      </c>
      <c r="CU73" s="134" t="s">
        <v>36</v>
      </c>
      <c r="CV73" s="134" t="s">
        <v>36</v>
      </c>
      <c r="CW73" s="245">
        <v>18788.62</v>
      </c>
      <c r="CX73" s="245">
        <v>23850.400000000001</v>
      </c>
      <c r="CY73" s="134" t="s">
        <v>36</v>
      </c>
      <c r="CZ73" s="134" t="s">
        <v>36</v>
      </c>
      <c r="DA73" s="134"/>
      <c r="DB73" s="134"/>
      <c r="DC73" s="134" t="s">
        <v>36</v>
      </c>
      <c r="DD73" s="134" t="s">
        <v>36</v>
      </c>
      <c r="DE73" s="136">
        <v>14.976978876046232</v>
      </c>
      <c r="DF73" s="136">
        <v>16.963300142247512</v>
      </c>
      <c r="DG73" s="241">
        <v>1254.5</v>
      </c>
      <c r="DH73" s="241">
        <v>992</v>
      </c>
      <c r="DI73" s="242">
        <v>8.9931538764830279</v>
      </c>
      <c r="DJ73" s="252"/>
      <c r="DK73" s="134" t="s">
        <v>36</v>
      </c>
      <c r="DL73" s="134" t="s">
        <v>36</v>
      </c>
      <c r="DM73" s="243">
        <v>19190.782473768726</v>
      </c>
      <c r="DN73" s="243">
        <v>18573.3</v>
      </c>
      <c r="DO73" s="134" t="s">
        <v>36</v>
      </c>
      <c r="DP73" s="134" t="s">
        <v>36</v>
      </c>
      <c r="DQ73" s="243">
        <v>19190.782473768726</v>
      </c>
      <c r="DR73" s="243">
        <v>18573.3</v>
      </c>
      <c r="DS73" s="134" t="s">
        <v>36</v>
      </c>
      <c r="DT73" s="134" t="s">
        <v>36</v>
      </c>
      <c r="DU73" s="243"/>
      <c r="DV73" s="243"/>
      <c r="DW73" s="134" t="s">
        <v>36</v>
      </c>
      <c r="DX73" s="134" t="s">
        <v>36</v>
      </c>
      <c r="DY73" s="243">
        <v>15.3</v>
      </c>
      <c r="DZ73" s="243">
        <v>18.72</v>
      </c>
      <c r="EA73" s="134" t="s">
        <v>36</v>
      </c>
      <c r="EB73" s="134" t="s">
        <v>36</v>
      </c>
      <c r="EC73" s="246">
        <v>19267.04</v>
      </c>
      <c r="ED73" s="246">
        <v>19031.07</v>
      </c>
      <c r="EE73" s="134" t="s">
        <v>36</v>
      </c>
      <c r="EF73" s="134" t="s">
        <v>36</v>
      </c>
      <c r="EG73" s="245">
        <v>19267.04</v>
      </c>
      <c r="EH73" s="245">
        <v>19031.07</v>
      </c>
      <c r="EI73" s="134" t="s">
        <v>36</v>
      </c>
      <c r="EJ73" s="134" t="s">
        <v>36</v>
      </c>
      <c r="EK73" s="134"/>
      <c r="EL73" s="245"/>
      <c r="EM73" s="134" t="s">
        <v>36</v>
      </c>
      <c r="EN73" s="134" t="s">
        <v>36</v>
      </c>
      <c r="EO73" s="136">
        <v>15.358341968911917</v>
      </c>
      <c r="EP73" s="136">
        <v>19.184546370967741</v>
      </c>
      <c r="EQ73" s="253">
        <v>4574</v>
      </c>
      <c r="ER73" s="253">
        <v>4463</v>
      </c>
      <c r="ES73" s="254">
        <v>9.3935473271312109</v>
      </c>
      <c r="ET73" s="254">
        <v>10.742568299434348</v>
      </c>
      <c r="EU73" s="134" t="s">
        <v>36</v>
      </c>
      <c r="EV73" s="134" t="s">
        <v>36</v>
      </c>
      <c r="EW73" s="199">
        <v>85903.253969055979</v>
      </c>
      <c r="EX73" s="199">
        <v>87510.139262629222</v>
      </c>
      <c r="EY73" s="134" t="s">
        <v>36</v>
      </c>
      <c r="EZ73" s="134" t="s">
        <v>36</v>
      </c>
      <c r="FA73" s="199">
        <v>85903.253969055979</v>
      </c>
      <c r="FB73" s="199">
        <v>87510.139262629222</v>
      </c>
      <c r="FC73" s="134" t="s">
        <v>36</v>
      </c>
      <c r="FD73" s="134" t="s">
        <v>36</v>
      </c>
      <c r="FE73" s="199">
        <v>0</v>
      </c>
      <c r="FF73" s="199">
        <v>0</v>
      </c>
      <c r="FG73" s="134" t="s">
        <v>36</v>
      </c>
      <c r="FH73" s="134" t="s">
        <v>36</v>
      </c>
      <c r="FI73" s="241">
        <v>18.78</v>
      </c>
      <c r="FJ73" s="241">
        <v>19.61</v>
      </c>
      <c r="FK73" s="134" t="s">
        <v>36</v>
      </c>
      <c r="FL73" s="134" t="s">
        <v>36</v>
      </c>
      <c r="FM73" s="244">
        <v>84338.010000000009</v>
      </c>
      <c r="FN73" s="244">
        <v>89163.82</v>
      </c>
      <c r="FO73" s="134" t="s">
        <v>36</v>
      </c>
      <c r="FP73" s="134" t="s">
        <v>36</v>
      </c>
      <c r="FQ73" s="244">
        <v>84338.010000000009</v>
      </c>
      <c r="FR73" s="244">
        <v>89163.82</v>
      </c>
      <c r="FS73" s="134" t="s">
        <v>36</v>
      </c>
      <c r="FT73" s="134" t="s">
        <v>36</v>
      </c>
      <c r="FU73" s="244">
        <v>0</v>
      </c>
      <c r="FV73" s="244">
        <v>0</v>
      </c>
      <c r="FW73" s="134" t="s">
        <v>36</v>
      </c>
      <c r="FX73" s="134" t="s">
        <v>36</v>
      </c>
      <c r="FY73" s="136">
        <v>18.438567993003936</v>
      </c>
      <c r="FZ73" s="136">
        <v>19.978449473448354</v>
      </c>
      <c r="GA73" s="248">
        <v>-111</v>
      </c>
      <c r="GB73" s="249">
        <v>-2.426759947529511</v>
      </c>
      <c r="GC73" s="134" t="s">
        <v>36</v>
      </c>
      <c r="GD73" s="250" t="s">
        <v>36</v>
      </c>
      <c r="GE73" s="255">
        <v>1606.885293573243</v>
      </c>
      <c r="GF73" s="256">
        <v>1.8705755827969739</v>
      </c>
      <c r="GG73" s="134" t="s">
        <v>36</v>
      </c>
      <c r="GH73" s="144" t="s">
        <v>36</v>
      </c>
      <c r="GI73" s="255">
        <v>1606.885293573243</v>
      </c>
      <c r="GJ73" s="256">
        <v>1.8705755827969739</v>
      </c>
      <c r="GK73" s="134" t="s">
        <v>36</v>
      </c>
      <c r="GL73" s="145" t="s">
        <v>36</v>
      </c>
      <c r="GM73" s="255">
        <v>0</v>
      </c>
      <c r="GN73" s="145" t="s">
        <v>88</v>
      </c>
      <c r="GO73" s="134" t="s">
        <v>36</v>
      </c>
      <c r="GP73" s="144" t="s">
        <v>36</v>
      </c>
      <c r="GQ73" s="237">
        <v>0.82999999999999829</v>
      </c>
      <c r="GR73" s="44"/>
      <c r="GS73" s="44"/>
      <c r="GT73" s="44"/>
      <c r="GU73" s="44"/>
      <c r="GV73" s="44"/>
      <c r="GW73" s="44"/>
    </row>
    <row r="74" spans="1:205" ht="15.75">
      <c r="A74" s="418"/>
      <c r="B74" s="257" t="s">
        <v>72</v>
      </c>
      <c r="C74" s="252" t="s">
        <v>36</v>
      </c>
      <c r="D74" s="252" t="s">
        <v>36</v>
      </c>
      <c r="E74" s="252" t="s">
        <v>36</v>
      </c>
      <c r="F74" s="252" t="s">
        <v>36</v>
      </c>
      <c r="G74" s="258" t="s">
        <v>36</v>
      </c>
      <c r="H74" s="134" t="s">
        <v>36</v>
      </c>
      <c r="I74" s="243"/>
      <c r="J74" s="243"/>
      <c r="K74" s="134" t="s">
        <v>36</v>
      </c>
      <c r="L74" s="134" t="s">
        <v>36</v>
      </c>
      <c r="M74" s="243">
        <f t="shared" si="494"/>
        <v>0</v>
      </c>
      <c r="N74" s="243">
        <f t="shared" si="494"/>
        <v>0</v>
      </c>
      <c r="O74" s="134" t="s">
        <v>36</v>
      </c>
      <c r="P74" s="134" t="s">
        <v>36</v>
      </c>
      <c r="Q74" s="243"/>
      <c r="R74" s="243"/>
      <c r="S74" s="134" t="s">
        <v>36</v>
      </c>
      <c r="T74" s="134" t="s">
        <v>36</v>
      </c>
      <c r="U74" s="134" t="s">
        <v>36</v>
      </c>
      <c r="V74" s="134" t="s">
        <v>36</v>
      </c>
      <c r="W74" s="134" t="s">
        <v>36</v>
      </c>
      <c r="X74" s="134" t="s">
        <v>36</v>
      </c>
      <c r="Y74" s="258"/>
      <c r="Z74" s="134"/>
      <c r="AA74" s="134" t="s">
        <v>36</v>
      </c>
      <c r="AB74" s="134" t="s">
        <v>36</v>
      </c>
      <c r="AC74" s="245"/>
      <c r="AD74" s="245"/>
      <c r="AE74" s="134" t="s">
        <v>36</v>
      </c>
      <c r="AF74" s="134" t="s">
        <v>36</v>
      </c>
      <c r="AG74" s="134"/>
      <c r="AH74" s="134"/>
      <c r="AI74" s="134" t="s">
        <v>36</v>
      </c>
      <c r="AJ74" s="134" t="s">
        <v>36</v>
      </c>
      <c r="AK74" s="136">
        <f t="shared" si="4"/>
        <v>0</v>
      </c>
      <c r="AL74" s="136">
        <f t="shared" si="4"/>
        <v>0</v>
      </c>
      <c r="AM74" s="252" t="s">
        <v>36</v>
      </c>
      <c r="AN74" s="252" t="s">
        <v>36</v>
      </c>
      <c r="AO74" s="252" t="s">
        <v>36</v>
      </c>
      <c r="AP74" s="252" t="s">
        <v>36</v>
      </c>
      <c r="AQ74" s="258" t="s">
        <v>36</v>
      </c>
      <c r="AR74" s="134" t="s">
        <v>36</v>
      </c>
      <c r="AS74" s="243"/>
      <c r="AT74" s="243"/>
      <c r="AU74" s="134" t="s">
        <v>36</v>
      </c>
      <c r="AV74" s="134" t="s">
        <v>36</v>
      </c>
      <c r="AW74" s="243">
        <f t="shared" si="499"/>
        <v>0</v>
      </c>
      <c r="AX74" s="243">
        <f t="shared" si="499"/>
        <v>0</v>
      </c>
      <c r="AY74" s="134" t="s">
        <v>36</v>
      </c>
      <c r="AZ74" s="134" t="s">
        <v>36</v>
      </c>
      <c r="BA74" s="243"/>
      <c r="BB74" s="243"/>
      <c r="BC74" s="134" t="s">
        <v>36</v>
      </c>
      <c r="BD74" s="134" t="s">
        <v>36</v>
      </c>
      <c r="BE74" s="134" t="s">
        <v>36</v>
      </c>
      <c r="BF74" s="134" t="s">
        <v>36</v>
      </c>
      <c r="BG74" s="134" t="s">
        <v>36</v>
      </c>
      <c r="BH74" s="134" t="s">
        <v>36</v>
      </c>
      <c r="BI74" s="258"/>
      <c r="BJ74" s="258"/>
      <c r="BK74" s="134" t="s">
        <v>36</v>
      </c>
      <c r="BL74" s="134" t="s">
        <v>36</v>
      </c>
      <c r="BM74" s="245"/>
      <c r="BN74" s="245"/>
      <c r="BO74" s="134" t="s">
        <v>36</v>
      </c>
      <c r="BP74" s="134" t="s">
        <v>36</v>
      </c>
      <c r="BQ74" s="134"/>
      <c r="BR74" s="134"/>
      <c r="BS74" s="134" t="s">
        <v>36</v>
      </c>
      <c r="BT74" s="134" t="s">
        <v>36</v>
      </c>
      <c r="BU74" s="136">
        <f t="shared" si="0"/>
        <v>0</v>
      </c>
      <c r="BV74" s="100">
        <f t="shared" si="0"/>
        <v>0</v>
      </c>
      <c r="BW74" s="252" t="s">
        <v>36</v>
      </c>
      <c r="BX74" s="252" t="s">
        <v>36</v>
      </c>
      <c r="BY74" s="252" t="s">
        <v>36</v>
      </c>
      <c r="BZ74" s="252" t="s">
        <v>36</v>
      </c>
      <c r="CA74" s="258" t="s">
        <v>36</v>
      </c>
      <c r="CB74" s="134" t="s">
        <v>36</v>
      </c>
      <c r="CC74" s="243"/>
      <c r="CD74" s="243"/>
      <c r="CE74" s="134" t="s">
        <v>36</v>
      </c>
      <c r="CF74" s="134" t="s">
        <v>36</v>
      </c>
      <c r="CG74" s="243">
        <f t="shared" si="504"/>
        <v>0</v>
      </c>
      <c r="CH74" s="243">
        <f t="shared" ref="CH74" si="526">CG74</f>
        <v>0</v>
      </c>
      <c r="CI74" s="134" t="s">
        <v>36</v>
      </c>
      <c r="CJ74" s="134" t="s">
        <v>36</v>
      </c>
      <c r="CK74" s="243"/>
      <c r="CL74" s="243"/>
      <c r="CM74" s="134" t="s">
        <v>36</v>
      </c>
      <c r="CN74" s="134" t="s">
        <v>36</v>
      </c>
      <c r="CO74" s="134" t="s">
        <v>36</v>
      </c>
      <c r="CP74" s="134" t="s">
        <v>36</v>
      </c>
      <c r="CQ74" s="134" t="s">
        <v>36</v>
      </c>
      <c r="CR74" s="134" t="s">
        <v>36</v>
      </c>
      <c r="CS74" s="258"/>
      <c r="CT74" s="258"/>
      <c r="CU74" s="134" t="s">
        <v>36</v>
      </c>
      <c r="CV74" s="134" t="s">
        <v>36</v>
      </c>
      <c r="CW74" s="245"/>
      <c r="CX74" s="245"/>
      <c r="CY74" s="134" t="s">
        <v>36</v>
      </c>
      <c r="CZ74" s="134" t="s">
        <v>36</v>
      </c>
      <c r="DA74" s="258"/>
      <c r="DB74" s="258"/>
      <c r="DC74" s="134" t="s">
        <v>36</v>
      </c>
      <c r="DD74" s="134" t="s">
        <v>36</v>
      </c>
      <c r="DE74" s="136">
        <f t="shared" si="1"/>
        <v>0</v>
      </c>
      <c r="DF74" s="136">
        <f t="shared" si="1"/>
        <v>0</v>
      </c>
      <c r="DG74" s="252" t="s">
        <v>36</v>
      </c>
      <c r="DH74" s="252" t="s">
        <v>36</v>
      </c>
      <c r="DI74" s="252" t="s">
        <v>36</v>
      </c>
      <c r="DJ74" s="252" t="s">
        <v>36</v>
      </c>
      <c r="DK74" s="258" t="s">
        <v>36</v>
      </c>
      <c r="DL74" s="134" t="s">
        <v>36</v>
      </c>
      <c r="DM74" s="243"/>
      <c r="DN74" s="243"/>
      <c r="DO74" s="134" t="s">
        <v>36</v>
      </c>
      <c r="DP74" s="134" t="s">
        <v>36</v>
      </c>
      <c r="DQ74" s="243">
        <v>0</v>
      </c>
      <c r="DR74" s="243">
        <v>0</v>
      </c>
      <c r="DS74" s="134" t="s">
        <v>36</v>
      </c>
      <c r="DT74" s="134" t="s">
        <v>36</v>
      </c>
      <c r="DU74" s="243"/>
      <c r="DV74" s="243"/>
      <c r="DW74" s="134" t="s">
        <v>36</v>
      </c>
      <c r="DX74" s="134" t="s">
        <v>36</v>
      </c>
      <c r="DY74" s="134" t="s">
        <v>36</v>
      </c>
      <c r="DZ74" s="134" t="s">
        <v>36</v>
      </c>
      <c r="EA74" s="134" t="s">
        <v>36</v>
      </c>
      <c r="EB74" s="134" t="s">
        <v>36</v>
      </c>
      <c r="EC74" s="258"/>
      <c r="ED74" s="258"/>
      <c r="EE74" s="134" t="s">
        <v>36</v>
      </c>
      <c r="EF74" s="134" t="s">
        <v>36</v>
      </c>
      <c r="EG74" s="245"/>
      <c r="EH74" s="259"/>
      <c r="EI74" s="134" t="s">
        <v>36</v>
      </c>
      <c r="EJ74" s="134" t="s">
        <v>36</v>
      </c>
      <c r="EK74" s="258"/>
      <c r="EL74" s="134"/>
      <c r="EM74" s="134" t="s">
        <v>36</v>
      </c>
      <c r="EN74" s="134" t="s">
        <v>36</v>
      </c>
      <c r="EO74" s="136">
        <v>0</v>
      </c>
      <c r="EP74" s="136">
        <v>0</v>
      </c>
      <c r="EQ74" s="252" t="s">
        <v>36</v>
      </c>
      <c r="ER74" s="252" t="s">
        <v>36</v>
      </c>
      <c r="ES74" s="252" t="s">
        <v>36</v>
      </c>
      <c r="ET74" s="252" t="s">
        <v>36</v>
      </c>
      <c r="EU74" s="134" t="s">
        <v>36</v>
      </c>
      <c r="EV74" s="134" t="s">
        <v>36</v>
      </c>
      <c r="EW74" s="205">
        <v>0</v>
      </c>
      <c r="EX74" s="205">
        <v>0</v>
      </c>
      <c r="EY74" s="134" t="s">
        <v>36</v>
      </c>
      <c r="EZ74" s="134" t="s">
        <v>36</v>
      </c>
      <c r="FA74" s="205">
        <v>0</v>
      </c>
      <c r="FB74" s="205">
        <v>0</v>
      </c>
      <c r="FC74" s="134" t="s">
        <v>36</v>
      </c>
      <c r="FD74" s="134" t="s">
        <v>36</v>
      </c>
      <c r="FE74" s="205">
        <v>0</v>
      </c>
      <c r="FF74" s="205">
        <v>0</v>
      </c>
      <c r="FG74" s="134" t="s">
        <v>36</v>
      </c>
      <c r="FH74" s="134" t="s">
        <v>36</v>
      </c>
      <c r="FI74" s="139"/>
      <c r="FJ74" s="260"/>
      <c r="FK74" s="134" t="s">
        <v>36</v>
      </c>
      <c r="FL74" s="134" t="s">
        <v>36</v>
      </c>
      <c r="FM74" s="245"/>
      <c r="FN74" s="245"/>
      <c r="FO74" s="134" t="s">
        <v>36</v>
      </c>
      <c r="FP74" s="134" t="s">
        <v>36</v>
      </c>
      <c r="FQ74" s="245"/>
      <c r="FR74" s="245"/>
      <c r="FS74" s="134" t="s">
        <v>36</v>
      </c>
      <c r="FT74" s="134" t="s">
        <v>36</v>
      </c>
      <c r="FU74" s="245"/>
      <c r="FV74" s="245"/>
      <c r="FW74" s="134" t="s">
        <v>36</v>
      </c>
      <c r="FX74" s="134" t="s">
        <v>36</v>
      </c>
      <c r="FY74" s="136">
        <v>0</v>
      </c>
      <c r="FZ74" s="136">
        <v>0</v>
      </c>
      <c r="GA74" s="261" t="s">
        <v>36</v>
      </c>
      <c r="GB74" s="134" t="s">
        <v>36</v>
      </c>
      <c r="GC74" s="134" t="s">
        <v>36</v>
      </c>
      <c r="GD74" s="145" t="s">
        <v>36</v>
      </c>
      <c r="GE74" s="237">
        <v>0</v>
      </c>
      <c r="GF74" s="145" t="s">
        <v>88</v>
      </c>
      <c r="GG74" s="134" t="s">
        <v>36</v>
      </c>
      <c r="GH74" s="144" t="s">
        <v>36</v>
      </c>
      <c r="GI74" s="237">
        <v>0</v>
      </c>
      <c r="GJ74" s="145" t="s">
        <v>88</v>
      </c>
      <c r="GK74" s="134" t="s">
        <v>36</v>
      </c>
      <c r="GL74" s="145" t="s">
        <v>36</v>
      </c>
      <c r="GM74" s="237">
        <v>0</v>
      </c>
      <c r="GN74" s="145" t="s">
        <v>88</v>
      </c>
      <c r="GO74" s="134" t="s">
        <v>36</v>
      </c>
      <c r="GP74" s="144" t="s">
        <v>36</v>
      </c>
      <c r="GQ74" s="237" t="s">
        <v>36</v>
      </c>
      <c r="GR74" s="44"/>
      <c r="GS74" s="44"/>
      <c r="GT74" s="44"/>
      <c r="GU74" s="44"/>
      <c r="GV74" s="44"/>
      <c r="GW74" s="44"/>
    </row>
    <row r="75" spans="1:205">
      <c r="A75" s="422"/>
      <c r="B75" s="16" t="s">
        <v>73</v>
      </c>
      <c r="C75" s="262" t="s">
        <v>36</v>
      </c>
      <c r="D75" s="262" t="s">
        <v>36</v>
      </c>
      <c r="E75" s="262" t="s">
        <v>36</v>
      </c>
      <c r="F75" s="262" t="s">
        <v>36</v>
      </c>
      <c r="G75" s="263">
        <f>I75+K75</f>
        <v>1521424.4499999997</v>
      </c>
      <c r="H75" s="263">
        <f>J75+L75</f>
        <v>1521424.4499999997</v>
      </c>
      <c r="I75" s="108">
        <f>I70+I71+I72+I73+I74</f>
        <v>894730.43999999983</v>
      </c>
      <c r="J75" s="108">
        <f>J70+J71+J72+J73+J74</f>
        <v>894730.43999999983</v>
      </c>
      <c r="K75" s="108">
        <f>L75</f>
        <v>626694.01</v>
      </c>
      <c r="L75" s="108">
        <v>626694.01</v>
      </c>
      <c r="M75" s="108">
        <f>M70+M71+M72+M73+M74</f>
        <v>890157.68999999983</v>
      </c>
      <c r="N75" s="108">
        <f>N70+N71+N72+N73+N74</f>
        <v>890157.68999999983</v>
      </c>
      <c r="O75" s="108">
        <f>K75-S75</f>
        <v>623491.12910301448</v>
      </c>
      <c r="P75" s="108">
        <f>L75-T75</f>
        <v>623491.12910301448</v>
      </c>
      <c r="Q75" s="108">
        <f>Q70+Q71+Q72+Q73+Q74</f>
        <v>4572.75</v>
      </c>
      <c r="R75" s="108">
        <f>R70+R71+R72+R73+R74</f>
        <v>4572.75</v>
      </c>
      <c r="S75" s="108">
        <f>Q75/I75*K75</f>
        <v>3202.8808969855777</v>
      </c>
      <c r="T75" s="108">
        <f>IFERROR((R75/J75*L75),0)</f>
        <v>3202.8808969855777</v>
      </c>
      <c r="U75" s="107" t="s">
        <v>36</v>
      </c>
      <c r="V75" s="107" t="s">
        <v>36</v>
      </c>
      <c r="W75" s="216">
        <f t="shared" ref="W75:X75" si="527">Y75+AA75</f>
        <v>1359616.65</v>
      </c>
      <c r="X75" s="216">
        <f t="shared" si="527"/>
        <v>1359616.65</v>
      </c>
      <c r="Y75" s="108">
        <f t="shared" ref="Y75:Z75" si="528">Y70+Y71+Y72+Y73+Y74</f>
        <v>894692.15</v>
      </c>
      <c r="Z75" s="108">
        <f t="shared" si="528"/>
        <v>894692.15</v>
      </c>
      <c r="AA75" s="108">
        <f>AE75+AI75</f>
        <v>464924.5</v>
      </c>
      <c r="AB75" s="108">
        <f>AF75+AJ75</f>
        <v>464924.5</v>
      </c>
      <c r="AC75" s="108">
        <f>AC70+AC71+AC72+AC73+AC74</f>
        <v>890119.4</v>
      </c>
      <c r="AD75" s="108">
        <f t="shared" ref="AD75:AH75" si="529">AD70+AD71+AD72+AD73+AD74</f>
        <v>890119.4</v>
      </c>
      <c r="AE75" s="108">
        <f>AF75</f>
        <v>464924.5</v>
      </c>
      <c r="AF75" s="108">
        <f>'[1]NPL netiešās'!Y8</f>
        <v>464924.5</v>
      </c>
      <c r="AG75" s="108">
        <f t="shared" si="529"/>
        <v>4572.75</v>
      </c>
      <c r="AH75" s="108">
        <f t="shared" si="529"/>
        <v>4572.75</v>
      </c>
      <c r="AI75" s="107"/>
      <c r="AJ75" s="107"/>
      <c r="AK75" s="264">
        <f t="shared" si="4"/>
        <v>0</v>
      </c>
      <c r="AL75" s="264">
        <f t="shared" si="4"/>
        <v>0</v>
      </c>
      <c r="AM75" s="262" t="s">
        <v>36</v>
      </c>
      <c r="AN75" s="262" t="s">
        <v>36</v>
      </c>
      <c r="AO75" s="262" t="s">
        <v>36</v>
      </c>
      <c r="AP75" s="262" t="s">
        <v>36</v>
      </c>
      <c r="AQ75" s="263">
        <f>AS75+AU75</f>
        <v>1584851.21</v>
      </c>
      <c r="AR75" s="263">
        <f>AT75+AV75</f>
        <v>1584851.21</v>
      </c>
      <c r="AS75" s="108">
        <f>AS70+AS71+AS72+AS73+AS74</f>
        <v>983897.88</v>
      </c>
      <c r="AT75" s="108">
        <f>AT70+AT71+AT72+AT73+AT74</f>
        <v>983897.88</v>
      </c>
      <c r="AU75" s="108">
        <f>AV75</f>
        <v>600953.32999999996</v>
      </c>
      <c r="AV75" s="108">
        <v>600953.32999999996</v>
      </c>
      <c r="AW75" s="108">
        <f>AW70+AW71+AW72+AW73+AW74</f>
        <v>974099</v>
      </c>
      <c r="AX75" s="108">
        <f>AX70+AX71+AX72+AX73+AX74</f>
        <v>974099</v>
      </c>
      <c r="AY75" s="108">
        <f>AU75-BC75</f>
        <v>594968.2885785565</v>
      </c>
      <c r="AZ75" s="108">
        <f>AV75-BD75</f>
        <v>594968.2885785565</v>
      </c>
      <c r="BA75" s="108">
        <f>BA70+BA71+BA72+BA73+BA74</f>
        <v>9798.880000000001</v>
      </c>
      <c r="BB75" s="108">
        <f>BB70+BB71+BB72+BB73+BB74</f>
        <v>9798.880000000001</v>
      </c>
      <c r="BC75" s="108">
        <f>BA75/AS75*AU75</f>
        <v>5985.0414214434531</v>
      </c>
      <c r="BD75" s="108">
        <f>IFERROR((BB75/AT75*AV75),0)</f>
        <v>5985.0414214434531</v>
      </c>
      <c r="BE75" s="107" t="s">
        <v>36</v>
      </c>
      <c r="BF75" s="107" t="s">
        <v>36</v>
      </c>
      <c r="BG75" s="216">
        <f t="shared" ref="BG75:BH75" si="530">BI75+BK75</f>
        <v>1377986.9399999997</v>
      </c>
      <c r="BH75" s="216">
        <f t="shared" si="530"/>
        <v>1377986.9399999997</v>
      </c>
      <c r="BI75" s="108">
        <f t="shared" ref="BI75:BJ75" si="531">BI70+BI71+BI72+BI73+BI74</f>
        <v>910885.84999999963</v>
      </c>
      <c r="BJ75" s="108">
        <f t="shared" si="531"/>
        <v>910885.84999999963</v>
      </c>
      <c r="BK75" s="108">
        <f>BO75+BS75</f>
        <v>467101.09</v>
      </c>
      <c r="BL75" s="108">
        <f>BP75+BT75</f>
        <v>467101.09</v>
      </c>
      <c r="BM75" s="108">
        <f>BM70+BM71+BM72+BM73+BM74</f>
        <v>897487.58999999962</v>
      </c>
      <c r="BN75" s="108">
        <f t="shared" ref="BN75" si="532">BN70+BN71+BN72+BN73+BN74</f>
        <v>897487.58999999962</v>
      </c>
      <c r="BO75" s="108">
        <f>BP75</f>
        <v>467101.09</v>
      </c>
      <c r="BP75" s="108">
        <f>'[1]NPL netiešās'!Y17</f>
        <v>467101.09</v>
      </c>
      <c r="BQ75" s="108">
        <f>BQ70+BQ71+BQ72+BQ73+BQ74</f>
        <v>13398.26</v>
      </c>
      <c r="BR75" s="108">
        <f t="shared" ref="BR75" si="533">BR70+BR71+BR72+BR73+BR74</f>
        <v>13398.26</v>
      </c>
      <c r="BS75" s="107"/>
      <c r="BT75" s="107"/>
      <c r="BU75" s="264">
        <f t="shared" si="0"/>
        <v>0</v>
      </c>
      <c r="BV75" s="108">
        <f t="shared" si="0"/>
        <v>0</v>
      </c>
      <c r="BW75" s="262" t="s">
        <v>36</v>
      </c>
      <c r="BX75" s="262" t="s">
        <v>36</v>
      </c>
      <c r="BY75" s="262" t="s">
        <v>36</v>
      </c>
      <c r="BZ75" s="262" t="s">
        <v>36</v>
      </c>
      <c r="CA75" s="263">
        <f>CC75+CE75</f>
        <v>1769537.4067579205</v>
      </c>
      <c r="CB75" s="263">
        <f>CD75+CF75</f>
        <v>1581218.8199999998</v>
      </c>
      <c r="CC75" s="108">
        <f>CC70+CC71+CC72+CC73+CC74</f>
        <v>1036570.1689804686</v>
      </c>
      <c r="CD75" s="108">
        <f>CD70+CD71+CD72+CD73+CD74</f>
        <v>944775.27999999991</v>
      </c>
      <c r="CE75" s="108">
        <f>1.139*CC75*'[1]Proporcija NPL vs PZA'!AK73</f>
        <v>732967.23777745187</v>
      </c>
      <c r="CF75" s="108">
        <v>636443.54</v>
      </c>
      <c r="CG75" s="108">
        <f>CG70+CG71+CG72+CG73+CG74</f>
        <v>1036570.1689804686</v>
      </c>
      <c r="CH75" s="108">
        <f>CH70+CH71+CH72+CH73+CH74</f>
        <v>926484.27999999991</v>
      </c>
      <c r="CI75" s="108">
        <f>CE75-CM75</f>
        <v>732967.23777745187</v>
      </c>
      <c r="CJ75" s="108">
        <f>CF75-CN75</f>
        <v>624121.8916286116</v>
      </c>
      <c r="CK75" s="108">
        <f>CK70+CK71+CK72+CK73+CK74</f>
        <v>0</v>
      </c>
      <c r="CL75" s="108">
        <f>CL70+CL71+CL72+CL73+CL74</f>
        <v>18291</v>
      </c>
      <c r="CM75" s="108">
        <f>CK75/CC75*CE75</f>
        <v>0</v>
      </c>
      <c r="CN75" s="108">
        <f>IFERROR((CL75/CD75*CF75),0)</f>
        <v>12321.648371388381</v>
      </c>
      <c r="CO75" s="107" t="s">
        <v>36</v>
      </c>
      <c r="CP75" s="107" t="s">
        <v>36</v>
      </c>
      <c r="CQ75" s="216">
        <f t="shared" ref="CQ75:CR75" si="534">CS75+CU75</f>
        <v>2048012.26</v>
      </c>
      <c r="CR75" s="216">
        <f t="shared" si="534"/>
        <v>2077201.8399999999</v>
      </c>
      <c r="CS75" s="108">
        <f t="shared" ref="CS75:CT75" si="535">CS70+CS71+CS72+CS73+CS74</f>
        <v>1040689.14</v>
      </c>
      <c r="CT75" s="108">
        <f t="shared" si="535"/>
        <v>1043739.0099999999</v>
      </c>
      <c r="CU75" s="108">
        <f>CY75+DC75</f>
        <v>1007323.12</v>
      </c>
      <c r="CV75" s="108">
        <f>CZ75+DD75</f>
        <v>1033462.83</v>
      </c>
      <c r="CW75" s="108">
        <f>CW70+CW71+CW72+CW73+CW74</f>
        <v>1040689.14</v>
      </c>
      <c r="CX75" s="108">
        <f t="shared" ref="CX75:DB75" si="536">CX70+CX71+CX72+CX73+CX74</f>
        <v>1025448.0099999999</v>
      </c>
      <c r="CY75" s="108">
        <f>'[1]NPL netiešās'!N26</f>
        <v>1007323.12</v>
      </c>
      <c r="CZ75" s="108">
        <f>'[1]NPL netiešās'!Y26</f>
        <v>1033462.83</v>
      </c>
      <c r="DA75" s="108">
        <f t="shared" si="536"/>
        <v>0</v>
      </c>
      <c r="DB75" s="108">
        <f t="shared" si="536"/>
        <v>18291</v>
      </c>
      <c r="DC75" s="107"/>
      <c r="DD75" s="107"/>
      <c r="DE75" s="264">
        <f t="shared" si="1"/>
        <v>0</v>
      </c>
      <c r="DF75" s="264">
        <f t="shared" si="1"/>
        <v>0</v>
      </c>
      <c r="DG75" s="262" t="s">
        <v>36</v>
      </c>
      <c r="DH75" s="262" t="s">
        <v>36</v>
      </c>
      <c r="DI75" s="262" t="s">
        <v>36</v>
      </c>
      <c r="DJ75" s="262" t="s">
        <v>36</v>
      </c>
      <c r="DK75" s="263">
        <v>1889320.0329598114</v>
      </c>
      <c r="DL75" s="263">
        <v>1730040.3900000001</v>
      </c>
      <c r="DM75" s="108">
        <v>1106737.1496890059</v>
      </c>
      <c r="DN75" s="108">
        <v>1089472.1300000001</v>
      </c>
      <c r="DO75" s="108">
        <v>782582.88327080535</v>
      </c>
      <c r="DP75" s="108">
        <v>640568.26</v>
      </c>
      <c r="DQ75" s="108">
        <v>1106737.1496890059</v>
      </c>
      <c r="DR75" s="108">
        <v>1050924.6600000001</v>
      </c>
      <c r="DS75" s="108">
        <v>782582.88327080535</v>
      </c>
      <c r="DT75" s="108">
        <v>617903.8107631919</v>
      </c>
      <c r="DU75" s="108">
        <v>0</v>
      </c>
      <c r="DV75" s="108">
        <v>38547.469999999994</v>
      </c>
      <c r="DW75" s="108">
        <v>0</v>
      </c>
      <c r="DX75" s="108">
        <v>22664.449236808097</v>
      </c>
      <c r="DY75" s="107" t="s">
        <v>36</v>
      </c>
      <c r="DZ75" s="107" t="s">
        <v>36</v>
      </c>
      <c r="EA75" s="216">
        <v>2621297.0300000003</v>
      </c>
      <c r="EB75" s="216">
        <v>2396394.91</v>
      </c>
      <c r="EC75" s="108">
        <v>1111134.94</v>
      </c>
      <c r="ED75" s="108">
        <v>1068255.1099999999</v>
      </c>
      <c r="EE75" s="108">
        <v>1510162.09</v>
      </c>
      <c r="EF75" s="108">
        <v>1328139.8</v>
      </c>
      <c r="EG75" s="108">
        <v>1111134.94</v>
      </c>
      <c r="EH75" s="108">
        <v>1029707.6399999998</v>
      </c>
      <c r="EI75" s="108">
        <v>1510162.09</v>
      </c>
      <c r="EJ75" s="108">
        <v>1328139.8</v>
      </c>
      <c r="EK75" s="108">
        <v>0</v>
      </c>
      <c r="EL75" s="108">
        <v>38547.469999999994</v>
      </c>
      <c r="EM75" s="107"/>
      <c r="EN75" s="107"/>
      <c r="EO75" s="264">
        <v>0</v>
      </c>
      <c r="EP75" s="264">
        <v>0</v>
      </c>
      <c r="EQ75" s="262" t="s">
        <v>36</v>
      </c>
      <c r="ER75" s="262" t="s">
        <v>36</v>
      </c>
      <c r="ES75" s="262" t="s">
        <v>36</v>
      </c>
      <c r="ET75" s="262" t="s">
        <v>36</v>
      </c>
      <c r="EU75" s="108">
        <v>6765133.0997177316</v>
      </c>
      <c r="EV75" s="108">
        <v>6417534.8699999992</v>
      </c>
      <c r="EW75" s="108">
        <v>4021935.6386694745</v>
      </c>
      <c r="EX75" s="108">
        <v>3912875.73</v>
      </c>
      <c r="EY75" s="108">
        <v>2743197.4610482571</v>
      </c>
      <c r="EZ75" s="108">
        <v>2504659.1399999997</v>
      </c>
      <c r="FA75" s="108">
        <v>4007564.0086694746</v>
      </c>
      <c r="FB75" s="108">
        <v>3841665.6300000004</v>
      </c>
      <c r="FC75" s="108">
        <v>2734009.5387298283</v>
      </c>
      <c r="FD75" s="108">
        <v>2460485.1200733744</v>
      </c>
      <c r="FE75" s="108">
        <v>14371.630000000001</v>
      </c>
      <c r="FF75" s="108">
        <v>71210.100000000006</v>
      </c>
      <c r="FG75" s="108">
        <v>9187.9223184290313</v>
      </c>
      <c r="FH75" s="108">
        <v>44174.019926625508</v>
      </c>
      <c r="FI75" s="265" t="s">
        <v>36</v>
      </c>
      <c r="FJ75" s="266" t="s">
        <v>36</v>
      </c>
      <c r="FK75" s="216">
        <v>7406912.8799999999</v>
      </c>
      <c r="FL75" s="216">
        <v>7211200.339999998</v>
      </c>
      <c r="FM75" s="108">
        <v>3957402.08</v>
      </c>
      <c r="FN75" s="108">
        <v>3917572.1199999987</v>
      </c>
      <c r="FO75" s="108">
        <v>3449510.8</v>
      </c>
      <c r="FP75" s="108">
        <v>3293628.2199999997</v>
      </c>
      <c r="FQ75" s="108">
        <v>3939431.0699999994</v>
      </c>
      <c r="FR75" s="108">
        <v>3842762.6399999992</v>
      </c>
      <c r="FS75" s="108">
        <v>3449510.8</v>
      </c>
      <c r="FT75" s="108">
        <v>3293628.2199999997</v>
      </c>
      <c r="FU75" s="108">
        <v>17971.010000000002</v>
      </c>
      <c r="FV75" s="108">
        <v>74809.48</v>
      </c>
      <c r="FW75" s="108"/>
      <c r="FX75" s="107"/>
      <c r="FY75" s="264">
        <v>0</v>
      </c>
      <c r="FZ75" s="264">
        <v>0</v>
      </c>
      <c r="GA75" s="220" t="s">
        <v>36</v>
      </c>
      <c r="GB75" s="150" t="s">
        <v>36</v>
      </c>
      <c r="GC75" s="150">
        <v>-347598.22971773241</v>
      </c>
      <c r="GD75" s="267">
        <v>-5.138084123315112</v>
      </c>
      <c r="GE75" s="150">
        <v>-109059.90866947453</v>
      </c>
      <c r="GF75" s="267">
        <v>-2.7116273970399396</v>
      </c>
      <c r="GG75" s="150">
        <v>-238538.32104825741</v>
      </c>
      <c r="GH75" s="268">
        <v>-8.6956307169045353</v>
      </c>
      <c r="GI75" s="150">
        <v>-165898.37866947427</v>
      </c>
      <c r="GJ75" s="267">
        <v>-4.1396314147594371</v>
      </c>
      <c r="GK75" s="150">
        <v>-273524.41865645396</v>
      </c>
      <c r="GL75" s="267">
        <v>-10.004515887078014</v>
      </c>
      <c r="GM75" s="150">
        <v>56838.47</v>
      </c>
      <c r="GN75" s="267">
        <v>395.49076896635944</v>
      </c>
      <c r="GO75" s="150">
        <v>34986.097608196476</v>
      </c>
      <c r="GP75" s="268">
        <v>380.78355906450963</v>
      </c>
      <c r="GQ75" s="150"/>
      <c r="GR75" s="44"/>
      <c r="GS75" s="44"/>
      <c r="GT75" s="44"/>
      <c r="GU75" s="44"/>
      <c r="GV75" s="44"/>
      <c r="GW75" s="44"/>
    </row>
    <row r="76" spans="1:205">
      <c r="A76" s="82"/>
      <c r="B76" s="269" t="s">
        <v>74</v>
      </c>
      <c r="C76" s="270">
        <f>C77+C78</f>
        <v>4368</v>
      </c>
      <c r="D76" s="270">
        <f>D64</f>
        <v>4368</v>
      </c>
      <c r="E76" s="271">
        <f>IFERROR(C76/$C$76*100,0)</f>
        <v>100</v>
      </c>
      <c r="F76" s="271">
        <f>IFERROR(D76/$C$76*100,0)</f>
        <v>100</v>
      </c>
      <c r="G76" s="272">
        <f>G64+G69+G75</f>
        <v>7571180.7199999988</v>
      </c>
      <c r="H76" s="272">
        <f>H64+H69+H75</f>
        <v>7571180.7199999988</v>
      </c>
      <c r="I76" s="272">
        <f>I64+I69+I75</f>
        <v>4566940.379999999</v>
      </c>
      <c r="J76" s="272">
        <f t="shared" ref="J76:AJ76" si="537">J64+J69+J75</f>
        <v>4566940.379999999</v>
      </c>
      <c r="K76" s="272">
        <f>K64+K69+K75</f>
        <v>3004240.34</v>
      </c>
      <c r="L76" s="272">
        <f t="shared" si="537"/>
        <v>3004240.34</v>
      </c>
      <c r="M76" s="272">
        <f t="shared" si="537"/>
        <v>4498372.6099999985</v>
      </c>
      <c r="N76" s="272">
        <f t="shared" si="537"/>
        <v>4498372.6099999985</v>
      </c>
      <c r="O76" s="272">
        <f t="shared" si="537"/>
        <v>2959677.3318277439</v>
      </c>
      <c r="P76" s="272">
        <f t="shared" si="537"/>
        <v>2959677.3318277439</v>
      </c>
      <c r="Q76" s="272">
        <f t="shared" si="537"/>
        <v>68567.770000000019</v>
      </c>
      <c r="R76" s="272">
        <f t="shared" si="537"/>
        <v>68567.770000000019</v>
      </c>
      <c r="S76" s="272">
        <f t="shared" si="537"/>
        <v>44563.008172256174</v>
      </c>
      <c r="T76" s="272">
        <f t="shared" si="537"/>
        <v>44563.008172256174</v>
      </c>
      <c r="U76" s="272">
        <f t="shared" ref="U76:V78" si="538">IFERROR(ROUND(I76/C76,2),0)</f>
        <v>1045.54</v>
      </c>
      <c r="V76" s="272">
        <f t="shared" si="538"/>
        <v>1045.54</v>
      </c>
      <c r="W76" s="272">
        <f>W64+W69+W75</f>
        <v>7882013.7600000016</v>
      </c>
      <c r="X76" s="272">
        <f>X64+X69+X75</f>
        <v>7882013.7600000016</v>
      </c>
      <c r="Y76" s="272">
        <f t="shared" si="537"/>
        <v>5186738.3500000015</v>
      </c>
      <c r="Z76" s="272">
        <f t="shared" si="537"/>
        <v>5186738.3500000015</v>
      </c>
      <c r="AA76" s="272">
        <f>AA64+AA69+AA75</f>
        <v>2695275.4099999997</v>
      </c>
      <c r="AB76" s="272">
        <f t="shared" si="537"/>
        <v>2695275.4099999997</v>
      </c>
      <c r="AC76" s="272">
        <f t="shared" si="537"/>
        <v>5017920.8900000006</v>
      </c>
      <c r="AD76" s="272">
        <f t="shared" si="537"/>
        <v>5017920.8900000006</v>
      </c>
      <c r="AE76" s="272">
        <f t="shared" si="537"/>
        <v>2609926.0599999996</v>
      </c>
      <c r="AF76" s="272">
        <f t="shared" si="537"/>
        <v>2609926.0599999996</v>
      </c>
      <c r="AG76" s="272">
        <f t="shared" si="537"/>
        <v>168817.46</v>
      </c>
      <c r="AH76" s="272">
        <f>AH64+AH69+AH75</f>
        <v>168817.46</v>
      </c>
      <c r="AI76" s="272">
        <f t="shared" si="537"/>
        <v>85349.35</v>
      </c>
      <c r="AJ76" s="272">
        <f t="shared" si="537"/>
        <v>85349.35</v>
      </c>
      <c r="AK76" s="273">
        <f t="shared" si="4"/>
        <v>1187.4400984432239</v>
      </c>
      <c r="AL76" s="273">
        <f t="shared" si="4"/>
        <v>1187.4400984432239</v>
      </c>
      <c r="AM76" s="270">
        <f>AM77+AM78</f>
        <v>4368</v>
      </c>
      <c r="AN76" s="270">
        <f>AN64</f>
        <v>4368</v>
      </c>
      <c r="AO76" s="271">
        <f>IFERROR(AM76/$AM$76*100,0)</f>
        <v>100</v>
      </c>
      <c r="AP76" s="271">
        <f>IFERROR(AN76/$AN$64*100,0)</f>
        <v>100</v>
      </c>
      <c r="AQ76" s="272">
        <f>AQ64+AQ69+AQ75</f>
        <v>8616605.9100000001</v>
      </c>
      <c r="AR76" s="272">
        <f t="shared" ref="AR76:BD76" si="539">AR64+AR69+AR75</f>
        <v>8616605.9100000001</v>
      </c>
      <c r="AS76" s="272">
        <f t="shared" si="539"/>
        <v>5624936.6699999999</v>
      </c>
      <c r="AT76" s="272">
        <f t="shared" si="539"/>
        <v>5624936.6699999999</v>
      </c>
      <c r="AU76" s="272">
        <f t="shared" si="539"/>
        <v>2991669.2399999998</v>
      </c>
      <c r="AV76" s="272">
        <f>AV64+AV69+AV75</f>
        <v>2991669.2399999998</v>
      </c>
      <c r="AW76" s="272">
        <f t="shared" si="539"/>
        <v>5547475.9800000004</v>
      </c>
      <c r="AX76" s="272">
        <f t="shared" si="539"/>
        <v>5547475.9800000004</v>
      </c>
      <c r="AY76" s="272">
        <f t="shared" si="539"/>
        <v>2950925.0878134412</v>
      </c>
      <c r="AZ76" s="272">
        <f t="shared" si="539"/>
        <v>2950925.0878134412</v>
      </c>
      <c r="BA76" s="272">
        <f t="shared" si="539"/>
        <v>77460.689999999988</v>
      </c>
      <c r="BB76" s="272">
        <f t="shared" si="539"/>
        <v>77460.689999999988</v>
      </c>
      <c r="BC76" s="272">
        <f t="shared" si="539"/>
        <v>40744.152186558174</v>
      </c>
      <c r="BD76" s="272">
        <f t="shared" si="539"/>
        <v>40744.152186558174</v>
      </c>
      <c r="BE76" s="272">
        <f t="shared" ref="BE76:BF78" si="540">IFERROR(ROUND(AS76/AM76,2),0)</f>
        <v>1287.76</v>
      </c>
      <c r="BF76" s="272">
        <f t="shared" si="540"/>
        <v>1287.76</v>
      </c>
      <c r="BG76" s="272">
        <f>BG64+BG69+BG75</f>
        <v>7868819.3799999999</v>
      </c>
      <c r="BH76" s="272">
        <f>BH64+BH69+BH75</f>
        <v>7868819.3799999999</v>
      </c>
      <c r="BI76" s="272">
        <f t="shared" ref="BI76:BT76" si="541">BI64+BI69+BI75</f>
        <v>5201497.9499999993</v>
      </c>
      <c r="BJ76" s="272">
        <f t="shared" si="541"/>
        <v>5201497.9499999993</v>
      </c>
      <c r="BK76" s="272">
        <f t="shared" si="541"/>
        <v>2667321.4300000002</v>
      </c>
      <c r="BL76" s="272">
        <f t="shared" si="541"/>
        <v>2667321.4300000002</v>
      </c>
      <c r="BM76" s="272">
        <f t="shared" si="541"/>
        <v>5118673.1500000004</v>
      </c>
      <c r="BN76" s="272">
        <f t="shared" si="541"/>
        <v>5118673.1500000004</v>
      </c>
      <c r="BO76" s="272">
        <f t="shared" si="541"/>
        <v>2631719.5900000003</v>
      </c>
      <c r="BP76" s="272">
        <f t="shared" si="541"/>
        <v>2631719.5900000003</v>
      </c>
      <c r="BQ76" s="272">
        <f t="shared" si="541"/>
        <v>82824.800000000003</v>
      </c>
      <c r="BR76" s="272">
        <f t="shared" si="541"/>
        <v>82824.800000000003</v>
      </c>
      <c r="BS76" s="272">
        <f t="shared" si="541"/>
        <v>35601.839999999997</v>
      </c>
      <c r="BT76" s="272">
        <f t="shared" si="541"/>
        <v>35601.839999999997</v>
      </c>
      <c r="BU76" s="273">
        <f t="shared" si="0"/>
        <v>1190.8191277472527</v>
      </c>
      <c r="BV76" s="272">
        <f t="shared" si="0"/>
        <v>1190.8191277472527</v>
      </c>
      <c r="BW76" s="270">
        <f>BW77+BW78</f>
        <v>4416</v>
      </c>
      <c r="BX76" s="270">
        <f>BX77+BX78</f>
        <v>4416.0036111111103</v>
      </c>
      <c r="BY76" s="270">
        <f>IFERROR(BW76/$BW$76*100,0)</f>
        <v>100</v>
      </c>
      <c r="BZ76" s="270">
        <f>IFERROR(BX76/$BX$76*100,0)</f>
        <v>100</v>
      </c>
      <c r="CA76" s="272">
        <f t="shared" ref="CA76:CC76" si="542">CA64+CA69+CA75</f>
        <v>7298651.9483264238</v>
      </c>
      <c r="CB76" s="272">
        <f t="shared" si="542"/>
        <v>7401081.4199999999</v>
      </c>
      <c r="CC76" s="272">
        <f t="shared" si="542"/>
        <v>4394895.4798521502</v>
      </c>
      <c r="CD76" s="272">
        <f>CD64+CD69+CD75</f>
        <v>4626770.6599999992</v>
      </c>
      <c r="CE76" s="272">
        <f t="shared" ref="CE76:CN76" si="543">CE64+CE69+CE75</f>
        <v>2903756.468474275</v>
      </c>
      <c r="CF76" s="272">
        <f t="shared" si="543"/>
        <v>2774310.7600000002</v>
      </c>
      <c r="CG76" s="272">
        <f t="shared" si="543"/>
        <v>4307895.4798521502</v>
      </c>
      <c r="CH76" s="272">
        <f t="shared" si="543"/>
        <v>4503058.8899999997</v>
      </c>
      <c r="CI76" s="272">
        <f t="shared" si="543"/>
        <v>2847629.9764507706</v>
      </c>
      <c r="CJ76" s="272">
        <f t="shared" si="543"/>
        <v>2700952.26586203</v>
      </c>
      <c r="CK76" s="272">
        <f t="shared" si="543"/>
        <v>87000</v>
      </c>
      <c r="CL76" s="272">
        <f t="shared" si="543"/>
        <v>123711.77</v>
      </c>
      <c r="CM76" s="272">
        <f t="shared" si="543"/>
        <v>56126.492023504034</v>
      </c>
      <c r="CN76" s="272">
        <f t="shared" si="543"/>
        <v>73358.494137970003</v>
      </c>
      <c r="CO76" s="272">
        <f t="shared" ref="CO76:CP78" si="544">IFERROR(ROUND(CC76/BW76,2),0)</f>
        <v>995.22</v>
      </c>
      <c r="CP76" s="272">
        <f t="shared" si="544"/>
        <v>1047.73</v>
      </c>
      <c r="CQ76" s="272">
        <f>CQ64+CQ69+CQ75</f>
        <v>8701253.459999999</v>
      </c>
      <c r="CR76" s="272">
        <f t="shared" ref="CR76:CS76" si="545">CR64+CR69+CR75</f>
        <v>8701142.1300000008</v>
      </c>
      <c r="CS76" s="272">
        <f t="shared" si="545"/>
        <v>4421506.7300000004</v>
      </c>
      <c r="CT76" s="272">
        <f>CT64+CT69+CT75</f>
        <v>4372093.8900000006</v>
      </c>
      <c r="CU76" s="272">
        <f t="shared" ref="CU76:DD76" si="546">CU64+CU69+CU75</f>
        <v>4279746.7299999995</v>
      </c>
      <c r="CV76" s="272">
        <f t="shared" si="546"/>
        <v>4329048.2399999993</v>
      </c>
      <c r="CW76" s="272">
        <f t="shared" si="546"/>
        <v>4331206.7300000004</v>
      </c>
      <c r="CX76" s="272">
        <f t="shared" si="546"/>
        <v>4221676.5</v>
      </c>
      <c r="CY76" s="272">
        <f t="shared" si="546"/>
        <v>4192341.8799999994</v>
      </c>
      <c r="CZ76" s="272">
        <f t="shared" si="546"/>
        <v>4198222.71</v>
      </c>
      <c r="DA76" s="272">
        <f t="shared" si="546"/>
        <v>90300</v>
      </c>
      <c r="DB76" s="272">
        <f t="shared" si="546"/>
        <v>150417.39000000001</v>
      </c>
      <c r="DC76" s="272">
        <f t="shared" si="546"/>
        <v>87404.85</v>
      </c>
      <c r="DD76" s="272">
        <f t="shared" si="546"/>
        <v>130825.53</v>
      </c>
      <c r="DE76" s="273">
        <f t="shared" si="1"/>
        <v>1001.2469950181161</v>
      </c>
      <c r="DF76" s="273">
        <f t="shared" si="1"/>
        <v>990.05668360401057</v>
      </c>
      <c r="DG76" s="270">
        <v>4416.0000000000009</v>
      </c>
      <c r="DH76" s="270">
        <v>4415.9999999999991</v>
      </c>
      <c r="DI76" s="270">
        <v>100</v>
      </c>
      <c r="DJ76" s="270">
        <v>99.999999999999957</v>
      </c>
      <c r="DK76" s="272">
        <v>9368391.8662392609</v>
      </c>
      <c r="DL76" s="272">
        <v>8677077.4999999981</v>
      </c>
      <c r="DM76" s="272">
        <v>5651581.983511894</v>
      </c>
      <c r="DN76" s="272">
        <v>5725326.6599999992</v>
      </c>
      <c r="DO76" s="272">
        <v>3716809.882727365</v>
      </c>
      <c r="DP76" s="272">
        <v>2951750.84</v>
      </c>
      <c r="DQ76" s="272">
        <v>5491581.983511894</v>
      </c>
      <c r="DR76" s="272">
        <v>5510854.5099999998</v>
      </c>
      <c r="DS76" s="272">
        <v>3613677.9417011822</v>
      </c>
      <c r="DT76" s="272">
        <v>2841608.8811464058</v>
      </c>
      <c r="DU76" s="272">
        <v>160000</v>
      </c>
      <c r="DV76" s="272">
        <v>214472.15000000002</v>
      </c>
      <c r="DW76" s="272">
        <v>103131.9410261828</v>
      </c>
      <c r="DX76" s="272">
        <v>110141.95885359368</v>
      </c>
      <c r="DY76" s="272">
        <v>1279.8</v>
      </c>
      <c r="DZ76" s="272">
        <v>1296.5</v>
      </c>
      <c r="EA76" s="272">
        <v>13409701.140000001</v>
      </c>
      <c r="EB76" s="272">
        <v>13213415.35</v>
      </c>
      <c r="EC76" s="272">
        <v>5684204.1500000004</v>
      </c>
      <c r="ED76" s="272">
        <v>5890222.1799999997</v>
      </c>
      <c r="EE76" s="272">
        <v>7725496.9900000002</v>
      </c>
      <c r="EF76" s="272">
        <v>7323193.1699999999</v>
      </c>
      <c r="EG76" s="272">
        <v>5545704.1500000004</v>
      </c>
      <c r="EH76" s="272">
        <v>5646594.1399999987</v>
      </c>
      <c r="EI76" s="272">
        <v>7537259.3200000003</v>
      </c>
      <c r="EJ76" s="272">
        <v>7036776.75</v>
      </c>
      <c r="EK76" s="272">
        <v>138500</v>
      </c>
      <c r="EL76" s="272">
        <v>243628.04</v>
      </c>
      <c r="EM76" s="272">
        <v>188237.67</v>
      </c>
      <c r="EN76" s="272">
        <v>286416.42</v>
      </c>
      <c r="EO76" s="273">
        <v>1287.1839107789854</v>
      </c>
      <c r="EP76" s="273">
        <v>1333.8365443840582</v>
      </c>
      <c r="EQ76" s="270">
        <v>17568</v>
      </c>
      <c r="ER76" s="270">
        <v>17568.003611111111</v>
      </c>
      <c r="ES76" s="271">
        <v>100</v>
      </c>
      <c r="ET76" s="271">
        <v>100</v>
      </c>
      <c r="EU76" s="272">
        <v>32854830.444565684</v>
      </c>
      <c r="EV76" s="272">
        <v>32265945.549999997</v>
      </c>
      <c r="EW76" s="272">
        <v>20238354.513364043</v>
      </c>
      <c r="EX76" s="272">
        <v>20543974.370000001</v>
      </c>
      <c r="EY76" s="272">
        <v>12616475.931201639</v>
      </c>
      <c r="EZ76" s="272">
        <v>11721971.18</v>
      </c>
      <c r="FA76" s="272">
        <v>19845326.053364042</v>
      </c>
      <c r="FB76" s="272">
        <v>20059761.989999998</v>
      </c>
      <c r="FC76" s="272">
        <v>12371910.337793138</v>
      </c>
      <c r="FD76" s="272">
        <v>11453163.566649621</v>
      </c>
      <c r="FE76" s="272">
        <v>393028.46</v>
      </c>
      <c r="FF76" s="272">
        <v>484212.38</v>
      </c>
      <c r="FG76" s="272">
        <v>244565.59340850118</v>
      </c>
      <c r="FH76" s="272">
        <v>268807.613350378</v>
      </c>
      <c r="FI76" s="274">
        <v>1152</v>
      </c>
      <c r="FJ76" s="274">
        <v>1169.4000000000001</v>
      </c>
      <c r="FK76" s="272">
        <v>37861787.740000002</v>
      </c>
      <c r="FL76" s="272">
        <v>37665390.619999997</v>
      </c>
      <c r="FM76" s="272">
        <v>20493947.18</v>
      </c>
      <c r="FN76" s="272">
        <v>20650552.369999994</v>
      </c>
      <c r="FO76" s="272">
        <v>17367840.559999999</v>
      </c>
      <c r="FP76" s="272">
        <v>17014838.249999996</v>
      </c>
      <c r="FQ76" s="272">
        <v>20013504.920000002</v>
      </c>
      <c r="FR76" s="272">
        <v>20004864.68</v>
      </c>
      <c r="FS76" s="272">
        <v>16971246.850000001</v>
      </c>
      <c r="FT76" s="272">
        <v>16476645.109999999</v>
      </c>
      <c r="FU76" s="272">
        <v>480442.26</v>
      </c>
      <c r="FV76" s="272">
        <v>645687.68999999994</v>
      </c>
      <c r="FW76" s="272">
        <v>396593.71</v>
      </c>
      <c r="FX76" s="272">
        <v>538193.14</v>
      </c>
      <c r="FY76" s="273">
        <v>1166.5498167122039</v>
      </c>
      <c r="FZ76" s="273">
        <v>1175.4638049447624</v>
      </c>
      <c r="GA76" s="275">
        <v>3.6111111112404615E-3</v>
      </c>
      <c r="GB76" s="276">
        <v>0</v>
      </c>
      <c r="GC76" s="276">
        <v>-588884.89456568658</v>
      </c>
      <c r="GD76" s="270">
        <v>-1.7923845187978737</v>
      </c>
      <c r="GE76" s="276">
        <v>305619.85663595796</v>
      </c>
      <c r="GF76" s="270">
        <v>1.5101022982582313</v>
      </c>
      <c r="GG76" s="276">
        <v>-894504.75120163895</v>
      </c>
      <c r="GH76" s="277">
        <v>-7.089973111980119</v>
      </c>
      <c r="GI76" s="276">
        <v>214435.93663595617</v>
      </c>
      <c r="GJ76" s="270">
        <v>1.0805362232867211</v>
      </c>
      <c r="GK76" s="276">
        <v>-918746.77114351653</v>
      </c>
      <c r="GL76" s="270">
        <v>-7.4260703970426611</v>
      </c>
      <c r="GM76" s="276">
        <v>91183.919999999984</v>
      </c>
      <c r="GN76" s="270">
        <v>23.200335161479146</v>
      </c>
      <c r="GO76" s="276">
        <v>24242.019941876817</v>
      </c>
      <c r="GP76" s="277">
        <v>9.9122773584038306</v>
      </c>
      <c r="GQ76" s="276">
        <v>17.400000000000091</v>
      </c>
      <c r="GR76" s="44"/>
      <c r="GS76" s="44"/>
      <c r="GT76" s="44"/>
      <c r="GU76" s="44"/>
      <c r="GV76" s="44"/>
      <c r="GW76" s="44"/>
    </row>
    <row r="77" spans="1:205">
      <c r="A77" s="278"/>
      <c r="B77" s="279" t="s">
        <v>38</v>
      </c>
      <c r="C77" s="280">
        <f>C65</f>
        <v>2184</v>
      </c>
      <c r="D77" s="280">
        <f>D65</f>
        <v>2184</v>
      </c>
      <c r="E77" s="281">
        <f>IFERROR(C77/$C$77*100,0)</f>
        <v>100</v>
      </c>
      <c r="F77" s="281">
        <f>IFERROR(D77/$C$77*100,0)</f>
        <v>100</v>
      </c>
      <c r="G77" s="282"/>
      <c r="H77" s="283"/>
      <c r="I77" s="283">
        <f>I14+I17+I20+I23+I26+I29+I32+I35+I38+I44+I47+I52+I55</f>
        <v>3078810.6509655281</v>
      </c>
      <c r="J77" s="283">
        <f>J14+J17+J20+J23+J26+J29+J32+J35+J38+J44+J47+J52+J55</f>
        <v>3078810.6509655281</v>
      </c>
      <c r="K77" s="282" t="s">
        <v>36</v>
      </c>
      <c r="L77" s="282" t="s">
        <v>36</v>
      </c>
      <c r="M77" s="283">
        <f>M14+M17+M20+M23+M26+M29+M32+M35+M38+M44+M47+M52+M55</f>
        <v>3014815.6309655281</v>
      </c>
      <c r="N77" s="283">
        <f>N14+N17+N20+N23+N26+N29+N32+N35+N38+N44+N47+N52+N55</f>
        <v>3014815.6309655281</v>
      </c>
      <c r="O77" s="282" t="s">
        <v>36</v>
      </c>
      <c r="P77" s="282" t="s">
        <v>36</v>
      </c>
      <c r="Q77" s="283">
        <f>Q14+Q17+Q20+Q23+Q26+Q29+Q32+Q35+Q38+Q44+Q47+Q52+Q55</f>
        <v>63995.020000000026</v>
      </c>
      <c r="R77" s="283">
        <f>R14+R17+R20+R23+R26+R29+R32+R35+R38+R44+R47+R52+R55</f>
        <v>63995.020000000026</v>
      </c>
      <c r="S77" s="282" t="s">
        <v>36</v>
      </c>
      <c r="T77" s="282" t="s">
        <v>36</v>
      </c>
      <c r="U77" s="283">
        <f t="shared" si="538"/>
        <v>1409.71</v>
      </c>
      <c r="V77" s="283">
        <f t="shared" si="538"/>
        <v>1409.71</v>
      </c>
      <c r="W77" s="282" t="s">
        <v>36</v>
      </c>
      <c r="X77" s="282" t="s">
        <v>36</v>
      </c>
      <c r="Y77" s="283">
        <f t="shared" ref="Y77:Z77" si="547">Y14+Y17+Y20+Y23+Y26+Y29+Y32+Y35+Y38+Y44+Y47+Y52+Y55</f>
        <v>3135846.3032166781</v>
      </c>
      <c r="Z77" s="283">
        <f t="shared" si="547"/>
        <v>3135846.3032166781</v>
      </c>
      <c r="AA77" s="282" t="s">
        <v>36</v>
      </c>
      <c r="AB77" s="282" t="s">
        <v>36</v>
      </c>
      <c r="AC77" s="283">
        <f>AC14+AC17+AC20+AC23+AC26+AC29+AC32+AC35+AC38+AC44+AC47+AC52+AC55</f>
        <v>2971601.5932166781</v>
      </c>
      <c r="AD77" s="283">
        <f t="shared" ref="AD77:AH77" si="548">AD14+AD17+AD20+AD23+AD26+AD29+AD32+AD35+AD38+AD44+AD47+AD52+AD55</f>
        <v>2971601.5932166781</v>
      </c>
      <c r="AE77" s="282" t="s">
        <v>36</v>
      </c>
      <c r="AF77" s="282" t="s">
        <v>36</v>
      </c>
      <c r="AG77" s="283">
        <f>AG14+AG17+AG20+AG23+AG26+AG29+AG32+AG35+AG38+AG44+AG47+AG52+AG55</f>
        <v>164244.71</v>
      </c>
      <c r="AH77" s="283">
        <f t="shared" si="548"/>
        <v>164244.71</v>
      </c>
      <c r="AI77" s="282" t="s">
        <v>36</v>
      </c>
      <c r="AJ77" s="282" t="s">
        <v>36</v>
      </c>
      <c r="AK77" s="284">
        <f t="shared" si="4"/>
        <v>1435.8270619123984</v>
      </c>
      <c r="AL77" s="284">
        <f t="shared" si="4"/>
        <v>1435.8270619123984</v>
      </c>
      <c r="AM77" s="280">
        <f>AM65</f>
        <v>2184</v>
      </c>
      <c r="AN77" s="280">
        <f>AN65</f>
        <v>2184</v>
      </c>
      <c r="AO77" s="281">
        <f>IFERROR(AM77/$AM$77*100,0)</f>
        <v>100</v>
      </c>
      <c r="AP77" s="281">
        <f>IFERROR(AN77/$AN$65*100,0)</f>
        <v>100</v>
      </c>
      <c r="AQ77" s="282"/>
      <c r="AR77" s="283"/>
      <c r="AS77" s="283">
        <f>AS14+AS17+AS20+AS23+AS26+AS29+AS32+AS35+AS38+AS44+AS47+AS52+AS55</f>
        <v>3393334.1048791236</v>
      </c>
      <c r="AT77" s="283">
        <f>AT14+AT17+AT20+AT23+AT26+AT29+AT32+AT35+AT38+AT44+AT47+AT52+AT55</f>
        <v>3393334.1048791236</v>
      </c>
      <c r="AU77" s="282" t="s">
        <v>36</v>
      </c>
      <c r="AV77" s="282" t="s">
        <v>36</v>
      </c>
      <c r="AW77" s="283">
        <f>AW14+AW17+AW20+AW23+AW26+AW29+AW32+AW35+AW38+AW44+AW47+AW52+AW55</f>
        <v>3325672.2948791236</v>
      </c>
      <c r="AX77" s="283">
        <f>AX14+AX17+AX20+AX23+AX26+AX29+AX32+AX35+AX38+AX44+AX47+AX52+AX55</f>
        <v>3325672.2948791236</v>
      </c>
      <c r="AY77" s="282" t="s">
        <v>36</v>
      </c>
      <c r="AZ77" s="282" t="s">
        <v>36</v>
      </c>
      <c r="BA77" s="283">
        <f>BA14+BA17+BA20+BA23+BA26+BA29+BA32+BA35+BA38+BA44+BA47+BA52+BA55</f>
        <v>67661.809999999983</v>
      </c>
      <c r="BB77" s="283">
        <f>BB14+BB17+BB20+BB23+BB26+BB29+BB32+BB35+BB38+BB44+BB47+BB52+BB55</f>
        <v>67661.809999999983</v>
      </c>
      <c r="BC77" s="282" t="s">
        <v>36</v>
      </c>
      <c r="BD77" s="282" t="s">
        <v>36</v>
      </c>
      <c r="BE77" s="283">
        <f t="shared" si="540"/>
        <v>1553.72</v>
      </c>
      <c r="BF77" s="283">
        <f t="shared" si="540"/>
        <v>1553.72</v>
      </c>
      <c r="BG77" s="282" t="s">
        <v>36</v>
      </c>
      <c r="BH77" s="282" t="s">
        <v>36</v>
      </c>
      <c r="BI77" s="283">
        <f t="shared" ref="BI77:BJ77" si="549">BI14+BI17+BI20+BI23+BI26+BI29+BI32+BI35+BI38+BI44+BI47+BI52+BI55</f>
        <v>3310840.6346655823</v>
      </c>
      <c r="BJ77" s="283">
        <f t="shared" si="549"/>
        <v>3310840.6346655823</v>
      </c>
      <c r="BK77" s="282" t="s">
        <v>36</v>
      </c>
      <c r="BL77" s="282" t="s">
        <v>36</v>
      </c>
      <c r="BM77" s="283">
        <f>BM14+BM17+BM20+BM23+BM26+BM29+BM32+BM35+BM38+BM44+BM47+BM52+BM55</f>
        <v>3241414.0946655828</v>
      </c>
      <c r="BN77" s="283">
        <f t="shared" ref="BN77" si="550">BN14+BN17+BN20+BN23+BN26+BN29+BN32+BN35+BN38+BN44+BN47+BN52+BN55</f>
        <v>3241414.0946655828</v>
      </c>
      <c r="BO77" s="282" t="s">
        <v>36</v>
      </c>
      <c r="BP77" s="282" t="s">
        <v>36</v>
      </c>
      <c r="BQ77" s="283">
        <f t="shared" ref="BQ77:BR77" si="551">BQ14+BQ17+BQ20+BQ23+BQ26+BQ29+BQ32+BQ35+BQ38+BQ44+BQ47+BQ52+BQ55</f>
        <v>69426.540000000008</v>
      </c>
      <c r="BR77" s="283">
        <f t="shared" si="551"/>
        <v>69426.540000000008</v>
      </c>
      <c r="BS77" s="282" t="s">
        <v>36</v>
      </c>
      <c r="BT77" s="282" t="s">
        <v>36</v>
      </c>
      <c r="BU77" s="284">
        <f t="shared" si="0"/>
        <v>1515.952671550175</v>
      </c>
      <c r="BV77" s="283">
        <f t="shared" si="0"/>
        <v>1515.952671550175</v>
      </c>
      <c r="BW77" s="280">
        <f>BW65</f>
        <v>2208</v>
      </c>
      <c r="BX77" s="280">
        <f>BX65</f>
        <v>2208.0024999999996</v>
      </c>
      <c r="BY77" s="280">
        <f>IFERROR(BW77/$BW$77*100,0)</f>
        <v>100</v>
      </c>
      <c r="BZ77" s="280">
        <f>IFERROR(BX77/$BX$77*100,0)</f>
        <v>100</v>
      </c>
      <c r="CA77" s="282"/>
      <c r="CB77" s="283"/>
      <c r="CC77" s="283">
        <f>CC14+CC17+CC20+CC23+CC26+CC29+CC32+CC35+CC38+CC44+CC47+CC52+CC55</f>
        <v>2459214.5925215697</v>
      </c>
      <c r="CD77" s="283">
        <f>CD14+CD17+CD20+CD23+CD26+CD29+CD32+CD35+CD38+CD44+CD47+CD52+CD55</f>
        <v>2827731.2282193038</v>
      </c>
      <c r="CE77" s="282" t="s">
        <v>36</v>
      </c>
      <c r="CF77" s="282" t="s">
        <v>36</v>
      </c>
      <c r="CG77" s="283">
        <f>CG14+CG17+CG20+CG23+CG26+CG29+CG32+CG35+CG38+CG44+CG47+CG52+CG55</f>
        <v>2372214.5925215697</v>
      </c>
      <c r="CH77" s="283">
        <f>CH14+CH17+CH20+CH23+CH26+CH29+CH32+CH35+CH38+CH44+CH47+CH52+CH55</f>
        <v>2722310.4582193042</v>
      </c>
      <c r="CI77" s="282" t="s">
        <v>36</v>
      </c>
      <c r="CJ77" s="282" t="s">
        <v>36</v>
      </c>
      <c r="CK77" s="283">
        <f>CK14+CK17+CK20+CK23+CK26+CK29+CK32+CK35+CK38+CK44+CK47+CK52+CK55</f>
        <v>87000</v>
      </c>
      <c r="CL77" s="283">
        <f>CL14+CL17+CL20+CL23+CL26+CL29+CL32+CL35+CL38+CL44+CL47+CL52+CL55</f>
        <v>105420.77</v>
      </c>
      <c r="CM77" s="282" t="s">
        <v>36</v>
      </c>
      <c r="CN77" s="282" t="s">
        <v>36</v>
      </c>
      <c r="CO77" s="283">
        <f t="shared" si="544"/>
        <v>1113.77</v>
      </c>
      <c r="CP77" s="283">
        <f t="shared" si="544"/>
        <v>1280.67</v>
      </c>
      <c r="CQ77" s="282" t="s">
        <v>36</v>
      </c>
      <c r="CR77" s="282" t="s">
        <v>36</v>
      </c>
      <c r="CS77" s="283">
        <f t="shared" ref="CS77:CT77" si="552">CS14+CS17+CS20+CS23+CS26+CS29+CS32+CS35+CS38+CS44+CS47+CS52+CS55</f>
        <v>2468986.66</v>
      </c>
      <c r="CT77" s="283">
        <f t="shared" si="552"/>
        <v>2686316.4996339795</v>
      </c>
      <c r="CU77" s="282" t="s">
        <v>36</v>
      </c>
      <c r="CV77" s="282" t="s">
        <v>36</v>
      </c>
      <c r="CW77" s="283">
        <f>CW14+CW17+CW20+CW23+CW26+CW29+CW32+CW35+CW38+CW44+CW47+CW52+CW55</f>
        <v>2378686.66</v>
      </c>
      <c r="CX77" s="283">
        <f t="shared" ref="CX77:DB77" si="553">CX14+CX17+CX20+CX23+CX26+CX29+CX32+CX35+CX38+CX44+CX47+CX52+CX55</f>
        <v>2578329.6096339799</v>
      </c>
      <c r="CY77" s="282" t="s">
        <v>36</v>
      </c>
      <c r="CZ77" s="282" t="s">
        <v>36</v>
      </c>
      <c r="DA77" s="283">
        <f t="shared" si="553"/>
        <v>90300</v>
      </c>
      <c r="DB77" s="283">
        <f t="shared" si="553"/>
        <v>107986.89000000001</v>
      </c>
      <c r="DC77" s="282" t="s">
        <v>36</v>
      </c>
      <c r="DD77" s="282" t="s">
        <v>36</v>
      </c>
      <c r="DE77" s="284">
        <f t="shared" si="1"/>
        <v>1118.2004800724637</v>
      </c>
      <c r="DF77" s="284">
        <f t="shared" si="1"/>
        <v>1216.6274719498642</v>
      </c>
      <c r="DG77" s="280">
        <v>2208.0000000000005</v>
      </c>
      <c r="DH77" s="280">
        <v>2207.9999999999995</v>
      </c>
      <c r="DI77" s="280">
        <v>100</v>
      </c>
      <c r="DJ77" s="280">
        <v>99.999999999999957</v>
      </c>
      <c r="DK77" s="282"/>
      <c r="DL77" s="283"/>
      <c r="DM77" s="283">
        <v>4069308.6162414406</v>
      </c>
      <c r="DN77" s="283">
        <v>3520830.7299999995</v>
      </c>
      <c r="DO77" s="282" t="s">
        <v>36</v>
      </c>
      <c r="DP77" s="282" t="s">
        <v>36</v>
      </c>
      <c r="DQ77" s="283">
        <v>3909308.6162414406</v>
      </c>
      <c r="DR77" s="283">
        <v>3350328.5499999989</v>
      </c>
      <c r="DS77" s="282" t="s">
        <v>36</v>
      </c>
      <c r="DT77" s="282" t="s">
        <v>36</v>
      </c>
      <c r="DU77" s="283">
        <v>160000</v>
      </c>
      <c r="DV77" s="283">
        <v>170502.18000000002</v>
      </c>
      <c r="DW77" s="282" t="s">
        <v>36</v>
      </c>
      <c r="DX77" s="282" t="s">
        <v>36</v>
      </c>
      <c r="DY77" s="283">
        <v>1842.98</v>
      </c>
      <c r="DZ77" s="283">
        <v>1594.58</v>
      </c>
      <c r="EA77" s="282" t="s">
        <v>36</v>
      </c>
      <c r="EB77" s="282" t="s">
        <v>36</v>
      </c>
      <c r="EC77" s="283">
        <v>4085478.64</v>
      </c>
      <c r="ED77" s="283">
        <v>4000550.8145333324</v>
      </c>
      <c r="EE77" s="282" t="s">
        <v>36</v>
      </c>
      <c r="EF77" s="282" t="s">
        <v>36</v>
      </c>
      <c r="EG77" s="283">
        <v>3946978.64</v>
      </c>
      <c r="EH77" s="283">
        <v>3795470.2445333325</v>
      </c>
      <c r="EI77" s="282" t="s">
        <v>36</v>
      </c>
      <c r="EJ77" s="282" t="s">
        <v>36</v>
      </c>
      <c r="EK77" s="283">
        <v>138500</v>
      </c>
      <c r="EL77" s="283">
        <v>205080.57</v>
      </c>
      <c r="EM77" s="282" t="s">
        <v>36</v>
      </c>
      <c r="EN77" s="282" t="s">
        <v>36</v>
      </c>
      <c r="EO77" s="284">
        <v>1850.3073550724635</v>
      </c>
      <c r="EP77" s="284">
        <v>1811.8436660024154</v>
      </c>
      <c r="EQ77" s="280">
        <v>8784</v>
      </c>
      <c r="ER77" s="280">
        <v>8784.0025000000005</v>
      </c>
      <c r="ES77" s="281">
        <v>100</v>
      </c>
      <c r="ET77" s="281">
        <v>100</v>
      </c>
      <c r="EU77" s="282" t="s">
        <v>36</v>
      </c>
      <c r="EV77" s="282" t="s">
        <v>36</v>
      </c>
      <c r="EW77" s="283">
        <v>13000667.964607663</v>
      </c>
      <c r="EX77" s="283">
        <v>12820706.714063957</v>
      </c>
      <c r="EY77" s="282" t="s">
        <v>36</v>
      </c>
      <c r="EZ77" s="282" t="s">
        <v>36</v>
      </c>
      <c r="FA77" s="283">
        <v>12622011.134607662</v>
      </c>
      <c r="FB77" s="283">
        <v>12413126.934063954</v>
      </c>
      <c r="FC77" s="282" t="s">
        <v>36</v>
      </c>
      <c r="FD77" s="282" t="s">
        <v>36</v>
      </c>
      <c r="FE77" s="283">
        <v>378656.83</v>
      </c>
      <c r="FF77" s="283">
        <v>407579.78</v>
      </c>
      <c r="FG77" s="282" t="s">
        <v>36</v>
      </c>
      <c r="FH77" s="282" t="s">
        <v>36</v>
      </c>
      <c r="FI77" s="285">
        <v>1480.04</v>
      </c>
      <c r="FJ77" s="285">
        <v>1459.55</v>
      </c>
      <c r="FK77" s="282" t="s">
        <v>36</v>
      </c>
      <c r="FL77" s="282" t="s">
        <v>36</v>
      </c>
      <c r="FM77" s="283">
        <v>13001152.23788226</v>
      </c>
      <c r="FN77" s="283">
        <v>13133554.252049571</v>
      </c>
      <c r="FO77" s="282" t="s">
        <v>36</v>
      </c>
      <c r="FP77" s="282" t="s">
        <v>36</v>
      </c>
      <c r="FQ77" s="283">
        <v>12538680.98788226</v>
      </c>
      <c r="FR77" s="283">
        <v>12586815.542049576</v>
      </c>
      <c r="FS77" s="282" t="s">
        <v>36</v>
      </c>
      <c r="FT77" s="282" t="s">
        <v>36</v>
      </c>
      <c r="FU77" s="283">
        <v>462471.25</v>
      </c>
      <c r="FV77" s="283">
        <v>546738.71</v>
      </c>
      <c r="FW77" s="282" t="s">
        <v>36</v>
      </c>
      <c r="FX77" s="282" t="s">
        <v>36</v>
      </c>
      <c r="FY77" s="284">
        <v>1480.094744749802</v>
      </c>
      <c r="FZ77" s="284">
        <v>1495.1674082571778</v>
      </c>
      <c r="GA77" s="286">
        <v>2.500000000509317E-3</v>
      </c>
      <c r="GB77" s="282">
        <v>0</v>
      </c>
      <c r="GC77" s="282" t="s">
        <v>36</v>
      </c>
      <c r="GD77" s="287" t="s">
        <v>36</v>
      </c>
      <c r="GE77" s="288">
        <v>-179961.25054370612</v>
      </c>
      <c r="GF77" s="280">
        <v>-1.3842461866853562</v>
      </c>
      <c r="GG77" s="282" t="s">
        <v>36</v>
      </c>
      <c r="GH77" s="289" t="s">
        <v>36</v>
      </c>
      <c r="GI77" s="288">
        <v>-208884.20054370724</v>
      </c>
      <c r="GJ77" s="280">
        <v>-1.6549201099258948</v>
      </c>
      <c r="GK77" s="282" t="s">
        <v>36</v>
      </c>
      <c r="GL77" s="287" t="s">
        <v>36</v>
      </c>
      <c r="GM77" s="288">
        <v>28922.950000000012</v>
      </c>
      <c r="GN77" s="280">
        <v>7.6383014139742356</v>
      </c>
      <c r="GO77" s="282" t="s">
        <v>36</v>
      </c>
      <c r="GP77" s="289" t="s">
        <v>36</v>
      </c>
      <c r="GQ77" s="288">
        <v>-20.490000000000009</v>
      </c>
      <c r="GR77" s="44"/>
      <c r="GS77" s="44"/>
      <c r="GT77" s="44"/>
      <c r="GU77" s="44"/>
      <c r="GV77" s="44"/>
      <c r="GW77" s="44"/>
    </row>
    <row r="78" spans="1:205">
      <c r="A78" s="278"/>
      <c r="B78" s="279" t="s">
        <v>39</v>
      </c>
      <c r="C78" s="280">
        <f>C66</f>
        <v>2184</v>
      </c>
      <c r="D78" s="280">
        <f>D66</f>
        <v>2184</v>
      </c>
      <c r="E78" s="281">
        <f>IFERROR(C78/$C$78*100,0)</f>
        <v>100</v>
      </c>
      <c r="F78" s="281">
        <f>IFERROR(D78/$C$78*100,0)</f>
        <v>100</v>
      </c>
      <c r="G78" s="282"/>
      <c r="H78" s="283"/>
      <c r="I78" s="283">
        <f>I15+I18+I21+I24+I27+I30+I33+I36+I39+I45+I53+I56</f>
        <v>520233.87903447123</v>
      </c>
      <c r="J78" s="283">
        <f>J15+J18+J21+J24+J27+J30+J33+J36+J39+J45+J53+J56</f>
        <v>520233.87903447123</v>
      </c>
      <c r="K78" s="282" t="s">
        <v>36</v>
      </c>
      <c r="L78" s="282" t="s">
        <v>36</v>
      </c>
      <c r="M78" s="283">
        <f>M15+M18+M21+M24+M27+M30+M33+M36+M39+M45+M53+M56</f>
        <v>520233.87903447123</v>
      </c>
      <c r="N78" s="283">
        <f>N15+N18+N21+N24+N27+N30+N33+N36+N39+N45+N53+N56</f>
        <v>520233.87903447123</v>
      </c>
      <c r="O78" s="282" t="s">
        <v>36</v>
      </c>
      <c r="P78" s="282" t="s">
        <v>36</v>
      </c>
      <c r="Q78" s="283">
        <f>Q15+Q18+Q21+Q24+Q27+Q30+Q33+Q36+Q39+Q45+Q53+Q56</f>
        <v>0</v>
      </c>
      <c r="R78" s="283">
        <f>R15+R18+R21+R24+R27+R30+R33+R36+R39+R45+R53+R56</f>
        <v>0</v>
      </c>
      <c r="S78" s="282" t="s">
        <v>36</v>
      </c>
      <c r="T78" s="282" t="s">
        <v>36</v>
      </c>
      <c r="U78" s="283">
        <f t="shared" si="538"/>
        <v>238.2</v>
      </c>
      <c r="V78" s="283">
        <f t="shared" si="538"/>
        <v>238.2</v>
      </c>
      <c r="W78" s="282" t="s">
        <v>36</v>
      </c>
      <c r="X78" s="282" t="s">
        <v>36</v>
      </c>
      <c r="Y78" s="283">
        <f t="shared" ref="Y78:Z78" si="554">Y15+Y18+Y21+Y24+Y27+Y30+Y33+Y36+Y39+Y45+Y53+Y56</f>
        <v>1073470.7467833222</v>
      </c>
      <c r="Z78" s="283">
        <f t="shared" si="554"/>
        <v>1073470.7467833222</v>
      </c>
      <c r="AA78" s="282" t="s">
        <v>36</v>
      </c>
      <c r="AB78" s="282" t="s">
        <v>36</v>
      </c>
      <c r="AC78" s="283">
        <f>AC15+AC18+AC21+AC24+AC27+AC30+AC33+AC36+AC39+AC45+AC53+AC56</f>
        <v>1073470.7467833222</v>
      </c>
      <c r="AD78" s="283">
        <f t="shared" ref="AD78:AH78" si="555">AD15+AD18+AD21+AD24+AD27+AD30+AD33+AD36+AD39+AD45+AD53+AD56</f>
        <v>1073470.7467833222</v>
      </c>
      <c r="AE78" s="282" t="s">
        <v>36</v>
      </c>
      <c r="AF78" s="282" t="s">
        <v>36</v>
      </c>
      <c r="AG78" s="283">
        <f>AG15+AG18+AG21+AG24+AG27+AG30+AG33+AG36+AG39+AG45+AG53+AG56</f>
        <v>0</v>
      </c>
      <c r="AH78" s="283">
        <f t="shared" si="555"/>
        <v>0</v>
      </c>
      <c r="AI78" s="282" t="s">
        <v>36</v>
      </c>
      <c r="AJ78" s="282" t="s">
        <v>36</v>
      </c>
      <c r="AK78" s="284">
        <f t="shared" ref="AK78:AL82" si="556">IFERROR(Y78/C78,0)</f>
        <v>491.51590969932334</v>
      </c>
      <c r="AL78" s="284">
        <f t="shared" si="556"/>
        <v>491.51590969932334</v>
      </c>
      <c r="AM78" s="280">
        <f>AM66</f>
        <v>2183.9999999999995</v>
      </c>
      <c r="AN78" s="280">
        <f>AN66</f>
        <v>2183.9999999999995</v>
      </c>
      <c r="AO78" s="281">
        <f>IFERROR(AM78/$AM$78*100,0)</f>
        <v>100</v>
      </c>
      <c r="AP78" s="290">
        <f>IFERROR(AN78/$AN$66*100,0)</f>
        <v>100</v>
      </c>
      <c r="AQ78" s="282"/>
      <c r="AR78" s="283"/>
      <c r="AS78" s="283">
        <f>AS15+AS18+AS21+AS24+AS27+AS30+AS33+AS36+AS39+AS45+AS53+AS56</f>
        <v>1176486.8551208766</v>
      </c>
      <c r="AT78" s="283">
        <f>AT15+AT18+AT21+AT24+AT27+AT30+AT33+AT36+AT39+AT45+AT53+AT56</f>
        <v>1176486.8551208766</v>
      </c>
      <c r="AU78" s="282" t="s">
        <v>36</v>
      </c>
      <c r="AV78" s="282" t="s">
        <v>36</v>
      </c>
      <c r="AW78" s="283">
        <f>AW15+AW18+AW21+AW24+AW27+AW30+AW33+AW36+AW39+AW45+AW53+AW56</f>
        <v>1176486.8551208766</v>
      </c>
      <c r="AX78" s="283">
        <f>AX15+AX18+AX21+AX24+AX27+AX30+AX33+AX36+AX39+AX45+AX53+AX56</f>
        <v>1176486.8551208766</v>
      </c>
      <c r="AY78" s="282" t="s">
        <v>36</v>
      </c>
      <c r="AZ78" s="282" t="s">
        <v>36</v>
      </c>
      <c r="BA78" s="283">
        <f>BA15+BA18+BA21+BA24+BA27+BA30+BA33+BA36+BA39+BA45+BA53+BA56</f>
        <v>0</v>
      </c>
      <c r="BB78" s="283">
        <f>BB15+BB18+BB21+BB24+BB27+BB30+BB33+BB36+BB39+BB45+BB53+BB56</f>
        <v>0</v>
      </c>
      <c r="BC78" s="282" t="s">
        <v>36</v>
      </c>
      <c r="BD78" s="282" t="s">
        <v>36</v>
      </c>
      <c r="BE78" s="283">
        <f t="shared" si="540"/>
        <v>538.67999999999995</v>
      </c>
      <c r="BF78" s="283">
        <f t="shared" si="540"/>
        <v>538.67999999999995</v>
      </c>
      <c r="BG78" s="282" t="s">
        <v>36</v>
      </c>
      <c r="BH78" s="282" t="s">
        <v>36</v>
      </c>
      <c r="BI78" s="283">
        <f t="shared" ref="BI78:BJ78" si="557">BI15+BI18+BI21+BI24+BI27+BI30+BI33+BI36+BI39+BI45+BI53+BI56</f>
        <v>901614.42533441784</v>
      </c>
      <c r="BJ78" s="283">
        <f t="shared" si="557"/>
        <v>901614.42533441784</v>
      </c>
      <c r="BK78" s="282" t="s">
        <v>36</v>
      </c>
      <c r="BL78" s="282" t="s">
        <v>36</v>
      </c>
      <c r="BM78" s="283">
        <f>BM15+BM18+BM21+BM24+BM27+BM30+BM33+BM36+BM39+BM45+BM53+BM56</f>
        <v>901614.42533441784</v>
      </c>
      <c r="BN78" s="283">
        <f t="shared" ref="BN78" si="558">BN15+BN18+BN21+BN24+BN27+BN30+BN33+BN36+BN39+BN45+BN53+BN56</f>
        <v>901614.42533441784</v>
      </c>
      <c r="BO78" s="282" t="s">
        <v>36</v>
      </c>
      <c r="BP78" s="282" t="s">
        <v>36</v>
      </c>
      <c r="BQ78" s="283">
        <f t="shared" ref="BQ78:BR78" si="559">BQ15+BQ18+BQ21+BQ24+BQ27+BQ30+BQ33+BQ36+BQ39+BQ45+BQ53+BQ56</f>
        <v>0</v>
      </c>
      <c r="BR78" s="283">
        <f t="shared" si="559"/>
        <v>0</v>
      </c>
      <c r="BS78" s="282" t="s">
        <v>36</v>
      </c>
      <c r="BT78" s="282" t="s">
        <v>36</v>
      </c>
      <c r="BU78" s="284">
        <f t="shared" ref="BU78:BV82" si="560">IFERROR(BI78/AM78,0)</f>
        <v>412.82711782711448</v>
      </c>
      <c r="BV78" s="283">
        <f t="shared" si="560"/>
        <v>412.82711782711448</v>
      </c>
      <c r="BW78" s="280">
        <f>BW66</f>
        <v>2208</v>
      </c>
      <c r="BX78" s="280">
        <f>BX66</f>
        <v>2208.0011111111107</v>
      </c>
      <c r="BY78" s="280">
        <f>IFERROR(BW78/$BW$78*100,0)</f>
        <v>100</v>
      </c>
      <c r="BZ78" s="280">
        <f>IFERROR(BX78/$BX$78*100,0)</f>
        <v>100</v>
      </c>
      <c r="CA78" s="282"/>
      <c r="CB78" s="283"/>
      <c r="CC78" s="283">
        <f>CC15+CC18+CC21+CC24+CC27+CC30+CC33+CC36+CC39+CC45+CC53+CC56</f>
        <v>831014.11757093575</v>
      </c>
      <c r="CD78" s="283">
        <f>CD15+CD18+CD21+CD24+CD27+CD30+CD33+CD36+CD39+CD45+CD53+CD56</f>
        <v>785885.45178069617</v>
      </c>
      <c r="CE78" s="282" t="s">
        <v>36</v>
      </c>
      <c r="CF78" s="282" t="s">
        <v>36</v>
      </c>
      <c r="CG78" s="283">
        <f>CG15+CG18+CG21+CG24+CG27+CG30+CG33+CG36+CG39+CG45+CG53+CG56</f>
        <v>831014.11757093575</v>
      </c>
      <c r="CH78" s="283">
        <f>CH15+CH18+CH21+CH24+CH27+CH30+CH33+CH36+CH39+CH45+CH53+CH56</f>
        <v>785885.45178069617</v>
      </c>
      <c r="CI78" s="282" t="s">
        <v>36</v>
      </c>
      <c r="CJ78" s="282" t="s">
        <v>36</v>
      </c>
      <c r="CK78" s="283">
        <f>CK15+CK18+CK21+CK24+CK27+CK30+CK33+CK36+CK39+CK45+CK53+CK56</f>
        <v>0</v>
      </c>
      <c r="CL78" s="283">
        <f>CL15+CL18+CL21+CL24+CL27+CL30+CL33+CL36+CL39+CL45+CL53+CL56</f>
        <v>0</v>
      </c>
      <c r="CM78" s="282" t="s">
        <v>36</v>
      </c>
      <c r="CN78" s="282" t="s">
        <v>36</v>
      </c>
      <c r="CO78" s="283">
        <f t="shared" si="544"/>
        <v>376.37</v>
      </c>
      <c r="CP78" s="283">
        <f t="shared" si="544"/>
        <v>355.93</v>
      </c>
      <c r="CQ78" s="282" t="s">
        <v>36</v>
      </c>
      <c r="CR78" s="282" t="s">
        <v>36</v>
      </c>
      <c r="CS78" s="283">
        <f t="shared" ref="CS78:CT78" si="561">CS15+CS18+CS21+CS24+CS27+CS30+CS33+CS36+CS39+CS45+CS53+CS56</f>
        <v>834316.28</v>
      </c>
      <c r="CT78" s="283">
        <f t="shared" si="561"/>
        <v>562347.37036602083</v>
      </c>
      <c r="CU78" s="282" t="s">
        <v>36</v>
      </c>
      <c r="CV78" s="282" t="s">
        <v>36</v>
      </c>
      <c r="CW78" s="283">
        <f>CW15+CW18+CW21+CW24+CW27+CW30+CW33+CW36+CW39+CW45+CW53+CW56</f>
        <v>834316.28</v>
      </c>
      <c r="CX78" s="283">
        <f t="shared" ref="CX78:DB78" si="562">CX15+CX18+CX21+CX24+CX27+CX30+CX33+CX36+CX39+CX45+CX53+CX56</f>
        <v>538207.87036602083</v>
      </c>
      <c r="CY78" s="282" t="s">
        <v>36</v>
      </c>
      <c r="CZ78" s="282" t="s">
        <v>36</v>
      </c>
      <c r="DA78" s="283">
        <f t="shared" si="562"/>
        <v>0</v>
      </c>
      <c r="DB78" s="283">
        <f t="shared" si="562"/>
        <v>24139.5</v>
      </c>
      <c r="DC78" s="282" t="s">
        <v>36</v>
      </c>
      <c r="DD78" s="282" t="s">
        <v>36</v>
      </c>
      <c r="DE78" s="284">
        <f t="shared" ref="DE78:DF82" si="563">IFERROR(CS78/BW78,0)</f>
        <v>377.86063405797103</v>
      </c>
      <c r="DF78" s="284">
        <f t="shared" si="563"/>
        <v>254.68618087924614</v>
      </c>
      <c r="DG78" s="280">
        <v>2208.0000000000005</v>
      </c>
      <c r="DH78" s="280">
        <v>2207.9999999999995</v>
      </c>
      <c r="DI78" s="280">
        <v>100</v>
      </c>
      <c r="DJ78" s="280">
        <v>99.999999999999957</v>
      </c>
      <c r="DK78" s="282"/>
      <c r="DL78" s="283"/>
      <c r="DM78" s="283">
        <v>400138.059866847</v>
      </c>
      <c r="DN78" s="283">
        <v>1040402.3900000001</v>
      </c>
      <c r="DO78" s="282" t="s">
        <v>36</v>
      </c>
      <c r="DP78" s="282" t="s">
        <v>36</v>
      </c>
      <c r="DQ78" s="283">
        <v>400138.059866847</v>
      </c>
      <c r="DR78" s="283">
        <v>1034979.8900000001</v>
      </c>
      <c r="DS78" s="282" t="s">
        <v>36</v>
      </c>
      <c r="DT78" s="282" t="s">
        <v>36</v>
      </c>
      <c r="DU78" s="283">
        <v>0</v>
      </c>
      <c r="DV78" s="283">
        <v>5422.5</v>
      </c>
      <c r="DW78" s="282" t="s">
        <v>36</v>
      </c>
      <c r="DX78" s="282" t="s">
        <v>36</v>
      </c>
      <c r="DY78" s="283">
        <v>181.22</v>
      </c>
      <c r="DZ78" s="283">
        <v>471.2</v>
      </c>
      <c r="EA78" s="282" t="s">
        <v>36</v>
      </c>
      <c r="EB78" s="282" t="s">
        <v>36</v>
      </c>
      <c r="EC78" s="283">
        <v>401728.07</v>
      </c>
      <c r="ED78" s="283">
        <v>741317.29546666658</v>
      </c>
      <c r="EE78" s="282" t="s">
        <v>36</v>
      </c>
      <c r="EF78" s="282" t="s">
        <v>36</v>
      </c>
      <c r="EG78" s="283">
        <v>401728.07</v>
      </c>
      <c r="EH78" s="283">
        <v>741317.29546666658</v>
      </c>
      <c r="EI78" s="282" t="s">
        <v>36</v>
      </c>
      <c r="EJ78" s="282" t="s">
        <v>36</v>
      </c>
      <c r="EK78" s="283">
        <v>0</v>
      </c>
      <c r="EL78" s="283">
        <v>0</v>
      </c>
      <c r="EM78" s="282" t="s">
        <v>36</v>
      </c>
      <c r="EN78" s="282" t="s">
        <v>36</v>
      </c>
      <c r="EO78" s="284">
        <v>181.94206068840577</v>
      </c>
      <c r="EP78" s="284">
        <v>335.7415287439614</v>
      </c>
      <c r="EQ78" s="280">
        <v>8784</v>
      </c>
      <c r="ER78" s="280">
        <v>8784.0011111111089</v>
      </c>
      <c r="ES78" s="281">
        <v>100</v>
      </c>
      <c r="ET78" s="281">
        <v>100</v>
      </c>
      <c r="EU78" s="282" t="s">
        <v>36</v>
      </c>
      <c r="EV78" s="282" t="s">
        <v>36</v>
      </c>
      <c r="EW78" s="283">
        <v>2927872.9115931308</v>
      </c>
      <c r="EX78" s="283">
        <v>3523008.5759360441</v>
      </c>
      <c r="EY78" s="282" t="s">
        <v>36</v>
      </c>
      <c r="EZ78" s="282" t="s">
        <v>36</v>
      </c>
      <c r="FA78" s="283">
        <v>2927872.9115931308</v>
      </c>
      <c r="FB78" s="283">
        <v>3517586.0759360441</v>
      </c>
      <c r="FC78" s="282" t="s">
        <v>36</v>
      </c>
      <c r="FD78" s="282" t="s">
        <v>36</v>
      </c>
      <c r="FE78" s="283">
        <v>0</v>
      </c>
      <c r="FF78" s="283">
        <v>5422.5</v>
      </c>
      <c r="FG78" s="282" t="s">
        <v>36</v>
      </c>
      <c r="FH78" s="282" t="s">
        <v>36</v>
      </c>
      <c r="FI78" s="285">
        <v>333.32</v>
      </c>
      <c r="FJ78" s="285">
        <v>401.07</v>
      </c>
      <c r="FK78" s="282" t="s">
        <v>36</v>
      </c>
      <c r="FL78" s="282" t="s">
        <v>36</v>
      </c>
      <c r="FM78" s="283">
        <v>3211129.5221177405</v>
      </c>
      <c r="FN78" s="283">
        <v>3278749.8379504276</v>
      </c>
      <c r="FO78" s="282" t="s">
        <v>36</v>
      </c>
      <c r="FP78" s="282" t="s">
        <v>36</v>
      </c>
      <c r="FQ78" s="283">
        <v>3211129.5221177405</v>
      </c>
      <c r="FR78" s="283">
        <v>3254610.3379504276</v>
      </c>
      <c r="FS78" s="282" t="s">
        <v>36</v>
      </c>
      <c r="FT78" s="282" t="s">
        <v>36</v>
      </c>
      <c r="FU78" s="283">
        <v>0</v>
      </c>
      <c r="FV78" s="283">
        <v>24139.5</v>
      </c>
      <c r="FW78" s="282" t="s">
        <v>36</v>
      </c>
      <c r="FX78" s="282" t="s">
        <v>36</v>
      </c>
      <c r="FY78" s="284">
        <v>365.56574705347685</v>
      </c>
      <c r="FZ78" s="284">
        <v>373.26382322550626</v>
      </c>
      <c r="GA78" s="286">
        <v>1.111111108912155E-3</v>
      </c>
      <c r="GB78" s="282">
        <v>0</v>
      </c>
      <c r="GC78" s="282" t="s">
        <v>36</v>
      </c>
      <c r="GD78" s="287" t="s">
        <v>36</v>
      </c>
      <c r="GE78" s="288">
        <v>595135.66434291331</v>
      </c>
      <c r="GF78" s="280">
        <v>20.326553860532304</v>
      </c>
      <c r="GG78" s="282" t="s">
        <v>36</v>
      </c>
      <c r="GH78" s="289" t="s">
        <v>36</v>
      </c>
      <c r="GI78" s="288">
        <v>589713.16434291331</v>
      </c>
      <c r="GJ78" s="280">
        <v>20.141351149768163</v>
      </c>
      <c r="GK78" s="282" t="s">
        <v>36</v>
      </c>
      <c r="GL78" s="287" t="s">
        <v>36</v>
      </c>
      <c r="GM78" s="288">
        <v>5422.5</v>
      </c>
      <c r="GN78" s="288" t="s">
        <v>88</v>
      </c>
      <c r="GO78" s="282" t="s">
        <v>36</v>
      </c>
      <c r="GP78" s="289" t="s">
        <v>36</v>
      </c>
      <c r="GQ78" s="288">
        <v>67.75</v>
      </c>
      <c r="GR78" s="44"/>
      <c r="GS78" s="44"/>
      <c r="GT78" s="44"/>
      <c r="GU78" s="44"/>
      <c r="GV78" s="44"/>
      <c r="GW78" s="44"/>
    </row>
    <row r="79" spans="1:205">
      <c r="B79" s="132" t="s">
        <v>75</v>
      </c>
      <c r="C79" s="133" t="s">
        <v>36</v>
      </c>
      <c r="D79" s="133" t="s">
        <v>36</v>
      </c>
      <c r="E79" s="133" t="s">
        <v>36</v>
      </c>
      <c r="F79" s="133" t="s">
        <v>36</v>
      </c>
      <c r="G79" s="136">
        <f t="shared" ref="G79:AJ79" si="564">G75</f>
        <v>1521424.4499999997</v>
      </c>
      <c r="H79" s="136">
        <f t="shared" si="564"/>
        <v>1521424.4499999997</v>
      </c>
      <c r="I79" s="136">
        <f t="shared" si="564"/>
        <v>894730.43999999983</v>
      </c>
      <c r="J79" s="136">
        <f t="shared" si="564"/>
        <v>894730.43999999983</v>
      </c>
      <c r="K79" s="136">
        <f t="shared" si="564"/>
        <v>626694.01</v>
      </c>
      <c r="L79" s="136">
        <f t="shared" si="564"/>
        <v>626694.01</v>
      </c>
      <c r="M79" s="136">
        <f t="shared" si="564"/>
        <v>890157.68999999983</v>
      </c>
      <c r="N79" s="136">
        <f t="shared" si="564"/>
        <v>890157.68999999983</v>
      </c>
      <c r="O79" s="136">
        <f t="shared" si="564"/>
        <v>623491.12910301448</v>
      </c>
      <c r="P79" s="136">
        <f t="shared" si="564"/>
        <v>623491.12910301448</v>
      </c>
      <c r="Q79" s="136">
        <f t="shared" si="564"/>
        <v>4572.75</v>
      </c>
      <c r="R79" s="136">
        <f t="shared" si="564"/>
        <v>4572.75</v>
      </c>
      <c r="S79" s="136">
        <f t="shared" si="564"/>
        <v>3202.8808969855777</v>
      </c>
      <c r="T79" s="136">
        <f t="shared" si="564"/>
        <v>3202.8808969855777</v>
      </c>
      <c r="U79" s="136" t="str">
        <f t="shared" si="564"/>
        <v>x</v>
      </c>
      <c r="V79" s="136" t="str">
        <f t="shared" si="564"/>
        <v>x</v>
      </c>
      <c r="W79" s="136">
        <f t="shared" si="564"/>
        <v>1359616.65</v>
      </c>
      <c r="X79" s="136">
        <f t="shared" si="564"/>
        <v>1359616.65</v>
      </c>
      <c r="Y79" s="136">
        <f t="shared" si="564"/>
        <v>894692.15</v>
      </c>
      <c r="Z79" s="136">
        <f t="shared" si="564"/>
        <v>894692.15</v>
      </c>
      <c r="AA79" s="136">
        <f t="shared" si="564"/>
        <v>464924.5</v>
      </c>
      <c r="AB79" s="136">
        <f t="shared" si="564"/>
        <v>464924.5</v>
      </c>
      <c r="AC79" s="136">
        <f t="shared" si="564"/>
        <v>890119.4</v>
      </c>
      <c r="AD79" s="136">
        <f t="shared" si="564"/>
        <v>890119.4</v>
      </c>
      <c r="AE79" s="136">
        <f t="shared" si="564"/>
        <v>464924.5</v>
      </c>
      <c r="AF79" s="136">
        <f t="shared" si="564"/>
        <v>464924.5</v>
      </c>
      <c r="AG79" s="136">
        <f t="shared" si="564"/>
        <v>4572.75</v>
      </c>
      <c r="AH79" s="136">
        <f t="shared" si="564"/>
        <v>4572.75</v>
      </c>
      <c r="AI79" s="136">
        <f t="shared" si="564"/>
        <v>0</v>
      </c>
      <c r="AJ79" s="136">
        <f t="shared" si="564"/>
        <v>0</v>
      </c>
      <c r="AK79" s="136">
        <f t="shared" si="556"/>
        <v>0</v>
      </c>
      <c r="AL79" s="136">
        <f t="shared" si="556"/>
        <v>0</v>
      </c>
      <c r="AM79" s="136" t="s">
        <v>36</v>
      </c>
      <c r="AN79" s="136" t="str">
        <f t="shared" ref="AN79:CY79" si="565">AN75</f>
        <v>x</v>
      </c>
      <c r="AO79" s="136" t="str">
        <f t="shared" si="565"/>
        <v>x</v>
      </c>
      <c r="AP79" s="136" t="str">
        <f t="shared" si="565"/>
        <v>x</v>
      </c>
      <c r="AQ79" s="136">
        <f t="shared" si="565"/>
        <v>1584851.21</v>
      </c>
      <c r="AR79" s="136">
        <f t="shared" si="565"/>
        <v>1584851.21</v>
      </c>
      <c r="AS79" s="136">
        <f t="shared" si="565"/>
        <v>983897.88</v>
      </c>
      <c r="AT79" s="136">
        <f t="shared" si="565"/>
        <v>983897.88</v>
      </c>
      <c r="AU79" s="136">
        <f t="shared" si="565"/>
        <v>600953.32999999996</v>
      </c>
      <c r="AV79" s="136">
        <f t="shared" si="565"/>
        <v>600953.32999999996</v>
      </c>
      <c r="AW79" s="136">
        <f t="shared" si="565"/>
        <v>974099</v>
      </c>
      <c r="AX79" s="136">
        <f t="shared" si="565"/>
        <v>974099</v>
      </c>
      <c r="AY79" s="136">
        <f t="shared" si="565"/>
        <v>594968.2885785565</v>
      </c>
      <c r="AZ79" s="136">
        <f t="shared" si="565"/>
        <v>594968.2885785565</v>
      </c>
      <c r="BA79" s="136">
        <f t="shared" si="565"/>
        <v>9798.880000000001</v>
      </c>
      <c r="BB79" s="136">
        <f t="shared" si="565"/>
        <v>9798.880000000001</v>
      </c>
      <c r="BC79" s="136">
        <f t="shared" si="565"/>
        <v>5985.0414214434531</v>
      </c>
      <c r="BD79" s="136">
        <f t="shared" si="565"/>
        <v>5985.0414214434531</v>
      </c>
      <c r="BE79" s="136" t="str">
        <f t="shared" si="565"/>
        <v>x</v>
      </c>
      <c r="BF79" s="136" t="str">
        <f t="shared" si="565"/>
        <v>x</v>
      </c>
      <c r="BG79" s="136">
        <f t="shared" si="565"/>
        <v>1377986.9399999997</v>
      </c>
      <c r="BH79" s="136">
        <f t="shared" si="565"/>
        <v>1377986.9399999997</v>
      </c>
      <c r="BI79" s="136">
        <f t="shared" si="565"/>
        <v>910885.84999999963</v>
      </c>
      <c r="BJ79" s="136">
        <f t="shared" si="565"/>
        <v>910885.84999999963</v>
      </c>
      <c r="BK79" s="136">
        <f t="shared" si="565"/>
        <v>467101.09</v>
      </c>
      <c r="BL79" s="136">
        <f t="shared" si="565"/>
        <v>467101.09</v>
      </c>
      <c r="BM79" s="136">
        <f t="shared" si="565"/>
        <v>897487.58999999962</v>
      </c>
      <c r="BN79" s="136">
        <f t="shared" si="565"/>
        <v>897487.58999999962</v>
      </c>
      <c r="BO79" s="136">
        <f t="shared" si="565"/>
        <v>467101.09</v>
      </c>
      <c r="BP79" s="136">
        <f t="shared" si="565"/>
        <v>467101.09</v>
      </c>
      <c r="BQ79" s="136">
        <f t="shared" si="565"/>
        <v>13398.26</v>
      </c>
      <c r="BR79" s="136">
        <f t="shared" si="565"/>
        <v>13398.26</v>
      </c>
      <c r="BS79" s="136">
        <f t="shared" si="565"/>
        <v>0</v>
      </c>
      <c r="BT79" s="136">
        <f t="shared" si="565"/>
        <v>0</v>
      </c>
      <c r="BU79" s="136">
        <f t="shared" si="560"/>
        <v>0</v>
      </c>
      <c r="BV79" s="136">
        <f t="shared" si="560"/>
        <v>0</v>
      </c>
      <c r="BW79" s="136" t="str">
        <f t="shared" si="565"/>
        <v>x</v>
      </c>
      <c r="BX79" s="136" t="str">
        <f t="shared" si="565"/>
        <v>x</v>
      </c>
      <c r="BY79" s="136" t="str">
        <f t="shared" si="565"/>
        <v>x</v>
      </c>
      <c r="BZ79" s="136" t="str">
        <f t="shared" si="565"/>
        <v>x</v>
      </c>
      <c r="CA79" s="136">
        <f t="shared" si="565"/>
        <v>1769537.4067579205</v>
      </c>
      <c r="CB79" s="136">
        <f t="shared" si="565"/>
        <v>1581218.8199999998</v>
      </c>
      <c r="CC79" s="136">
        <f t="shared" si="565"/>
        <v>1036570.1689804686</v>
      </c>
      <c r="CD79" s="136">
        <f t="shared" si="565"/>
        <v>944775.27999999991</v>
      </c>
      <c r="CE79" s="136">
        <f t="shared" si="565"/>
        <v>732967.23777745187</v>
      </c>
      <c r="CF79" s="136">
        <f t="shared" si="565"/>
        <v>636443.54</v>
      </c>
      <c r="CG79" s="136">
        <f t="shared" si="565"/>
        <v>1036570.1689804686</v>
      </c>
      <c r="CH79" s="136">
        <f t="shared" si="565"/>
        <v>926484.27999999991</v>
      </c>
      <c r="CI79" s="136">
        <f t="shared" si="565"/>
        <v>732967.23777745187</v>
      </c>
      <c r="CJ79" s="136">
        <f t="shared" si="565"/>
        <v>624121.8916286116</v>
      </c>
      <c r="CK79" s="136">
        <f t="shared" si="565"/>
        <v>0</v>
      </c>
      <c r="CL79" s="136">
        <f t="shared" si="565"/>
        <v>18291</v>
      </c>
      <c r="CM79" s="136">
        <f t="shared" si="565"/>
        <v>0</v>
      </c>
      <c r="CN79" s="136">
        <f t="shared" si="565"/>
        <v>12321.648371388381</v>
      </c>
      <c r="CO79" s="136" t="str">
        <f t="shared" si="565"/>
        <v>x</v>
      </c>
      <c r="CP79" s="136" t="str">
        <f t="shared" si="565"/>
        <v>x</v>
      </c>
      <c r="CQ79" s="136">
        <f t="shared" si="565"/>
        <v>2048012.26</v>
      </c>
      <c r="CR79" s="136">
        <f t="shared" si="565"/>
        <v>2077201.8399999999</v>
      </c>
      <c r="CS79" s="136">
        <f t="shared" si="565"/>
        <v>1040689.14</v>
      </c>
      <c r="CT79" s="136">
        <f t="shared" si="565"/>
        <v>1043739.0099999999</v>
      </c>
      <c r="CU79" s="136">
        <f t="shared" si="565"/>
        <v>1007323.12</v>
      </c>
      <c r="CV79" s="136">
        <f t="shared" si="565"/>
        <v>1033462.83</v>
      </c>
      <c r="CW79" s="136">
        <f t="shared" si="565"/>
        <v>1040689.14</v>
      </c>
      <c r="CX79" s="136">
        <f t="shared" si="565"/>
        <v>1025448.0099999999</v>
      </c>
      <c r="CY79" s="136">
        <f t="shared" si="565"/>
        <v>1007323.12</v>
      </c>
      <c r="CZ79" s="136">
        <f t="shared" ref="CZ79:DD79" si="566">CZ75</f>
        <v>1033462.83</v>
      </c>
      <c r="DA79" s="136">
        <f t="shared" si="566"/>
        <v>0</v>
      </c>
      <c r="DB79" s="136">
        <f t="shared" si="566"/>
        <v>18291</v>
      </c>
      <c r="DC79" s="136">
        <f t="shared" si="566"/>
        <v>0</v>
      </c>
      <c r="DD79" s="136">
        <f t="shared" si="566"/>
        <v>0</v>
      </c>
      <c r="DE79" s="136">
        <f t="shared" si="563"/>
        <v>0</v>
      </c>
      <c r="DF79" s="136">
        <f t="shared" si="563"/>
        <v>0</v>
      </c>
      <c r="DG79" s="136" t="s">
        <v>36</v>
      </c>
      <c r="DH79" s="136" t="s">
        <v>36</v>
      </c>
      <c r="DI79" s="136" t="s">
        <v>36</v>
      </c>
      <c r="DJ79" s="136" t="s">
        <v>36</v>
      </c>
      <c r="DK79" s="136">
        <v>1889320.0329598114</v>
      </c>
      <c r="DL79" s="136">
        <v>1730040.3900000001</v>
      </c>
      <c r="DM79" s="136">
        <v>1106737.1496890059</v>
      </c>
      <c r="DN79" s="136">
        <v>1089472.1300000001</v>
      </c>
      <c r="DO79" s="136">
        <v>782582.88327080535</v>
      </c>
      <c r="DP79" s="136">
        <v>640568.26</v>
      </c>
      <c r="DQ79" s="136">
        <v>1106737.1496890059</v>
      </c>
      <c r="DR79" s="136">
        <v>1050924.6600000001</v>
      </c>
      <c r="DS79" s="136">
        <v>782582.88327080535</v>
      </c>
      <c r="DT79" s="136">
        <v>617903.8107631919</v>
      </c>
      <c r="DU79" s="136">
        <v>0</v>
      </c>
      <c r="DV79" s="136">
        <v>38547.469999999994</v>
      </c>
      <c r="DW79" s="136">
        <v>0</v>
      </c>
      <c r="DX79" s="136">
        <v>22664.449236808097</v>
      </c>
      <c r="DY79" s="136" t="s">
        <v>36</v>
      </c>
      <c r="DZ79" s="136" t="s">
        <v>36</v>
      </c>
      <c r="EA79" s="136">
        <v>2621297.0300000003</v>
      </c>
      <c r="EB79" s="136">
        <v>2396394.91</v>
      </c>
      <c r="EC79" s="136">
        <v>1111134.94</v>
      </c>
      <c r="ED79" s="136">
        <v>1068255.1099999999</v>
      </c>
      <c r="EE79" s="136">
        <v>1510162.09</v>
      </c>
      <c r="EF79" s="136">
        <v>1328139.8</v>
      </c>
      <c r="EG79" s="136">
        <v>1111134.94</v>
      </c>
      <c r="EH79" s="136">
        <v>1029707.6399999998</v>
      </c>
      <c r="EI79" s="136">
        <v>1510162.09</v>
      </c>
      <c r="EJ79" s="136">
        <v>1328139.8</v>
      </c>
      <c r="EK79" s="136">
        <v>0</v>
      </c>
      <c r="EL79" s="136">
        <v>38547.469999999994</v>
      </c>
      <c r="EM79" s="136">
        <v>0</v>
      </c>
      <c r="EN79" s="136">
        <v>0</v>
      </c>
      <c r="EO79" s="136">
        <v>0</v>
      </c>
      <c r="EP79" s="136">
        <v>0</v>
      </c>
      <c r="EQ79" s="136" t="s">
        <v>36</v>
      </c>
      <c r="ER79" s="136" t="s">
        <v>36</v>
      </c>
      <c r="ES79" s="136" t="s">
        <v>36</v>
      </c>
      <c r="ET79" s="136" t="s">
        <v>36</v>
      </c>
      <c r="EU79" s="136">
        <v>6765133.0997177316</v>
      </c>
      <c r="EV79" s="136">
        <v>6417534.8699999992</v>
      </c>
      <c r="EW79" s="136">
        <v>4021935.6386694745</v>
      </c>
      <c r="EX79" s="136">
        <v>3912875.73</v>
      </c>
      <c r="EY79" s="136">
        <v>2743197.4610482571</v>
      </c>
      <c r="EZ79" s="136">
        <v>2504659.1399999997</v>
      </c>
      <c r="FA79" s="136">
        <v>4007564.0086694746</v>
      </c>
      <c r="FB79" s="136">
        <v>3841665.6300000004</v>
      </c>
      <c r="FC79" s="136">
        <v>2734009.5387298283</v>
      </c>
      <c r="FD79" s="136">
        <v>2460485.1200733744</v>
      </c>
      <c r="FE79" s="136">
        <v>14371.630000000001</v>
      </c>
      <c r="FF79" s="136">
        <v>71210.100000000006</v>
      </c>
      <c r="FG79" s="136">
        <v>9187.9223184290313</v>
      </c>
      <c r="FH79" s="136">
        <v>44174.019926625508</v>
      </c>
      <c r="FI79" s="136" t="s">
        <v>36</v>
      </c>
      <c r="FJ79" s="136" t="s">
        <v>36</v>
      </c>
      <c r="FK79" s="136">
        <v>7406912.8799999999</v>
      </c>
      <c r="FL79" s="136">
        <v>7211200.339999998</v>
      </c>
      <c r="FM79" s="136">
        <v>3957402.08</v>
      </c>
      <c r="FN79" s="136">
        <v>3917572.1199999987</v>
      </c>
      <c r="FO79" s="136">
        <v>3449510.8</v>
      </c>
      <c r="FP79" s="136">
        <v>3293628.2199999997</v>
      </c>
      <c r="FQ79" s="136">
        <v>3939431.0699999994</v>
      </c>
      <c r="FR79" s="136">
        <v>3842762.6399999992</v>
      </c>
      <c r="FS79" s="136">
        <v>3449510.8</v>
      </c>
      <c r="FT79" s="136">
        <v>3293628.2199999997</v>
      </c>
      <c r="FU79" s="136">
        <v>17971.010000000002</v>
      </c>
      <c r="FV79" s="136">
        <v>74809.48</v>
      </c>
      <c r="FW79" s="136">
        <v>0</v>
      </c>
      <c r="FX79" s="136">
        <v>0</v>
      </c>
      <c r="FY79" s="136">
        <v>0</v>
      </c>
      <c r="FZ79" s="136">
        <v>0</v>
      </c>
      <c r="GA79" s="140" t="s">
        <v>36</v>
      </c>
      <c r="GB79" s="133" t="s">
        <v>36</v>
      </c>
      <c r="GC79" s="134">
        <v>-347598.22971773241</v>
      </c>
      <c r="GD79" s="141">
        <v>-5.138084123315112</v>
      </c>
      <c r="GE79" s="134">
        <v>-109059.90866947453</v>
      </c>
      <c r="GF79" s="145">
        <v>-2.7116273970399396</v>
      </c>
      <c r="GG79" s="134">
        <v>-238538.32104825741</v>
      </c>
      <c r="GH79" s="144">
        <v>-8.6956307169045353</v>
      </c>
      <c r="GI79" s="134">
        <v>-165898.37866947427</v>
      </c>
      <c r="GJ79" s="145">
        <v>-4.1396314147594371</v>
      </c>
      <c r="GK79" s="134">
        <v>-273524.41865645396</v>
      </c>
      <c r="GL79" s="145">
        <v>-10.004515887078014</v>
      </c>
      <c r="GM79" s="134">
        <v>56838.47</v>
      </c>
      <c r="GN79" s="134">
        <v>395.49076896635944</v>
      </c>
      <c r="GO79" s="134">
        <v>34986.097608196476</v>
      </c>
      <c r="GP79" s="144">
        <v>380.78355906450963</v>
      </c>
      <c r="GQ79" s="134"/>
      <c r="GR79" s="44"/>
      <c r="GS79" s="44"/>
      <c r="GT79" s="44"/>
      <c r="GU79" s="44"/>
      <c r="GV79" s="44"/>
      <c r="GW79" s="44"/>
    </row>
    <row r="80" spans="1:205">
      <c r="A80" s="291"/>
      <c r="B80" s="132" t="s">
        <v>60</v>
      </c>
      <c r="C80" s="133" t="s">
        <v>36</v>
      </c>
      <c r="D80" s="133" t="s">
        <v>36</v>
      </c>
      <c r="E80" s="133" t="s">
        <v>36</v>
      </c>
      <c r="F80" s="133" t="s">
        <v>36</v>
      </c>
      <c r="G80" s="292" t="s">
        <v>36</v>
      </c>
      <c r="H80" s="292" t="s">
        <v>36</v>
      </c>
      <c r="I80" s="293">
        <f>I63</f>
        <v>3318.32</v>
      </c>
      <c r="J80" s="293">
        <f>J63</f>
        <v>3318.32</v>
      </c>
      <c r="K80" s="292" t="s">
        <v>36</v>
      </c>
      <c r="L80" s="292" t="s">
        <v>36</v>
      </c>
      <c r="M80" s="293">
        <f>M63</f>
        <v>3318.32</v>
      </c>
      <c r="N80" s="293">
        <f>N63</f>
        <v>3318.32</v>
      </c>
      <c r="O80" s="292" t="s">
        <v>36</v>
      </c>
      <c r="P80" s="292" t="s">
        <v>36</v>
      </c>
      <c r="Q80" s="293">
        <f>Q63</f>
        <v>0</v>
      </c>
      <c r="R80" s="293">
        <f>R63</f>
        <v>0</v>
      </c>
      <c r="S80" s="292" t="s">
        <v>36</v>
      </c>
      <c r="T80" s="292" t="s">
        <v>36</v>
      </c>
      <c r="U80" s="292" t="s">
        <v>36</v>
      </c>
      <c r="V80" s="292" t="s">
        <v>36</v>
      </c>
      <c r="W80" s="133" t="s">
        <v>36</v>
      </c>
      <c r="X80" s="140" t="s">
        <v>36</v>
      </c>
      <c r="Y80" s="293">
        <f t="shared" ref="Y80:Z80" si="567">Y63</f>
        <v>4173.33</v>
      </c>
      <c r="Z80" s="293">
        <f t="shared" si="567"/>
        <v>4173.33</v>
      </c>
      <c r="AA80" s="133" t="s">
        <v>36</v>
      </c>
      <c r="AB80" s="140" t="s">
        <v>36</v>
      </c>
      <c r="AC80" s="293">
        <f>AC63</f>
        <v>4173.33</v>
      </c>
      <c r="AD80" s="293">
        <f t="shared" ref="AD80:AH80" si="568">AD63</f>
        <v>4173.33</v>
      </c>
      <c r="AE80" s="133" t="s">
        <v>36</v>
      </c>
      <c r="AF80" s="140" t="s">
        <v>36</v>
      </c>
      <c r="AG80" s="293">
        <f t="shared" si="568"/>
        <v>0</v>
      </c>
      <c r="AH80" s="293">
        <f t="shared" si="568"/>
        <v>0</v>
      </c>
      <c r="AI80" s="133" t="s">
        <v>36</v>
      </c>
      <c r="AJ80" s="140" t="s">
        <v>36</v>
      </c>
      <c r="AK80" s="293">
        <f t="shared" si="556"/>
        <v>0</v>
      </c>
      <c r="AL80" s="293">
        <f t="shared" si="556"/>
        <v>0</v>
      </c>
      <c r="AM80" s="292" t="s">
        <v>36</v>
      </c>
      <c r="AN80" s="292" t="s">
        <v>36</v>
      </c>
      <c r="AO80" s="292" t="s">
        <v>36</v>
      </c>
      <c r="AP80" s="292" t="s">
        <v>36</v>
      </c>
      <c r="AQ80" s="292" t="s">
        <v>36</v>
      </c>
      <c r="AR80" s="292" t="s">
        <v>36</v>
      </c>
      <c r="AS80" s="293">
        <f>AS63</f>
        <v>3474.48</v>
      </c>
      <c r="AT80" s="293">
        <f>AT63</f>
        <v>3474.48</v>
      </c>
      <c r="AU80" s="292" t="s">
        <v>36</v>
      </c>
      <c r="AV80" s="292" t="s">
        <v>36</v>
      </c>
      <c r="AW80" s="293">
        <f>AW63</f>
        <v>3474.48</v>
      </c>
      <c r="AX80" s="293">
        <f>AX63</f>
        <v>3474.48</v>
      </c>
      <c r="AY80" s="292" t="s">
        <v>36</v>
      </c>
      <c r="AZ80" s="292" t="s">
        <v>36</v>
      </c>
      <c r="BA80" s="293">
        <f>BA63</f>
        <v>0</v>
      </c>
      <c r="BB80" s="293">
        <f>BB63</f>
        <v>0</v>
      </c>
      <c r="BC80" s="292" t="s">
        <v>36</v>
      </c>
      <c r="BD80" s="292" t="s">
        <v>36</v>
      </c>
      <c r="BE80" s="292" t="s">
        <v>36</v>
      </c>
      <c r="BF80" s="292" t="s">
        <v>36</v>
      </c>
      <c r="BG80" s="133" t="s">
        <v>36</v>
      </c>
      <c r="BH80" s="140" t="s">
        <v>36</v>
      </c>
      <c r="BI80" s="293">
        <f t="shared" ref="BI80:BJ80" si="569">BI63</f>
        <v>4088.7299999999996</v>
      </c>
      <c r="BJ80" s="293">
        <f t="shared" si="569"/>
        <v>4088.7299999999996</v>
      </c>
      <c r="BK80" s="133" t="s">
        <v>36</v>
      </c>
      <c r="BL80" s="140" t="s">
        <v>36</v>
      </c>
      <c r="BM80" s="293">
        <f>BM63</f>
        <v>4088.7299999999996</v>
      </c>
      <c r="BN80" s="293">
        <f t="shared" ref="BN80" si="570">BN63</f>
        <v>4088.7299999999996</v>
      </c>
      <c r="BO80" s="133" t="s">
        <v>36</v>
      </c>
      <c r="BP80" s="140" t="s">
        <v>36</v>
      </c>
      <c r="BQ80" s="293">
        <f t="shared" ref="BQ80:BR80" si="571">BQ63</f>
        <v>0</v>
      </c>
      <c r="BR80" s="293">
        <f t="shared" si="571"/>
        <v>0</v>
      </c>
      <c r="BS80" s="133" t="s">
        <v>36</v>
      </c>
      <c r="BT80" s="140" t="s">
        <v>36</v>
      </c>
      <c r="BU80" s="293">
        <f t="shared" si="560"/>
        <v>0</v>
      </c>
      <c r="BV80" s="293">
        <f t="shared" si="560"/>
        <v>0</v>
      </c>
      <c r="BW80" s="292" t="s">
        <v>36</v>
      </c>
      <c r="BX80" s="292" t="s">
        <v>36</v>
      </c>
      <c r="BY80" s="292" t="s">
        <v>36</v>
      </c>
      <c r="BZ80" s="292" t="s">
        <v>36</v>
      </c>
      <c r="CA80" s="292" t="s">
        <v>36</v>
      </c>
      <c r="CB80" s="292" t="s">
        <v>36</v>
      </c>
      <c r="CC80" s="293">
        <f>CC63</f>
        <v>4213.2579713355926</v>
      </c>
      <c r="CD80" s="293">
        <f>CD63</f>
        <v>3677.55</v>
      </c>
      <c r="CE80" s="292" t="s">
        <v>36</v>
      </c>
      <c r="CF80" s="292" t="s">
        <v>36</v>
      </c>
      <c r="CG80" s="293">
        <f>CG63</f>
        <v>4213.2579713355926</v>
      </c>
      <c r="CH80" s="293">
        <f>CH63</f>
        <v>3677.55</v>
      </c>
      <c r="CI80" s="292" t="s">
        <v>36</v>
      </c>
      <c r="CJ80" s="292" t="s">
        <v>36</v>
      </c>
      <c r="CK80" s="293">
        <f>CK63</f>
        <v>0</v>
      </c>
      <c r="CL80" s="293">
        <f>CL63</f>
        <v>0</v>
      </c>
      <c r="CM80" s="292" t="s">
        <v>36</v>
      </c>
      <c r="CN80" s="292" t="s">
        <v>36</v>
      </c>
      <c r="CO80" s="292" t="s">
        <v>36</v>
      </c>
      <c r="CP80" s="292" t="s">
        <v>36</v>
      </c>
      <c r="CQ80" s="133" t="s">
        <v>36</v>
      </c>
      <c r="CR80" s="140" t="s">
        <v>36</v>
      </c>
      <c r="CS80" s="293">
        <f t="shared" ref="CS80:CT80" si="572">CS63</f>
        <v>4230</v>
      </c>
      <c r="CT80" s="293">
        <f t="shared" si="572"/>
        <v>4291.8</v>
      </c>
      <c r="CU80" s="133" t="s">
        <v>36</v>
      </c>
      <c r="CV80" s="140" t="s">
        <v>36</v>
      </c>
      <c r="CW80" s="293">
        <f>CW63</f>
        <v>4230</v>
      </c>
      <c r="CX80" s="293">
        <f t="shared" ref="CX80:DB80" si="573">CX63</f>
        <v>4291.8</v>
      </c>
      <c r="CY80" s="133" t="s">
        <v>36</v>
      </c>
      <c r="CZ80" s="140" t="s">
        <v>36</v>
      </c>
      <c r="DA80" s="293">
        <f t="shared" si="573"/>
        <v>0</v>
      </c>
      <c r="DB80" s="293">
        <f t="shared" si="573"/>
        <v>0</v>
      </c>
      <c r="DC80" s="133" t="s">
        <v>36</v>
      </c>
      <c r="DD80" s="140" t="s">
        <v>36</v>
      </c>
      <c r="DE80" s="293">
        <f t="shared" si="563"/>
        <v>0</v>
      </c>
      <c r="DF80" s="293">
        <f t="shared" si="563"/>
        <v>0</v>
      </c>
      <c r="DG80" s="292" t="s">
        <v>36</v>
      </c>
      <c r="DH80" s="292" t="s">
        <v>36</v>
      </c>
      <c r="DI80" s="292" t="s">
        <v>36</v>
      </c>
      <c r="DJ80" s="292" t="s">
        <v>36</v>
      </c>
      <c r="DK80" s="292" t="s">
        <v>36</v>
      </c>
      <c r="DL80" s="292" t="s">
        <v>36</v>
      </c>
      <c r="DM80" s="293">
        <v>4410.414539384331</v>
      </c>
      <c r="DN80" s="293">
        <v>7289.4999999999991</v>
      </c>
      <c r="DO80" s="292" t="s">
        <v>36</v>
      </c>
      <c r="DP80" s="292" t="s">
        <v>36</v>
      </c>
      <c r="DQ80" s="293">
        <v>4410.414539384331</v>
      </c>
      <c r="DR80" s="293">
        <v>7289.4999999999991</v>
      </c>
      <c r="DS80" s="292" t="s">
        <v>36</v>
      </c>
      <c r="DT80" s="292" t="s">
        <v>36</v>
      </c>
      <c r="DU80" s="293">
        <v>0</v>
      </c>
      <c r="DV80" s="293">
        <v>0</v>
      </c>
      <c r="DW80" s="292" t="s">
        <v>36</v>
      </c>
      <c r="DX80" s="292" t="s">
        <v>36</v>
      </c>
      <c r="DY80" s="292" t="s">
        <v>36</v>
      </c>
      <c r="DZ80" s="292" t="s">
        <v>36</v>
      </c>
      <c r="EA80" s="133" t="s">
        <v>36</v>
      </c>
      <c r="EB80" s="140" t="s">
        <v>36</v>
      </c>
      <c r="EC80" s="293">
        <v>4427.9399999999996</v>
      </c>
      <c r="ED80" s="293">
        <v>4670.68</v>
      </c>
      <c r="EE80" s="133" t="s">
        <v>36</v>
      </c>
      <c r="EF80" s="140" t="s">
        <v>36</v>
      </c>
      <c r="EG80" s="293">
        <v>4427.9399999999996</v>
      </c>
      <c r="EH80" s="293">
        <v>4670.68</v>
      </c>
      <c r="EI80" s="133" t="s">
        <v>36</v>
      </c>
      <c r="EJ80" s="140" t="s">
        <v>36</v>
      </c>
      <c r="EK80" s="293">
        <v>0</v>
      </c>
      <c r="EL80" s="293">
        <v>0</v>
      </c>
      <c r="EM80" s="133" t="s">
        <v>36</v>
      </c>
      <c r="EN80" s="140" t="s">
        <v>36</v>
      </c>
      <c r="EO80" s="293">
        <v>0</v>
      </c>
      <c r="EP80" s="293">
        <v>0</v>
      </c>
      <c r="EQ80" s="292" t="s">
        <v>36</v>
      </c>
      <c r="ER80" s="292" t="s">
        <v>36</v>
      </c>
      <c r="ES80" s="292" t="s">
        <v>36</v>
      </c>
      <c r="ET80" s="292" t="s">
        <v>36</v>
      </c>
      <c r="EU80" s="293" t="s">
        <v>36</v>
      </c>
      <c r="EV80" s="293" t="s">
        <v>36</v>
      </c>
      <c r="EW80" s="293">
        <v>15416.472510719923</v>
      </c>
      <c r="EX80" s="293">
        <v>17759.849999999999</v>
      </c>
      <c r="EY80" s="293" t="s">
        <v>36</v>
      </c>
      <c r="EZ80" s="293" t="s">
        <v>36</v>
      </c>
      <c r="FA80" s="293">
        <v>15416.472510719923</v>
      </c>
      <c r="FB80" s="293">
        <v>17759.849999999999</v>
      </c>
      <c r="FC80" s="293" t="s">
        <v>36</v>
      </c>
      <c r="FD80" s="293" t="s">
        <v>36</v>
      </c>
      <c r="FE80" s="293">
        <v>0</v>
      </c>
      <c r="FF80" s="293">
        <v>0</v>
      </c>
      <c r="FG80" s="293" t="s">
        <v>36</v>
      </c>
      <c r="FH80" s="293" t="s">
        <v>36</v>
      </c>
      <c r="FI80" s="293" t="s">
        <v>36</v>
      </c>
      <c r="FJ80" s="293" t="s">
        <v>36</v>
      </c>
      <c r="FK80" s="133" t="s">
        <v>36</v>
      </c>
      <c r="FL80" s="140" t="s">
        <v>36</v>
      </c>
      <c r="FM80" s="293">
        <v>16920</v>
      </c>
      <c r="FN80" s="293">
        <v>17224.54</v>
      </c>
      <c r="FO80" s="133" t="s">
        <v>36</v>
      </c>
      <c r="FP80" s="140" t="s">
        <v>36</v>
      </c>
      <c r="FQ80" s="293">
        <v>16920</v>
      </c>
      <c r="FR80" s="293">
        <v>17224.54</v>
      </c>
      <c r="FS80" s="133" t="s">
        <v>36</v>
      </c>
      <c r="FT80" s="140" t="s">
        <v>36</v>
      </c>
      <c r="FU80" s="293">
        <v>0</v>
      </c>
      <c r="FV80" s="293">
        <v>0</v>
      </c>
      <c r="FW80" s="133" t="s">
        <v>36</v>
      </c>
      <c r="FX80" s="140" t="s">
        <v>36</v>
      </c>
      <c r="FY80" s="293">
        <v>0</v>
      </c>
      <c r="FZ80" s="293">
        <v>0</v>
      </c>
      <c r="GA80" s="294" t="s">
        <v>36</v>
      </c>
      <c r="GB80" s="295" t="s">
        <v>36</v>
      </c>
      <c r="GC80" s="293" t="s">
        <v>36</v>
      </c>
      <c r="GD80" s="141" t="s">
        <v>36</v>
      </c>
      <c r="GE80" s="295">
        <v>2343.3774892800757</v>
      </c>
      <c r="GF80" s="141">
        <v>15.200477850238414</v>
      </c>
      <c r="GG80" s="295" t="s">
        <v>36</v>
      </c>
      <c r="GH80" s="247" t="s">
        <v>36</v>
      </c>
      <c r="GI80" s="295">
        <v>2343.3774892800757</v>
      </c>
      <c r="GJ80" s="141">
        <v>15.200477850238414</v>
      </c>
      <c r="GK80" s="295" t="s">
        <v>36</v>
      </c>
      <c r="GL80" s="141" t="s">
        <v>36</v>
      </c>
      <c r="GM80" s="295">
        <v>0</v>
      </c>
      <c r="GN80" s="295" t="s">
        <v>88</v>
      </c>
      <c r="GO80" s="295" t="s">
        <v>36</v>
      </c>
      <c r="GP80" s="247" t="s">
        <v>36</v>
      </c>
      <c r="GQ80" s="295"/>
      <c r="GR80" s="44"/>
      <c r="GS80" s="44"/>
      <c r="GT80" s="44"/>
      <c r="GU80" s="44"/>
      <c r="GV80" s="44"/>
      <c r="GW80" s="44"/>
    </row>
    <row r="81" spans="1:205">
      <c r="A81" s="291"/>
      <c r="B81" s="159" t="s">
        <v>63</v>
      </c>
      <c r="C81" s="296" t="s">
        <v>36</v>
      </c>
      <c r="D81" s="296" t="s">
        <v>36</v>
      </c>
      <c r="E81" s="296" t="s">
        <v>36</v>
      </c>
      <c r="F81" s="296" t="s">
        <v>36</v>
      </c>
      <c r="G81" s="297">
        <f t="shared" ref="G81:X82" si="574">G67</f>
        <v>96022.329999999987</v>
      </c>
      <c r="H81" s="297">
        <f t="shared" si="574"/>
        <v>96022.329999999987</v>
      </c>
      <c r="I81" s="297">
        <f t="shared" si="574"/>
        <v>56268.49</v>
      </c>
      <c r="J81" s="297">
        <f t="shared" si="574"/>
        <v>56268.49</v>
      </c>
      <c r="K81" s="297">
        <f t="shared" si="574"/>
        <v>39753.839999999997</v>
      </c>
      <c r="L81" s="297">
        <f t="shared" si="574"/>
        <v>39753.839999999997</v>
      </c>
      <c r="M81" s="297">
        <f t="shared" si="574"/>
        <v>56268.49</v>
      </c>
      <c r="N81" s="297">
        <f t="shared" si="574"/>
        <v>56268.49</v>
      </c>
      <c r="O81" s="297">
        <f t="shared" si="574"/>
        <v>39753.839999999997</v>
      </c>
      <c r="P81" s="297">
        <f t="shared" si="574"/>
        <v>39753.839999999997</v>
      </c>
      <c r="Q81" s="297">
        <f t="shared" si="574"/>
        <v>0</v>
      </c>
      <c r="R81" s="297">
        <f t="shared" si="574"/>
        <v>0</v>
      </c>
      <c r="S81" s="297">
        <f t="shared" si="574"/>
        <v>0</v>
      </c>
      <c r="T81" s="297">
        <f t="shared" si="574"/>
        <v>0</v>
      </c>
      <c r="U81" s="297" t="str">
        <f t="shared" si="574"/>
        <v>x</v>
      </c>
      <c r="V81" s="297" t="str">
        <f t="shared" si="574"/>
        <v>x</v>
      </c>
      <c r="W81" s="298">
        <f t="shared" si="574"/>
        <v>99298.75</v>
      </c>
      <c r="X81" s="298">
        <f t="shared" si="574"/>
        <v>99298.75</v>
      </c>
      <c r="Y81" s="298">
        <f>Y67</f>
        <v>65343.280000000006</v>
      </c>
      <c r="Z81" s="298">
        <f t="shared" ref="Z81:AJ81" si="575">Z67</f>
        <v>65343.280000000006</v>
      </c>
      <c r="AA81" s="298">
        <f t="shared" si="575"/>
        <v>33955.47</v>
      </c>
      <c r="AB81" s="298">
        <f t="shared" si="575"/>
        <v>33955.47</v>
      </c>
      <c r="AC81" s="298">
        <f t="shared" si="575"/>
        <v>65343.280000000006</v>
      </c>
      <c r="AD81" s="298">
        <f t="shared" si="575"/>
        <v>65343.280000000006</v>
      </c>
      <c r="AE81" s="298">
        <f t="shared" si="575"/>
        <v>33955.47</v>
      </c>
      <c r="AF81" s="298">
        <f t="shared" si="575"/>
        <v>33955.47</v>
      </c>
      <c r="AG81" s="298">
        <f t="shared" si="575"/>
        <v>0</v>
      </c>
      <c r="AH81" s="298">
        <f t="shared" si="575"/>
        <v>0</v>
      </c>
      <c r="AI81" s="298">
        <f t="shared" si="575"/>
        <v>0</v>
      </c>
      <c r="AJ81" s="298">
        <f t="shared" si="575"/>
        <v>0</v>
      </c>
      <c r="AK81" s="298">
        <f t="shared" si="556"/>
        <v>0</v>
      </c>
      <c r="AL81" s="298">
        <f t="shared" si="556"/>
        <v>0</v>
      </c>
      <c r="AM81" s="298" t="s">
        <v>36</v>
      </c>
      <c r="AN81" s="298" t="str">
        <f t="shared" ref="AN81:BH82" si="576">AN67</f>
        <v>x</v>
      </c>
      <c r="AO81" s="298" t="str">
        <f t="shared" si="576"/>
        <v>x</v>
      </c>
      <c r="AP81" s="298" t="str">
        <f t="shared" si="576"/>
        <v>x</v>
      </c>
      <c r="AQ81" s="297">
        <f t="shared" si="576"/>
        <v>89275.93</v>
      </c>
      <c r="AR81" s="297">
        <f t="shared" si="576"/>
        <v>89275.93</v>
      </c>
      <c r="AS81" s="297">
        <f t="shared" si="576"/>
        <v>55420.899999999994</v>
      </c>
      <c r="AT81" s="297">
        <f t="shared" si="576"/>
        <v>55420.899999999994</v>
      </c>
      <c r="AU81" s="297">
        <f t="shared" si="576"/>
        <v>33855.03</v>
      </c>
      <c r="AV81" s="297">
        <f t="shared" si="576"/>
        <v>33855.03</v>
      </c>
      <c r="AW81" s="297">
        <f t="shared" si="576"/>
        <v>55420.899999999994</v>
      </c>
      <c r="AX81" s="297">
        <f t="shared" si="576"/>
        <v>55420.899999999994</v>
      </c>
      <c r="AY81" s="297">
        <f t="shared" si="576"/>
        <v>33855.03</v>
      </c>
      <c r="AZ81" s="297">
        <f t="shared" si="576"/>
        <v>33855.03</v>
      </c>
      <c r="BA81" s="297">
        <f t="shared" si="576"/>
        <v>0</v>
      </c>
      <c r="BB81" s="297">
        <f t="shared" si="576"/>
        <v>0</v>
      </c>
      <c r="BC81" s="297">
        <f t="shared" si="576"/>
        <v>0</v>
      </c>
      <c r="BD81" s="297">
        <f t="shared" si="576"/>
        <v>0</v>
      </c>
      <c r="BE81" s="297" t="str">
        <f t="shared" si="576"/>
        <v>x</v>
      </c>
      <c r="BF81" s="297" t="str">
        <f t="shared" si="576"/>
        <v>x</v>
      </c>
      <c r="BG81" s="298">
        <f t="shared" si="576"/>
        <v>94717.48000000001</v>
      </c>
      <c r="BH81" s="298">
        <f t="shared" si="576"/>
        <v>94717.48000000001</v>
      </c>
      <c r="BI81" s="298">
        <f>BI67</f>
        <v>62610.76</v>
      </c>
      <c r="BJ81" s="298">
        <f>BJ67</f>
        <v>62610.76</v>
      </c>
      <c r="BK81" s="298">
        <f t="shared" ref="BK81:BL81" si="577">BK67</f>
        <v>32106.720000000001</v>
      </c>
      <c r="BL81" s="298">
        <f t="shared" si="577"/>
        <v>32106.720000000001</v>
      </c>
      <c r="BM81" s="298">
        <f>BM67</f>
        <v>62610.76</v>
      </c>
      <c r="BN81" s="298">
        <f t="shared" ref="BN81:BP81" si="578">BN67</f>
        <v>62610.76</v>
      </c>
      <c r="BO81" s="298">
        <f t="shared" si="578"/>
        <v>32106.720000000001</v>
      </c>
      <c r="BP81" s="298">
        <f t="shared" si="578"/>
        <v>32106.720000000001</v>
      </c>
      <c r="BQ81" s="298">
        <f>BQ67</f>
        <v>0</v>
      </c>
      <c r="BR81" s="298">
        <f>BR67</f>
        <v>0</v>
      </c>
      <c r="BS81" s="298">
        <f t="shared" ref="BS81:BT81" si="579">BS67</f>
        <v>0</v>
      </c>
      <c r="BT81" s="298">
        <f t="shared" si="579"/>
        <v>0</v>
      </c>
      <c r="BU81" s="298">
        <f t="shared" si="560"/>
        <v>0</v>
      </c>
      <c r="BV81" s="298">
        <f t="shared" si="560"/>
        <v>0</v>
      </c>
      <c r="BW81" s="298" t="str">
        <f t="shared" ref="BW81:CR82" si="580">BW67</f>
        <v>x</v>
      </c>
      <c r="BX81" s="298" t="str">
        <f t="shared" si="580"/>
        <v>x</v>
      </c>
      <c r="BY81" s="298" t="str">
        <f t="shared" si="580"/>
        <v>x</v>
      </c>
      <c r="BZ81" s="298" t="str">
        <f t="shared" si="580"/>
        <v>x</v>
      </c>
      <c r="CA81" s="297">
        <f t="shared" si="580"/>
        <v>90675.466219896392</v>
      </c>
      <c r="CB81" s="297">
        <f t="shared" si="580"/>
        <v>88011.17</v>
      </c>
      <c r="CC81" s="297">
        <f t="shared" si="580"/>
        <v>52986.90289719023</v>
      </c>
      <c r="CD81" s="297">
        <f t="shared" si="580"/>
        <v>52588.32</v>
      </c>
      <c r="CE81" s="297">
        <f t="shared" si="580"/>
        <v>37688.56332270617</v>
      </c>
      <c r="CF81" s="297">
        <f t="shared" si="580"/>
        <v>35422.85</v>
      </c>
      <c r="CG81" s="297">
        <f t="shared" si="580"/>
        <v>52986.90289719023</v>
      </c>
      <c r="CH81" s="297">
        <f t="shared" si="580"/>
        <v>52588.32</v>
      </c>
      <c r="CI81" s="297">
        <f t="shared" si="580"/>
        <v>37688.56332270617</v>
      </c>
      <c r="CJ81" s="297">
        <f t="shared" si="580"/>
        <v>35422.85</v>
      </c>
      <c r="CK81" s="297">
        <f t="shared" si="580"/>
        <v>0</v>
      </c>
      <c r="CL81" s="297">
        <f t="shared" si="580"/>
        <v>0</v>
      </c>
      <c r="CM81" s="297">
        <f t="shared" si="580"/>
        <v>0</v>
      </c>
      <c r="CN81" s="297">
        <f t="shared" si="580"/>
        <v>0</v>
      </c>
      <c r="CO81" s="297" t="str">
        <f t="shared" si="580"/>
        <v>x</v>
      </c>
      <c r="CP81" s="297" t="str">
        <f t="shared" si="580"/>
        <v>x</v>
      </c>
      <c r="CQ81" s="298">
        <f t="shared" si="580"/>
        <v>119620.45000000001</v>
      </c>
      <c r="CR81" s="298">
        <f t="shared" si="580"/>
        <v>123101</v>
      </c>
      <c r="CS81" s="298">
        <f>CS67</f>
        <v>60784.65</v>
      </c>
      <c r="CT81" s="298">
        <f>CT67</f>
        <v>61855</v>
      </c>
      <c r="CU81" s="298">
        <f t="shared" ref="CU81:CV81" si="581">CU67</f>
        <v>58835.8</v>
      </c>
      <c r="CV81" s="298">
        <f t="shared" si="581"/>
        <v>61246</v>
      </c>
      <c r="CW81" s="298">
        <f>CW67</f>
        <v>60784.65</v>
      </c>
      <c r="CX81" s="298">
        <f>CX67</f>
        <v>61855</v>
      </c>
      <c r="CY81" s="298">
        <f t="shared" ref="CY81:CZ81" si="582">CY67</f>
        <v>58835.8</v>
      </c>
      <c r="CZ81" s="298">
        <f t="shared" si="582"/>
        <v>61246</v>
      </c>
      <c r="DA81" s="298">
        <f>DA67</f>
        <v>0</v>
      </c>
      <c r="DB81" s="298">
        <f>DB67</f>
        <v>0</v>
      </c>
      <c r="DC81" s="298">
        <f t="shared" ref="DC81:DD81" si="583">DC67</f>
        <v>0</v>
      </c>
      <c r="DD81" s="298">
        <f t="shared" si="583"/>
        <v>0</v>
      </c>
      <c r="DE81" s="298">
        <f t="shared" si="563"/>
        <v>0</v>
      </c>
      <c r="DF81" s="298">
        <f t="shared" si="563"/>
        <v>0</v>
      </c>
      <c r="DG81" s="298" t="s">
        <v>36</v>
      </c>
      <c r="DH81" s="298" t="s">
        <v>36</v>
      </c>
      <c r="DI81" s="298" t="s">
        <v>36</v>
      </c>
      <c r="DJ81" s="298" t="s">
        <v>36</v>
      </c>
      <c r="DK81" s="297">
        <v>102340.94666338977</v>
      </c>
      <c r="DL81" s="297">
        <v>88827.960000000021</v>
      </c>
      <c r="DM81" s="297">
        <v>59803.715705292729</v>
      </c>
      <c r="DN81" s="297">
        <v>55934.630000000019</v>
      </c>
      <c r="DO81" s="297">
        <v>42537.230958097047</v>
      </c>
      <c r="DP81" s="297">
        <v>32893.33</v>
      </c>
      <c r="DQ81" s="297">
        <v>59803.715705292729</v>
      </c>
      <c r="DR81" s="297">
        <v>55934.630000000019</v>
      </c>
      <c r="DS81" s="297">
        <v>42537.230958097047</v>
      </c>
      <c r="DT81" s="297">
        <v>32893.33</v>
      </c>
      <c r="DU81" s="297">
        <v>0</v>
      </c>
      <c r="DV81" s="297">
        <v>0</v>
      </c>
      <c r="DW81" s="297">
        <v>0</v>
      </c>
      <c r="DX81" s="297">
        <v>0</v>
      </c>
      <c r="DY81" s="297" t="s">
        <v>36</v>
      </c>
      <c r="DZ81" s="297" t="s">
        <v>36</v>
      </c>
      <c r="EA81" s="298">
        <v>161846.38</v>
      </c>
      <c r="EB81" s="298">
        <v>145165.5</v>
      </c>
      <c r="EC81" s="298">
        <v>68604.649999999994</v>
      </c>
      <c r="ED81" s="298">
        <v>64711.28</v>
      </c>
      <c r="EE81" s="298">
        <v>93241.73</v>
      </c>
      <c r="EF81" s="298">
        <v>80454.22</v>
      </c>
      <c r="EG81" s="298">
        <v>68604.649999999994</v>
      </c>
      <c r="EH81" s="298">
        <v>64711.28</v>
      </c>
      <c r="EI81" s="298">
        <v>93241.73</v>
      </c>
      <c r="EJ81" s="298">
        <v>80454.22</v>
      </c>
      <c r="EK81" s="298">
        <v>0</v>
      </c>
      <c r="EL81" s="298">
        <v>0</v>
      </c>
      <c r="EM81" s="298">
        <v>0</v>
      </c>
      <c r="EN81" s="298">
        <v>0</v>
      </c>
      <c r="EO81" s="298">
        <v>0</v>
      </c>
      <c r="EP81" s="298">
        <v>0</v>
      </c>
      <c r="EQ81" s="298" t="s">
        <v>36</v>
      </c>
      <c r="ER81" s="298" t="s">
        <v>36</v>
      </c>
      <c r="ES81" s="298" t="s">
        <v>36</v>
      </c>
      <c r="ET81" s="298" t="s">
        <v>36</v>
      </c>
      <c r="EU81" s="297">
        <v>378314.67288328614</v>
      </c>
      <c r="EV81" s="297">
        <v>362137.39</v>
      </c>
      <c r="EW81" s="297">
        <v>224480.00860248294</v>
      </c>
      <c r="EX81" s="297">
        <v>220212.34000000003</v>
      </c>
      <c r="EY81" s="297">
        <v>153834.66428080323</v>
      </c>
      <c r="EZ81" s="297">
        <v>141925.04999999999</v>
      </c>
      <c r="FA81" s="297">
        <v>224480.00860248294</v>
      </c>
      <c r="FB81" s="297">
        <v>220212.34000000003</v>
      </c>
      <c r="FC81" s="297">
        <v>153834.66428080323</v>
      </c>
      <c r="FD81" s="297">
        <v>141925.04999999999</v>
      </c>
      <c r="FE81" s="297">
        <v>0</v>
      </c>
      <c r="FF81" s="297">
        <v>0</v>
      </c>
      <c r="FG81" s="297">
        <v>0</v>
      </c>
      <c r="FH81" s="297">
        <v>0</v>
      </c>
      <c r="FI81" s="297" t="s">
        <v>36</v>
      </c>
      <c r="FJ81" s="297" t="s">
        <v>36</v>
      </c>
      <c r="FK81" s="298">
        <v>475483.06</v>
      </c>
      <c r="FL81" s="298">
        <v>462282.73</v>
      </c>
      <c r="FM81" s="299">
        <v>257343.34</v>
      </c>
      <c r="FN81" s="299">
        <v>254520.32000000001</v>
      </c>
      <c r="FO81" s="298">
        <v>218139.72</v>
      </c>
      <c r="FP81" s="298">
        <v>207762.41</v>
      </c>
      <c r="FQ81" s="299">
        <v>257343.34</v>
      </c>
      <c r="FR81" s="299">
        <v>254520.32000000001</v>
      </c>
      <c r="FS81" s="298">
        <v>218139.72</v>
      </c>
      <c r="FT81" s="298">
        <v>207762.41</v>
      </c>
      <c r="FU81" s="299">
        <v>0</v>
      </c>
      <c r="FV81" s="299">
        <v>0</v>
      </c>
      <c r="FW81" s="298">
        <v>0</v>
      </c>
      <c r="FX81" s="298">
        <v>0</v>
      </c>
      <c r="FY81" s="298">
        <v>0</v>
      </c>
      <c r="FZ81" s="298">
        <v>0</v>
      </c>
      <c r="GA81" s="140" t="s">
        <v>36</v>
      </c>
      <c r="GB81" s="133" t="s">
        <v>36</v>
      </c>
      <c r="GC81" s="300">
        <v>-16177.282883286127</v>
      </c>
      <c r="GD81" s="141">
        <v>-4.2761447130751362</v>
      </c>
      <c r="GE81" s="300">
        <v>-4267.6686024829105</v>
      </c>
      <c r="GF81" s="301">
        <v>-1.9011352632475331</v>
      </c>
      <c r="GG81" s="300">
        <v>-11909.614280803245</v>
      </c>
      <c r="GH81" s="302">
        <v>-7.7418274590335123</v>
      </c>
      <c r="GI81" s="300">
        <v>-4267.6686024829105</v>
      </c>
      <c r="GJ81" s="301">
        <v>-1.9011352632475331</v>
      </c>
      <c r="GK81" s="300">
        <v>-11909.614280803245</v>
      </c>
      <c r="GL81" s="301">
        <v>-7.7418274590335123</v>
      </c>
      <c r="GM81" s="300">
        <v>0</v>
      </c>
      <c r="GN81" s="300" t="s">
        <v>88</v>
      </c>
      <c r="GO81" s="300">
        <v>0</v>
      </c>
      <c r="GP81" s="302" t="s">
        <v>88</v>
      </c>
      <c r="GQ81" s="300"/>
      <c r="GR81" s="44"/>
      <c r="GS81" s="44"/>
      <c r="GT81" s="44"/>
      <c r="GU81" s="44"/>
      <c r="GV81" s="44"/>
      <c r="GW81" s="44"/>
    </row>
    <row r="82" spans="1:205">
      <c r="A82" s="291"/>
      <c r="B82" s="196" t="s">
        <v>65</v>
      </c>
      <c r="C82" s="296" t="s">
        <v>36</v>
      </c>
      <c r="D82" s="296" t="s">
        <v>36</v>
      </c>
      <c r="E82" s="296" t="s">
        <v>36</v>
      </c>
      <c r="F82" s="296" t="s">
        <v>36</v>
      </c>
      <c r="G82" s="297">
        <f t="shared" si="574"/>
        <v>23155.77</v>
      </c>
      <c r="H82" s="297">
        <f t="shared" si="574"/>
        <v>23155.77</v>
      </c>
      <c r="I82" s="297">
        <f t="shared" si="574"/>
        <v>13578.6</v>
      </c>
      <c r="J82" s="297">
        <f t="shared" si="574"/>
        <v>13578.6</v>
      </c>
      <c r="K82" s="297">
        <f t="shared" si="574"/>
        <v>9577.17</v>
      </c>
      <c r="L82" s="297">
        <f t="shared" si="574"/>
        <v>9577.17</v>
      </c>
      <c r="M82" s="297">
        <f t="shared" si="574"/>
        <v>13578.6</v>
      </c>
      <c r="N82" s="297">
        <f t="shared" si="574"/>
        <v>13578.6</v>
      </c>
      <c r="O82" s="297">
        <f t="shared" si="574"/>
        <v>9577.17</v>
      </c>
      <c r="P82" s="297">
        <f t="shared" si="574"/>
        <v>9577.17</v>
      </c>
      <c r="Q82" s="297">
        <f t="shared" si="574"/>
        <v>0</v>
      </c>
      <c r="R82" s="297">
        <f t="shared" si="574"/>
        <v>0</v>
      </c>
      <c r="S82" s="297">
        <f t="shared" si="574"/>
        <v>0</v>
      </c>
      <c r="T82" s="297">
        <f t="shared" si="574"/>
        <v>0</v>
      </c>
      <c r="U82" s="297" t="str">
        <f t="shared" si="574"/>
        <v>x</v>
      </c>
      <c r="V82" s="297" t="str">
        <f t="shared" si="574"/>
        <v>x</v>
      </c>
      <c r="W82" s="133" t="s">
        <v>36</v>
      </c>
      <c r="X82" s="140" t="s">
        <v>36</v>
      </c>
      <c r="Y82" s="298">
        <f>Y68</f>
        <v>13212.54</v>
      </c>
      <c r="Z82" s="298">
        <f>Z68</f>
        <v>13212.54</v>
      </c>
      <c r="AA82" s="133" t="s">
        <v>36</v>
      </c>
      <c r="AB82" s="140" t="s">
        <v>36</v>
      </c>
      <c r="AC82" s="298">
        <f>AC68</f>
        <v>13212.54</v>
      </c>
      <c r="AD82" s="298">
        <f>AD68</f>
        <v>13212.54</v>
      </c>
      <c r="AE82" s="133" t="s">
        <v>36</v>
      </c>
      <c r="AF82" s="140" t="s">
        <v>36</v>
      </c>
      <c r="AG82" s="298">
        <f>AG68</f>
        <v>0</v>
      </c>
      <c r="AH82" s="298">
        <f>AH68</f>
        <v>0</v>
      </c>
      <c r="AI82" s="133" t="s">
        <v>36</v>
      </c>
      <c r="AJ82" s="140" t="s">
        <v>36</v>
      </c>
      <c r="AK82" s="298">
        <f t="shared" si="556"/>
        <v>0</v>
      </c>
      <c r="AL82" s="298">
        <f t="shared" si="556"/>
        <v>0</v>
      </c>
      <c r="AM82" s="298" t="s">
        <v>36</v>
      </c>
      <c r="AN82" s="298" t="str">
        <f t="shared" si="576"/>
        <v>x</v>
      </c>
      <c r="AO82" s="298" t="str">
        <f t="shared" si="576"/>
        <v>x</v>
      </c>
      <c r="AP82" s="298" t="str">
        <f t="shared" si="576"/>
        <v>x</v>
      </c>
      <c r="AQ82" s="297">
        <f t="shared" si="576"/>
        <v>19797.72</v>
      </c>
      <c r="AR82" s="297">
        <f t="shared" si="576"/>
        <v>19797.72</v>
      </c>
      <c r="AS82" s="297">
        <f t="shared" si="576"/>
        <v>12322.45</v>
      </c>
      <c r="AT82" s="297">
        <f t="shared" si="576"/>
        <v>12322.45</v>
      </c>
      <c r="AU82" s="297">
        <f t="shared" si="576"/>
        <v>7475.27</v>
      </c>
      <c r="AV82" s="297">
        <f t="shared" si="576"/>
        <v>7475.27</v>
      </c>
      <c r="AW82" s="297">
        <f t="shared" si="576"/>
        <v>12322.45</v>
      </c>
      <c r="AX82" s="297">
        <f t="shared" si="576"/>
        <v>12322.45</v>
      </c>
      <c r="AY82" s="297">
        <f t="shared" si="576"/>
        <v>7475.27</v>
      </c>
      <c r="AZ82" s="297">
        <f t="shared" si="576"/>
        <v>7475.27</v>
      </c>
      <c r="BA82" s="297">
        <f t="shared" si="576"/>
        <v>0</v>
      </c>
      <c r="BB82" s="297">
        <f t="shared" si="576"/>
        <v>0</v>
      </c>
      <c r="BC82" s="297">
        <f t="shared" si="576"/>
        <v>0</v>
      </c>
      <c r="BD82" s="297">
        <f t="shared" si="576"/>
        <v>0</v>
      </c>
      <c r="BE82" s="297" t="str">
        <f t="shared" si="576"/>
        <v>x</v>
      </c>
      <c r="BF82" s="297" t="str">
        <f t="shared" si="576"/>
        <v>x</v>
      </c>
      <c r="BG82" s="133" t="s">
        <v>36</v>
      </c>
      <c r="BH82" s="140" t="s">
        <v>36</v>
      </c>
      <c r="BI82" s="298">
        <f>BI68</f>
        <v>11457.550000000003</v>
      </c>
      <c r="BJ82" s="298">
        <f>BJ68</f>
        <v>11457.550000000003</v>
      </c>
      <c r="BK82" s="133" t="s">
        <v>36</v>
      </c>
      <c r="BL82" s="140" t="s">
        <v>36</v>
      </c>
      <c r="BM82" s="298">
        <f>BM68</f>
        <v>11457.550000000003</v>
      </c>
      <c r="BN82" s="298">
        <f>BN68</f>
        <v>11457.550000000003</v>
      </c>
      <c r="BO82" s="133" t="s">
        <v>36</v>
      </c>
      <c r="BP82" s="140" t="s">
        <v>36</v>
      </c>
      <c r="BQ82" s="298">
        <f>BQ68</f>
        <v>0</v>
      </c>
      <c r="BR82" s="298">
        <f>BR68</f>
        <v>0</v>
      </c>
      <c r="BS82" s="133" t="s">
        <v>36</v>
      </c>
      <c r="BT82" s="140" t="s">
        <v>36</v>
      </c>
      <c r="BU82" s="298">
        <f t="shared" si="560"/>
        <v>0</v>
      </c>
      <c r="BV82" s="298">
        <f t="shared" si="560"/>
        <v>0</v>
      </c>
      <c r="BW82" s="298" t="str">
        <f t="shared" si="580"/>
        <v>x</v>
      </c>
      <c r="BX82" s="298" t="str">
        <f t="shared" si="580"/>
        <v>x</v>
      </c>
      <c r="BY82" s="298" t="str">
        <f t="shared" si="580"/>
        <v>x</v>
      </c>
      <c r="BZ82" s="298" t="str">
        <f t="shared" si="580"/>
        <v>x</v>
      </c>
      <c r="CA82" s="297">
        <f t="shared" si="580"/>
        <v>18646.867716581492</v>
      </c>
      <c r="CB82" s="297">
        <f t="shared" si="580"/>
        <v>20204.920000000002</v>
      </c>
      <c r="CC82" s="297">
        <f t="shared" si="580"/>
        <v>10896.439910649777</v>
      </c>
      <c r="CD82" s="297">
        <f t="shared" si="580"/>
        <v>12112.830000000002</v>
      </c>
      <c r="CE82" s="297">
        <f t="shared" si="580"/>
        <v>7750.4278059317148</v>
      </c>
      <c r="CF82" s="297">
        <f t="shared" si="580"/>
        <v>8092.09</v>
      </c>
      <c r="CG82" s="297">
        <f t="shared" si="580"/>
        <v>10896.439910649777</v>
      </c>
      <c r="CH82" s="297">
        <f t="shared" si="580"/>
        <v>12112.830000000002</v>
      </c>
      <c r="CI82" s="297">
        <f t="shared" si="580"/>
        <v>7750.4278059317148</v>
      </c>
      <c r="CJ82" s="297">
        <f t="shared" si="580"/>
        <v>8092.09</v>
      </c>
      <c r="CK82" s="297">
        <f t="shared" si="580"/>
        <v>0</v>
      </c>
      <c r="CL82" s="297">
        <f t="shared" si="580"/>
        <v>0</v>
      </c>
      <c r="CM82" s="297">
        <f t="shared" si="580"/>
        <v>0</v>
      </c>
      <c r="CN82" s="297">
        <f t="shared" si="580"/>
        <v>0</v>
      </c>
      <c r="CO82" s="297" t="str">
        <f t="shared" si="580"/>
        <v>x</v>
      </c>
      <c r="CP82" s="297" t="str">
        <f t="shared" si="580"/>
        <v>x</v>
      </c>
      <c r="CQ82" s="133" t="s">
        <v>36</v>
      </c>
      <c r="CR82" s="140" t="s">
        <v>36</v>
      </c>
      <c r="CS82" s="298">
        <f>CS68</f>
        <v>12500</v>
      </c>
      <c r="CT82" s="298">
        <f>CT68</f>
        <v>13544.209999999997</v>
      </c>
      <c r="CU82" s="133" t="s">
        <v>36</v>
      </c>
      <c r="CV82" s="140" t="s">
        <v>36</v>
      </c>
      <c r="CW82" s="298">
        <f>CW68</f>
        <v>12500</v>
      </c>
      <c r="CX82" s="298">
        <f>CX68</f>
        <v>13544.209999999997</v>
      </c>
      <c r="CY82" s="133" t="s">
        <v>36</v>
      </c>
      <c r="CZ82" s="140" t="s">
        <v>36</v>
      </c>
      <c r="DA82" s="298">
        <f>DA68</f>
        <v>0</v>
      </c>
      <c r="DB82" s="298">
        <f>DB68</f>
        <v>0</v>
      </c>
      <c r="DC82" s="133" t="s">
        <v>36</v>
      </c>
      <c r="DD82" s="140" t="s">
        <v>36</v>
      </c>
      <c r="DE82" s="298">
        <f t="shared" si="563"/>
        <v>0</v>
      </c>
      <c r="DF82" s="298">
        <f t="shared" si="563"/>
        <v>0</v>
      </c>
      <c r="DG82" s="298" t="s">
        <v>36</v>
      </c>
      <c r="DH82" s="298" t="s">
        <v>36</v>
      </c>
      <c r="DI82" s="298" t="s">
        <v>36</v>
      </c>
      <c r="DJ82" s="298" t="s">
        <v>36</v>
      </c>
      <c r="DK82" s="297">
        <v>19139.010766851679</v>
      </c>
      <c r="DL82" s="297">
        <v>18015.599999999991</v>
      </c>
      <c r="DM82" s="297">
        <v>11184.027469923572</v>
      </c>
      <c r="DN82" s="297">
        <v>11397.279999999993</v>
      </c>
      <c r="DO82" s="297">
        <v>7954.9832969281078</v>
      </c>
      <c r="DP82" s="297">
        <v>6618.32</v>
      </c>
      <c r="DQ82" s="297">
        <v>11184.027469923572</v>
      </c>
      <c r="DR82" s="297">
        <v>11397.279999999993</v>
      </c>
      <c r="DS82" s="297">
        <v>7954.9832969281078</v>
      </c>
      <c r="DT82" s="297">
        <v>6618.32</v>
      </c>
      <c r="DU82" s="297">
        <v>0</v>
      </c>
      <c r="DV82" s="297">
        <v>0</v>
      </c>
      <c r="DW82" s="297">
        <v>0</v>
      </c>
      <c r="DX82" s="297">
        <v>0</v>
      </c>
      <c r="DY82" s="297" t="s">
        <v>36</v>
      </c>
      <c r="DZ82" s="297" t="s">
        <v>36</v>
      </c>
      <c r="EA82" s="133" t="s">
        <v>36</v>
      </c>
      <c r="EB82" s="140" t="s">
        <v>36</v>
      </c>
      <c r="EC82" s="298">
        <v>12829.91</v>
      </c>
      <c r="ED82" s="298">
        <v>10717</v>
      </c>
      <c r="EE82" s="133" t="s">
        <v>36</v>
      </c>
      <c r="EF82" s="140" t="s">
        <v>36</v>
      </c>
      <c r="EG82" s="298">
        <v>12829.91</v>
      </c>
      <c r="EH82" s="298">
        <v>10717</v>
      </c>
      <c r="EI82" s="133" t="s">
        <v>36</v>
      </c>
      <c r="EJ82" s="140" t="s">
        <v>36</v>
      </c>
      <c r="EK82" s="298">
        <v>0</v>
      </c>
      <c r="EL82" s="298">
        <v>0</v>
      </c>
      <c r="EM82" s="133" t="s">
        <v>36</v>
      </c>
      <c r="EN82" s="140" t="s">
        <v>36</v>
      </c>
      <c r="EO82" s="298">
        <v>0</v>
      </c>
      <c r="EP82" s="298">
        <v>0</v>
      </c>
      <c r="EQ82" s="298" t="s">
        <v>36</v>
      </c>
      <c r="ER82" s="298" t="s">
        <v>36</v>
      </c>
      <c r="ES82" s="298" t="s">
        <v>36</v>
      </c>
      <c r="ET82" s="298" t="s">
        <v>36</v>
      </c>
      <c r="EU82" s="297">
        <v>80739.36848343318</v>
      </c>
      <c r="EV82" s="297">
        <v>81174.009999999995</v>
      </c>
      <c r="EW82" s="297">
        <v>47981.51738057335</v>
      </c>
      <c r="EX82" s="297">
        <v>49411.159999999996</v>
      </c>
      <c r="EY82" s="297">
        <v>32757.851102859826</v>
      </c>
      <c r="EZ82" s="297">
        <v>31762.850000000002</v>
      </c>
      <c r="FA82" s="297">
        <v>47981.51738057335</v>
      </c>
      <c r="FB82" s="297">
        <v>49411.159999999996</v>
      </c>
      <c r="FC82" s="297">
        <v>32757.851102859826</v>
      </c>
      <c r="FD82" s="297">
        <v>31762.850000000002</v>
      </c>
      <c r="FE82" s="297">
        <v>0</v>
      </c>
      <c r="FF82" s="297">
        <v>0</v>
      </c>
      <c r="FG82" s="297">
        <v>0</v>
      </c>
      <c r="FH82" s="297">
        <v>0</v>
      </c>
      <c r="FI82" s="297" t="s">
        <v>36</v>
      </c>
      <c r="FJ82" s="297" t="s">
        <v>36</v>
      </c>
      <c r="FK82" s="133" t="s">
        <v>36</v>
      </c>
      <c r="FL82" s="140" t="s">
        <v>36</v>
      </c>
      <c r="FM82" s="299">
        <v>50000</v>
      </c>
      <c r="FN82" s="299">
        <v>48931.3</v>
      </c>
      <c r="FO82" s="133" t="s">
        <v>36</v>
      </c>
      <c r="FP82" s="140" t="s">
        <v>36</v>
      </c>
      <c r="FQ82" s="299">
        <v>50000</v>
      </c>
      <c r="FR82" s="299">
        <v>48931.3</v>
      </c>
      <c r="FS82" s="133" t="s">
        <v>36</v>
      </c>
      <c r="FT82" s="140" t="s">
        <v>36</v>
      </c>
      <c r="FU82" s="299">
        <v>0</v>
      </c>
      <c r="FV82" s="299">
        <v>0</v>
      </c>
      <c r="FW82" s="133" t="s">
        <v>36</v>
      </c>
      <c r="FX82" s="140" t="s">
        <v>36</v>
      </c>
      <c r="FY82" s="298">
        <v>0</v>
      </c>
      <c r="FZ82" s="298">
        <v>0</v>
      </c>
      <c r="GA82" s="140" t="s">
        <v>36</v>
      </c>
      <c r="GB82" s="133" t="s">
        <v>36</v>
      </c>
      <c r="GC82" s="300">
        <v>434.64151656681497</v>
      </c>
      <c r="GD82" s="141">
        <v>0.53832662396411379</v>
      </c>
      <c r="GE82" s="300">
        <v>1429.642619426646</v>
      </c>
      <c r="GF82" s="301">
        <v>2.9795694206316892</v>
      </c>
      <c r="GG82" s="300">
        <v>-995.00110285982373</v>
      </c>
      <c r="GH82" s="302">
        <v>-3.0374431452646733</v>
      </c>
      <c r="GI82" s="300">
        <v>1429.642619426646</v>
      </c>
      <c r="GJ82" s="301">
        <v>2.9795694206316892</v>
      </c>
      <c r="GK82" s="300">
        <v>-995.00110285982373</v>
      </c>
      <c r="GL82" s="301">
        <v>-3.0374431452646733</v>
      </c>
      <c r="GM82" s="300">
        <v>0</v>
      </c>
      <c r="GN82" s="300" t="s">
        <v>88</v>
      </c>
      <c r="GO82" s="300">
        <v>0</v>
      </c>
      <c r="GP82" s="302" t="s">
        <v>88</v>
      </c>
      <c r="GQ82" s="300"/>
      <c r="GR82" s="44"/>
      <c r="GS82" s="44"/>
      <c r="GT82" s="44"/>
      <c r="GU82" s="44"/>
      <c r="GV82" s="44"/>
      <c r="GW82" s="44"/>
    </row>
    <row r="83" spans="1:205" ht="15">
      <c r="A83" s="291"/>
      <c r="B83" s="303"/>
      <c r="C83" s="304"/>
      <c r="D83" s="10"/>
      <c r="E83" s="10"/>
      <c r="F83" s="10"/>
      <c r="G83" s="305"/>
      <c r="H83" s="306"/>
      <c r="I83" s="305"/>
      <c r="J83" s="306"/>
      <c r="K83" s="306"/>
      <c r="L83" s="306"/>
      <c r="M83" s="306"/>
      <c r="Q83" s="306"/>
      <c r="R83" s="306"/>
      <c r="S83" s="306"/>
      <c r="T83" s="306"/>
      <c r="U83" s="306"/>
      <c r="V83" s="306"/>
      <c r="W83" s="306"/>
      <c r="X83" s="306"/>
      <c r="Y83" s="305"/>
      <c r="Z83" s="305"/>
      <c r="AA83" s="307"/>
      <c r="AB83" s="307"/>
      <c r="AC83" s="308"/>
      <c r="AG83" s="309"/>
      <c r="AH83" s="310"/>
      <c r="AI83" s="310"/>
      <c r="AJ83" s="310"/>
      <c r="AK83" s="310"/>
      <c r="AL83" s="310"/>
      <c r="AM83" s="306"/>
      <c r="AN83" s="311"/>
      <c r="AO83" s="306"/>
      <c r="AP83" s="306"/>
      <c r="AQ83" s="305" t="e">
        <f>SUM(AQ85:AQ152)</f>
        <v>#VALUE!</v>
      </c>
      <c r="AR83" s="306"/>
      <c r="AS83" s="305"/>
      <c r="AT83" s="306"/>
      <c r="AU83" s="306"/>
      <c r="AV83" s="306"/>
      <c r="AW83" s="306"/>
      <c r="AX83" s="306"/>
      <c r="AY83" s="306"/>
      <c r="AZ83" s="306"/>
      <c r="BA83" s="306"/>
      <c r="BB83" s="306"/>
      <c r="BC83" s="306"/>
      <c r="BD83" s="306"/>
      <c r="BE83" s="306"/>
      <c r="BF83" s="306"/>
      <c r="BG83" s="306"/>
      <c r="BH83" s="306"/>
      <c r="BI83" s="305">
        <f>SUM(BI85:BI152)</f>
        <v>0</v>
      </c>
      <c r="BM83" s="312"/>
      <c r="BN83" s="313"/>
      <c r="BO83" s="313"/>
      <c r="BP83" s="313"/>
      <c r="BQ83" s="306"/>
      <c r="BR83" s="306"/>
      <c r="BS83" s="306"/>
      <c r="BT83" s="306"/>
      <c r="BU83" s="306"/>
      <c r="BV83" s="306"/>
      <c r="BW83" s="306"/>
      <c r="BX83" s="306"/>
      <c r="BY83" s="306"/>
      <c r="BZ83" s="306"/>
      <c r="CA83" s="305">
        <f>SUM(CA85:CA152)</f>
        <v>0</v>
      </c>
      <c r="CB83" s="306"/>
      <c r="CC83" s="305">
        <f>SUM(CC85:CC152)</f>
        <v>0</v>
      </c>
      <c r="CD83" s="306"/>
      <c r="CE83" s="306"/>
      <c r="CF83" s="306"/>
      <c r="CG83" s="306"/>
      <c r="CH83" s="306"/>
      <c r="CI83" s="306"/>
      <c r="CJ83" s="306"/>
      <c r="CK83" s="306"/>
      <c r="CL83" s="306"/>
      <c r="CM83" s="306"/>
      <c r="CN83" s="306"/>
      <c r="CO83" s="306"/>
      <c r="CP83" s="306"/>
      <c r="CQ83" s="306"/>
      <c r="CR83" s="306"/>
      <c r="CS83" s="305">
        <f>SUM(CS85:CS152)</f>
        <v>0</v>
      </c>
      <c r="CW83" s="312"/>
      <c r="CX83" s="313"/>
      <c r="CY83" s="313"/>
      <c r="CZ83" s="313"/>
      <c r="DA83" s="313"/>
      <c r="DB83" s="313"/>
      <c r="DC83" s="313"/>
      <c r="DD83" s="313"/>
      <c r="DE83" s="313"/>
      <c r="DF83" s="313"/>
      <c r="DG83" s="306"/>
      <c r="DH83" s="306"/>
      <c r="DI83" s="306"/>
      <c r="GR83" s="44"/>
      <c r="GS83" s="44"/>
      <c r="GT83" s="44"/>
      <c r="GU83" s="44"/>
      <c r="GV83" s="44"/>
      <c r="GW83" s="44"/>
    </row>
    <row r="84" spans="1:205" ht="15">
      <c r="A84" s="291"/>
      <c r="B84" s="303"/>
      <c r="C84" s="10"/>
      <c r="D84" s="10"/>
      <c r="E84" s="10"/>
      <c r="F84" s="10"/>
      <c r="H84" s="306"/>
      <c r="I84" s="306"/>
      <c r="J84" s="306"/>
      <c r="K84" s="306"/>
      <c r="L84" s="306"/>
      <c r="M84" s="306"/>
      <c r="N84" s="306"/>
      <c r="O84" s="306"/>
      <c r="P84" s="306"/>
      <c r="Q84" s="306"/>
      <c r="R84" s="306"/>
      <c r="S84" s="306"/>
      <c r="T84" s="306"/>
      <c r="U84" s="306"/>
      <c r="V84" s="306"/>
      <c r="W84" s="314">
        <v>7882013.75</v>
      </c>
      <c r="X84" s="315"/>
      <c r="Y84" s="306"/>
      <c r="Z84" s="306"/>
      <c r="AB84" s="316">
        <v>-5186668.3500000015</v>
      </c>
      <c r="AC84" s="306"/>
      <c r="AD84" s="306"/>
      <c r="AE84" s="313"/>
      <c r="AF84" s="313"/>
      <c r="AG84" s="306"/>
      <c r="AH84" s="306"/>
      <c r="AI84" s="313"/>
      <c r="AJ84" s="313"/>
      <c r="AK84" s="313"/>
      <c r="AL84" s="313"/>
      <c r="AM84" s="10"/>
      <c r="AN84" s="10"/>
      <c r="AO84" s="10"/>
      <c r="AP84" s="10"/>
      <c r="AQ84" s="305"/>
      <c r="AR84" s="306"/>
      <c r="AS84" s="305"/>
      <c r="AT84" s="306"/>
      <c r="AU84" s="306"/>
      <c r="AV84" s="306"/>
      <c r="AW84" s="306"/>
      <c r="AX84" s="306"/>
      <c r="AY84" s="306"/>
      <c r="AZ84" s="306"/>
      <c r="BA84" s="306"/>
      <c r="BB84" s="306"/>
      <c r="BC84" s="306"/>
      <c r="BD84" s="306"/>
      <c r="BE84" s="306"/>
      <c r="BF84" s="306"/>
      <c r="BG84" s="317">
        <v>7868819.3699999982</v>
      </c>
      <c r="BH84" s="318">
        <v>7868819.3699999982</v>
      </c>
      <c r="BI84" s="306">
        <f>SUM(BI77:BI82)-BI76</f>
        <v>0</v>
      </c>
      <c r="BJ84" s="1"/>
      <c r="BK84" s="1"/>
      <c r="BL84" s="316">
        <v>-5201497.9499999983</v>
      </c>
      <c r="BM84" s="306">
        <f>SUM(BM77:BM82)-BM76</f>
        <v>0</v>
      </c>
      <c r="BN84" s="313"/>
      <c r="BO84" s="313"/>
      <c r="BP84" s="313"/>
      <c r="BQ84" s="306">
        <f>SUM(BQ77:BQ82)-BQ76</f>
        <v>0</v>
      </c>
      <c r="BR84" s="313"/>
      <c r="BS84" s="313"/>
      <c r="BT84" s="313"/>
      <c r="BU84" s="313"/>
      <c r="BV84" s="313"/>
      <c r="BW84" s="10"/>
      <c r="BX84" s="10"/>
      <c r="BY84" s="10"/>
      <c r="BZ84" s="10"/>
      <c r="CA84" s="305"/>
      <c r="CB84" s="306"/>
      <c r="CC84" s="305"/>
      <c r="CD84" s="306">
        <f>SUM(CD77:CD80)-CD76</f>
        <v>-64701.149999999441</v>
      </c>
      <c r="CE84" s="306">
        <f t="shared" ref="CE84:CN84" si="584">SUM(CE77:CE82)-CE76</f>
        <v>-2125350.2395681851</v>
      </c>
      <c r="CF84" s="306">
        <f t="shared" si="584"/>
        <v>-2094352.2800000003</v>
      </c>
      <c r="CG84" s="306">
        <f t="shared" si="584"/>
        <v>0</v>
      </c>
      <c r="CH84" s="306">
        <f t="shared" si="584"/>
        <v>0</v>
      </c>
      <c r="CI84" s="306">
        <f t="shared" si="584"/>
        <v>-2069223.747544681</v>
      </c>
      <c r="CJ84" s="306">
        <f t="shared" si="584"/>
        <v>-2033315.4342334184</v>
      </c>
      <c r="CK84" s="306">
        <f t="shared" si="584"/>
        <v>0</v>
      </c>
      <c r="CL84" s="306">
        <f t="shared" si="584"/>
        <v>0</v>
      </c>
      <c r="CM84" s="306">
        <f t="shared" si="584"/>
        <v>-56126.492023504034</v>
      </c>
      <c r="CN84" s="306">
        <f t="shared" si="584"/>
        <v>-61036.845766581624</v>
      </c>
      <c r="CO84" s="306"/>
      <c r="CP84" s="306"/>
      <c r="CQ84" s="317">
        <v>8701253.4499999993</v>
      </c>
      <c r="CR84" s="318">
        <v>8701142.1400000006</v>
      </c>
      <c r="CS84" s="306">
        <f>SUM(CS77:CS82)-CS76</f>
        <v>0</v>
      </c>
      <c r="CT84" s="1"/>
      <c r="CU84" s="1"/>
      <c r="CV84" s="1"/>
      <c r="CW84" s="306">
        <f>SUM(CW77:CW82)-CW76</f>
        <v>0</v>
      </c>
      <c r="CX84" s="313"/>
      <c r="CY84" s="313"/>
      <c r="CZ84" s="313"/>
      <c r="DA84" s="306">
        <f>SUM(DA77:DA82)-DA76</f>
        <v>0</v>
      </c>
      <c r="DB84" s="313"/>
      <c r="DC84" s="313"/>
      <c r="DD84" s="313"/>
      <c r="DE84" s="313"/>
      <c r="DF84" s="313"/>
      <c r="DG84" s="10"/>
      <c r="DH84" s="10"/>
      <c r="DI84" s="10"/>
      <c r="GR84" s="44"/>
      <c r="GS84" s="44"/>
      <c r="GT84" s="44"/>
      <c r="GU84" s="44"/>
      <c r="GV84" s="44"/>
      <c r="GW84" s="44"/>
    </row>
    <row r="85" spans="1:205" ht="15">
      <c r="B85" s="303"/>
      <c r="C85" s="44">
        <f>C40-D40</f>
        <v>0</v>
      </c>
      <c r="D85" s="44"/>
      <c r="E85" s="44">
        <f>E40-F40</f>
        <v>0</v>
      </c>
      <c r="F85" s="44"/>
      <c r="G85" s="44" t="e">
        <f t="shared" ref="G85:G87" si="585">G73-H73</f>
        <v>#VALUE!</v>
      </c>
      <c r="H85" s="319"/>
      <c r="I85" s="44">
        <f>I40-J40</f>
        <v>0</v>
      </c>
      <c r="J85" s="44"/>
      <c r="K85" s="44"/>
      <c r="L85" s="319"/>
      <c r="M85" s="44">
        <f>M40-N40</f>
        <v>0</v>
      </c>
      <c r="N85" s="319"/>
      <c r="O85" s="319"/>
      <c r="P85" s="319"/>
      <c r="Q85" s="44">
        <f>Q40-R40</f>
        <v>0</v>
      </c>
      <c r="R85" s="319"/>
      <c r="S85" s="319"/>
      <c r="T85" s="319"/>
      <c r="V85" s="306">
        <v>13</v>
      </c>
      <c r="W85" s="306">
        <f>W84-W76</f>
        <v>-1.0000001639127731E-2</v>
      </c>
      <c r="X85" s="306"/>
      <c r="Y85" s="44">
        <f>Y40-Z40</f>
        <v>0</v>
      </c>
      <c r="Z85" s="4"/>
      <c r="AA85" s="44"/>
      <c r="AB85" s="307">
        <f>Z76+AB84</f>
        <v>70</v>
      </c>
      <c r="AC85" s="44">
        <f>AC40-AD40</f>
        <v>0</v>
      </c>
      <c r="AE85" s="44"/>
      <c r="AG85" s="44">
        <f>AG40-AH40</f>
        <v>0</v>
      </c>
      <c r="AI85" s="44"/>
      <c r="AM85" s="44">
        <f>AM40-AN40</f>
        <v>0</v>
      </c>
      <c r="AN85" s="311"/>
      <c r="AO85" s="44">
        <f>AO40-AP40</f>
        <v>0</v>
      </c>
      <c r="AP85" s="306">
        <v>13</v>
      </c>
      <c r="AQ85" s="44" t="e">
        <f>AQ40-AR40</f>
        <v>#VALUE!</v>
      </c>
      <c r="AR85" s="319"/>
      <c r="AS85" s="44">
        <f>AS40-AT40</f>
        <v>0</v>
      </c>
      <c r="AT85" s="319"/>
      <c r="AU85" s="44" t="e">
        <f>AU40-AV40</f>
        <v>#VALUE!</v>
      </c>
      <c r="AV85" s="319"/>
      <c r="AW85" s="44">
        <f>AW40-AX40</f>
        <v>0</v>
      </c>
      <c r="AX85" s="319"/>
      <c r="AY85" s="44" t="e">
        <f>AY40-AZ40</f>
        <v>#VALUE!</v>
      </c>
      <c r="AZ85" s="319"/>
      <c r="BA85" s="44">
        <f>BA40-BB40</f>
        <v>0</v>
      </c>
      <c r="BB85" s="319"/>
      <c r="BC85" s="44" t="e">
        <f>BC40-BD40</f>
        <v>#VALUE!</v>
      </c>
      <c r="BD85" s="319"/>
      <c r="BF85" s="306">
        <v>13</v>
      </c>
      <c r="BG85" s="306">
        <f>BG84-BG76</f>
        <v>-1.0000001639127731E-2</v>
      </c>
      <c r="BH85" s="306">
        <f>BH84-BH76</f>
        <v>-1.0000001639127731E-2</v>
      </c>
      <c r="BI85" s="44">
        <f>BI40-BJ40</f>
        <v>0</v>
      </c>
      <c r="BK85" s="44" t="e">
        <f>BK40-BL40</f>
        <v>#VALUE!</v>
      </c>
      <c r="BL85" s="320">
        <f>BJ76+BL84</f>
        <v>0</v>
      </c>
      <c r="BM85" s="44">
        <f>BM40-BN40</f>
        <v>0</v>
      </c>
      <c r="BN85" s="306"/>
      <c r="BO85" s="44" t="e">
        <f>BO40-BP40</f>
        <v>#VALUE!</v>
      </c>
      <c r="BP85" s="306"/>
      <c r="BQ85" s="44">
        <f>BQ40-BR40</f>
        <v>0</v>
      </c>
      <c r="BR85" s="319"/>
      <c r="BS85" s="44" t="e">
        <f>BS40-BT40</f>
        <v>#VALUE!</v>
      </c>
      <c r="BT85" s="319"/>
      <c r="BU85" s="319"/>
      <c r="BV85" s="319"/>
      <c r="BW85" s="1"/>
      <c r="BX85" s="321"/>
      <c r="BZ85" s="306">
        <v>13</v>
      </c>
      <c r="CA85" s="4"/>
      <c r="CB85" s="319"/>
      <c r="CC85" s="4">
        <f t="shared" ref="CC85:CC140" si="586">CC13-(CG13+CK13)</f>
        <v>0</v>
      </c>
      <c r="CD85" s="319"/>
      <c r="CE85" s="319"/>
      <c r="CF85" s="319"/>
      <c r="CG85" s="319"/>
      <c r="CH85" s="319"/>
      <c r="CI85" s="319"/>
      <c r="CJ85" s="319"/>
      <c r="CK85" s="319"/>
      <c r="CL85" s="319"/>
      <c r="CM85" s="319"/>
      <c r="CN85" s="319"/>
      <c r="CP85" s="306">
        <v>13</v>
      </c>
      <c r="CQ85" s="306">
        <f>CQ84-CQ76</f>
        <v>-9.9999997764825821E-3</v>
      </c>
      <c r="CR85" s="306">
        <f>CR84-CR76</f>
        <v>9.9999997764825821E-3</v>
      </c>
      <c r="CS85" s="4">
        <f t="shared" ref="CS85:CS140" si="587">CS13-(CW13+DA13)</f>
        <v>0</v>
      </c>
      <c r="CW85" s="312"/>
      <c r="CX85" s="306"/>
      <c r="CY85" s="306"/>
      <c r="CZ85" s="306"/>
      <c r="DA85" s="306"/>
      <c r="DB85" s="306"/>
      <c r="DC85" s="306"/>
      <c r="DD85" s="306"/>
      <c r="DE85" s="306"/>
      <c r="DF85" s="306"/>
      <c r="DI85" s="319"/>
    </row>
    <row r="86" spans="1:205" ht="15">
      <c r="B86" s="303"/>
      <c r="C86" s="44">
        <f>C48-D48</f>
        <v>0</v>
      </c>
      <c r="E86" s="44">
        <f>E48-F48</f>
        <v>0</v>
      </c>
      <c r="F86" s="6"/>
      <c r="G86" s="44" t="e">
        <f t="shared" si="585"/>
        <v>#VALUE!</v>
      </c>
      <c r="I86" s="44">
        <f>I48-J48</f>
        <v>0</v>
      </c>
      <c r="M86" s="44">
        <f>M48-N48</f>
        <v>0</v>
      </c>
      <c r="Q86" s="44">
        <f>Q48-R48</f>
        <v>0</v>
      </c>
      <c r="V86" s="6">
        <v>14</v>
      </c>
      <c r="W86" s="44"/>
      <c r="X86" s="6"/>
      <c r="Y86" s="44">
        <f>Y48-Z48</f>
        <v>0</v>
      </c>
      <c r="Z86" s="4"/>
      <c r="AA86" s="44"/>
      <c r="AC86" s="44">
        <f>AC48-AD48</f>
        <v>0</v>
      </c>
      <c r="AE86" s="44"/>
      <c r="AG86" s="44">
        <f>AG48-AH48</f>
        <v>0</v>
      </c>
      <c r="AI86" s="44"/>
      <c r="AM86" s="44">
        <f>AM48-AN48</f>
        <v>0</v>
      </c>
      <c r="AN86" s="10"/>
      <c r="AO86" s="44">
        <f>AO48-AP48</f>
        <v>0</v>
      </c>
      <c r="AP86" s="6">
        <v>14</v>
      </c>
      <c r="AQ86" s="44" t="e">
        <f>AQ48-AR48</f>
        <v>#VALUE!</v>
      </c>
      <c r="AR86" s="1"/>
      <c r="AS86" s="44">
        <f>AS48-AT48</f>
        <v>0</v>
      </c>
      <c r="AT86" s="1"/>
      <c r="AU86" s="44" t="e">
        <f>AU48-AV48</f>
        <v>#VALUE!</v>
      </c>
      <c r="AV86" s="1"/>
      <c r="AW86" s="44">
        <f>AW48-AX48</f>
        <v>0</v>
      </c>
      <c r="AX86" s="1"/>
      <c r="AY86" s="44" t="e">
        <f>AY48-AZ48</f>
        <v>#VALUE!</v>
      </c>
      <c r="AZ86" s="1"/>
      <c r="BA86" s="44">
        <f>BA48-BB48</f>
        <v>0</v>
      </c>
      <c r="BB86" s="1"/>
      <c r="BC86" s="44" t="e">
        <f>BC48-BD48</f>
        <v>#VALUE!</v>
      </c>
      <c r="BD86" s="1"/>
      <c r="BF86" s="6">
        <v>14</v>
      </c>
      <c r="BG86" s="44" t="e">
        <f>BG48-BH48</f>
        <v>#VALUE!</v>
      </c>
      <c r="BH86" s="6"/>
      <c r="BI86" s="44">
        <f>BI48-BJ48</f>
        <v>0</v>
      </c>
      <c r="BK86" s="44" t="e">
        <f>BK48-BL48</f>
        <v>#VALUE!</v>
      </c>
      <c r="BM86" s="44">
        <f>BM48-BN48</f>
        <v>0</v>
      </c>
      <c r="BN86" s="313"/>
      <c r="BO86" s="44" t="e">
        <f>BO48-BP48</f>
        <v>#VALUE!</v>
      </c>
      <c r="BP86" s="313"/>
      <c r="BQ86" s="44">
        <f>BQ48-BR48</f>
        <v>0</v>
      </c>
      <c r="BS86" s="44" t="e">
        <f>BS48-BT48</f>
        <v>#VALUE!</v>
      </c>
      <c r="BW86" s="1"/>
      <c r="BZ86" s="6">
        <v>14</v>
      </c>
      <c r="CA86" s="4"/>
      <c r="CB86" s="1"/>
      <c r="CC86" s="4">
        <f t="shared" si="586"/>
        <v>0</v>
      </c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P86" s="6">
        <v>14</v>
      </c>
      <c r="CQ86" s="6"/>
      <c r="CR86" s="6"/>
      <c r="CS86" s="4">
        <f t="shared" si="587"/>
        <v>0</v>
      </c>
      <c r="CT86" s="323"/>
      <c r="CU86" s="323"/>
      <c r="CV86" s="323"/>
      <c r="CW86" s="312"/>
      <c r="CX86" s="313"/>
      <c r="CY86" s="313"/>
      <c r="CZ86" s="313"/>
      <c r="DA86" s="313"/>
      <c r="DB86" s="313"/>
      <c r="DC86" s="313"/>
      <c r="DD86" s="313"/>
      <c r="DE86" s="313"/>
      <c r="DF86" s="313"/>
      <c r="DG86" s="1"/>
    </row>
    <row r="87" spans="1:205" ht="15">
      <c r="B87" s="303"/>
      <c r="C87" s="44">
        <f>C64-D64</f>
        <v>0</v>
      </c>
      <c r="E87" s="44">
        <f>E64-F64</f>
        <v>0</v>
      </c>
      <c r="F87" s="306"/>
      <c r="G87" s="44">
        <f t="shared" si="585"/>
        <v>0</v>
      </c>
      <c r="I87" s="44">
        <f>I64-J64</f>
        <v>0</v>
      </c>
      <c r="M87" s="44">
        <f>M64-N64</f>
        <v>0</v>
      </c>
      <c r="Q87" s="44">
        <f>Q64-R64</f>
        <v>0</v>
      </c>
      <c r="V87" s="306">
        <v>15</v>
      </c>
      <c r="W87" s="44">
        <f>W64-X64</f>
        <v>0</v>
      </c>
      <c r="X87" s="306"/>
      <c r="Y87" s="44">
        <f>Y64-Z64</f>
        <v>0</v>
      </c>
      <c r="Z87" s="4"/>
      <c r="AA87" s="44">
        <f>AA64-AB64</f>
        <v>0</v>
      </c>
      <c r="AC87" s="44">
        <f>AC64-AD64</f>
        <v>0</v>
      </c>
      <c r="AE87" s="44">
        <f>AE64-AF64</f>
        <v>0</v>
      </c>
      <c r="AG87" s="44">
        <f>AG64-AH64</f>
        <v>0</v>
      </c>
      <c r="AI87" s="44">
        <f>AI64-AJ64</f>
        <v>0</v>
      </c>
      <c r="AM87" s="44">
        <f>AM64-AN64</f>
        <v>0</v>
      </c>
      <c r="AN87" s="324"/>
      <c r="AO87" s="44">
        <f>AO64-AP64</f>
        <v>0</v>
      </c>
      <c r="AP87" s="306">
        <v>15</v>
      </c>
      <c r="AQ87" s="44">
        <f>AQ64-AR64</f>
        <v>0</v>
      </c>
      <c r="AR87" s="1"/>
      <c r="AS87" s="44">
        <f>AS64-AT64</f>
        <v>0</v>
      </c>
      <c r="AT87" s="1"/>
      <c r="AU87" s="44">
        <f>AU64-AV64</f>
        <v>0</v>
      </c>
      <c r="AV87" s="1"/>
      <c r="AW87" s="44">
        <f>AW64-AX64</f>
        <v>0</v>
      </c>
      <c r="AX87" s="1"/>
      <c r="AY87" s="44">
        <f>AY64-AZ64</f>
        <v>0</v>
      </c>
      <c r="AZ87" s="1"/>
      <c r="BA87" s="44">
        <f>BA64-BB64</f>
        <v>0</v>
      </c>
      <c r="BB87" s="1"/>
      <c r="BC87" s="44">
        <f>BC64-BD64</f>
        <v>0</v>
      </c>
      <c r="BD87" s="1"/>
      <c r="BF87" s="306">
        <v>15</v>
      </c>
      <c r="BG87" s="44">
        <f>BG64-BH64</f>
        <v>0</v>
      </c>
      <c r="BH87" s="306"/>
      <c r="BI87" s="44">
        <f>BI64-BJ64</f>
        <v>0</v>
      </c>
      <c r="BJ87" s="323"/>
      <c r="BK87" s="44">
        <f>BK64-BL64</f>
        <v>0</v>
      </c>
      <c r="BL87" s="323"/>
      <c r="BM87" s="44">
        <f>BM64-BN64</f>
        <v>0</v>
      </c>
      <c r="BO87" s="44">
        <f>BO64-BP64</f>
        <v>0</v>
      </c>
      <c r="BQ87" s="44">
        <f>BQ64-BR64</f>
        <v>0</v>
      </c>
      <c r="BR87" s="325"/>
      <c r="BS87" s="44">
        <f>BS64-BT64</f>
        <v>0</v>
      </c>
      <c r="BT87" s="325"/>
      <c r="BU87" s="325"/>
      <c r="BV87" s="325"/>
      <c r="BZ87" s="306">
        <v>15</v>
      </c>
      <c r="CA87" s="4"/>
      <c r="CB87" s="1"/>
      <c r="CC87" s="4">
        <f t="shared" si="586"/>
        <v>0</v>
      </c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P87" s="306">
        <v>15</v>
      </c>
      <c r="CQ87" s="306"/>
      <c r="CR87" s="306"/>
      <c r="CS87" s="4">
        <f t="shared" si="587"/>
        <v>0</v>
      </c>
      <c r="CT87" s="319"/>
      <c r="CU87" s="319"/>
      <c r="CV87" s="319"/>
      <c r="CW87" s="312"/>
      <c r="CX87" s="322"/>
      <c r="CY87" s="322"/>
      <c r="CZ87" s="322"/>
      <c r="DA87" s="322"/>
      <c r="DB87" s="322"/>
      <c r="DC87" s="322"/>
      <c r="DD87" s="322"/>
      <c r="DE87" s="322"/>
      <c r="DF87" s="322"/>
    </row>
    <row r="88" spans="1:205">
      <c r="C88" s="44">
        <f>C76-D76</f>
        <v>0</v>
      </c>
      <c r="E88" s="44">
        <f>E76-F76</f>
        <v>0</v>
      </c>
      <c r="F88" s="6"/>
      <c r="G88" s="44">
        <f>G76-H76</f>
        <v>0</v>
      </c>
      <c r="H88" s="44"/>
      <c r="I88" s="44">
        <f>I76-J76</f>
        <v>0</v>
      </c>
      <c r="J88" s="4"/>
      <c r="K88" s="4"/>
      <c r="L88" s="4"/>
      <c r="M88" s="44">
        <f>M76-N76</f>
        <v>0</v>
      </c>
      <c r="N88" s="4"/>
      <c r="O88" s="4"/>
      <c r="P88" s="4"/>
      <c r="Q88" s="44">
        <f>Q76-R76</f>
        <v>0</v>
      </c>
      <c r="R88" s="4"/>
      <c r="S88" s="4"/>
      <c r="T88" s="4"/>
      <c r="V88" s="6">
        <v>16</v>
      </c>
      <c r="W88" s="44">
        <f>W76-X76</f>
        <v>0</v>
      </c>
      <c r="X88" s="6"/>
      <c r="Y88" s="44">
        <f>Y76-Z76</f>
        <v>0</v>
      </c>
      <c r="Z88" s="4"/>
      <c r="AA88" s="44">
        <f>AA76-AB76</f>
        <v>0</v>
      </c>
      <c r="AC88" s="44">
        <f>AC76-AD76</f>
        <v>0</v>
      </c>
      <c r="AE88" s="44">
        <f>AE76-AF76</f>
        <v>0</v>
      </c>
      <c r="AG88" s="44">
        <f>AG76-AH76</f>
        <v>0</v>
      </c>
      <c r="AI88" s="44">
        <f>AI76-AJ76</f>
        <v>0</v>
      </c>
      <c r="AM88" s="44">
        <f>AM76-AN76</f>
        <v>0</v>
      </c>
      <c r="AN88" s="326"/>
      <c r="AO88" s="44">
        <f>AO76-AP76</f>
        <v>0</v>
      </c>
      <c r="AP88" s="6">
        <v>16</v>
      </c>
      <c r="AQ88" s="44">
        <f>AQ76-AR76</f>
        <v>0</v>
      </c>
      <c r="AR88" s="4"/>
      <c r="AS88" s="44">
        <f>AS76-AT76</f>
        <v>0</v>
      </c>
      <c r="AT88" s="327"/>
      <c r="AU88" s="44">
        <f>AU76-AV76</f>
        <v>0</v>
      </c>
      <c r="AV88" s="327"/>
      <c r="AW88" s="44">
        <f>AW76-AX76</f>
        <v>0</v>
      </c>
      <c r="AX88" s="327"/>
      <c r="AY88" s="44">
        <f>AY76-AZ76</f>
        <v>0</v>
      </c>
      <c r="AZ88" s="327"/>
      <c r="BA88" s="44">
        <f>BA76-BB76</f>
        <v>0</v>
      </c>
      <c r="BB88" s="327"/>
      <c r="BC88" s="44">
        <f>BC76-BD76</f>
        <v>0</v>
      </c>
      <c r="BD88" s="327"/>
      <c r="BE88" s="326"/>
      <c r="BF88" s="6">
        <v>16</v>
      </c>
      <c r="BG88" s="44">
        <f>BG76-BH76</f>
        <v>0</v>
      </c>
      <c r="BH88" s="6"/>
      <c r="BI88" s="44">
        <f>BI76-BJ76</f>
        <v>0</v>
      </c>
      <c r="BJ88" s="4"/>
      <c r="BK88" s="44">
        <f>BK76-BL76</f>
        <v>0</v>
      </c>
      <c r="BL88" s="4"/>
      <c r="BM88" s="44">
        <f>BM76-BN76</f>
        <v>0</v>
      </c>
      <c r="BN88" s="328"/>
      <c r="BO88" s="44">
        <f>BO76-BP76</f>
        <v>0</v>
      </c>
      <c r="BP88" s="328"/>
      <c r="BQ88" s="44">
        <f>BQ76-BR76</f>
        <v>0</v>
      </c>
      <c r="BS88" s="44">
        <f>BS76-BT76</f>
        <v>0</v>
      </c>
      <c r="BZ88" s="6">
        <v>16</v>
      </c>
      <c r="CA88" s="4"/>
      <c r="CB88" s="4"/>
      <c r="CC88" s="4">
        <f t="shared" si="586"/>
        <v>0</v>
      </c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P88" s="6">
        <v>16</v>
      </c>
      <c r="CQ88" s="6"/>
      <c r="CR88" s="6"/>
      <c r="CS88" s="4">
        <f t="shared" si="587"/>
        <v>0</v>
      </c>
      <c r="CW88" s="329"/>
      <c r="CX88" s="330"/>
      <c r="CY88" s="331"/>
      <c r="CZ88" s="331"/>
      <c r="DA88" s="331"/>
      <c r="DB88" s="331"/>
      <c r="DC88" s="331"/>
      <c r="DD88" s="331"/>
      <c r="DE88" s="331"/>
      <c r="DF88" s="331"/>
    </row>
    <row r="89" spans="1:205">
      <c r="B89" s="332"/>
      <c r="C89" s="332"/>
      <c r="D89" s="332"/>
      <c r="E89" s="332"/>
      <c r="F89" s="306"/>
      <c r="G89" s="4"/>
      <c r="H89" s="333"/>
      <c r="I89" s="4"/>
      <c r="J89" s="333"/>
      <c r="K89" s="333"/>
      <c r="L89" s="333"/>
      <c r="M89" s="333"/>
      <c r="N89" s="333"/>
      <c r="O89" s="333"/>
      <c r="P89" s="333"/>
      <c r="Q89" s="333"/>
      <c r="R89" s="333"/>
      <c r="S89" s="333"/>
      <c r="T89" s="333"/>
      <c r="U89" s="333"/>
      <c r="V89" s="306">
        <v>17</v>
      </c>
      <c r="W89" s="306"/>
      <c r="X89" s="306"/>
      <c r="Y89" s="4"/>
      <c r="Z89" s="4"/>
      <c r="AM89" s="333"/>
      <c r="AN89" s="333"/>
      <c r="AO89" s="333"/>
      <c r="AP89" s="306">
        <v>17</v>
      </c>
      <c r="AQ89" s="4"/>
      <c r="AR89" s="333"/>
      <c r="AS89" s="4"/>
      <c r="AT89" s="333"/>
      <c r="AU89" s="333"/>
      <c r="AV89" s="333"/>
      <c r="AW89" s="333"/>
      <c r="AX89" s="333"/>
      <c r="AY89" s="333"/>
      <c r="AZ89" s="333"/>
      <c r="BA89" s="333"/>
      <c r="BB89" s="333"/>
      <c r="BC89" s="333"/>
      <c r="BD89" s="333"/>
      <c r="BE89" s="333"/>
      <c r="BF89" s="306">
        <v>17</v>
      </c>
      <c r="BG89" s="306"/>
      <c r="BH89" s="306"/>
      <c r="BI89" s="4">
        <f t="shared" ref="BI89:BI140" si="588">BI17-(BM17+BQ17)</f>
        <v>0</v>
      </c>
      <c r="BM89" s="332"/>
      <c r="BN89" s="4"/>
      <c r="BO89" s="4"/>
      <c r="BP89" s="4"/>
      <c r="BQ89" s="333"/>
      <c r="BR89" s="333"/>
      <c r="BS89" s="333"/>
      <c r="BT89" s="333"/>
      <c r="BU89" s="333"/>
      <c r="BV89" s="333"/>
      <c r="BW89" s="333"/>
      <c r="BX89" s="333"/>
      <c r="BY89" s="333"/>
      <c r="BZ89" s="306">
        <v>17</v>
      </c>
      <c r="CA89" s="4"/>
      <c r="CB89" s="333"/>
      <c r="CC89" s="4">
        <f t="shared" si="586"/>
        <v>0</v>
      </c>
      <c r="CD89" s="333"/>
      <c r="CE89" s="333"/>
      <c r="CF89" s="333"/>
      <c r="CG89" s="333"/>
      <c r="CH89" s="333"/>
      <c r="CI89" s="333"/>
      <c r="CJ89" s="333"/>
      <c r="CK89" s="333"/>
      <c r="CL89" s="333"/>
      <c r="CM89" s="333"/>
      <c r="CN89" s="333"/>
      <c r="CO89" s="333"/>
      <c r="CP89" s="306">
        <v>17</v>
      </c>
      <c r="CQ89" s="306"/>
      <c r="CR89" s="306"/>
      <c r="CS89" s="4">
        <f t="shared" si="587"/>
        <v>0</v>
      </c>
      <c r="CW89" s="333"/>
      <c r="CX89" s="313"/>
      <c r="CY89" s="313"/>
      <c r="CZ89" s="313"/>
      <c r="DA89" s="313"/>
      <c r="DB89" s="313"/>
      <c r="DC89" s="313"/>
      <c r="DD89" s="313"/>
      <c r="DE89" s="313"/>
      <c r="DF89" s="313"/>
      <c r="DG89" s="333"/>
      <c r="DH89" s="333"/>
      <c r="DI89" s="333"/>
    </row>
    <row r="90" spans="1:205">
      <c r="B90" s="334" t="s">
        <v>76</v>
      </c>
      <c r="C90" s="332"/>
      <c r="D90" s="332"/>
      <c r="E90" s="332"/>
      <c r="F90" s="6"/>
      <c r="G90" s="4"/>
      <c r="H90" s="333"/>
      <c r="I90" s="4"/>
      <c r="J90" s="333"/>
      <c r="K90" s="333"/>
      <c r="L90" s="333"/>
      <c r="M90" s="333"/>
      <c r="N90" s="333"/>
      <c r="O90" s="333"/>
      <c r="P90" s="333"/>
      <c r="Q90" s="333"/>
      <c r="R90" s="333"/>
      <c r="S90" s="333"/>
      <c r="T90" s="333"/>
      <c r="U90" s="333"/>
      <c r="V90" s="6">
        <v>18</v>
      </c>
      <c r="W90" s="6"/>
      <c r="X90" s="6"/>
      <c r="Y90" s="4"/>
      <c r="Z90" s="4"/>
      <c r="AM90" s="333"/>
      <c r="AN90" s="333"/>
      <c r="AO90" s="333"/>
      <c r="AP90" s="6">
        <v>18</v>
      </c>
      <c r="AQ90" s="4"/>
      <c r="AR90" s="333"/>
      <c r="AS90" s="4"/>
      <c r="AT90" s="333"/>
      <c r="AU90" s="333"/>
      <c r="AV90" s="333"/>
      <c r="AW90" s="333"/>
      <c r="AX90" s="333"/>
      <c r="AY90" s="333"/>
      <c r="AZ90" s="333"/>
      <c r="BA90" s="333"/>
      <c r="BB90" s="333"/>
      <c r="BC90" s="333"/>
      <c r="BD90" s="333"/>
      <c r="BE90" s="333"/>
      <c r="BF90" s="6">
        <v>18</v>
      </c>
      <c r="BG90" s="6"/>
      <c r="BH90" s="6"/>
      <c r="BI90" s="4">
        <f t="shared" si="588"/>
        <v>0</v>
      </c>
      <c r="BJ90" s="313"/>
      <c r="BK90" s="313"/>
      <c r="BL90" s="313"/>
      <c r="BM90" s="313"/>
      <c r="BN90" s="313"/>
      <c r="BO90" s="313"/>
      <c r="BP90" s="313"/>
      <c r="BQ90" s="333"/>
      <c r="BR90" s="333"/>
      <c r="BS90" s="333"/>
      <c r="BT90" s="333"/>
      <c r="BU90" s="333"/>
      <c r="BV90" s="333"/>
      <c r="BW90" s="333"/>
      <c r="BX90" s="333"/>
      <c r="BY90" s="333"/>
      <c r="BZ90" s="6">
        <v>18</v>
      </c>
      <c r="CA90" s="4"/>
      <c r="CB90" s="333"/>
      <c r="CC90" s="4">
        <f t="shared" si="586"/>
        <v>0</v>
      </c>
      <c r="CD90" s="333"/>
      <c r="CE90" s="333"/>
      <c r="CF90" s="333"/>
      <c r="CG90" s="333"/>
      <c r="CH90" s="333"/>
      <c r="CI90" s="333"/>
      <c r="CJ90" s="333"/>
      <c r="CK90" s="333"/>
      <c r="CL90" s="333"/>
      <c r="CM90" s="333"/>
      <c r="CN90" s="333"/>
      <c r="CO90" s="333"/>
      <c r="CP90" s="6">
        <v>18</v>
      </c>
      <c r="CQ90" s="6"/>
      <c r="CR90" s="6"/>
      <c r="CS90" s="4">
        <f t="shared" si="587"/>
        <v>0</v>
      </c>
      <c r="CT90" s="313"/>
      <c r="CU90" s="313"/>
      <c r="CV90" s="313"/>
      <c r="CW90" s="313"/>
      <c r="CX90" s="313"/>
      <c r="CY90" s="313"/>
      <c r="CZ90" s="313"/>
      <c r="DA90" s="313"/>
      <c r="DB90" s="313"/>
      <c r="DC90" s="313"/>
      <c r="DD90" s="313"/>
      <c r="DE90" s="313"/>
      <c r="DF90" s="313"/>
      <c r="DG90" s="333"/>
      <c r="DH90" s="333"/>
      <c r="DI90" s="333"/>
    </row>
    <row r="91" spans="1:205">
      <c r="B91" s="335" t="s">
        <v>77</v>
      </c>
      <c r="C91" s="333"/>
      <c r="D91" s="333"/>
      <c r="E91" s="333"/>
      <c r="F91" s="306"/>
      <c r="G91" s="4"/>
      <c r="H91" s="333"/>
      <c r="I91" s="4"/>
      <c r="J91" s="333"/>
      <c r="K91" s="333"/>
      <c r="L91" s="333"/>
      <c r="M91" s="333"/>
      <c r="N91" s="333"/>
      <c r="O91" s="333"/>
      <c r="P91" s="333"/>
      <c r="Q91" s="333"/>
      <c r="R91" s="333"/>
      <c r="S91" s="333"/>
      <c r="T91" s="333"/>
      <c r="U91" s="333"/>
      <c r="V91" s="306">
        <v>19</v>
      </c>
      <c r="W91" s="306"/>
      <c r="X91" s="306"/>
      <c r="Y91" s="4"/>
      <c r="Z91" s="4"/>
      <c r="AM91" s="333"/>
      <c r="AN91" s="333"/>
      <c r="AO91" s="333"/>
      <c r="AP91" s="306">
        <v>19</v>
      </c>
      <c r="AQ91" s="4"/>
      <c r="AR91" s="333"/>
      <c r="AS91" s="4">
        <f t="shared" ref="AS91:AS140" si="589">AS19-(AW19+BA19)</f>
        <v>0</v>
      </c>
      <c r="AT91" s="333"/>
      <c r="AU91" s="333"/>
      <c r="AV91" s="333"/>
      <c r="AW91" s="333"/>
      <c r="AX91" s="333"/>
      <c r="AY91" s="333"/>
      <c r="AZ91" s="333"/>
      <c r="BA91" s="333"/>
      <c r="BB91" s="333"/>
      <c r="BC91" s="333"/>
      <c r="BD91" s="333"/>
      <c r="BE91" s="333"/>
      <c r="BF91" s="306">
        <v>19</v>
      </c>
      <c r="BG91" s="306"/>
      <c r="BH91" s="306"/>
      <c r="BI91" s="4">
        <f t="shared" si="588"/>
        <v>0</v>
      </c>
      <c r="BJ91" s="333"/>
      <c r="BK91" s="333"/>
      <c r="BL91" s="333"/>
      <c r="BM91" s="333"/>
      <c r="BN91" s="333"/>
      <c r="BO91" s="333"/>
      <c r="BP91" s="333"/>
      <c r="BQ91" s="333"/>
      <c r="BR91" s="333"/>
      <c r="BS91" s="333"/>
      <c r="BT91" s="333"/>
      <c r="BU91" s="333"/>
      <c r="BV91" s="333"/>
      <c r="BW91" s="333"/>
      <c r="BX91" s="333"/>
      <c r="BY91" s="333"/>
      <c r="BZ91" s="306">
        <v>19</v>
      </c>
      <c r="CA91" s="4"/>
      <c r="CB91" s="333"/>
      <c r="CC91" s="4">
        <f t="shared" si="586"/>
        <v>0</v>
      </c>
      <c r="CD91" s="333"/>
      <c r="CE91" s="333"/>
      <c r="CF91" s="333"/>
      <c r="CG91" s="333"/>
      <c r="CH91" s="333"/>
      <c r="CI91" s="333"/>
      <c r="CJ91" s="333"/>
      <c r="CK91" s="333"/>
      <c r="CL91" s="333"/>
      <c r="CM91" s="333"/>
      <c r="CN91" s="333"/>
      <c r="CO91" s="333"/>
      <c r="CP91" s="306">
        <v>19</v>
      </c>
      <c r="CQ91" s="306"/>
      <c r="CR91" s="306"/>
      <c r="CS91" s="4">
        <f t="shared" si="587"/>
        <v>0</v>
      </c>
      <c r="CT91" s="333"/>
      <c r="CU91" s="333"/>
      <c r="CV91" s="333"/>
      <c r="CW91" s="333"/>
      <c r="CX91" s="333"/>
      <c r="CY91" s="333"/>
      <c r="CZ91" s="333"/>
      <c r="DA91" s="333"/>
      <c r="DB91" s="333"/>
      <c r="DC91" s="333"/>
      <c r="DD91" s="333"/>
      <c r="DE91" s="333"/>
      <c r="DF91" s="333"/>
      <c r="DG91" s="333"/>
      <c r="DH91" s="333"/>
      <c r="DI91" s="333"/>
    </row>
    <row r="92" spans="1:205" ht="12.75" customHeight="1">
      <c r="B92" s="336"/>
      <c r="C92" s="333"/>
      <c r="D92" s="333"/>
      <c r="E92" s="333"/>
      <c r="F92" s="6"/>
      <c r="G92" s="4"/>
      <c r="H92" s="333"/>
      <c r="I92" s="4"/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6">
        <v>20</v>
      </c>
      <c r="W92" s="6"/>
      <c r="X92" s="6"/>
      <c r="Y92" s="4"/>
      <c r="Z92" s="4"/>
      <c r="AM92" s="333"/>
      <c r="AN92" s="333"/>
      <c r="AO92" s="333"/>
      <c r="AP92" s="6">
        <v>20</v>
      </c>
      <c r="AQ92" s="4"/>
      <c r="AR92" s="333"/>
      <c r="AS92" s="4">
        <f t="shared" si="589"/>
        <v>0</v>
      </c>
      <c r="AT92" s="333"/>
      <c r="AU92" s="333"/>
      <c r="AV92" s="333"/>
      <c r="AW92" s="333"/>
      <c r="AX92" s="333"/>
      <c r="AY92" s="333"/>
      <c r="AZ92" s="333"/>
      <c r="BA92" s="333"/>
      <c r="BB92" s="333"/>
      <c r="BC92" s="333"/>
      <c r="BD92" s="333"/>
      <c r="BE92" s="333"/>
      <c r="BF92" s="6">
        <v>20</v>
      </c>
      <c r="BG92" s="6"/>
      <c r="BH92" s="6"/>
      <c r="BI92" s="4">
        <f t="shared" si="588"/>
        <v>0</v>
      </c>
      <c r="BJ92" s="333"/>
      <c r="BK92" s="333"/>
      <c r="BL92" s="333"/>
      <c r="BM92" s="333"/>
      <c r="BN92" s="333"/>
      <c r="BO92" s="333"/>
      <c r="BP92" s="333"/>
      <c r="BQ92" s="333"/>
      <c r="BR92" s="333"/>
      <c r="BS92" s="333"/>
      <c r="BT92" s="333"/>
      <c r="BU92" s="333"/>
      <c r="BV92" s="333"/>
      <c r="BW92" s="333"/>
      <c r="BX92" s="333"/>
      <c r="BY92" s="333"/>
      <c r="BZ92" s="6">
        <v>20</v>
      </c>
      <c r="CA92" s="4"/>
      <c r="CB92" s="333"/>
      <c r="CC92" s="4">
        <f t="shared" si="586"/>
        <v>0</v>
      </c>
      <c r="CD92" s="333"/>
      <c r="CE92" s="333"/>
      <c r="CF92" s="333"/>
      <c r="CG92" s="333"/>
      <c r="CH92" s="333"/>
      <c r="CI92" s="333"/>
      <c r="CJ92" s="333"/>
      <c r="CK92" s="333"/>
      <c r="CL92" s="333"/>
      <c r="CM92" s="333"/>
      <c r="CN92" s="333"/>
      <c r="CO92" s="333"/>
      <c r="CP92" s="6">
        <v>20</v>
      </c>
      <c r="CQ92" s="6"/>
      <c r="CR92" s="6"/>
      <c r="CS92" s="4">
        <f t="shared" si="587"/>
        <v>0</v>
      </c>
      <c r="CT92" s="333"/>
      <c r="CU92" s="333"/>
      <c r="CV92" s="333"/>
      <c r="CW92" s="333"/>
      <c r="CX92" s="333"/>
      <c r="CY92" s="333"/>
      <c r="CZ92" s="333"/>
      <c r="DA92" s="333"/>
      <c r="DB92" s="333"/>
      <c r="DC92" s="333"/>
      <c r="DD92" s="333"/>
      <c r="DE92" s="333"/>
      <c r="DF92" s="333"/>
      <c r="DG92" s="333"/>
      <c r="DH92" s="333"/>
      <c r="DI92" s="333"/>
    </row>
    <row r="93" spans="1:205" ht="12.75" customHeight="1">
      <c r="B93" s="337" t="s">
        <v>78</v>
      </c>
      <c r="C93" s="333"/>
      <c r="D93" s="333"/>
      <c r="E93" s="333"/>
      <c r="F93" s="306"/>
      <c r="G93" s="4"/>
      <c r="H93" s="333"/>
      <c r="I93" s="4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06">
        <v>21</v>
      </c>
      <c r="W93" s="306"/>
      <c r="X93" s="306"/>
      <c r="Y93" s="4"/>
      <c r="Z93" s="4"/>
      <c r="AM93" s="333"/>
      <c r="AN93" s="333"/>
      <c r="AO93" s="333"/>
      <c r="AP93" s="306">
        <v>21</v>
      </c>
      <c r="AQ93" s="4"/>
      <c r="AR93" s="333"/>
      <c r="AS93" s="4">
        <f t="shared" si="589"/>
        <v>0</v>
      </c>
      <c r="AT93" s="333"/>
      <c r="AU93" s="333"/>
      <c r="AV93" s="333"/>
      <c r="AW93" s="333"/>
      <c r="AX93" s="333"/>
      <c r="AY93" s="333"/>
      <c r="AZ93" s="333"/>
      <c r="BA93" s="333"/>
      <c r="BB93" s="333"/>
      <c r="BC93" s="333"/>
      <c r="BD93" s="333"/>
      <c r="BE93" s="333"/>
      <c r="BF93" s="306">
        <v>21</v>
      </c>
      <c r="BG93" s="306"/>
      <c r="BH93" s="306"/>
      <c r="BI93" s="4">
        <f t="shared" si="588"/>
        <v>0</v>
      </c>
      <c r="BM93" s="338"/>
      <c r="BQ93" s="339"/>
      <c r="BW93" s="333"/>
      <c r="BX93" s="333"/>
      <c r="BY93" s="333"/>
      <c r="BZ93" s="306">
        <v>21</v>
      </c>
      <c r="CA93" s="4"/>
      <c r="CB93" s="333"/>
      <c r="CC93" s="4">
        <f t="shared" si="586"/>
        <v>0</v>
      </c>
      <c r="CD93" s="333"/>
      <c r="CE93" s="333"/>
      <c r="CF93" s="333"/>
      <c r="CG93" s="333"/>
      <c r="CH93" s="333"/>
      <c r="CI93" s="333"/>
      <c r="CJ93" s="333"/>
      <c r="CK93" s="333"/>
      <c r="CL93" s="333"/>
      <c r="CM93" s="333"/>
      <c r="CN93" s="333"/>
      <c r="CO93" s="333"/>
      <c r="CP93" s="306">
        <v>21</v>
      </c>
      <c r="CQ93" s="306"/>
      <c r="CR93" s="306"/>
      <c r="CS93" s="4">
        <f t="shared" si="587"/>
        <v>0</v>
      </c>
      <c r="CT93" s="333"/>
      <c r="CU93" s="333"/>
      <c r="CV93" s="333"/>
      <c r="CW93" s="333"/>
      <c r="CX93" s="333"/>
      <c r="CY93" s="333"/>
      <c r="CZ93" s="333"/>
      <c r="DA93" s="333"/>
      <c r="DB93" s="333"/>
      <c r="DC93" s="333"/>
      <c r="DD93" s="333"/>
      <c r="DE93" s="333"/>
      <c r="DF93" s="333"/>
      <c r="DG93" s="333"/>
      <c r="DH93" s="333"/>
      <c r="DI93" s="333"/>
    </row>
    <row r="94" spans="1:205">
      <c r="B94" s="337" t="s">
        <v>78</v>
      </c>
      <c r="C94" s="333"/>
      <c r="D94" s="333"/>
      <c r="E94" s="333"/>
      <c r="F94" s="6"/>
      <c r="G94" s="4"/>
      <c r="H94" s="333"/>
      <c r="I94" s="4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2"/>
      <c r="V94" s="6">
        <v>22</v>
      </c>
      <c r="W94" s="6"/>
      <c r="X94" s="6"/>
      <c r="Y94" s="4"/>
      <c r="Z94" s="4"/>
      <c r="AM94" s="333"/>
      <c r="AN94" s="333"/>
      <c r="AO94" s="333"/>
      <c r="AP94" s="6">
        <v>22</v>
      </c>
      <c r="AQ94" s="4"/>
      <c r="AR94" s="333"/>
      <c r="AS94" s="4">
        <f t="shared" si="589"/>
        <v>0</v>
      </c>
      <c r="AT94" s="333"/>
      <c r="AU94" s="333"/>
      <c r="AV94" s="333"/>
      <c r="AW94" s="333"/>
      <c r="AX94" s="333"/>
      <c r="AY94" s="333"/>
      <c r="AZ94" s="333"/>
      <c r="BA94" s="333"/>
      <c r="BB94" s="333"/>
      <c r="BC94" s="333"/>
      <c r="BD94" s="333"/>
      <c r="BE94" s="333"/>
      <c r="BF94" s="6">
        <v>22</v>
      </c>
      <c r="BG94" s="6"/>
      <c r="BH94" s="6"/>
      <c r="BI94" s="4">
        <f t="shared" si="588"/>
        <v>0</v>
      </c>
      <c r="BM94" s="338"/>
      <c r="BQ94" s="339"/>
      <c r="BW94" s="333"/>
      <c r="BX94" s="333"/>
      <c r="BY94" s="333"/>
      <c r="BZ94" s="6">
        <v>22</v>
      </c>
      <c r="CA94" s="4"/>
      <c r="CB94" s="333"/>
      <c r="CC94" s="4">
        <f t="shared" si="586"/>
        <v>0</v>
      </c>
      <c r="CD94" s="333"/>
      <c r="CE94" s="333"/>
      <c r="CF94" s="333"/>
      <c r="CG94" s="333"/>
      <c r="CH94" s="333"/>
      <c r="CI94" s="333"/>
      <c r="CJ94" s="333"/>
      <c r="CK94" s="333"/>
      <c r="CL94" s="333"/>
      <c r="CM94" s="333"/>
      <c r="CN94" s="333"/>
      <c r="CO94" s="333"/>
      <c r="CP94" s="6">
        <v>22</v>
      </c>
      <c r="CQ94" s="6"/>
      <c r="CR94" s="6"/>
      <c r="CS94" s="4">
        <f t="shared" si="587"/>
        <v>0</v>
      </c>
      <c r="CT94" s="333"/>
      <c r="CU94" s="333"/>
      <c r="CV94" s="333"/>
      <c r="CW94" s="333"/>
      <c r="CX94" s="333"/>
      <c r="CY94" s="333"/>
      <c r="CZ94" s="333"/>
      <c r="DA94" s="333"/>
      <c r="DB94" s="333"/>
      <c r="DC94" s="333"/>
      <c r="DD94" s="333"/>
      <c r="DE94" s="333"/>
      <c r="DF94" s="333"/>
      <c r="DG94" s="333"/>
      <c r="DH94" s="333"/>
      <c r="DI94" s="333"/>
    </row>
    <row r="95" spans="1:205" ht="13.5">
      <c r="B95" s="337" t="s">
        <v>79</v>
      </c>
      <c r="C95" s="332"/>
      <c r="D95" s="332"/>
      <c r="E95" s="332"/>
      <c r="F95" s="306"/>
      <c r="G95" s="4"/>
      <c r="H95" s="332"/>
      <c r="I95" s="4"/>
      <c r="J95" s="332"/>
      <c r="K95" s="332"/>
      <c r="L95" s="332"/>
      <c r="M95" s="332"/>
      <c r="N95" s="332"/>
      <c r="O95" s="332"/>
      <c r="P95" s="332"/>
      <c r="Q95" s="332"/>
      <c r="R95" s="332"/>
      <c r="S95" s="332"/>
      <c r="T95" s="332"/>
      <c r="U95" s="340"/>
      <c r="V95" s="306">
        <v>23</v>
      </c>
      <c r="W95" s="306"/>
      <c r="X95" s="306"/>
      <c r="Y95" s="4"/>
      <c r="Z95" s="4"/>
      <c r="AM95" s="332"/>
      <c r="AN95" s="332"/>
      <c r="AO95" s="332"/>
      <c r="AP95" s="306">
        <v>23</v>
      </c>
      <c r="AQ95" s="4"/>
      <c r="AR95" s="332"/>
      <c r="AS95" s="4">
        <f t="shared" si="589"/>
        <v>0</v>
      </c>
      <c r="AT95" s="332"/>
      <c r="AU95" s="332"/>
      <c r="AV95" s="332"/>
      <c r="AW95" s="332"/>
      <c r="AX95" s="332"/>
      <c r="AY95" s="332"/>
      <c r="AZ95" s="332"/>
      <c r="BA95" s="332"/>
      <c r="BB95" s="332"/>
      <c r="BC95" s="332"/>
      <c r="BD95" s="332"/>
      <c r="BE95" s="332"/>
      <c r="BF95" s="306">
        <v>23</v>
      </c>
      <c r="BG95" s="306"/>
      <c r="BH95" s="306"/>
      <c r="BI95" s="4">
        <f t="shared" si="588"/>
        <v>0</v>
      </c>
      <c r="BM95" s="338"/>
      <c r="BQ95" s="339"/>
      <c r="BW95" s="332"/>
      <c r="BX95" s="332"/>
      <c r="BY95" s="332"/>
      <c r="BZ95" s="306">
        <v>23</v>
      </c>
      <c r="CA95" s="4"/>
      <c r="CB95" s="332"/>
      <c r="CC95" s="4">
        <f t="shared" si="586"/>
        <v>0</v>
      </c>
      <c r="CD95" s="332"/>
      <c r="CE95" s="332"/>
      <c r="CF95" s="332"/>
      <c r="CG95" s="332"/>
      <c r="CH95" s="332"/>
      <c r="CI95" s="332"/>
      <c r="CJ95" s="332"/>
      <c r="CK95" s="332"/>
      <c r="CL95" s="332"/>
      <c r="CM95" s="332"/>
      <c r="CN95" s="332"/>
      <c r="CO95" s="332"/>
      <c r="CP95" s="306">
        <v>23</v>
      </c>
      <c r="CQ95" s="306"/>
      <c r="CR95" s="306"/>
      <c r="CS95" s="4">
        <f t="shared" si="587"/>
        <v>0</v>
      </c>
      <c r="CT95" s="332"/>
      <c r="CU95" s="332"/>
      <c r="CV95" s="332"/>
      <c r="CW95" s="332"/>
      <c r="CX95" s="332"/>
      <c r="CY95" s="332"/>
      <c r="CZ95" s="332"/>
      <c r="DA95" s="332"/>
      <c r="DB95" s="332"/>
      <c r="DC95" s="332"/>
      <c r="DD95" s="332"/>
      <c r="DE95" s="332"/>
      <c r="DF95" s="332"/>
      <c r="DG95" s="332"/>
      <c r="DH95" s="332"/>
      <c r="DI95" s="332"/>
    </row>
    <row r="96" spans="1:205" ht="13.15" customHeight="1">
      <c r="B96" s="337" t="s">
        <v>80</v>
      </c>
      <c r="C96" s="340"/>
      <c r="D96" s="340"/>
      <c r="E96" s="340"/>
      <c r="F96" s="6"/>
      <c r="G96" s="4"/>
      <c r="H96" s="340"/>
      <c r="I96" s="4"/>
      <c r="J96" s="340"/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6">
        <v>24</v>
      </c>
      <c r="W96" s="6"/>
      <c r="X96" s="6"/>
      <c r="Y96" s="4"/>
      <c r="Z96" s="4"/>
      <c r="AM96" s="340"/>
      <c r="AN96" s="340"/>
      <c r="AO96" s="340"/>
      <c r="AP96" s="6">
        <v>24</v>
      </c>
      <c r="AQ96" s="4"/>
      <c r="AR96" s="340"/>
      <c r="AS96" s="4">
        <f t="shared" si="589"/>
        <v>0</v>
      </c>
      <c r="AT96" s="340"/>
      <c r="AU96" s="340"/>
      <c r="AV96" s="340"/>
      <c r="AW96" s="340"/>
      <c r="AX96" s="340"/>
      <c r="AY96" s="340"/>
      <c r="AZ96" s="340"/>
      <c r="BA96" s="340"/>
      <c r="BB96" s="340"/>
      <c r="BC96" s="340"/>
      <c r="BD96" s="340"/>
      <c r="BE96" s="340"/>
      <c r="BF96" s="6">
        <v>24</v>
      </c>
      <c r="BG96" s="6"/>
      <c r="BH96" s="6"/>
      <c r="BI96" s="4">
        <f t="shared" si="588"/>
        <v>0</v>
      </c>
      <c r="BJ96" s="340"/>
      <c r="BK96" s="340"/>
      <c r="BL96" s="340"/>
      <c r="BM96" s="340"/>
      <c r="BN96" s="340"/>
      <c r="BO96" s="340"/>
      <c r="BP96" s="340"/>
      <c r="BQ96" s="340"/>
      <c r="BR96" s="340"/>
      <c r="BS96" s="340"/>
      <c r="BT96" s="340"/>
      <c r="BU96" s="340"/>
      <c r="BV96" s="340"/>
      <c r="BW96" s="340"/>
      <c r="BX96" s="340"/>
      <c r="BY96" s="340"/>
      <c r="BZ96" s="6">
        <v>24</v>
      </c>
      <c r="CA96" s="4"/>
      <c r="CB96" s="340"/>
      <c r="CC96" s="4">
        <f t="shared" si="586"/>
        <v>0</v>
      </c>
      <c r="CD96" s="340"/>
      <c r="CE96" s="340"/>
      <c r="CF96" s="340"/>
      <c r="CG96" s="340"/>
      <c r="CH96" s="340"/>
      <c r="CI96" s="340"/>
      <c r="CJ96" s="340"/>
      <c r="CK96" s="340"/>
      <c r="CL96" s="340"/>
      <c r="CM96" s="340"/>
      <c r="CN96" s="340"/>
      <c r="CO96" s="340"/>
      <c r="CP96" s="6">
        <v>24</v>
      </c>
      <c r="CQ96" s="6"/>
      <c r="CR96" s="6"/>
      <c r="CS96" s="4">
        <f t="shared" si="587"/>
        <v>0</v>
      </c>
      <c r="CT96" s="340"/>
      <c r="CU96" s="340"/>
      <c r="CV96" s="340"/>
      <c r="CW96" s="340"/>
      <c r="CX96" s="340"/>
      <c r="CY96" s="340"/>
      <c r="CZ96" s="340"/>
      <c r="DA96" s="340"/>
      <c r="DB96" s="340"/>
      <c r="DC96" s="340"/>
      <c r="DD96" s="340"/>
      <c r="DE96" s="340"/>
      <c r="DF96" s="340"/>
      <c r="DG96" s="340"/>
      <c r="DH96" s="340"/>
      <c r="DI96" s="340"/>
    </row>
    <row r="97" spans="2:113" ht="10.5" customHeight="1">
      <c r="B97" s="337" t="s">
        <v>81</v>
      </c>
      <c r="C97" s="340"/>
      <c r="D97" s="340"/>
      <c r="E97" s="340"/>
      <c r="F97" s="306"/>
      <c r="G97" s="4"/>
      <c r="H97" s="340"/>
      <c r="I97" s="4"/>
      <c r="J97" s="340"/>
      <c r="K97" s="340"/>
      <c r="L97" s="340"/>
      <c r="M97" s="340"/>
      <c r="N97" s="340"/>
      <c r="O97" s="340"/>
      <c r="P97" s="340"/>
      <c r="Q97" s="340"/>
      <c r="R97" s="340"/>
      <c r="S97" s="340"/>
      <c r="T97" s="340"/>
      <c r="U97" s="341"/>
      <c r="V97" s="306">
        <v>25</v>
      </c>
      <c r="W97" s="306"/>
      <c r="X97" s="306"/>
      <c r="Y97" s="4"/>
      <c r="Z97" s="4"/>
      <c r="AM97" s="340"/>
      <c r="AN97" s="340"/>
      <c r="AO97" s="340"/>
      <c r="AP97" s="306">
        <v>25</v>
      </c>
      <c r="AQ97" s="4"/>
      <c r="AR97" s="340"/>
      <c r="AS97" s="4">
        <f t="shared" si="589"/>
        <v>0</v>
      </c>
      <c r="AT97" s="340"/>
      <c r="AU97" s="340"/>
      <c r="AV97" s="340"/>
      <c r="AW97" s="340"/>
      <c r="AX97" s="340"/>
      <c r="AY97" s="340"/>
      <c r="AZ97" s="340"/>
      <c r="BA97" s="340"/>
      <c r="BB97" s="340"/>
      <c r="BC97" s="340"/>
      <c r="BD97" s="340"/>
      <c r="BE97" s="340"/>
      <c r="BF97" s="306">
        <v>25</v>
      </c>
      <c r="BG97" s="306"/>
      <c r="BH97" s="306"/>
      <c r="BI97" s="4">
        <f t="shared" si="588"/>
        <v>0</v>
      </c>
      <c r="BJ97" s="340"/>
      <c r="BK97" s="340"/>
      <c r="BL97" s="340"/>
      <c r="BM97" s="340"/>
      <c r="BN97" s="340"/>
      <c r="BO97" s="340"/>
      <c r="BP97" s="340"/>
      <c r="BQ97" s="340"/>
      <c r="BR97" s="340"/>
      <c r="BS97" s="340"/>
      <c r="BT97" s="340"/>
      <c r="BU97" s="340"/>
      <c r="BV97" s="340"/>
      <c r="BW97" s="340"/>
      <c r="BX97" s="340"/>
      <c r="BY97" s="340"/>
      <c r="BZ97" s="306">
        <v>25</v>
      </c>
      <c r="CA97" s="4"/>
      <c r="CB97" s="340"/>
      <c r="CC97" s="4">
        <f t="shared" si="586"/>
        <v>0</v>
      </c>
      <c r="CD97" s="340"/>
      <c r="CE97" s="340"/>
      <c r="CF97" s="340"/>
      <c r="CG97" s="340"/>
      <c r="CH97" s="340"/>
      <c r="CI97" s="340"/>
      <c r="CJ97" s="340"/>
      <c r="CK97" s="340"/>
      <c r="CL97" s="340"/>
      <c r="CM97" s="340"/>
      <c r="CN97" s="340"/>
      <c r="CO97" s="340"/>
      <c r="CP97" s="306">
        <v>25</v>
      </c>
      <c r="CQ97" s="306"/>
      <c r="CR97" s="306"/>
      <c r="CS97" s="4">
        <f t="shared" si="587"/>
        <v>0</v>
      </c>
      <c r="CT97" s="340"/>
      <c r="CU97" s="340"/>
      <c r="CV97" s="340"/>
      <c r="CW97" s="340"/>
      <c r="CX97" s="340"/>
      <c r="CY97" s="340"/>
      <c r="CZ97" s="340"/>
      <c r="DA97" s="340"/>
      <c r="DB97" s="340"/>
      <c r="DC97" s="340"/>
      <c r="DD97" s="340"/>
      <c r="DE97" s="340"/>
      <c r="DF97" s="340"/>
      <c r="DG97" s="340"/>
      <c r="DH97" s="340"/>
      <c r="DI97" s="340"/>
    </row>
    <row r="98" spans="2:113" ht="13.5">
      <c r="B98" s="337" t="s">
        <v>82</v>
      </c>
      <c r="C98" s="341"/>
      <c r="D98" s="341"/>
      <c r="E98" s="341"/>
      <c r="F98" s="6"/>
      <c r="G98" s="4"/>
      <c r="H98" s="341"/>
      <c r="I98" s="4"/>
      <c r="J98" s="341"/>
      <c r="K98" s="341"/>
      <c r="L98" s="341"/>
      <c r="M98" s="341"/>
      <c r="N98" s="341"/>
      <c r="O98" s="341"/>
      <c r="P98" s="341"/>
      <c r="Q98" s="341"/>
      <c r="R98" s="341"/>
      <c r="S98" s="341"/>
      <c r="T98" s="341"/>
      <c r="U98" s="341"/>
      <c r="V98" s="6">
        <v>26</v>
      </c>
      <c r="W98" s="6"/>
      <c r="X98" s="6"/>
      <c r="Y98" s="4"/>
      <c r="Z98" s="4"/>
      <c r="AM98" s="340"/>
      <c r="AN98" s="340"/>
      <c r="AO98" s="340"/>
      <c r="AP98" s="6">
        <v>26</v>
      </c>
      <c r="AQ98" s="4"/>
      <c r="AR98" s="341"/>
      <c r="AS98" s="4">
        <f t="shared" si="589"/>
        <v>0</v>
      </c>
      <c r="AT98" s="340"/>
      <c r="AU98" s="340"/>
      <c r="AV98" s="340"/>
      <c r="AW98" s="340"/>
      <c r="AX98" s="340"/>
      <c r="AY98" s="340"/>
      <c r="AZ98" s="340"/>
      <c r="BA98" s="340"/>
      <c r="BB98" s="340"/>
      <c r="BC98" s="340"/>
      <c r="BD98" s="340"/>
      <c r="BE98" s="340"/>
      <c r="BF98" s="6">
        <v>26</v>
      </c>
      <c r="BG98" s="6"/>
      <c r="BH98" s="6"/>
      <c r="BI98" s="4">
        <f t="shared" si="588"/>
        <v>0</v>
      </c>
      <c r="BJ98" s="340"/>
      <c r="BK98" s="340"/>
      <c r="BL98" s="340"/>
      <c r="BM98" s="340"/>
      <c r="BN98" s="340"/>
      <c r="BO98" s="340"/>
      <c r="BP98" s="340"/>
      <c r="BQ98" s="340"/>
      <c r="BR98" s="340"/>
      <c r="BS98" s="340"/>
      <c r="BT98" s="340"/>
      <c r="BU98" s="340"/>
      <c r="BV98" s="340"/>
      <c r="BW98" s="341"/>
      <c r="BX98" s="341"/>
      <c r="BY98" s="341"/>
      <c r="BZ98" s="6">
        <v>26</v>
      </c>
      <c r="CA98" s="4"/>
      <c r="CB98" s="341"/>
      <c r="CC98" s="4">
        <f t="shared" si="586"/>
        <v>0</v>
      </c>
      <c r="CD98" s="341"/>
      <c r="CE98" s="341"/>
      <c r="CF98" s="341"/>
      <c r="CG98" s="341"/>
      <c r="CH98" s="341"/>
      <c r="CI98" s="341"/>
      <c r="CJ98" s="341"/>
      <c r="CK98" s="341"/>
      <c r="CL98" s="341"/>
      <c r="CM98" s="341"/>
      <c r="CN98" s="341"/>
      <c r="CO98" s="341"/>
      <c r="CP98" s="6">
        <v>26</v>
      </c>
      <c r="CQ98" s="6"/>
      <c r="CR98" s="6"/>
      <c r="CS98" s="4">
        <f t="shared" si="587"/>
        <v>0</v>
      </c>
      <c r="CT98" s="341"/>
      <c r="CU98" s="341"/>
      <c r="CV98" s="341"/>
      <c r="CW98" s="341"/>
      <c r="CX98" s="341"/>
      <c r="CY98" s="341"/>
      <c r="CZ98" s="341"/>
      <c r="DA98" s="341"/>
      <c r="DB98" s="341"/>
      <c r="DC98" s="341"/>
      <c r="DD98" s="341"/>
      <c r="DE98" s="341"/>
      <c r="DF98" s="341"/>
      <c r="DG98" s="341"/>
      <c r="DH98" s="341"/>
      <c r="DI98" s="341"/>
    </row>
    <row r="99" spans="2:113" ht="13.5">
      <c r="B99" s="342" t="s">
        <v>83</v>
      </c>
      <c r="F99" s="306"/>
      <c r="G99" s="4"/>
      <c r="H99" s="341"/>
      <c r="I99" s="4"/>
      <c r="J99" s="341"/>
      <c r="K99" s="341"/>
      <c r="L99" s="341"/>
      <c r="M99" s="341"/>
      <c r="N99" s="341"/>
      <c r="O99" s="341"/>
      <c r="P99" s="341"/>
      <c r="Q99" s="341"/>
      <c r="R99" s="341"/>
      <c r="S99" s="341"/>
      <c r="T99" s="341"/>
      <c r="V99" s="306">
        <v>27</v>
      </c>
      <c r="W99" s="306"/>
      <c r="X99" s="306"/>
      <c r="Y99" s="4"/>
      <c r="Z99" s="4"/>
      <c r="AM99" s="341"/>
      <c r="AN99" s="341"/>
      <c r="AO99" s="341"/>
      <c r="AP99" s="306">
        <v>27</v>
      </c>
      <c r="AQ99" s="4"/>
      <c r="AR99" s="341"/>
      <c r="AS99" s="4">
        <f t="shared" si="589"/>
        <v>0</v>
      </c>
      <c r="AT99" s="341"/>
      <c r="AU99" s="341"/>
      <c r="AV99" s="341"/>
      <c r="AW99" s="341"/>
      <c r="AX99" s="341"/>
      <c r="AY99" s="341"/>
      <c r="AZ99" s="341"/>
      <c r="BA99" s="341"/>
      <c r="BB99" s="341"/>
      <c r="BC99" s="341"/>
      <c r="BD99" s="341"/>
      <c r="BE99" s="341"/>
      <c r="BF99" s="306">
        <v>27</v>
      </c>
      <c r="BG99" s="306"/>
      <c r="BH99" s="306"/>
      <c r="BI99" s="4">
        <f t="shared" si="588"/>
        <v>0</v>
      </c>
      <c r="BM99" s="338"/>
      <c r="BQ99" s="339"/>
      <c r="BW99" s="341"/>
      <c r="BX99" s="341"/>
      <c r="BY99" s="341"/>
      <c r="BZ99" s="306">
        <v>27</v>
      </c>
      <c r="CA99" s="4"/>
      <c r="CB99" s="341"/>
      <c r="CC99" s="4">
        <f t="shared" si="586"/>
        <v>0</v>
      </c>
      <c r="CD99" s="341"/>
      <c r="CE99" s="341"/>
      <c r="CF99" s="341"/>
      <c r="CG99" s="341"/>
      <c r="CH99" s="341"/>
      <c r="CI99" s="341"/>
      <c r="CJ99" s="341"/>
      <c r="CK99" s="341"/>
      <c r="CL99" s="341"/>
      <c r="CM99" s="341"/>
      <c r="CN99" s="341"/>
      <c r="CO99" s="341"/>
      <c r="CP99" s="306">
        <v>27</v>
      </c>
      <c r="CQ99" s="306"/>
      <c r="CR99" s="306"/>
      <c r="CS99" s="4">
        <f t="shared" si="587"/>
        <v>0</v>
      </c>
      <c r="CT99" s="341"/>
      <c r="CU99" s="341"/>
      <c r="CV99" s="341"/>
      <c r="CW99" s="341"/>
      <c r="CX99" s="341"/>
      <c r="CY99" s="341"/>
      <c r="CZ99" s="341"/>
      <c r="DA99" s="341"/>
      <c r="DB99" s="341"/>
      <c r="DC99" s="341"/>
      <c r="DD99" s="341"/>
      <c r="DE99" s="341"/>
      <c r="DF99" s="341"/>
      <c r="DG99" s="341"/>
      <c r="DH99" s="341"/>
      <c r="DI99" s="341"/>
    </row>
    <row r="100" spans="2:113" ht="13.5">
      <c r="B100" s="342" t="s">
        <v>84</v>
      </c>
      <c r="F100" s="6"/>
      <c r="G100" s="4"/>
      <c r="H100" s="333"/>
      <c r="I100" s="4"/>
      <c r="J100" s="333"/>
      <c r="K100" s="333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6">
        <v>28</v>
      </c>
      <c r="W100" s="6"/>
      <c r="X100" s="6"/>
      <c r="Y100" s="4"/>
      <c r="Z100" s="4"/>
      <c r="AM100" s="333"/>
      <c r="AN100" s="333"/>
      <c r="AO100" s="333"/>
      <c r="AP100" s="6">
        <v>28</v>
      </c>
      <c r="AQ100" s="4"/>
      <c r="AR100" s="333"/>
      <c r="AS100" s="4">
        <f t="shared" si="589"/>
        <v>0</v>
      </c>
      <c r="AT100" s="333"/>
      <c r="AU100" s="333"/>
      <c r="AV100" s="333"/>
      <c r="AW100" s="333"/>
      <c r="AX100" s="333"/>
      <c r="AY100" s="333"/>
      <c r="AZ100" s="333"/>
      <c r="BA100" s="333"/>
      <c r="BB100" s="333"/>
      <c r="BC100" s="333"/>
      <c r="BD100" s="333"/>
      <c r="BE100" s="333"/>
      <c r="BF100" s="6">
        <v>28</v>
      </c>
      <c r="BG100" s="6"/>
      <c r="BH100" s="6"/>
      <c r="BI100" s="4">
        <f t="shared" si="588"/>
        <v>0</v>
      </c>
      <c r="BM100" s="338"/>
      <c r="BQ100" s="339"/>
      <c r="BW100" s="333"/>
      <c r="BX100" s="333"/>
      <c r="BY100" s="333"/>
      <c r="BZ100" s="6">
        <v>28</v>
      </c>
      <c r="CA100" s="4"/>
      <c r="CB100" s="333"/>
      <c r="CC100" s="4">
        <f t="shared" si="586"/>
        <v>0</v>
      </c>
      <c r="CD100" s="333"/>
      <c r="CE100" s="333"/>
      <c r="CF100" s="333"/>
      <c r="CG100" s="333"/>
      <c r="CH100" s="333"/>
      <c r="CI100" s="333"/>
      <c r="CJ100" s="333"/>
      <c r="CK100" s="333"/>
      <c r="CL100" s="333"/>
      <c r="CM100" s="333"/>
      <c r="CN100" s="333"/>
      <c r="CO100" s="333"/>
      <c r="CP100" s="6">
        <v>28</v>
      </c>
      <c r="CQ100" s="6"/>
      <c r="CR100" s="6"/>
      <c r="CS100" s="4">
        <f t="shared" si="587"/>
        <v>0</v>
      </c>
      <c r="CT100" s="333"/>
      <c r="CU100" s="333"/>
      <c r="CV100" s="333"/>
      <c r="CW100" s="333"/>
      <c r="CX100" s="333"/>
      <c r="CY100" s="333"/>
      <c r="CZ100" s="333"/>
      <c r="DA100" s="333"/>
      <c r="DB100" s="333"/>
      <c r="DC100" s="333"/>
      <c r="DD100" s="333"/>
      <c r="DE100" s="333"/>
      <c r="DF100" s="333"/>
      <c r="DG100" s="333"/>
      <c r="DH100" s="333"/>
      <c r="DI100" s="333"/>
    </row>
    <row r="101" spans="2:113" ht="13.5">
      <c r="B101" s="337" t="s">
        <v>85</v>
      </c>
      <c r="F101" s="306"/>
      <c r="G101" s="4"/>
      <c r="H101" s="333"/>
      <c r="I101" s="4"/>
      <c r="J101" s="333"/>
      <c r="K101" s="333"/>
      <c r="L101" s="333"/>
      <c r="M101" s="333"/>
      <c r="N101" s="333"/>
      <c r="O101" s="333"/>
      <c r="P101" s="333"/>
      <c r="Q101" s="333"/>
      <c r="R101" s="333"/>
      <c r="S101" s="333"/>
      <c r="T101" s="333"/>
      <c r="U101" s="333"/>
      <c r="V101" s="306">
        <v>29</v>
      </c>
      <c r="W101" s="306"/>
      <c r="X101" s="306"/>
      <c r="Y101" s="4"/>
      <c r="Z101" s="4"/>
      <c r="AM101" s="333"/>
      <c r="AN101" s="333"/>
      <c r="AO101" s="333"/>
      <c r="AP101" s="306">
        <v>29</v>
      </c>
      <c r="AQ101" s="4"/>
      <c r="AR101" s="333"/>
      <c r="AS101" s="4">
        <f t="shared" si="589"/>
        <v>0</v>
      </c>
      <c r="AT101" s="333"/>
      <c r="AU101" s="333"/>
      <c r="AV101" s="333"/>
      <c r="AW101" s="333"/>
      <c r="AX101" s="333"/>
      <c r="AY101" s="333"/>
      <c r="AZ101" s="333"/>
      <c r="BA101" s="333"/>
      <c r="BB101" s="333"/>
      <c r="BC101" s="333"/>
      <c r="BD101" s="333"/>
      <c r="BE101" s="333"/>
      <c r="BF101" s="306">
        <v>29</v>
      </c>
      <c r="BG101" s="306"/>
      <c r="BH101" s="306"/>
      <c r="BI101" s="4">
        <f t="shared" si="588"/>
        <v>0</v>
      </c>
      <c r="BM101" s="338"/>
      <c r="BQ101" s="339"/>
      <c r="BW101" s="333"/>
      <c r="BX101" s="333"/>
      <c r="BY101" s="333"/>
      <c r="BZ101" s="306">
        <v>29</v>
      </c>
      <c r="CA101" s="4"/>
      <c r="CB101" s="333"/>
      <c r="CC101" s="4">
        <f t="shared" si="586"/>
        <v>0</v>
      </c>
      <c r="CD101" s="333"/>
      <c r="CE101" s="333"/>
      <c r="CF101" s="333"/>
      <c r="CG101" s="333"/>
      <c r="CH101" s="333"/>
      <c r="CI101" s="333"/>
      <c r="CJ101" s="333"/>
      <c r="CK101" s="333"/>
      <c r="CL101" s="333"/>
      <c r="CM101" s="333"/>
      <c r="CN101" s="333"/>
      <c r="CO101" s="333"/>
      <c r="CP101" s="306">
        <v>29</v>
      </c>
      <c r="CQ101" s="306"/>
      <c r="CR101" s="306"/>
      <c r="CS101" s="4">
        <f t="shared" si="587"/>
        <v>0</v>
      </c>
      <c r="CT101" s="333"/>
      <c r="CU101" s="333"/>
      <c r="CV101" s="333"/>
      <c r="CW101" s="333"/>
      <c r="CX101" s="333"/>
      <c r="CY101" s="333"/>
      <c r="CZ101" s="333"/>
      <c r="DA101" s="333"/>
      <c r="DB101" s="333"/>
      <c r="DC101" s="333"/>
      <c r="DD101" s="333"/>
      <c r="DE101" s="333"/>
      <c r="DF101" s="333"/>
      <c r="DG101" s="333"/>
      <c r="DH101" s="333"/>
      <c r="DI101" s="333"/>
    </row>
    <row r="102" spans="2:113" ht="13.5">
      <c r="B102" s="337" t="s">
        <v>86</v>
      </c>
      <c r="F102" s="6"/>
      <c r="G102" s="4"/>
      <c r="H102" s="333"/>
      <c r="I102" s="4"/>
      <c r="J102" s="333"/>
      <c r="K102" s="333"/>
      <c r="L102" s="333"/>
      <c r="M102" s="333"/>
      <c r="N102" s="333"/>
      <c r="O102" s="333"/>
      <c r="P102" s="333"/>
      <c r="Q102" s="333"/>
      <c r="R102" s="333"/>
      <c r="S102" s="333"/>
      <c r="T102" s="333"/>
      <c r="U102" s="333"/>
      <c r="V102" s="6">
        <v>30</v>
      </c>
      <c r="W102" s="6"/>
      <c r="X102" s="6"/>
      <c r="Y102" s="4"/>
      <c r="Z102" s="4"/>
      <c r="AM102" s="340"/>
      <c r="AN102" s="340"/>
      <c r="AO102" s="340"/>
      <c r="AP102" s="6">
        <v>30</v>
      </c>
      <c r="AQ102" s="4"/>
      <c r="AR102" s="333"/>
      <c r="AS102" s="4">
        <f t="shared" si="589"/>
        <v>0</v>
      </c>
      <c r="AT102" s="340"/>
      <c r="AU102" s="340"/>
      <c r="AV102" s="340"/>
      <c r="AW102" s="340"/>
      <c r="AX102" s="340"/>
      <c r="AY102" s="340"/>
      <c r="AZ102" s="340"/>
      <c r="BA102" s="340"/>
      <c r="BB102" s="340"/>
      <c r="BC102" s="340"/>
      <c r="BD102" s="340"/>
      <c r="BE102" s="340"/>
      <c r="BF102" s="6">
        <v>30</v>
      </c>
      <c r="BG102" s="6"/>
      <c r="BH102" s="6"/>
      <c r="BI102" s="4">
        <f t="shared" si="588"/>
        <v>0</v>
      </c>
      <c r="BJ102" s="340"/>
      <c r="BK102" s="340"/>
      <c r="BL102" s="340"/>
      <c r="BM102" s="340"/>
      <c r="BN102" s="340"/>
      <c r="BO102" s="340"/>
      <c r="BP102" s="340"/>
      <c r="BQ102" s="340"/>
      <c r="BR102" s="340"/>
      <c r="BS102" s="340"/>
      <c r="BT102" s="340"/>
      <c r="BU102" s="340"/>
      <c r="BV102" s="340"/>
      <c r="BW102" s="333"/>
      <c r="BX102" s="333"/>
      <c r="BY102" s="333"/>
      <c r="BZ102" s="6">
        <v>30</v>
      </c>
      <c r="CA102" s="4"/>
      <c r="CB102" s="333"/>
      <c r="CC102" s="4">
        <f t="shared" si="586"/>
        <v>0</v>
      </c>
      <c r="CD102" s="333"/>
      <c r="CE102" s="333"/>
      <c r="CF102" s="333"/>
      <c r="CG102" s="333"/>
      <c r="CH102" s="333"/>
      <c r="CI102" s="333"/>
      <c r="CJ102" s="333"/>
      <c r="CK102" s="333"/>
      <c r="CL102" s="333"/>
      <c r="CM102" s="333"/>
      <c r="CN102" s="333"/>
      <c r="CO102" s="333"/>
      <c r="CP102" s="6">
        <v>30</v>
      </c>
      <c r="CQ102" s="6"/>
      <c r="CR102" s="6"/>
      <c r="CS102" s="4">
        <f t="shared" si="587"/>
        <v>0</v>
      </c>
      <c r="CT102" s="333"/>
      <c r="CU102" s="333"/>
      <c r="CV102" s="333"/>
      <c r="CW102" s="333"/>
      <c r="CX102" s="333"/>
      <c r="CY102" s="333"/>
      <c r="CZ102" s="333"/>
      <c r="DA102" s="333"/>
      <c r="DB102" s="333"/>
      <c r="DC102" s="333"/>
      <c r="DD102" s="333"/>
      <c r="DE102" s="333"/>
      <c r="DF102" s="333"/>
      <c r="DG102" s="333"/>
      <c r="DH102" s="333"/>
      <c r="DI102" s="333"/>
    </row>
    <row r="103" spans="2:113" ht="13.5">
      <c r="B103" s="337" t="s">
        <v>87</v>
      </c>
      <c r="F103" s="306"/>
      <c r="G103" s="4"/>
      <c r="I103" s="4"/>
      <c r="V103" s="306">
        <v>31</v>
      </c>
      <c r="W103" s="306"/>
      <c r="X103" s="306"/>
      <c r="Y103" s="4"/>
      <c r="Z103" s="4"/>
      <c r="AM103" s="340"/>
      <c r="AN103" s="340"/>
      <c r="AO103" s="340"/>
      <c r="AP103" s="306">
        <v>31</v>
      </c>
      <c r="AQ103" s="4"/>
      <c r="AR103" s="1"/>
      <c r="AS103" s="4">
        <f t="shared" si="589"/>
        <v>0</v>
      </c>
      <c r="AT103" s="340"/>
      <c r="AU103" s="340"/>
      <c r="AV103" s="340"/>
      <c r="AW103" s="340"/>
      <c r="AX103" s="340"/>
      <c r="AY103" s="340"/>
      <c r="AZ103" s="340"/>
      <c r="BA103" s="340"/>
      <c r="BB103" s="340"/>
      <c r="BC103" s="340"/>
      <c r="BD103" s="340"/>
      <c r="BE103" s="340"/>
      <c r="BF103" s="306">
        <v>31</v>
      </c>
      <c r="BG103" s="306"/>
      <c r="BH103" s="306"/>
      <c r="BI103" s="4">
        <f t="shared" si="588"/>
        <v>0</v>
      </c>
      <c r="BJ103" s="340"/>
      <c r="BK103" s="340"/>
      <c r="BL103" s="340"/>
      <c r="BM103" s="340"/>
      <c r="BN103" s="340"/>
      <c r="BO103" s="340"/>
      <c r="BP103" s="340"/>
      <c r="BQ103" s="340"/>
      <c r="BR103" s="340"/>
      <c r="BS103" s="340"/>
      <c r="BT103" s="340"/>
      <c r="BU103" s="340"/>
      <c r="BV103" s="340"/>
      <c r="BZ103" s="306">
        <v>31</v>
      </c>
      <c r="CA103" s="4"/>
      <c r="CB103" s="1"/>
      <c r="CC103" s="4">
        <f t="shared" si="586"/>
        <v>0</v>
      </c>
      <c r="CP103" s="306">
        <v>31</v>
      </c>
      <c r="CQ103" s="306"/>
      <c r="CR103" s="306"/>
      <c r="CS103" s="4">
        <f t="shared" si="587"/>
        <v>0</v>
      </c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</row>
    <row r="104" spans="2:113">
      <c r="F104" s="6"/>
      <c r="G104" s="4"/>
      <c r="I104" s="4"/>
      <c r="V104" s="6">
        <v>32</v>
      </c>
      <c r="W104" s="6"/>
      <c r="X104" s="6"/>
      <c r="Y104" s="4"/>
      <c r="Z104" s="4"/>
      <c r="AM104" s="340"/>
      <c r="AN104" s="340"/>
      <c r="AO104" s="340"/>
      <c r="AP104" s="6">
        <v>32</v>
      </c>
      <c r="AQ104" s="4"/>
      <c r="AR104" s="1"/>
      <c r="AS104" s="4">
        <f t="shared" si="589"/>
        <v>0</v>
      </c>
      <c r="AT104" s="340"/>
      <c r="AU104" s="340"/>
      <c r="AV104" s="340"/>
      <c r="AW104" s="340"/>
      <c r="AX104" s="340"/>
      <c r="AY104" s="340"/>
      <c r="AZ104" s="340"/>
      <c r="BA104" s="340"/>
      <c r="BB104" s="340"/>
      <c r="BC104" s="340"/>
      <c r="BD104" s="340"/>
      <c r="BE104" s="340"/>
      <c r="BF104" s="6">
        <v>32</v>
      </c>
      <c r="BG104" s="6"/>
      <c r="BH104" s="6"/>
      <c r="BI104" s="4">
        <f t="shared" si="588"/>
        <v>0</v>
      </c>
      <c r="BJ104" s="340"/>
      <c r="BK104" s="340"/>
      <c r="BL104" s="340"/>
      <c r="BM104" s="340"/>
      <c r="BN104" s="340"/>
      <c r="BO104" s="340"/>
      <c r="BP104" s="340"/>
      <c r="BQ104" s="340"/>
      <c r="BR104" s="340"/>
      <c r="BS104" s="340"/>
      <c r="BT104" s="340"/>
      <c r="BU104" s="340"/>
      <c r="BV104" s="340"/>
      <c r="BZ104" s="6">
        <v>32</v>
      </c>
      <c r="CA104" s="4"/>
      <c r="CB104" s="1"/>
      <c r="CC104" s="4">
        <f t="shared" si="586"/>
        <v>0</v>
      </c>
      <c r="CP104" s="6">
        <v>32</v>
      </c>
      <c r="CQ104" s="6"/>
      <c r="CR104" s="6"/>
      <c r="CS104" s="4">
        <f t="shared" si="587"/>
        <v>0</v>
      </c>
    </row>
    <row r="105" spans="2:113">
      <c r="F105" s="306"/>
      <c r="G105" s="4"/>
      <c r="I105" s="4"/>
      <c r="V105" s="306">
        <v>33</v>
      </c>
      <c r="W105" s="306"/>
      <c r="X105" s="306"/>
      <c r="Y105" s="4"/>
      <c r="Z105" s="4"/>
      <c r="AP105" s="306">
        <v>33</v>
      </c>
      <c r="AQ105" s="4"/>
      <c r="AR105" s="1"/>
      <c r="AS105" s="4">
        <f t="shared" si="589"/>
        <v>0</v>
      </c>
      <c r="BF105" s="306">
        <v>33</v>
      </c>
      <c r="BG105" s="306"/>
      <c r="BH105" s="306"/>
      <c r="BI105" s="4">
        <f t="shared" si="588"/>
        <v>0</v>
      </c>
      <c r="BM105" s="338"/>
      <c r="BQ105" s="343"/>
      <c r="BZ105" s="306">
        <v>33</v>
      </c>
      <c r="CA105" s="4"/>
      <c r="CB105" s="1"/>
      <c r="CC105" s="4">
        <f t="shared" si="586"/>
        <v>0</v>
      </c>
      <c r="CP105" s="306">
        <v>33</v>
      </c>
      <c r="CQ105" s="306"/>
      <c r="CR105" s="306"/>
      <c r="CS105" s="4">
        <f t="shared" si="587"/>
        <v>0</v>
      </c>
    </row>
    <row r="106" spans="2:113">
      <c r="F106" s="6"/>
      <c r="G106" s="4"/>
      <c r="I106" s="4"/>
      <c r="V106" s="6">
        <v>34</v>
      </c>
      <c r="W106" s="6"/>
      <c r="X106" s="6"/>
      <c r="Y106" s="4"/>
      <c r="Z106" s="4"/>
      <c r="AP106" s="6">
        <v>34</v>
      </c>
      <c r="AQ106" s="4"/>
      <c r="AR106" s="1"/>
      <c r="AS106" s="4">
        <f t="shared" si="589"/>
        <v>0</v>
      </c>
      <c r="BF106" s="6">
        <v>34</v>
      </c>
      <c r="BG106" s="6"/>
      <c r="BH106" s="6"/>
      <c r="BI106" s="4">
        <f t="shared" si="588"/>
        <v>0</v>
      </c>
      <c r="BM106" s="338"/>
      <c r="BQ106" s="339"/>
      <c r="BZ106" s="6">
        <v>34</v>
      </c>
      <c r="CA106" s="4"/>
      <c r="CB106" s="1"/>
      <c r="CC106" s="4">
        <f t="shared" si="586"/>
        <v>0</v>
      </c>
      <c r="CP106" s="6">
        <v>34</v>
      </c>
      <c r="CQ106" s="6"/>
      <c r="CR106" s="6"/>
      <c r="CS106" s="4">
        <f t="shared" si="587"/>
        <v>0</v>
      </c>
    </row>
    <row r="107" spans="2:113" ht="15">
      <c r="B107" s="344"/>
      <c r="C107" s="345"/>
      <c r="F107" s="306"/>
      <c r="G107" s="4"/>
      <c r="I107" s="4"/>
      <c r="V107" s="306">
        <v>35</v>
      </c>
      <c r="W107" s="306"/>
      <c r="X107" s="306"/>
      <c r="Y107" s="4"/>
      <c r="Z107" s="4"/>
      <c r="AP107" s="306">
        <v>35</v>
      </c>
      <c r="AQ107" s="4"/>
      <c r="AR107" s="1"/>
      <c r="AS107" s="4">
        <f t="shared" si="589"/>
        <v>0</v>
      </c>
      <c r="BF107" s="306">
        <v>35</v>
      </c>
      <c r="BG107" s="306"/>
      <c r="BH107" s="306"/>
      <c r="BI107" s="4">
        <f t="shared" si="588"/>
        <v>0</v>
      </c>
      <c r="BM107" s="338"/>
      <c r="BQ107" s="339"/>
      <c r="BZ107" s="306">
        <v>35</v>
      </c>
      <c r="CA107" s="4"/>
      <c r="CB107" s="1"/>
      <c r="CC107" s="4">
        <f t="shared" si="586"/>
        <v>0</v>
      </c>
      <c r="CP107" s="306">
        <v>35</v>
      </c>
      <c r="CQ107" s="306"/>
      <c r="CR107" s="306"/>
      <c r="CS107" s="4">
        <f t="shared" si="587"/>
        <v>0</v>
      </c>
    </row>
    <row r="108" spans="2:113" ht="15">
      <c r="B108" s="344"/>
      <c r="C108" s="345"/>
      <c r="F108" s="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6">
        <v>36</v>
      </c>
      <c r="W108" s="6"/>
      <c r="X108" s="6"/>
      <c r="Y108" s="4"/>
      <c r="Z108" s="4"/>
      <c r="AM108" s="333"/>
      <c r="AN108" s="333"/>
      <c r="AO108" s="333"/>
      <c r="AP108" s="6">
        <v>36</v>
      </c>
      <c r="AQ108" s="4"/>
      <c r="AR108" s="4"/>
      <c r="AS108" s="4">
        <f t="shared" si="589"/>
        <v>0</v>
      </c>
      <c r="AT108" s="333"/>
      <c r="AU108" s="333"/>
      <c r="AV108" s="333"/>
      <c r="AW108" s="333"/>
      <c r="AX108" s="333"/>
      <c r="AY108" s="333"/>
      <c r="AZ108" s="333"/>
      <c r="BA108" s="333"/>
      <c r="BB108" s="333"/>
      <c r="BC108" s="333"/>
      <c r="BD108" s="333"/>
      <c r="BE108" s="333"/>
      <c r="BF108" s="6">
        <v>36</v>
      </c>
      <c r="BG108" s="6"/>
      <c r="BH108" s="6"/>
      <c r="BI108" s="4">
        <f t="shared" si="588"/>
        <v>0</v>
      </c>
      <c r="BJ108" s="333"/>
      <c r="BK108" s="333"/>
      <c r="BL108" s="333"/>
      <c r="BM108" s="333"/>
      <c r="BN108" s="333"/>
      <c r="BO108" s="333"/>
      <c r="BP108" s="333"/>
      <c r="BQ108" s="333"/>
      <c r="BR108" s="333"/>
      <c r="BS108" s="333"/>
      <c r="BT108" s="333"/>
      <c r="BU108" s="333"/>
      <c r="BV108" s="333"/>
      <c r="BW108" s="4"/>
      <c r="BX108" s="4"/>
      <c r="BY108" s="4"/>
      <c r="BZ108" s="6">
        <v>36</v>
      </c>
      <c r="CA108" s="4"/>
      <c r="CB108" s="4"/>
      <c r="CC108" s="4">
        <f t="shared" si="586"/>
        <v>0</v>
      </c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6">
        <v>36</v>
      </c>
      <c r="CQ108" s="6"/>
      <c r="CR108" s="6"/>
      <c r="CS108" s="4">
        <f t="shared" si="587"/>
        <v>0</v>
      </c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</row>
    <row r="109" spans="2:113" ht="15">
      <c r="B109" s="344"/>
      <c r="C109" s="345"/>
      <c r="F109" s="306"/>
      <c r="G109" s="4"/>
      <c r="I109" s="4"/>
      <c r="V109" s="306">
        <v>37</v>
      </c>
      <c r="W109" s="306"/>
      <c r="X109" s="306"/>
      <c r="Y109" s="4"/>
      <c r="Z109" s="4"/>
      <c r="AM109" s="333"/>
      <c r="AN109" s="333"/>
      <c r="AO109" s="333"/>
      <c r="AP109" s="306">
        <v>37</v>
      </c>
      <c r="AQ109" s="4"/>
      <c r="AR109" s="1"/>
      <c r="AS109" s="4">
        <f t="shared" si="589"/>
        <v>0</v>
      </c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06">
        <v>37</v>
      </c>
      <c r="BG109" s="306"/>
      <c r="BH109" s="306"/>
      <c r="BI109" s="4">
        <f t="shared" si="588"/>
        <v>0</v>
      </c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Z109" s="306">
        <v>37</v>
      </c>
      <c r="CA109" s="4"/>
      <c r="CB109" s="1"/>
      <c r="CC109" s="4">
        <f t="shared" si="586"/>
        <v>0</v>
      </c>
      <c r="CP109" s="306">
        <v>37</v>
      </c>
      <c r="CQ109" s="306"/>
      <c r="CR109" s="306"/>
      <c r="CS109" s="4">
        <f t="shared" si="587"/>
        <v>0</v>
      </c>
    </row>
    <row r="110" spans="2:113">
      <c r="F110" s="6"/>
      <c r="G110" s="4"/>
      <c r="I110" s="4"/>
      <c r="V110" s="6">
        <v>38</v>
      </c>
      <c r="W110" s="6"/>
      <c r="X110" s="6"/>
      <c r="Y110" s="4"/>
      <c r="Z110" s="4"/>
      <c r="AM110" s="333"/>
      <c r="AN110" s="333"/>
      <c r="AO110" s="333"/>
      <c r="AP110" s="6">
        <v>38</v>
      </c>
      <c r="AQ110" s="4"/>
      <c r="AR110" s="1"/>
      <c r="AS110" s="4">
        <f t="shared" si="589"/>
        <v>0</v>
      </c>
      <c r="AT110" s="333"/>
      <c r="AU110" s="333"/>
      <c r="AV110" s="333"/>
      <c r="AW110" s="333"/>
      <c r="AX110" s="333"/>
      <c r="AY110" s="333"/>
      <c r="AZ110" s="333"/>
      <c r="BA110" s="333"/>
      <c r="BB110" s="333"/>
      <c r="BC110" s="333"/>
      <c r="BD110" s="333"/>
      <c r="BE110" s="333"/>
      <c r="BF110" s="6">
        <v>38</v>
      </c>
      <c r="BG110" s="6"/>
      <c r="BH110" s="6"/>
      <c r="BI110" s="4">
        <f t="shared" si="588"/>
        <v>0</v>
      </c>
      <c r="BJ110" s="333"/>
      <c r="BK110" s="333"/>
      <c r="BL110" s="333"/>
      <c r="BM110" s="333"/>
      <c r="BN110" s="333"/>
      <c r="BO110" s="333"/>
      <c r="BP110" s="333"/>
      <c r="BQ110" s="333"/>
      <c r="BR110" s="333"/>
      <c r="BS110" s="333"/>
      <c r="BT110" s="333"/>
      <c r="BU110" s="333"/>
      <c r="BV110" s="333"/>
      <c r="BZ110" s="6">
        <v>38</v>
      </c>
      <c r="CA110" s="4"/>
      <c r="CB110" s="1"/>
      <c r="CC110" s="4">
        <f t="shared" si="586"/>
        <v>0</v>
      </c>
      <c r="CP110" s="6">
        <v>38</v>
      </c>
      <c r="CQ110" s="6"/>
      <c r="CR110" s="6"/>
      <c r="CS110" s="4">
        <f t="shared" si="587"/>
        <v>0</v>
      </c>
    </row>
    <row r="111" spans="2:113" ht="15">
      <c r="B111" s="344"/>
      <c r="C111" s="346"/>
      <c r="F111" s="306"/>
      <c r="G111" s="4"/>
      <c r="I111" s="4"/>
      <c r="V111" s="306">
        <v>39</v>
      </c>
      <c r="W111" s="306"/>
      <c r="X111" s="306"/>
      <c r="Y111" s="4"/>
      <c r="Z111" s="4"/>
      <c r="AP111" s="306">
        <v>39</v>
      </c>
      <c r="AQ111" s="4"/>
      <c r="AR111" s="1"/>
      <c r="AS111" s="4">
        <f t="shared" si="589"/>
        <v>0</v>
      </c>
      <c r="BF111" s="306">
        <v>39</v>
      </c>
      <c r="BG111" s="306"/>
      <c r="BH111" s="306"/>
      <c r="BI111" s="4">
        <f t="shared" si="588"/>
        <v>0</v>
      </c>
      <c r="BM111" s="338"/>
      <c r="BQ111" s="338"/>
      <c r="BZ111" s="306">
        <v>39</v>
      </c>
      <c r="CA111" s="4"/>
      <c r="CB111" s="1"/>
      <c r="CC111" s="4">
        <f t="shared" si="586"/>
        <v>0</v>
      </c>
      <c r="CP111" s="306">
        <v>39</v>
      </c>
      <c r="CQ111" s="306"/>
      <c r="CR111" s="306"/>
      <c r="CS111" s="4">
        <f t="shared" si="587"/>
        <v>0</v>
      </c>
    </row>
    <row r="112" spans="2:113">
      <c r="F112" s="6">
        <v>40</v>
      </c>
      <c r="G112" s="4"/>
      <c r="I112" s="4">
        <f t="shared" ref="I112:I140" si="590">I40-(M40+Q40)</f>
        <v>0</v>
      </c>
      <c r="V112" s="6">
        <v>40</v>
      </c>
      <c r="W112" s="6"/>
      <c r="X112" s="6"/>
      <c r="Y112" s="4"/>
      <c r="Z112" s="4"/>
      <c r="AP112" s="6">
        <v>40</v>
      </c>
      <c r="AQ112" s="4"/>
      <c r="AR112" s="1"/>
      <c r="AS112" s="4">
        <f t="shared" si="589"/>
        <v>0</v>
      </c>
      <c r="BF112" s="6">
        <v>40</v>
      </c>
      <c r="BG112" s="6"/>
      <c r="BH112" s="6"/>
      <c r="BI112" s="4">
        <f t="shared" si="588"/>
        <v>0</v>
      </c>
      <c r="BM112" s="338"/>
      <c r="BQ112" s="338"/>
      <c r="BZ112" s="6">
        <v>40</v>
      </c>
      <c r="CA112" s="4"/>
      <c r="CB112" s="1"/>
      <c r="CC112" s="4">
        <f t="shared" si="586"/>
        <v>0</v>
      </c>
      <c r="CP112" s="6">
        <v>40</v>
      </c>
      <c r="CQ112" s="6"/>
      <c r="CR112" s="6"/>
      <c r="CS112" s="4">
        <f t="shared" si="587"/>
        <v>0</v>
      </c>
    </row>
    <row r="113" spans="6:97">
      <c r="F113" s="306">
        <v>41</v>
      </c>
      <c r="G113" s="4"/>
      <c r="I113" s="4">
        <f t="shared" si="590"/>
        <v>0</v>
      </c>
      <c r="V113" s="306">
        <v>41</v>
      </c>
      <c r="W113" s="306"/>
      <c r="X113" s="306"/>
      <c r="Y113" s="4"/>
      <c r="Z113" s="4"/>
      <c r="AP113" s="306">
        <v>41</v>
      </c>
      <c r="AQ113" s="4"/>
      <c r="AR113" s="1"/>
      <c r="AS113" s="4">
        <f t="shared" si="589"/>
        <v>0</v>
      </c>
      <c r="BF113" s="306">
        <v>41</v>
      </c>
      <c r="BG113" s="306"/>
      <c r="BH113" s="306"/>
      <c r="BI113" s="4">
        <f t="shared" si="588"/>
        <v>0</v>
      </c>
      <c r="BM113" s="338"/>
      <c r="BQ113" s="339"/>
      <c r="BZ113" s="306">
        <v>41</v>
      </c>
      <c r="CA113" s="4"/>
      <c r="CB113" s="1"/>
      <c r="CC113" s="4">
        <f t="shared" si="586"/>
        <v>0</v>
      </c>
      <c r="CP113" s="306">
        <v>41</v>
      </c>
      <c r="CQ113" s="306"/>
      <c r="CR113" s="306"/>
      <c r="CS113" s="4">
        <f t="shared" si="587"/>
        <v>0</v>
      </c>
    </row>
    <row r="114" spans="6:97">
      <c r="F114" s="6">
        <v>42</v>
      </c>
      <c r="G114" s="4"/>
      <c r="I114" s="4">
        <f t="shared" si="590"/>
        <v>0</v>
      </c>
      <c r="V114" s="6">
        <v>42</v>
      </c>
      <c r="W114" s="6"/>
      <c r="X114" s="6"/>
      <c r="Y114" s="4"/>
      <c r="Z114" s="4"/>
      <c r="AP114" s="6">
        <v>42</v>
      </c>
      <c r="AQ114" s="4"/>
      <c r="AR114" s="1"/>
      <c r="AS114" s="4">
        <f t="shared" si="589"/>
        <v>0</v>
      </c>
      <c r="BF114" s="6">
        <v>42</v>
      </c>
      <c r="BG114" s="6"/>
      <c r="BH114" s="6"/>
      <c r="BI114" s="4">
        <f t="shared" si="588"/>
        <v>0</v>
      </c>
      <c r="BM114" s="338"/>
      <c r="BQ114" s="339"/>
      <c r="BZ114" s="6">
        <v>42</v>
      </c>
      <c r="CA114" s="4"/>
      <c r="CB114" s="1"/>
      <c r="CC114" s="4">
        <f t="shared" si="586"/>
        <v>0</v>
      </c>
      <c r="CP114" s="6">
        <v>42</v>
      </c>
      <c r="CQ114" s="6"/>
      <c r="CR114" s="6"/>
      <c r="CS114" s="4">
        <f t="shared" si="587"/>
        <v>0</v>
      </c>
    </row>
    <row r="115" spans="6:97">
      <c r="F115" s="306">
        <v>43</v>
      </c>
      <c r="G115" s="4"/>
      <c r="I115" s="4">
        <f t="shared" si="590"/>
        <v>0</v>
      </c>
      <c r="V115" s="306">
        <v>43</v>
      </c>
      <c r="W115" s="306"/>
      <c r="X115" s="306"/>
      <c r="Y115" s="4"/>
      <c r="Z115" s="4"/>
      <c r="AM115" s="333"/>
      <c r="AN115" s="333"/>
      <c r="AO115" s="333"/>
      <c r="AP115" s="306">
        <v>43</v>
      </c>
      <c r="AQ115" s="4"/>
      <c r="AR115" s="1"/>
      <c r="AS115" s="4">
        <f t="shared" si="589"/>
        <v>0</v>
      </c>
      <c r="AT115" s="333"/>
      <c r="AU115" s="333"/>
      <c r="AV115" s="333"/>
      <c r="AW115" s="333"/>
      <c r="AX115" s="333"/>
      <c r="AY115" s="333"/>
      <c r="AZ115" s="333"/>
      <c r="BA115" s="333"/>
      <c r="BB115" s="333"/>
      <c r="BC115" s="333"/>
      <c r="BD115" s="333"/>
      <c r="BE115" s="333"/>
      <c r="BF115" s="306">
        <v>43</v>
      </c>
      <c r="BG115" s="306"/>
      <c r="BH115" s="306"/>
      <c r="BI115" s="4">
        <f t="shared" si="588"/>
        <v>0</v>
      </c>
      <c r="BJ115" s="333"/>
      <c r="BK115" s="333"/>
      <c r="BL115" s="333"/>
      <c r="BM115" s="333"/>
      <c r="BN115" s="333"/>
      <c r="BO115" s="333"/>
      <c r="BP115" s="333"/>
      <c r="BQ115" s="333"/>
      <c r="BR115" s="333"/>
      <c r="BS115" s="333"/>
      <c r="BT115" s="333"/>
      <c r="BU115" s="333"/>
      <c r="BV115" s="333"/>
      <c r="BZ115" s="306">
        <v>43</v>
      </c>
      <c r="CA115" s="4"/>
      <c r="CB115" s="1"/>
      <c r="CC115" s="4">
        <f t="shared" si="586"/>
        <v>0</v>
      </c>
      <c r="CP115" s="306">
        <v>43</v>
      </c>
      <c r="CQ115" s="306"/>
      <c r="CR115" s="306"/>
      <c r="CS115" s="4">
        <f t="shared" si="587"/>
        <v>0</v>
      </c>
    </row>
    <row r="116" spans="6:97">
      <c r="F116" s="6">
        <v>44</v>
      </c>
      <c r="G116" s="4"/>
      <c r="I116" s="4">
        <f t="shared" si="590"/>
        <v>0</v>
      </c>
      <c r="V116" s="6">
        <v>44</v>
      </c>
      <c r="W116" s="6"/>
      <c r="X116" s="6"/>
      <c r="Y116" s="4"/>
      <c r="Z116" s="4"/>
      <c r="AM116" s="333"/>
      <c r="AN116" s="333"/>
      <c r="AO116" s="333"/>
      <c r="AP116" s="6">
        <v>44</v>
      </c>
      <c r="AQ116" s="4"/>
      <c r="AR116" s="1"/>
      <c r="AS116" s="4">
        <f t="shared" si="589"/>
        <v>0</v>
      </c>
      <c r="AT116" s="333"/>
      <c r="AU116" s="333"/>
      <c r="AV116" s="333"/>
      <c r="AW116" s="333"/>
      <c r="AX116" s="333"/>
      <c r="AY116" s="333"/>
      <c r="AZ116" s="333"/>
      <c r="BA116" s="333"/>
      <c r="BB116" s="333"/>
      <c r="BC116" s="333"/>
      <c r="BD116" s="333"/>
      <c r="BE116" s="333"/>
      <c r="BF116" s="6">
        <v>44</v>
      </c>
      <c r="BG116" s="6"/>
      <c r="BH116" s="6"/>
      <c r="BI116" s="4">
        <f t="shared" si="588"/>
        <v>0</v>
      </c>
      <c r="BJ116" s="333"/>
      <c r="BK116" s="333"/>
      <c r="BL116" s="333"/>
      <c r="BM116" s="333"/>
      <c r="BN116" s="333"/>
      <c r="BO116" s="333"/>
      <c r="BP116" s="333"/>
      <c r="BQ116" s="333"/>
      <c r="BR116" s="333"/>
      <c r="BS116" s="333"/>
      <c r="BT116" s="333"/>
      <c r="BU116" s="333"/>
      <c r="BV116" s="333"/>
      <c r="BZ116" s="6">
        <v>44</v>
      </c>
      <c r="CA116" s="4"/>
      <c r="CB116" s="1"/>
      <c r="CC116" s="4">
        <f t="shared" si="586"/>
        <v>0</v>
      </c>
      <c r="CP116" s="6">
        <v>44</v>
      </c>
      <c r="CQ116" s="6"/>
      <c r="CR116" s="6"/>
      <c r="CS116" s="4">
        <f t="shared" si="587"/>
        <v>0</v>
      </c>
    </row>
    <row r="117" spans="6:97">
      <c r="F117" s="306">
        <v>45</v>
      </c>
      <c r="G117" s="4"/>
      <c r="I117" s="4">
        <f t="shared" si="590"/>
        <v>0</v>
      </c>
      <c r="V117" s="306">
        <v>45</v>
      </c>
      <c r="W117" s="306"/>
      <c r="X117" s="306"/>
      <c r="Y117" s="4"/>
      <c r="Z117" s="4"/>
      <c r="AM117" s="333"/>
      <c r="AN117" s="333"/>
      <c r="AO117" s="333"/>
      <c r="AP117" s="306">
        <v>45</v>
      </c>
      <c r="AQ117" s="4"/>
      <c r="AR117" s="1"/>
      <c r="AS117" s="4">
        <f t="shared" si="589"/>
        <v>0</v>
      </c>
      <c r="AT117" s="333"/>
      <c r="AU117" s="333"/>
      <c r="AV117" s="333"/>
      <c r="AW117" s="333"/>
      <c r="AX117" s="333"/>
      <c r="AY117" s="333"/>
      <c r="AZ117" s="333"/>
      <c r="BA117" s="333"/>
      <c r="BB117" s="333"/>
      <c r="BC117" s="333"/>
      <c r="BD117" s="333"/>
      <c r="BE117" s="333"/>
      <c r="BF117" s="306">
        <v>45</v>
      </c>
      <c r="BG117" s="306"/>
      <c r="BH117" s="306"/>
      <c r="BI117" s="4">
        <f t="shared" si="588"/>
        <v>0</v>
      </c>
      <c r="BJ117" s="333"/>
      <c r="BK117" s="333"/>
      <c r="BL117" s="333"/>
      <c r="BM117" s="333"/>
      <c r="BN117" s="333"/>
      <c r="BO117" s="333"/>
      <c r="BP117" s="333"/>
      <c r="BQ117" s="333"/>
      <c r="BR117" s="333"/>
      <c r="BS117" s="333"/>
      <c r="BT117" s="333"/>
      <c r="BU117" s="333"/>
      <c r="BV117" s="333"/>
      <c r="BZ117" s="306">
        <v>45</v>
      </c>
      <c r="CA117" s="4"/>
      <c r="CB117" s="1"/>
      <c r="CC117" s="4">
        <f t="shared" si="586"/>
        <v>0</v>
      </c>
      <c r="CP117" s="306">
        <v>45</v>
      </c>
      <c r="CQ117" s="306"/>
      <c r="CR117" s="306"/>
      <c r="CS117" s="4">
        <f t="shared" si="587"/>
        <v>0</v>
      </c>
    </row>
    <row r="118" spans="6:97">
      <c r="F118" s="6">
        <v>46</v>
      </c>
      <c r="G118" s="4"/>
      <c r="I118" s="4">
        <f t="shared" si="590"/>
        <v>0</v>
      </c>
      <c r="V118" s="6">
        <v>46</v>
      </c>
      <c r="W118" s="6"/>
      <c r="X118" s="6"/>
      <c r="Y118" s="4"/>
      <c r="Z118" s="4"/>
      <c r="AM118" s="333"/>
      <c r="AN118" s="333"/>
      <c r="AO118" s="333"/>
      <c r="AP118" s="6">
        <v>46</v>
      </c>
      <c r="AQ118" s="4"/>
      <c r="AR118" s="1"/>
      <c r="AS118" s="4">
        <f t="shared" si="589"/>
        <v>0</v>
      </c>
      <c r="AT118" s="333"/>
      <c r="AU118" s="333"/>
      <c r="AV118" s="333"/>
      <c r="AW118" s="333"/>
      <c r="AX118" s="333"/>
      <c r="AY118" s="333"/>
      <c r="AZ118" s="333"/>
      <c r="BA118" s="333"/>
      <c r="BB118" s="333"/>
      <c r="BC118" s="333"/>
      <c r="BD118" s="333"/>
      <c r="BE118" s="333"/>
      <c r="BF118" s="6">
        <v>46</v>
      </c>
      <c r="BG118" s="6"/>
      <c r="BH118" s="6"/>
      <c r="BI118" s="4">
        <f t="shared" si="588"/>
        <v>0</v>
      </c>
      <c r="BJ118" s="333"/>
      <c r="BK118" s="333"/>
      <c r="BL118" s="333"/>
      <c r="BM118" s="333"/>
      <c r="BN118" s="333"/>
      <c r="BO118" s="333"/>
      <c r="BP118" s="333"/>
      <c r="BQ118" s="333"/>
      <c r="BR118" s="333"/>
      <c r="BS118" s="333"/>
      <c r="BT118" s="333"/>
      <c r="BU118" s="333"/>
      <c r="BV118" s="333"/>
      <c r="BZ118" s="6">
        <v>46</v>
      </c>
      <c r="CA118" s="4"/>
      <c r="CB118" s="1"/>
      <c r="CC118" s="4">
        <f t="shared" si="586"/>
        <v>0</v>
      </c>
      <c r="CP118" s="6">
        <v>46</v>
      </c>
      <c r="CQ118" s="6"/>
      <c r="CR118" s="6"/>
      <c r="CS118" s="4">
        <f t="shared" si="587"/>
        <v>0</v>
      </c>
    </row>
    <row r="119" spans="6:97">
      <c r="F119" s="306">
        <v>47</v>
      </c>
      <c r="G119" s="4"/>
      <c r="I119" s="4">
        <f t="shared" si="590"/>
        <v>0</v>
      </c>
      <c r="V119" s="306">
        <v>47</v>
      </c>
      <c r="W119" s="306"/>
      <c r="X119" s="306"/>
      <c r="Y119" s="4"/>
      <c r="Z119" s="4"/>
      <c r="AP119" s="306">
        <v>47</v>
      </c>
      <c r="AQ119" s="4"/>
      <c r="AR119" s="1"/>
      <c r="AS119" s="4">
        <f t="shared" si="589"/>
        <v>0</v>
      </c>
      <c r="BF119" s="306">
        <v>47</v>
      </c>
      <c r="BG119" s="306"/>
      <c r="BH119" s="306"/>
      <c r="BI119" s="4">
        <f t="shared" si="588"/>
        <v>0</v>
      </c>
      <c r="BZ119" s="306">
        <v>47</v>
      </c>
      <c r="CA119" s="4"/>
      <c r="CB119" s="1"/>
      <c r="CC119" s="4">
        <f t="shared" si="586"/>
        <v>0</v>
      </c>
      <c r="CP119" s="306">
        <v>47</v>
      </c>
      <c r="CQ119" s="306"/>
      <c r="CR119" s="306"/>
      <c r="CS119" s="4">
        <f t="shared" si="587"/>
        <v>0</v>
      </c>
    </row>
    <row r="120" spans="6:97">
      <c r="F120" s="6">
        <v>48</v>
      </c>
      <c r="G120" s="4"/>
      <c r="I120" s="4">
        <f t="shared" si="590"/>
        <v>0</v>
      </c>
      <c r="V120" s="6">
        <v>48</v>
      </c>
      <c r="W120" s="6"/>
      <c r="X120" s="6"/>
      <c r="Y120" s="4"/>
      <c r="Z120" s="4"/>
      <c r="AP120" s="6">
        <v>48</v>
      </c>
      <c r="AQ120" s="4"/>
      <c r="AR120" s="1"/>
      <c r="AS120" s="4">
        <f t="shared" si="589"/>
        <v>0</v>
      </c>
      <c r="BF120" s="6">
        <v>48</v>
      </c>
      <c r="BG120" s="6"/>
      <c r="BH120" s="6"/>
      <c r="BI120" s="4">
        <f t="shared" si="588"/>
        <v>0</v>
      </c>
      <c r="BZ120" s="6">
        <v>48</v>
      </c>
      <c r="CA120" s="4"/>
      <c r="CB120" s="1"/>
      <c r="CC120" s="4">
        <f t="shared" si="586"/>
        <v>0</v>
      </c>
      <c r="CP120" s="6">
        <v>48</v>
      </c>
      <c r="CQ120" s="6"/>
      <c r="CR120" s="6"/>
      <c r="CS120" s="4">
        <f t="shared" si="587"/>
        <v>0</v>
      </c>
    </row>
    <row r="121" spans="6:97">
      <c r="F121" s="306">
        <v>49</v>
      </c>
      <c r="G121" s="4"/>
      <c r="I121" s="4">
        <f t="shared" si="590"/>
        <v>0</v>
      </c>
      <c r="V121" s="306">
        <v>49</v>
      </c>
      <c r="W121" s="306"/>
      <c r="X121" s="306"/>
      <c r="Y121" s="4"/>
      <c r="Z121" s="4"/>
      <c r="AP121" s="306">
        <v>49</v>
      </c>
      <c r="AQ121" s="4"/>
      <c r="AR121" s="1"/>
      <c r="AS121" s="4">
        <f t="shared" si="589"/>
        <v>0</v>
      </c>
      <c r="BF121" s="306">
        <v>49</v>
      </c>
      <c r="BG121" s="306"/>
      <c r="BH121" s="306"/>
      <c r="BI121" s="4">
        <f t="shared" si="588"/>
        <v>0</v>
      </c>
      <c r="BZ121" s="306">
        <v>49</v>
      </c>
      <c r="CA121" s="4"/>
      <c r="CB121" s="1"/>
      <c r="CC121" s="4">
        <f t="shared" si="586"/>
        <v>0</v>
      </c>
      <c r="CP121" s="306">
        <v>49</v>
      </c>
      <c r="CQ121" s="306"/>
      <c r="CR121" s="306"/>
      <c r="CS121" s="4">
        <f t="shared" si="587"/>
        <v>0</v>
      </c>
    </row>
    <row r="122" spans="6:97">
      <c r="F122" s="6">
        <v>50</v>
      </c>
      <c r="G122" s="4"/>
      <c r="I122" s="4">
        <f t="shared" si="590"/>
        <v>0</v>
      </c>
      <c r="V122" s="6">
        <v>50</v>
      </c>
      <c r="W122" s="6"/>
      <c r="X122" s="6"/>
      <c r="Y122" s="4"/>
      <c r="Z122" s="4"/>
      <c r="AP122" s="6">
        <v>50</v>
      </c>
      <c r="AQ122" s="4"/>
      <c r="AR122" s="1"/>
      <c r="AS122" s="4">
        <f t="shared" si="589"/>
        <v>0</v>
      </c>
      <c r="BF122" s="6">
        <v>50</v>
      </c>
      <c r="BG122" s="6"/>
      <c r="BH122" s="6"/>
      <c r="BI122" s="4">
        <f t="shared" si="588"/>
        <v>0</v>
      </c>
      <c r="BZ122" s="6">
        <v>50</v>
      </c>
      <c r="CA122" s="4"/>
      <c r="CB122" s="1"/>
      <c r="CC122" s="4">
        <f t="shared" si="586"/>
        <v>0</v>
      </c>
      <c r="CP122" s="6">
        <v>50</v>
      </c>
      <c r="CQ122" s="6"/>
      <c r="CR122" s="6"/>
      <c r="CS122" s="4">
        <f t="shared" si="587"/>
        <v>0</v>
      </c>
    </row>
    <row r="123" spans="6:97">
      <c r="F123" s="306">
        <v>51</v>
      </c>
      <c r="G123" s="4"/>
      <c r="I123" s="4">
        <f t="shared" si="590"/>
        <v>0</v>
      </c>
      <c r="V123" s="306">
        <v>51</v>
      </c>
      <c r="W123" s="306"/>
      <c r="X123" s="306"/>
      <c r="Y123" s="4"/>
      <c r="Z123" s="4"/>
      <c r="AP123" s="306">
        <v>51</v>
      </c>
      <c r="AQ123" s="4"/>
      <c r="AR123" s="1"/>
      <c r="AS123" s="4">
        <f t="shared" si="589"/>
        <v>0</v>
      </c>
      <c r="BF123" s="306">
        <v>51</v>
      </c>
      <c r="BG123" s="306"/>
      <c r="BH123" s="306"/>
      <c r="BI123" s="4">
        <f t="shared" si="588"/>
        <v>0</v>
      </c>
      <c r="BZ123" s="306">
        <v>51</v>
      </c>
      <c r="CA123" s="4"/>
      <c r="CB123" s="1"/>
      <c r="CC123" s="4">
        <f t="shared" si="586"/>
        <v>0</v>
      </c>
      <c r="CP123" s="306">
        <v>51</v>
      </c>
      <c r="CQ123" s="306"/>
      <c r="CR123" s="306"/>
      <c r="CS123" s="4">
        <f t="shared" si="587"/>
        <v>0</v>
      </c>
    </row>
    <row r="124" spans="6:97">
      <c r="F124" s="6">
        <v>52</v>
      </c>
      <c r="G124" s="4"/>
      <c r="I124" s="4">
        <f t="shared" si="590"/>
        <v>0</v>
      </c>
      <c r="V124" s="6">
        <v>52</v>
      </c>
      <c r="W124" s="6"/>
      <c r="X124" s="6"/>
      <c r="Y124" s="4"/>
      <c r="Z124" s="4"/>
      <c r="AP124" s="6">
        <v>52</v>
      </c>
      <c r="AQ124" s="4"/>
      <c r="AR124" s="1"/>
      <c r="AS124" s="4">
        <f t="shared" si="589"/>
        <v>0</v>
      </c>
      <c r="BF124" s="6">
        <v>52</v>
      </c>
      <c r="BG124" s="6"/>
      <c r="BH124" s="6"/>
      <c r="BI124" s="4">
        <f t="shared" si="588"/>
        <v>0</v>
      </c>
      <c r="BZ124" s="6">
        <v>52</v>
      </c>
      <c r="CA124" s="4"/>
      <c r="CB124" s="1"/>
      <c r="CC124" s="4">
        <f t="shared" si="586"/>
        <v>0</v>
      </c>
      <c r="CP124" s="6">
        <v>52</v>
      </c>
      <c r="CQ124" s="6"/>
      <c r="CR124" s="6"/>
      <c r="CS124" s="4">
        <f t="shared" si="587"/>
        <v>0</v>
      </c>
    </row>
    <row r="125" spans="6:97">
      <c r="F125" s="306">
        <v>53</v>
      </c>
      <c r="G125" s="4"/>
      <c r="I125" s="4">
        <f t="shared" si="590"/>
        <v>0</v>
      </c>
      <c r="V125" s="306">
        <v>53</v>
      </c>
      <c r="W125" s="306"/>
      <c r="X125" s="306"/>
      <c r="Y125" s="4"/>
      <c r="Z125" s="4"/>
      <c r="AP125" s="306">
        <v>53</v>
      </c>
      <c r="AQ125" s="4"/>
      <c r="AR125" s="1"/>
      <c r="AS125" s="4">
        <f t="shared" si="589"/>
        <v>0</v>
      </c>
      <c r="BF125" s="306">
        <v>53</v>
      </c>
      <c r="BG125" s="306"/>
      <c r="BH125" s="306"/>
      <c r="BI125" s="4">
        <f t="shared" si="588"/>
        <v>0</v>
      </c>
      <c r="BZ125" s="306">
        <v>53</v>
      </c>
      <c r="CA125" s="4"/>
      <c r="CB125" s="1"/>
      <c r="CC125" s="4">
        <f t="shared" si="586"/>
        <v>0</v>
      </c>
      <c r="CP125" s="306">
        <v>53</v>
      </c>
      <c r="CQ125" s="306"/>
      <c r="CR125" s="306"/>
      <c r="CS125" s="4">
        <f t="shared" si="587"/>
        <v>0</v>
      </c>
    </row>
    <row r="126" spans="6:97">
      <c r="F126" s="6">
        <v>54</v>
      </c>
      <c r="G126" s="4"/>
      <c r="I126" s="4">
        <f t="shared" si="590"/>
        <v>0</v>
      </c>
      <c r="V126" s="6">
        <v>54</v>
      </c>
      <c r="W126" s="6"/>
      <c r="X126" s="6"/>
      <c r="Y126" s="4"/>
      <c r="Z126" s="4"/>
      <c r="AP126" s="6">
        <v>54</v>
      </c>
      <c r="AQ126" s="4"/>
      <c r="AR126" s="1"/>
      <c r="AS126" s="4">
        <f t="shared" si="589"/>
        <v>0</v>
      </c>
      <c r="BF126" s="6">
        <v>54</v>
      </c>
      <c r="BG126" s="6"/>
      <c r="BH126" s="6"/>
      <c r="BI126" s="4">
        <f t="shared" si="588"/>
        <v>0</v>
      </c>
      <c r="BZ126" s="6">
        <v>54</v>
      </c>
      <c r="CA126" s="4"/>
      <c r="CB126" s="1"/>
      <c r="CC126" s="4">
        <f t="shared" si="586"/>
        <v>0</v>
      </c>
      <c r="CP126" s="6">
        <v>54</v>
      </c>
      <c r="CQ126" s="6"/>
      <c r="CR126" s="6"/>
      <c r="CS126" s="4">
        <f t="shared" si="587"/>
        <v>0</v>
      </c>
    </row>
    <row r="127" spans="6:97">
      <c r="F127" s="306">
        <v>55</v>
      </c>
      <c r="G127" s="4"/>
      <c r="I127" s="4">
        <f t="shared" si="590"/>
        <v>0</v>
      </c>
      <c r="V127" s="306">
        <v>55</v>
      </c>
      <c r="W127" s="306"/>
      <c r="X127" s="306"/>
      <c r="Y127" s="4"/>
      <c r="Z127" s="4"/>
      <c r="AP127" s="306">
        <v>55</v>
      </c>
      <c r="AQ127" s="4"/>
      <c r="AR127" s="1"/>
      <c r="AS127" s="4">
        <f t="shared" si="589"/>
        <v>0</v>
      </c>
      <c r="BF127" s="306">
        <v>55</v>
      </c>
      <c r="BG127" s="306"/>
      <c r="BH127" s="306"/>
      <c r="BI127" s="4">
        <f t="shared" si="588"/>
        <v>0</v>
      </c>
      <c r="BZ127" s="306">
        <v>55</v>
      </c>
      <c r="CA127" s="4"/>
      <c r="CB127" s="1"/>
      <c r="CC127" s="4">
        <f t="shared" si="586"/>
        <v>0</v>
      </c>
      <c r="CP127" s="306">
        <v>55</v>
      </c>
      <c r="CQ127" s="306"/>
      <c r="CR127" s="306"/>
      <c r="CS127" s="4">
        <f t="shared" si="587"/>
        <v>0</v>
      </c>
    </row>
    <row r="128" spans="6:97">
      <c r="F128" s="6">
        <v>56</v>
      </c>
      <c r="G128" s="4"/>
      <c r="I128" s="4">
        <f t="shared" si="590"/>
        <v>0</v>
      </c>
      <c r="V128" s="6">
        <v>56</v>
      </c>
      <c r="W128" s="6"/>
      <c r="X128" s="6"/>
      <c r="Y128" s="4"/>
      <c r="Z128" s="4"/>
      <c r="AP128" s="6">
        <v>56</v>
      </c>
      <c r="AQ128" s="4"/>
      <c r="AR128" s="1"/>
      <c r="AS128" s="4">
        <f t="shared" si="589"/>
        <v>0</v>
      </c>
      <c r="BF128" s="6">
        <v>56</v>
      </c>
      <c r="BG128" s="6"/>
      <c r="BH128" s="6"/>
      <c r="BI128" s="4">
        <f t="shared" si="588"/>
        <v>0</v>
      </c>
      <c r="BZ128" s="6">
        <v>56</v>
      </c>
      <c r="CA128" s="4"/>
      <c r="CB128" s="1"/>
      <c r="CC128" s="4">
        <f t="shared" si="586"/>
        <v>0</v>
      </c>
      <c r="CP128" s="6">
        <v>56</v>
      </c>
      <c r="CQ128" s="6"/>
      <c r="CR128" s="6"/>
      <c r="CS128" s="4">
        <f t="shared" si="587"/>
        <v>0</v>
      </c>
    </row>
    <row r="129" spans="6:97">
      <c r="F129" s="306">
        <v>57</v>
      </c>
      <c r="G129" s="4"/>
      <c r="I129" s="4">
        <f t="shared" si="590"/>
        <v>0</v>
      </c>
      <c r="V129" s="306">
        <v>57</v>
      </c>
      <c r="W129" s="306"/>
      <c r="X129" s="306"/>
      <c r="Y129" s="4"/>
      <c r="Z129" s="4"/>
      <c r="AP129" s="306">
        <v>57</v>
      </c>
      <c r="AQ129" s="4"/>
      <c r="AR129" s="1"/>
      <c r="AS129" s="4">
        <f t="shared" si="589"/>
        <v>0</v>
      </c>
      <c r="BF129" s="306">
        <v>57</v>
      </c>
      <c r="BG129" s="306"/>
      <c r="BH129" s="306"/>
      <c r="BI129" s="4">
        <f t="shared" si="588"/>
        <v>0</v>
      </c>
      <c r="BZ129" s="306">
        <v>57</v>
      </c>
      <c r="CA129" s="4"/>
      <c r="CB129" s="1"/>
      <c r="CC129" s="4">
        <f t="shared" si="586"/>
        <v>0</v>
      </c>
      <c r="CP129" s="306">
        <v>57</v>
      </c>
      <c r="CQ129" s="306"/>
      <c r="CR129" s="306"/>
      <c r="CS129" s="4">
        <f t="shared" si="587"/>
        <v>0</v>
      </c>
    </row>
    <row r="130" spans="6:97">
      <c r="F130" s="6">
        <v>58</v>
      </c>
      <c r="G130" s="4"/>
      <c r="I130" s="4">
        <f t="shared" si="590"/>
        <v>0</v>
      </c>
      <c r="V130" s="6">
        <v>58</v>
      </c>
      <c r="W130" s="6"/>
      <c r="X130" s="6"/>
      <c r="Y130" s="4"/>
      <c r="Z130" s="4"/>
      <c r="AP130" s="6">
        <v>58</v>
      </c>
      <c r="AQ130" s="4"/>
      <c r="AR130" s="1"/>
      <c r="AS130" s="4">
        <f t="shared" si="589"/>
        <v>0</v>
      </c>
      <c r="BF130" s="6">
        <v>58</v>
      </c>
      <c r="BG130" s="6"/>
      <c r="BH130" s="6"/>
      <c r="BI130" s="4">
        <f t="shared" si="588"/>
        <v>0</v>
      </c>
      <c r="BZ130" s="6">
        <v>58</v>
      </c>
      <c r="CA130" s="4"/>
      <c r="CB130" s="1"/>
      <c r="CC130" s="4">
        <f t="shared" si="586"/>
        <v>0</v>
      </c>
      <c r="CP130" s="6">
        <v>58</v>
      </c>
      <c r="CQ130" s="6"/>
      <c r="CR130" s="6"/>
      <c r="CS130" s="4">
        <f t="shared" si="587"/>
        <v>0</v>
      </c>
    </row>
    <row r="131" spans="6:97">
      <c r="F131" s="306">
        <v>59</v>
      </c>
      <c r="G131" s="4"/>
      <c r="I131" s="4">
        <f t="shared" si="590"/>
        <v>0</v>
      </c>
      <c r="V131" s="306">
        <v>59</v>
      </c>
      <c r="W131" s="306"/>
      <c r="X131" s="306"/>
      <c r="Y131" s="4"/>
      <c r="Z131" s="4"/>
      <c r="AP131" s="306">
        <v>59</v>
      </c>
      <c r="AQ131" s="4"/>
      <c r="AR131" s="1"/>
      <c r="AS131" s="4">
        <f t="shared" si="589"/>
        <v>0</v>
      </c>
      <c r="BF131" s="306">
        <v>59</v>
      </c>
      <c r="BG131" s="306"/>
      <c r="BH131" s="306"/>
      <c r="BI131" s="4">
        <f t="shared" si="588"/>
        <v>0</v>
      </c>
      <c r="BZ131" s="306">
        <v>59</v>
      </c>
      <c r="CA131" s="4"/>
      <c r="CB131" s="1"/>
      <c r="CC131" s="4">
        <f t="shared" si="586"/>
        <v>0</v>
      </c>
      <c r="CP131" s="306">
        <v>59</v>
      </c>
      <c r="CQ131" s="306"/>
      <c r="CR131" s="306"/>
      <c r="CS131" s="4">
        <f t="shared" si="587"/>
        <v>0</v>
      </c>
    </row>
    <row r="132" spans="6:97">
      <c r="F132" s="6">
        <v>60</v>
      </c>
      <c r="G132" s="4"/>
      <c r="I132" s="4">
        <f t="shared" si="590"/>
        <v>0</v>
      </c>
      <c r="V132" s="6">
        <v>60</v>
      </c>
      <c r="W132" s="6"/>
      <c r="X132" s="6"/>
      <c r="Y132" s="4"/>
      <c r="Z132" s="4"/>
      <c r="AP132" s="6">
        <v>60</v>
      </c>
      <c r="AQ132" s="4"/>
      <c r="AR132" s="1"/>
      <c r="AS132" s="4">
        <f t="shared" si="589"/>
        <v>0</v>
      </c>
      <c r="BF132" s="6">
        <v>60</v>
      </c>
      <c r="BG132" s="6"/>
      <c r="BH132" s="6"/>
      <c r="BI132" s="4">
        <f t="shared" si="588"/>
        <v>0</v>
      </c>
      <c r="BZ132" s="6">
        <v>60</v>
      </c>
      <c r="CA132" s="4"/>
      <c r="CB132" s="1"/>
      <c r="CC132" s="4">
        <f t="shared" si="586"/>
        <v>0</v>
      </c>
      <c r="CP132" s="6">
        <v>60</v>
      </c>
      <c r="CQ132" s="6"/>
      <c r="CR132" s="6"/>
      <c r="CS132" s="4">
        <f t="shared" si="587"/>
        <v>0</v>
      </c>
    </row>
    <row r="133" spans="6:97">
      <c r="F133" s="306">
        <v>61</v>
      </c>
      <c r="G133" s="4"/>
      <c r="I133" s="4">
        <f t="shared" si="590"/>
        <v>0</v>
      </c>
      <c r="V133" s="306">
        <v>61</v>
      </c>
      <c r="W133" s="306"/>
      <c r="X133" s="306"/>
      <c r="Y133" s="4"/>
      <c r="Z133" s="4"/>
      <c r="AP133" s="306">
        <v>61</v>
      </c>
      <c r="AQ133" s="4"/>
      <c r="AR133" s="1"/>
      <c r="AS133" s="4">
        <f t="shared" si="589"/>
        <v>0</v>
      </c>
      <c r="BF133" s="306">
        <v>61</v>
      </c>
      <c r="BG133" s="306"/>
      <c r="BH133" s="306"/>
      <c r="BI133" s="4">
        <f t="shared" si="588"/>
        <v>0</v>
      </c>
      <c r="BZ133" s="306">
        <v>61</v>
      </c>
      <c r="CA133" s="4"/>
      <c r="CB133" s="1"/>
      <c r="CC133" s="4">
        <f t="shared" si="586"/>
        <v>0</v>
      </c>
      <c r="CP133" s="306">
        <v>61</v>
      </c>
      <c r="CQ133" s="306"/>
      <c r="CR133" s="306"/>
      <c r="CS133" s="4">
        <f t="shared" si="587"/>
        <v>0</v>
      </c>
    </row>
    <row r="134" spans="6:97">
      <c r="F134" s="6">
        <v>62</v>
      </c>
      <c r="G134" s="4"/>
      <c r="I134" s="4">
        <f t="shared" si="590"/>
        <v>0</v>
      </c>
      <c r="V134" s="6">
        <v>62</v>
      </c>
      <c r="W134" s="6"/>
      <c r="X134" s="6"/>
      <c r="Y134" s="4"/>
      <c r="Z134" s="4"/>
      <c r="AP134" s="6">
        <v>62</v>
      </c>
      <c r="AQ134" s="4"/>
      <c r="AR134" s="1"/>
      <c r="AS134" s="4">
        <f t="shared" si="589"/>
        <v>0</v>
      </c>
      <c r="BF134" s="6">
        <v>62</v>
      </c>
      <c r="BG134" s="6"/>
      <c r="BH134" s="6"/>
      <c r="BI134" s="4">
        <f t="shared" si="588"/>
        <v>0</v>
      </c>
      <c r="BZ134" s="6">
        <v>62</v>
      </c>
      <c r="CA134" s="4"/>
      <c r="CB134" s="1"/>
      <c r="CC134" s="4">
        <f t="shared" si="586"/>
        <v>0</v>
      </c>
      <c r="CP134" s="6">
        <v>62</v>
      </c>
      <c r="CQ134" s="6"/>
      <c r="CR134" s="6"/>
      <c r="CS134" s="4">
        <f t="shared" si="587"/>
        <v>0</v>
      </c>
    </row>
    <row r="135" spans="6:97">
      <c r="F135" s="306">
        <v>63</v>
      </c>
      <c r="G135" s="4"/>
      <c r="I135" s="4">
        <f t="shared" si="590"/>
        <v>0</v>
      </c>
      <c r="V135" s="306">
        <v>63</v>
      </c>
      <c r="W135" s="306"/>
      <c r="X135" s="306"/>
      <c r="Y135" s="4"/>
      <c r="Z135" s="4"/>
      <c r="AP135" s="306">
        <v>63</v>
      </c>
      <c r="AQ135" s="4"/>
      <c r="AR135" s="1"/>
      <c r="AS135" s="4">
        <f t="shared" si="589"/>
        <v>0</v>
      </c>
      <c r="BF135" s="306">
        <v>63</v>
      </c>
      <c r="BG135" s="306"/>
      <c r="BH135" s="306"/>
      <c r="BI135" s="4">
        <f t="shared" si="588"/>
        <v>0</v>
      </c>
      <c r="BZ135" s="306">
        <v>63</v>
      </c>
      <c r="CA135" s="4"/>
      <c r="CB135" s="1"/>
      <c r="CC135" s="4">
        <f t="shared" si="586"/>
        <v>0</v>
      </c>
      <c r="CP135" s="306">
        <v>63</v>
      </c>
      <c r="CQ135" s="306"/>
      <c r="CR135" s="306"/>
      <c r="CS135" s="4">
        <f t="shared" si="587"/>
        <v>0</v>
      </c>
    </row>
    <row r="136" spans="6:97">
      <c r="F136" s="6">
        <v>64</v>
      </c>
      <c r="G136" s="4">
        <f>G64-(I64+K64)</f>
        <v>0</v>
      </c>
      <c r="I136" s="4">
        <f t="shared" si="590"/>
        <v>0</v>
      </c>
      <c r="M136" s="4"/>
      <c r="V136" s="6">
        <v>64</v>
      </c>
      <c r="W136" s="6"/>
      <c r="X136" s="6"/>
      <c r="Y136" s="4"/>
      <c r="Z136" s="4"/>
      <c r="AP136" s="6">
        <v>64</v>
      </c>
      <c r="AQ136" s="4">
        <f>AQ64-(AS64+AU64)</f>
        <v>0</v>
      </c>
      <c r="AR136" s="1"/>
      <c r="AS136" s="4">
        <f t="shared" si="589"/>
        <v>0</v>
      </c>
      <c r="BF136" s="6">
        <v>64</v>
      </c>
      <c r="BG136" s="6"/>
      <c r="BH136" s="6"/>
      <c r="BI136" s="4">
        <f t="shared" si="588"/>
        <v>0</v>
      </c>
      <c r="BZ136" s="6">
        <v>64</v>
      </c>
      <c r="CA136" s="4">
        <f>CA64-(CC64+CE64)</f>
        <v>0</v>
      </c>
      <c r="CB136" s="1"/>
      <c r="CC136" s="4">
        <f t="shared" si="586"/>
        <v>0</v>
      </c>
      <c r="CP136" s="6">
        <v>64</v>
      </c>
      <c r="CQ136" s="6"/>
      <c r="CR136" s="6"/>
      <c r="CS136" s="4">
        <f t="shared" si="587"/>
        <v>0</v>
      </c>
    </row>
    <row r="137" spans="6:97">
      <c r="F137" s="306">
        <v>65</v>
      </c>
      <c r="G137" s="4"/>
      <c r="I137" s="4">
        <f t="shared" si="590"/>
        <v>0</v>
      </c>
      <c r="M137" s="4"/>
      <c r="V137" s="306">
        <v>65</v>
      </c>
      <c r="W137" s="306"/>
      <c r="X137" s="306"/>
      <c r="Y137" s="4"/>
      <c r="Z137" s="4"/>
      <c r="AP137" s="306">
        <v>65</v>
      </c>
      <c r="AQ137" s="4"/>
      <c r="AR137" s="1"/>
      <c r="AS137" s="4">
        <f t="shared" si="589"/>
        <v>0</v>
      </c>
      <c r="BF137" s="306">
        <v>65</v>
      </c>
      <c r="BG137" s="306"/>
      <c r="BH137" s="306"/>
      <c r="BI137" s="4">
        <f t="shared" si="588"/>
        <v>0</v>
      </c>
      <c r="BZ137" s="306">
        <v>65</v>
      </c>
      <c r="CA137" s="4"/>
      <c r="CB137" s="1"/>
      <c r="CC137" s="4">
        <f t="shared" si="586"/>
        <v>0</v>
      </c>
      <c r="CP137" s="306">
        <v>65</v>
      </c>
      <c r="CQ137" s="306"/>
      <c r="CR137" s="306"/>
      <c r="CS137" s="4">
        <f t="shared" si="587"/>
        <v>0</v>
      </c>
    </row>
    <row r="138" spans="6:97">
      <c r="F138" s="6">
        <v>66</v>
      </c>
      <c r="G138" s="4"/>
      <c r="I138" s="4">
        <f t="shared" si="590"/>
        <v>0</v>
      </c>
      <c r="M138" s="4"/>
      <c r="V138" s="6">
        <v>66</v>
      </c>
      <c r="W138" s="6"/>
      <c r="X138" s="6"/>
      <c r="Y138" s="4"/>
      <c r="Z138" s="4"/>
      <c r="AP138" s="6">
        <v>66</v>
      </c>
      <c r="AQ138" s="4"/>
      <c r="AR138" s="1"/>
      <c r="AS138" s="4">
        <f t="shared" si="589"/>
        <v>0</v>
      </c>
      <c r="BF138" s="6">
        <v>66</v>
      </c>
      <c r="BG138" s="6"/>
      <c r="BH138" s="6"/>
      <c r="BI138" s="4">
        <f t="shared" si="588"/>
        <v>0</v>
      </c>
      <c r="BZ138" s="6">
        <v>66</v>
      </c>
      <c r="CA138" s="4"/>
      <c r="CB138" s="1"/>
      <c r="CC138" s="4">
        <f t="shared" si="586"/>
        <v>0</v>
      </c>
      <c r="CP138" s="6">
        <v>66</v>
      </c>
      <c r="CQ138" s="6"/>
      <c r="CR138" s="6"/>
      <c r="CS138" s="4">
        <f t="shared" si="587"/>
        <v>0</v>
      </c>
    </row>
    <row r="139" spans="6:97">
      <c r="F139" s="306">
        <v>67</v>
      </c>
      <c r="G139" s="4">
        <f>G67-(I67+K67)</f>
        <v>0</v>
      </c>
      <c r="I139" s="4">
        <f t="shared" si="590"/>
        <v>0</v>
      </c>
      <c r="M139" s="4"/>
      <c r="V139" s="306">
        <v>67</v>
      </c>
      <c r="W139" s="306"/>
      <c r="X139" s="306"/>
      <c r="Y139" s="4"/>
      <c r="Z139" s="4"/>
      <c r="AP139" s="306">
        <v>67</v>
      </c>
      <c r="AQ139" s="4">
        <f>AQ67-(AS67+AU67)</f>
        <v>0</v>
      </c>
      <c r="AR139" s="1"/>
      <c r="AS139" s="4">
        <f t="shared" si="589"/>
        <v>0</v>
      </c>
      <c r="BF139" s="306">
        <v>67</v>
      </c>
      <c r="BG139" s="306"/>
      <c r="BH139" s="306"/>
      <c r="BI139" s="4">
        <f t="shared" si="588"/>
        <v>0</v>
      </c>
      <c r="BZ139" s="306">
        <v>67</v>
      </c>
      <c r="CA139" s="4">
        <f>CA67-(CC67+CE67)</f>
        <v>0</v>
      </c>
      <c r="CB139" s="1"/>
      <c r="CC139" s="4">
        <f t="shared" si="586"/>
        <v>0</v>
      </c>
      <c r="CP139" s="306">
        <v>67</v>
      </c>
      <c r="CQ139" s="306"/>
      <c r="CR139" s="306"/>
      <c r="CS139" s="4">
        <f t="shared" si="587"/>
        <v>0</v>
      </c>
    </row>
    <row r="140" spans="6:97">
      <c r="F140" s="6">
        <v>68</v>
      </c>
      <c r="G140" s="4">
        <f>G68-(I68+K68)</f>
        <v>0</v>
      </c>
      <c r="I140" s="4">
        <f t="shared" si="590"/>
        <v>0</v>
      </c>
      <c r="M140" s="4"/>
      <c r="V140" s="6">
        <v>68</v>
      </c>
      <c r="W140" s="6"/>
      <c r="X140" s="6"/>
      <c r="Y140" s="4"/>
      <c r="Z140" s="4"/>
      <c r="AP140" s="6">
        <v>68</v>
      </c>
      <c r="AQ140" s="4">
        <f>AQ68-(AS68+AU68)</f>
        <v>0</v>
      </c>
      <c r="AR140" s="1"/>
      <c r="AS140" s="4">
        <f t="shared" si="589"/>
        <v>0</v>
      </c>
      <c r="BF140" s="6">
        <v>68</v>
      </c>
      <c r="BG140" s="6"/>
      <c r="BH140" s="6"/>
      <c r="BI140" s="4">
        <f t="shared" si="588"/>
        <v>0</v>
      </c>
      <c r="BZ140" s="6">
        <v>68</v>
      </c>
      <c r="CA140" s="4">
        <f>CA68-(CC68+CE68)</f>
        <v>0</v>
      </c>
      <c r="CB140" s="1"/>
      <c r="CC140" s="4">
        <f t="shared" si="586"/>
        <v>0</v>
      </c>
      <c r="CP140" s="6">
        <v>68</v>
      </c>
      <c r="CQ140" s="6"/>
      <c r="CR140" s="6"/>
      <c r="CS140" s="4">
        <f t="shared" si="587"/>
        <v>0</v>
      </c>
    </row>
    <row r="141" spans="6:97">
      <c r="F141" s="306">
        <v>69</v>
      </c>
      <c r="G141" s="4"/>
      <c r="I141" s="4">
        <f t="shared" ref="I141:I152" si="591">I70-(M70+Q70)</f>
        <v>0</v>
      </c>
      <c r="M141" s="4"/>
      <c r="V141" s="306">
        <v>69</v>
      </c>
      <c r="W141" s="306"/>
      <c r="X141" s="306"/>
      <c r="Y141" s="4"/>
      <c r="Z141" s="4"/>
      <c r="AP141" s="306">
        <v>69</v>
      </c>
      <c r="AQ141" s="4"/>
      <c r="AR141" s="1"/>
      <c r="AS141" s="4">
        <f t="shared" ref="AS141:AS152" si="592">AS70-(AW70+BA70)</f>
        <v>0</v>
      </c>
      <c r="BF141" s="306">
        <v>69</v>
      </c>
      <c r="BG141" s="306"/>
      <c r="BH141" s="306"/>
      <c r="BI141" s="4">
        <f t="shared" ref="BI141:BI152" si="593">BI70-(BM70+BQ70)</f>
        <v>0</v>
      </c>
      <c r="BZ141" s="306">
        <v>69</v>
      </c>
      <c r="CA141" s="4"/>
      <c r="CB141" s="1"/>
      <c r="CC141" s="4">
        <f t="shared" ref="CC141:CC152" si="594">CC70-(CG70+CK70)</f>
        <v>0</v>
      </c>
      <c r="CP141" s="306">
        <v>69</v>
      </c>
      <c r="CQ141" s="306"/>
      <c r="CR141" s="306"/>
      <c r="CS141" s="4">
        <f t="shared" ref="CS141:CS152" si="595">CS70-(CW70+DA70)</f>
        <v>0</v>
      </c>
    </row>
    <row r="142" spans="6:97">
      <c r="F142" s="6">
        <v>70</v>
      </c>
      <c r="G142" s="4"/>
      <c r="I142" s="4">
        <f t="shared" si="591"/>
        <v>0</v>
      </c>
      <c r="M142" s="4"/>
      <c r="V142" s="6">
        <v>70</v>
      </c>
      <c r="W142" s="6"/>
      <c r="X142" s="6"/>
      <c r="Y142" s="4"/>
      <c r="Z142" s="4"/>
      <c r="AP142" s="6">
        <v>70</v>
      </c>
      <c r="AQ142" s="4"/>
      <c r="AR142" s="1"/>
      <c r="AS142" s="4">
        <f t="shared" si="592"/>
        <v>0</v>
      </c>
      <c r="BF142" s="6">
        <v>70</v>
      </c>
      <c r="BG142" s="6"/>
      <c r="BH142" s="6"/>
      <c r="BI142" s="4">
        <f t="shared" si="593"/>
        <v>0</v>
      </c>
      <c r="BZ142" s="6">
        <v>70</v>
      </c>
      <c r="CA142" s="4"/>
      <c r="CB142" s="1"/>
      <c r="CC142" s="4">
        <f t="shared" si="594"/>
        <v>0</v>
      </c>
      <c r="CP142" s="6">
        <v>70</v>
      </c>
      <c r="CQ142" s="6"/>
      <c r="CR142" s="6"/>
      <c r="CS142" s="4">
        <f t="shared" si="595"/>
        <v>0</v>
      </c>
    </row>
    <row r="143" spans="6:97">
      <c r="F143" s="306">
        <v>71</v>
      </c>
      <c r="G143" s="4"/>
      <c r="I143" s="4">
        <f t="shared" si="591"/>
        <v>0</v>
      </c>
      <c r="M143" s="4"/>
      <c r="V143" s="306">
        <v>71</v>
      </c>
      <c r="W143" s="306"/>
      <c r="X143" s="306"/>
      <c r="Y143" s="4"/>
      <c r="Z143" s="4"/>
      <c r="AP143" s="306">
        <v>71</v>
      </c>
      <c r="AQ143" s="4"/>
      <c r="AR143" s="1"/>
      <c r="AS143" s="4">
        <f t="shared" si="592"/>
        <v>0</v>
      </c>
      <c r="BF143" s="306">
        <v>71</v>
      </c>
      <c r="BG143" s="306"/>
      <c r="BH143" s="306"/>
      <c r="BI143" s="4">
        <f t="shared" si="593"/>
        <v>0</v>
      </c>
      <c r="BZ143" s="306">
        <v>71</v>
      </c>
      <c r="CA143" s="4"/>
      <c r="CB143" s="1"/>
      <c r="CC143" s="4">
        <f t="shared" si="594"/>
        <v>0</v>
      </c>
      <c r="CP143" s="306">
        <v>71</v>
      </c>
      <c r="CQ143" s="306"/>
      <c r="CR143" s="306"/>
      <c r="CS143" s="4">
        <f t="shared" si="595"/>
        <v>0</v>
      </c>
    </row>
    <row r="144" spans="6:97">
      <c r="F144" s="6">
        <v>72</v>
      </c>
      <c r="G144" s="4"/>
      <c r="I144" s="4">
        <f t="shared" si="591"/>
        <v>0</v>
      </c>
      <c r="M144" s="4"/>
      <c r="V144" s="6">
        <v>72</v>
      </c>
      <c r="W144" s="6"/>
      <c r="X144" s="6"/>
      <c r="Y144" s="4"/>
      <c r="Z144" s="4"/>
      <c r="AP144" s="6">
        <v>72</v>
      </c>
      <c r="AQ144" s="4"/>
      <c r="AR144" s="1"/>
      <c r="AS144" s="4">
        <f t="shared" si="592"/>
        <v>0</v>
      </c>
      <c r="BF144" s="6">
        <v>72</v>
      </c>
      <c r="BG144" s="6"/>
      <c r="BH144" s="6"/>
      <c r="BI144" s="4">
        <f t="shared" si="593"/>
        <v>0</v>
      </c>
      <c r="BZ144" s="6">
        <v>72</v>
      </c>
      <c r="CA144" s="4"/>
      <c r="CB144" s="1"/>
      <c r="CC144" s="4">
        <f t="shared" si="594"/>
        <v>0</v>
      </c>
      <c r="CP144" s="6">
        <v>72</v>
      </c>
      <c r="CQ144" s="6"/>
      <c r="CR144" s="6"/>
      <c r="CS144" s="4">
        <f t="shared" si="595"/>
        <v>0</v>
      </c>
    </row>
    <row r="145" spans="6:97">
      <c r="F145" s="306">
        <v>73</v>
      </c>
      <c r="G145" s="4"/>
      <c r="I145" s="4">
        <f t="shared" si="591"/>
        <v>0</v>
      </c>
      <c r="M145" s="4"/>
      <c r="V145" s="306">
        <v>73</v>
      </c>
      <c r="W145" s="306"/>
      <c r="X145" s="306"/>
      <c r="Y145" s="4"/>
      <c r="Z145" s="4"/>
      <c r="AP145" s="306">
        <v>73</v>
      </c>
      <c r="AQ145" s="4"/>
      <c r="AR145" s="1"/>
      <c r="AS145" s="4">
        <f t="shared" si="592"/>
        <v>0</v>
      </c>
      <c r="BF145" s="306">
        <v>73</v>
      </c>
      <c r="BG145" s="306"/>
      <c r="BH145" s="306"/>
      <c r="BI145" s="4">
        <f t="shared" si="593"/>
        <v>0</v>
      </c>
      <c r="BZ145" s="306">
        <v>73</v>
      </c>
      <c r="CA145" s="4"/>
      <c r="CB145" s="1"/>
      <c r="CC145" s="4">
        <f t="shared" si="594"/>
        <v>0</v>
      </c>
      <c r="CP145" s="306">
        <v>73</v>
      </c>
      <c r="CQ145" s="306"/>
      <c r="CR145" s="306"/>
      <c r="CS145" s="4">
        <f t="shared" si="595"/>
        <v>0</v>
      </c>
    </row>
    <row r="146" spans="6:97">
      <c r="F146" s="6">
        <v>74</v>
      </c>
      <c r="G146" s="4">
        <f>G75-(I75+K75)</f>
        <v>0</v>
      </c>
      <c r="I146" s="4">
        <f t="shared" si="591"/>
        <v>0</v>
      </c>
      <c r="M146" s="4"/>
      <c r="V146" s="6">
        <v>74</v>
      </c>
      <c r="W146" s="6"/>
      <c r="X146" s="6"/>
      <c r="Y146" s="4"/>
      <c r="Z146" s="4"/>
      <c r="AP146" s="6">
        <v>74</v>
      </c>
      <c r="AQ146" s="4">
        <f t="shared" ref="AQ146:AQ147" si="596">AQ75-(AS75+AU75)</f>
        <v>0</v>
      </c>
      <c r="AR146" s="1"/>
      <c r="AS146" s="4">
        <f t="shared" si="592"/>
        <v>0</v>
      </c>
      <c r="BF146" s="6">
        <v>74</v>
      </c>
      <c r="BG146" s="6"/>
      <c r="BH146" s="6"/>
      <c r="BI146" s="4">
        <f t="shared" si="593"/>
        <v>0</v>
      </c>
      <c r="BZ146" s="6">
        <v>74</v>
      </c>
      <c r="CA146" s="4">
        <f t="shared" ref="CA146:CA147" si="597">CA75-(CC75+CE75)</f>
        <v>0</v>
      </c>
      <c r="CB146" s="1"/>
      <c r="CC146" s="4">
        <f t="shared" si="594"/>
        <v>0</v>
      </c>
      <c r="CP146" s="6">
        <v>74</v>
      </c>
      <c r="CQ146" s="6"/>
      <c r="CR146" s="6"/>
      <c r="CS146" s="4">
        <f t="shared" si="595"/>
        <v>0</v>
      </c>
    </row>
    <row r="147" spans="6:97">
      <c r="F147" s="306">
        <v>75</v>
      </c>
      <c r="G147" s="4">
        <f>G76-(I76+K76)</f>
        <v>0</v>
      </c>
      <c r="I147" s="4">
        <f t="shared" si="591"/>
        <v>0</v>
      </c>
      <c r="M147" s="4"/>
      <c r="V147" s="306">
        <v>75</v>
      </c>
      <c r="W147" s="306"/>
      <c r="X147" s="306"/>
      <c r="Y147" s="4">
        <f t="shared" ref="Y147:Z152" si="598">Y76-(AC76+AG76)</f>
        <v>0</v>
      </c>
      <c r="Z147" s="4">
        <f t="shared" si="598"/>
        <v>0</v>
      </c>
      <c r="AP147" s="306">
        <v>75</v>
      </c>
      <c r="AQ147" s="4">
        <f t="shared" si="596"/>
        <v>0</v>
      </c>
      <c r="AR147" s="1"/>
      <c r="AS147" s="4">
        <f t="shared" si="592"/>
        <v>0</v>
      </c>
      <c r="BF147" s="306">
        <v>75</v>
      </c>
      <c r="BG147" s="306"/>
      <c r="BH147" s="306"/>
      <c r="BI147" s="4">
        <f t="shared" si="593"/>
        <v>0</v>
      </c>
      <c r="BZ147" s="306">
        <v>75</v>
      </c>
      <c r="CA147" s="4">
        <f t="shared" si="597"/>
        <v>0</v>
      </c>
      <c r="CB147" s="1"/>
      <c r="CC147" s="4">
        <f t="shared" si="594"/>
        <v>0</v>
      </c>
      <c r="CP147" s="306">
        <v>75</v>
      </c>
      <c r="CQ147" s="306"/>
      <c r="CR147" s="306"/>
      <c r="CS147" s="4">
        <f t="shared" si="595"/>
        <v>0</v>
      </c>
    </row>
    <row r="148" spans="6:97">
      <c r="F148" s="6">
        <v>76</v>
      </c>
      <c r="G148" s="4"/>
      <c r="I148" s="4">
        <f t="shared" si="591"/>
        <v>0</v>
      </c>
      <c r="M148" s="4"/>
      <c r="V148" s="6">
        <v>76</v>
      </c>
      <c r="W148" s="6"/>
      <c r="X148" s="6"/>
      <c r="Y148" s="4">
        <f t="shared" si="598"/>
        <v>0</v>
      </c>
      <c r="Z148" s="4">
        <f t="shared" si="598"/>
        <v>0</v>
      </c>
      <c r="AP148" s="6">
        <v>76</v>
      </c>
      <c r="AQ148" s="4"/>
      <c r="AR148" s="1"/>
      <c r="AS148" s="4">
        <f t="shared" si="592"/>
        <v>0</v>
      </c>
      <c r="BF148" s="6">
        <v>76</v>
      </c>
      <c r="BG148" s="6"/>
      <c r="BH148" s="6"/>
      <c r="BI148" s="4">
        <f t="shared" si="593"/>
        <v>0</v>
      </c>
      <c r="BZ148" s="6">
        <v>76</v>
      </c>
      <c r="CA148" s="4"/>
      <c r="CB148" s="1"/>
      <c r="CC148" s="4">
        <f t="shared" si="594"/>
        <v>0</v>
      </c>
      <c r="CP148" s="6">
        <v>76</v>
      </c>
      <c r="CQ148" s="6"/>
      <c r="CR148" s="6"/>
      <c r="CS148" s="4">
        <f t="shared" si="595"/>
        <v>0</v>
      </c>
    </row>
    <row r="149" spans="6:97">
      <c r="F149" s="306">
        <v>77</v>
      </c>
      <c r="G149" s="4"/>
      <c r="I149" s="4">
        <f t="shared" si="591"/>
        <v>0</v>
      </c>
      <c r="M149" s="4"/>
      <c r="V149" s="306">
        <v>77</v>
      </c>
      <c r="W149" s="306"/>
      <c r="X149" s="306"/>
      <c r="Y149" s="4">
        <f t="shared" si="598"/>
        <v>0</v>
      </c>
      <c r="Z149" s="4">
        <f t="shared" si="598"/>
        <v>0</v>
      </c>
      <c r="AP149" s="306">
        <v>77</v>
      </c>
      <c r="AQ149" s="4"/>
      <c r="AR149" s="1"/>
      <c r="AS149" s="4">
        <f t="shared" si="592"/>
        <v>0</v>
      </c>
      <c r="BF149" s="306">
        <v>77</v>
      </c>
      <c r="BG149" s="306"/>
      <c r="BH149" s="306"/>
      <c r="BI149" s="4">
        <f t="shared" si="593"/>
        <v>0</v>
      </c>
      <c r="BZ149" s="306">
        <v>77</v>
      </c>
      <c r="CA149" s="4"/>
      <c r="CB149" s="1"/>
      <c r="CC149" s="4">
        <f t="shared" si="594"/>
        <v>0</v>
      </c>
      <c r="CP149" s="306">
        <v>77</v>
      </c>
      <c r="CQ149" s="306"/>
      <c r="CR149" s="306"/>
      <c r="CS149" s="4">
        <f t="shared" si="595"/>
        <v>0</v>
      </c>
    </row>
    <row r="150" spans="6:97">
      <c r="F150" s="6">
        <v>78</v>
      </c>
      <c r="G150" s="4">
        <f>G79-(I79+K79)</f>
        <v>0</v>
      </c>
      <c r="I150" s="4">
        <f t="shared" si="591"/>
        <v>0</v>
      </c>
      <c r="M150" s="4"/>
      <c r="V150" s="6">
        <v>78</v>
      </c>
      <c r="W150" s="6"/>
      <c r="X150" s="6"/>
      <c r="Y150" s="4">
        <f t="shared" si="598"/>
        <v>0</v>
      </c>
      <c r="Z150" s="4">
        <f t="shared" si="598"/>
        <v>0</v>
      </c>
      <c r="AP150" s="6">
        <v>78</v>
      </c>
      <c r="AQ150" s="4">
        <f t="shared" ref="AQ150" si="599">AQ79-(AS79+AU79)</f>
        <v>0</v>
      </c>
      <c r="AR150" s="1"/>
      <c r="AS150" s="4">
        <f t="shared" si="592"/>
        <v>0</v>
      </c>
      <c r="BF150" s="6">
        <v>78</v>
      </c>
      <c r="BG150" s="6"/>
      <c r="BH150" s="6"/>
      <c r="BI150" s="4">
        <f t="shared" si="593"/>
        <v>0</v>
      </c>
      <c r="BZ150" s="6">
        <v>78</v>
      </c>
      <c r="CA150" s="4">
        <f t="shared" ref="CA150" si="600">CA79-(CC79+CE79)</f>
        <v>0</v>
      </c>
      <c r="CB150" s="1"/>
      <c r="CC150" s="4">
        <f t="shared" si="594"/>
        <v>0</v>
      </c>
      <c r="CP150" s="6">
        <v>78</v>
      </c>
      <c r="CQ150" s="6"/>
      <c r="CR150" s="6"/>
      <c r="CS150" s="4">
        <f t="shared" si="595"/>
        <v>0</v>
      </c>
    </row>
    <row r="151" spans="6:97">
      <c r="F151" s="306">
        <v>79</v>
      </c>
      <c r="G151" s="4"/>
      <c r="I151" s="4">
        <f t="shared" si="591"/>
        <v>0</v>
      </c>
      <c r="M151" s="4"/>
      <c r="V151" s="306">
        <v>79</v>
      </c>
      <c r="W151" s="306"/>
      <c r="X151" s="306"/>
      <c r="Y151" s="4">
        <f t="shared" si="598"/>
        <v>0</v>
      </c>
      <c r="Z151" s="4">
        <f t="shared" si="598"/>
        <v>0</v>
      </c>
      <c r="AP151" s="306">
        <v>79</v>
      </c>
      <c r="AQ151" s="4"/>
      <c r="AR151" s="1"/>
      <c r="AS151" s="4">
        <f t="shared" si="592"/>
        <v>0</v>
      </c>
      <c r="BF151" s="306">
        <v>79</v>
      </c>
      <c r="BG151" s="306"/>
      <c r="BH151" s="306"/>
      <c r="BI151" s="4">
        <f t="shared" si="593"/>
        <v>0</v>
      </c>
      <c r="BZ151" s="306">
        <v>79</v>
      </c>
      <c r="CA151" s="4"/>
      <c r="CB151" s="1"/>
      <c r="CC151" s="4">
        <f t="shared" si="594"/>
        <v>0</v>
      </c>
      <c r="CP151" s="306">
        <v>79</v>
      </c>
      <c r="CQ151" s="306"/>
      <c r="CR151" s="306"/>
      <c r="CS151" s="4">
        <f t="shared" si="595"/>
        <v>0</v>
      </c>
    </row>
    <row r="152" spans="6:97">
      <c r="F152" s="6">
        <v>80</v>
      </c>
      <c r="G152" s="4">
        <f>G81-(I81+K81)</f>
        <v>0</v>
      </c>
      <c r="I152" s="4">
        <f t="shared" si="591"/>
        <v>0</v>
      </c>
      <c r="M152" s="4"/>
      <c r="V152" s="6">
        <v>80</v>
      </c>
      <c r="W152" s="6"/>
      <c r="X152" s="6"/>
      <c r="Y152" s="4">
        <f t="shared" si="598"/>
        <v>0</v>
      </c>
      <c r="Z152" s="4">
        <f t="shared" si="598"/>
        <v>0</v>
      </c>
      <c r="AP152" s="6">
        <v>80</v>
      </c>
      <c r="AQ152" s="4">
        <f t="shared" ref="AQ152" si="601">AQ81-(AS81+AU81)</f>
        <v>0</v>
      </c>
      <c r="AR152" s="1"/>
      <c r="AS152" s="4">
        <f t="shared" si="592"/>
        <v>0</v>
      </c>
      <c r="BF152" s="6">
        <v>80</v>
      </c>
      <c r="BG152" s="6"/>
      <c r="BH152" s="6"/>
      <c r="BI152" s="4">
        <f t="shared" si="593"/>
        <v>0</v>
      </c>
      <c r="BZ152" s="6">
        <v>80</v>
      </c>
      <c r="CA152" s="4">
        <f t="shared" ref="CA152" si="602">CA81-(CC81+CE81)</f>
        <v>0</v>
      </c>
      <c r="CB152" s="1"/>
      <c r="CC152" s="4">
        <f t="shared" si="594"/>
        <v>0</v>
      </c>
      <c r="CP152" s="6">
        <v>80</v>
      </c>
      <c r="CQ152" s="6"/>
      <c r="CR152" s="6"/>
      <c r="CS152" s="4">
        <f t="shared" si="595"/>
        <v>0</v>
      </c>
    </row>
  </sheetData>
  <mergeCells count="176">
    <mergeCell ref="GK11:GL11"/>
    <mergeCell ref="GM11:GN11"/>
    <mergeCell ref="GO11:GP11"/>
    <mergeCell ref="A13:A40"/>
    <mergeCell ref="A43:A48"/>
    <mergeCell ref="A51:A53"/>
    <mergeCell ref="GA11:GB11"/>
    <mergeCell ref="GC11:GD11"/>
    <mergeCell ref="GE11:GF11"/>
    <mergeCell ref="GG11:GH11"/>
    <mergeCell ref="GI11:GJ11"/>
    <mergeCell ref="A54:A56"/>
    <mergeCell ref="A57:A62"/>
    <mergeCell ref="A67:A68"/>
    <mergeCell ref="A70:A75"/>
    <mergeCell ref="M10:N10"/>
    <mergeCell ref="O10:P10"/>
    <mergeCell ref="Q10:R10"/>
    <mergeCell ref="S10:T10"/>
    <mergeCell ref="AC10:AD10"/>
    <mergeCell ref="AE10:AF10"/>
    <mergeCell ref="AG10:AH10"/>
    <mergeCell ref="AI10:AJ10"/>
    <mergeCell ref="FE9:FH9"/>
    <mergeCell ref="FE10:FF10"/>
    <mergeCell ref="FG10:FH10"/>
    <mergeCell ref="EG10:EH10"/>
    <mergeCell ref="EI10:EJ10"/>
    <mergeCell ref="EK10:EL10"/>
    <mergeCell ref="EM10:EN10"/>
    <mergeCell ref="FA10:FB10"/>
    <mergeCell ref="FC10:FD10"/>
    <mergeCell ref="CW10:CX10"/>
    <mergeCell ref="CY10:CZ10"/>
    <mergeCell ref="DA10:DB10"/>
    <mergeCell ref="DC10:DD10"/>
    <mergeCell ref="DQ10:DR10"/>
    <mergeCell ref="DS10:DT10"/>
    <mergeCell ref="DW10:DX10"/>
    <mergeCell ref="AW10:AX10"/>
    <mergeCell ref="AY10:AZ10"/>
    <mergeCell ref="BA10:BB10"/>
    <mergeCell ref="BC10:BD10"/>
    <mergeCell ref="BM10:BN10"/>
    <mergeCell ref="BO10:BP10"/>
    <mergeCell ref="GI9:GL9"/>
    <mergeCell ref="GM9:GP9"/>
    <mergeCell ref="FK9:FL10"/>
    <mergeCell ref="FM9:FN10"/>
    <mergeCell ref="FO9:FP10"/>
    <mergeCell ref="FQ9:FT9"/>
    <mergeCell ref="FU9:FX9"/>
    <mergeCell ref="FW10:FX10"/>
    <mergeCell ref="GI10:GJ10"/>
    <mergeCell ref="GK10:GL10"/>
    <mergeCell ref="GM10:GN10"/>
    <mergeCell ref="GO10:GP10"/>
    <mergeCell ref="CE9:CF10"/>
    <mergeCell ref="CG9:CJ9"/>
    <mergeCell ref="CK9:CN9"/>
    <mergeCell ref="CQ9:CR10"/>
    <mergeCell ref="CS9:CT10"/>
    <mergeCell ref="CU9:CV10"/>
    <mergeCell ref="CG10:CH10"/>
    <mergeCell ref="CI10:CJ10"/>
    <mergeCell ref="CK10:CL10"/>
    <mergeCell ref="CM10:CN10"/>
    <mergeCell ref="BG9:BH10"/>
    <mergeCell ref="BI9:BJ10"/>
    <mergeCell ref="BK9:BL10"/>
    <mergeCell ref="BM9:BP9"/>
    <mergeCell ref="BQ9:BT9"/>
    <mergeCell ref="BQ10:BR10"/>
    <mergeCell ref="BS10:BT10"/>
    <mergeCell ref="Y9:Z10"/>
    <mergeCell ref="AA9:AB10"/>
    <mergeCell ref="AC9:AF9"/>
    <mergeCell ref="AG9:AJ9"/>
    <mergeCell ref="AM9:AN10"/>
    <mergeCell ref="AO9:AP10"/>
    <mergeCell ref="GQ8:GQ10"/>
    <mergeCell ref="C9:D10"/>
    <mergeCell ref="E9:F10"/>
    <mergeCell ref="G9:H10"/>
    <mergeCell ref="I9:J10"/>
    <mergeCell ref="K9:L10"/>
    <mergeCell ref="M9:P9"/>
    <mergeCell ref="Q9:T9"/>
    <mergeCell ref="W9:X10"/>
    <mergeCell ref="FI8:FJ10"/>
    <mergeCell ref="FK8:FP8"/>
    <mergeCell ref="FQ8:FX8"/>
    <mergeCell ref="FY8:FZ10"/>
    <mergeCell ref="GA8:GB10"/>
    <mergeCell ref="GC8:GH8"/>
    <mergeCell ref="GC9:GD10"/>
    <mergeCell ref="GE9:GF10"/>
    <mergeCell ref="GG9:GH10"/>
    <mergeCell ref="FU10:FV10"/>
    <mergeCell ref="EA8:EF8"/>
    <mergeCell ref="EG8:EN8"/>
    <mergeCell ref="EO8:EP10"/>
    <mergeCell ref="EQ8:ET8"/>
    <mergeCell ref="BA9:BD9"/>
    <mergeCell ref="DG8:DJ8"/>
    <mergeCell ref="DK8:DP8"/>
    <mergeCell ref="DQ8:DX8"/>
    <mergeCell ref="DY8:DZ10"/>
    <mergeCell ref="CW9:CZ9"/>
    <mergeCell ref="DA9:DD9"/>
    <mergeCell ref="DG9:DH10"/>
    <mergeCell ref="DI9:DJ10"/>
    <mergeCell ref="GI8:GP8"/>
    <mergeCell ref="FQ10:FR10"/>
    <mergeCell ref="FS10:FT10"/>
    <mergeCell ref="EQ9:ER10"/>
    <mergeCell ref="ES9:ET10"/>
    <mergeCell ref="EU9:EV10"/>
    <mergeCell ref="EW9:EX10"/>
    <mergeCell ref="EY9:EZ10"/>
    <mergeCell ref="FA9:FD9"/>
    <mergeCell ref="DK9:DL10"/>
    <mergeCell ref="DM9:DN10"/>
    <mergeCell ref="DO9:DP10"/>
    <mergeCell ref="DQ9:DT9"/>
    <mergeCell ref="DU9:DX9"/>
    <mergeCell ref="EA9:EB10"/>
    <mergeCell ref="DU10:DV10"/>
    <mergeCell ref="GA7:GQ7"/>
    <mergeCell ref="C8:F8"/>
    <mergeCell ref="G8:L8"/>
    <mergeCell ref="M8:T8"/>
    <mergeCell ref="U8:V10"/>
    <mergeCell ref="W8:AB8"/>
    <mergeCell ref="AC8:AJ8"/>
    <mergeCell ref="AK8:AL10"/>
    <mergeCell ref="AM8:AP8"/>
    <mergeCell ref="AQ8:AV8"/>
    <mergeCell ref="AW8:BD8"/>
    <mergeCell ref="BE8:BF10"/>
    <mergeCell ref="BG8:BL8"/>
    <mergeCell ref="BM8:BT8"/>
    <mergeCell ref="AQ9:AR10"/>
    <mergeCell ref="AS9:AT10"/>
    <mergeCell ref="AU9:AV10"/>
    <mergeCell ref="AW9:AZ9"/>
    <mergeCell ref="BU8:BV10"/>
    <mergeCell ref="BW8:BZ8"/>
    <mergeCell ref="CA8:CF8"/>
    <mergeCell ref="CG8:CN8"/>
    <mergeCell ref="CO8:CP10"/>
    <mergeCell ref="CQ8:CV8"/>
    <mergeCell ref="A2:S2"/>
    <mergeCell ref="B4:FN4"/>
    <mergeCell ref="A6:B6"/>
    <mergeCell ref="C6:AH6"/>
    <mergeCell ref="EQ6:FV6"/>
    <mergeCell ref="A7:A11"/>
    <mergeCell ref="B7:B11"/>
    <mergeCell ref="C7:AL7"/>
    <mergeCell ref="AM7:BV7"/>
    <mergeCell ref="BW7:DF7"/>
    <mergeCell ref="DG7:EP7"/>
    <mergeCell ref="EQ7:FZ7"/>
    <mergeCell ref="BW9:BX10"/>
    <mergeCell ref="BY9:BZ10"/>
    <mergeCell ref="CA9:CB10"/>
    <mergeCell ref="CC9:CD10"/>
    <mergeCell ref="EU8:EZ8"/>
    <mergeCell ref="FA8:FH8"/>
    <mergeCell ref="EC9:ED10"/>
    <mergeCell ref="EE9:EF10"/>
    <mergeCell ref="EG9:EJ9"/>
    <mergeCell ref="EK9:EN9"/>
    <mergeCell ref="CW8:DD8"/>
    <mergeCell ref="DE8:DF10"/>
  </mergeCells>
  <conditionalFormatting sqref="W85:X85">
    <cfRule type="cellIs" dxfId="5" priority="1" operator="greaterThan">
      <formula>0</formula>
    </cfRule>
  </conditionalFormatting>
  <conditionalFormatting sqref="Y83:Z84">
    <cfRule type="cellIs" dxfId="4" priority="6" operator="greaterThan">
      <formula>0</formula>
    </cfRule>
  </conditionalFormatting>
  <conditionalFormatting sqref="BG85:BH85">
    <cfRule type="cellIs" dxfId="3" priority="10" operator="greaterThan">
      <formula>0</formula>
    </cfRule>
  </conditionalFormatting>
  <conditionalFormatting sqref="BI83:BI84">
    <cfRule type="cellIs" dxfId="2" priority="5" operator="greaterThan">
      <formula>0</formula>
    </cfRule>
  </conditionalFormatting>
  <conditionalFormatting sqref="CQ85:CR85">
    <cfRule type="cellIs" dxfId="1" priority="9" operator="greaterThan">
      <formula>0</formula>
    </cfRule>
  </conditionalFormatting>
  <conditionalFormatting sqref="CS83:CS84">
    <cfRule type="cellIs" dxfId="0" priority="4" operator="greaterThan">
      <formula>0</formula>
    </cfRule>
  </conditionalFormatting>
  <pageMargins left="0.25" right="0.25" top="0.75" bottom="0.75" header="0.3" footer="0.3"/>
  <pageSetup paperSize="9" scale="1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Ilze Berga</cp:lastModifiedBy>
  <dcterms:created xsi:type="dcterms:W3CDTF">2025-01-29T14:00:36Z</dcterms:created>
  <dcterms:modified xsi:type="dcterms:W3CDTF">2025-04-01T10:44:58Z</dcterms:modified>
</cp:coreProperties>
</file>