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ese.Tanne\Desktop\SEPLP SP\"/>
    </mc:Choice>
  </mc:AlternateContent>
  <xr:revisionPtr revIDLastSave="0" documentId="13_ncr:1_{6343C00C-225A-4FD2-8AE0-D52EA2D3E2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SM_10F_CET" sheetId="5" r:id="rId1"/>
    <sheet name="LSM_Investīcijas" sheetId="9" state="hidden" r:id="rId2"/>
    <sheet name="LSM_Finansēšanas plāns" sheetId="8" state="hidden" r:id="rId3"/>
    <sheet name="LTV" sheetId="7" state="hidden" r:id="rId4"/>
    <sheet name="LR_10F_MĒN" sheetId="3" state="hidden" r:id="rId5"/>
    <sheet name="LR_Finansēšanas plāns" sheetId="6" state="hidden" r:id="rId6"/>
    <sheet name="LR_Investīcijas" sheetId="10" state="hidden" r:id="rId7"/>
    <sheet name="Transferts" sheetId="11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E11" i="5"/>
  <c r="F11" i="5"/>
  <c r="G11" i="5"/>
  <c r="H11" i="5"/>
  <c r="I11" i="5"/>
  <c r="J11" i="5"/>
  <c r="K11" i="5"/>
  <c r="C11" i="5"/>
  <c r="I20" i="5"/>
  <c r="E20" i="5"/>
  <c r="G20" i="5"/>
  <c r="K19" i="5"/>
  <c r="D86" i="5" l="1"/>
  <c r="F86" i="5"/>
  <c r="H86" i="5"/>
  <c r="J86" i="5"/>
  <c r="K87" i="5"/>
  <c r="C69" i="5"/>
  <c r="E123" i="5"/>
  <c r="C123" i="5"/>
  <c r="E122" i="5"/>
  <c r="C122" i="5"/>
  <c r="E119" i="5"/>
  <c r="C119" i="5"/>
  <c r="E117" i="5"/>
  <c r="C117" i="5"/>
  <c r="E40" i="5"/>
  <c r="C40" i="5"/>
  <c r="E28" i="5"/>
  <c r="C28" i="5"/>
  <c r="C12" i="5"/>
  <c r="E12" i="5"/>
  <c r="C62" i="5" l="1"/>
  <c r="C129" i="5" l="1"/>
  <c r="C42" i="5" l="1"/>
  <c r="C37" i="5"/>
  <c r="K140" i="5"/>
  <c r="K139" i="5"/>
  <c r="I18" i="5" l="1"/>
  <c r="G18" i="5"/>
  <c r="E18" i="5"/>
  <c r="G136" i="5" l="1"/>
  <c r="C12" i="11"/>
  <c r="E11" i="11"/>
  <c r="D10" i="11"/>
  <c r="E10" i="11" s="1"/>
  <c r="E9" i="11"/>
  <c r="E8" i="11"/>
  <c r="E7" i="11"/>
  <c r="E6" i="11"/>
  <c r="E5" i="11"/>
  <c r="E12" i="11" s="1"/>
  <c r="E3" i="11"/>
  <c r="G97" i="5"/>
  <c r="G84" i="5"/>
  <c r="G48" i="5"/>
  <c r="G40" i="5"/>
  <c r="G37" i="5"/>
  <c r="G34" i="5"/>
  <c r="G28" i="5"/>
  <c r="D12" i="11" l="1"/>
  <c r="C111" i="9"/>
  <c r="C109" i="9"/>
  <c r="C112" i="9"/>
  <c r="C110" i="9"/>
  <c r="C85" i="9"/>
  <c r="C102" i="9"/>
  <c r="C57" i="9"/>
  <c r="C40" i="10"/>
  <c r="D38" i="10"/>
  <c r="C38" i="10"/>
  <c r="D35" i="10"/>
  <c r="C35" i="10"/>
  <c r="D31" i="10"/>
  <c r="C31" i="10"/>
  <c r="D28" i="10"/>
  <c r="C28" i="10"/>
  <c r="D20" i="10"/>
  <c r="C20" i="10"/>
  <c r="D17" i="10"/>
  <c r="D39" i="10" s="1"/>
  <c r="C17" i="10"/>
  <c r="C39" i="10" s="1"/>
  <c r="D107" i="9"/>
  <c r="C107" i="9"/>
  <c r="D102" i="9"/>
  <c r="D90" i="9"/>
  <c r="C90" i="9"/>
  <c r="D85" i="9"/>
  <c r="D62" i="9"/>
  <c r="C62" i="9"/>
  <c r="D57" i="9"/>
  <c r="M6" i="8"/>
  <c r="L6" i="8"/>
  <c r="K6" i="8"/>
  <c r="J6" i="8"/>
  <c r="I6" i="8"/>
  <c r="H6" i="8"/>
  <c r="G6" i="8"/>
  <c r="F6" i="8"/>
  <c r="E6" i="8"/>
  <c r="D6" i="8"/>
  <c r="C6" i="8"/>
  <c r="B6" i="8"/>
  <c r="N5" i="8"/>
  <c r="N4" i="8"/>
  <c r="N3" i="8"/>
  <c r="N2" i="8"/>
  <c r="N6" i="8" s="1"/>
  <c r="K129" i="5"/>
  <c r="D135" i="5"/>
  <c r="F135" i="5"/>
  <c r="H135" i="5"/>
  <c r="J135" i="5"/>
  <c r="J134" i="5"/>
  <c r="F134" i="5"/>
  <c r="H134" i="5"/>
  <c r="C108" i="9" l="1"/>
  <c r="D108" i="9"/>
  <c r="AE16" i="3"/>
  <c r="I125" i="5"/>
  <c r="G125" i="5"/>
  <c r="E125" i="5"/>
  <c r="C125" i="5"/>
  <c r="I123" i="5"/>
  <c r="G123" i="5"/>
  <c r="I122" i="5"/>
  <c r="G122" i="5"/>
  <c r="I119" i="5"/>
  <c r="G119" i="5"/>
  <c r="I121" i="5"/>
  <c r="E121" i="5"/>
  <c r="I117" i="5" l="1"/>
  <c r="G117" i="5"/>
  <c r="I114" i="5"/>
  <c r="G114" i="5"/>
  <c r="E114" i="5"/>
  <c r="C114" i="5"/>
  <c r="I110" i="5"/>
  <c r="G110" i="5"/>
  <c r="E110" i="5"/>
  <c r="C110" i="5"/>
  <c r="I108" i="5"/>
  <c r="G108" i="5"/>
  <c r="E108" i="5"/>
  <c r="C108" i="5"/>
  <c r="I107" i="5"/>
  <c r="G107" i="5"/>
  <c r="E107" i="5"/>
  <c r="C107" i="5"/>
  <c r="I104" i="5"/>
  <c r="E104" i="5"/>
  <c r="I103" i="5"/>
  <c r="G103" i="5"/>
  <c r="E103" i="5"/>
  <c r="C103" i="5"/>
  <c r="I102" i="5"/>
  <c r="G102" i="5"/>
  <c r="E102" i="5"/>
  <c r="C102" i="5"/>
  <c r="I97" i="5"/>
  <c r="E97" i="5"/>
  <c r="C97" i="5"/>
  <c r="I94" i="5"/>
  <c r="G94" i="5"/>
  <c r="E94" i="5"/>
  <c r="C94" i="5"/>
  <c r="I92" i="5"/>
  <c r="G92" i="5"/>
  <c r="E92" i="5"/>
  <c r="C92" i="5"/>
  <c r="I91" i="5"/>
  <c r="G91" i="5"/>
  <c r="E91" i="5"/>
  <c r="C91" i="5"/>
  <c r="I88" i="5"/>
  <c r="I86" i="5" s="1"/>
  <c r="G88" i="5"/>
  <c r="G86" i="5" s="1"/>
  <c r="E88" i="5"/>
  <c r="E86" i="5" s="1"/>
  <c r="C88" i="5"/>
  <c r="C86" i="5" s="1"/>
  <c r="C85" i="5"/>
  <c r="I84" i="5"/>
  <c r="E84" i="5"/>
  <c r="C84" i="5"/>
  <c r="I83" i="5"/>
  <c r="G83" i="5"/>
  <c r="E83" i="5"/>
  <c r="C83" i="5"/>
  <c r="I82" i="5"/>
  <c r="G82" i="5"/>
  <c r="E82" i="5"/>
  <c r="C82" i="5"/>
  <c r="I81" i="5"/>
  <c r="G81" i="5"/>
  <c r="E81" i="5"/>
  <c r="C81" i="5"/>
  <c r="I78" i="5"/>
  <c r="G78" i="5"/>
  <c r="E78" i="5"/>
  <c r="C78" i="5"/>
  <c r="I75" i="5"/>
  <c r="G75" i="5"/>
  <c r="E75" i="5"/>
  <c r="C75" i="5"/>
  <c r="I74" i="5"/>
  <c r="G74" i="5"/>
  <c r="E74" i="5"/>
  <c r="C74" i="5"/>
  <c r="I73" i="5"/>
  <c r="G73" i="5"/>
  <c r="E73" i="5"/>
  <c r="C73" i="5"/>
  <c r="I72" i="5"/>
  <c r="G72" i="5"/>
  <c r="E72" i="5"/>
  <c r="C72" i="5"/>
  <c r="C71" i="5"/>
  <c r="I69" i="5"/>
  <c r="G69" i="5"/>
  <c r="E69" i="5"/>
  <c r="I67" i="5"/>
  <c r="G67" i="5"/>
  <c r="E67" i="5"/>
  <c r="C67" i="5"/>
  <c r="I66" i="5"/>
  <c r="G66" i="5"/>
  <c r="E66" i="5"/>
  <c r="C66" i="5"/>
  <c r="I64" i="5"/>
  <c r="G64" i="5"/>
  <c r="E64" i="5"/>
  <c r="C64" i="5"/>
  <c r="I63" i="5"/>
  <c r="G63" i="5"/>
  <c r="E63" i="5"/>
  <c r="C63" i="5"/>
  <c r="I59" i="5"/>
  <c r="G59" i="5"/>
  <c r="E59" i="5"/>
  <c r="C59" i="5"/>
  <c r="I58" i="5"/>
  <c r="G58" i="5"/>
  <c r="E58" i="5"/>
  <c r="C58" i="5"/>
  <c r="I57" i="5"/>
  <c r="G57" i="5"/>
  <c r="E57" i="5"/>
  <c r="C57" i="5"/>
  <c r="I56" i="5"/>
  <c r="G56" i="5"/>
  <c r="E56" i="5"/>
  <c r="C56" i="5"/>
  <c r="I54" i="5"/>
  <c r="G54" i="5"/>
  <c r="E54" i="5"/>
  <c r="C54" i="5"/>
  <c r="I52" i="5"/>
  <c r="G52" i="5"/>
  <c r="E52" i="5"/>
  <c r="C52" i="5"/>
  <c r="I51" i="5"/>
  <c r="G51" i="5"/>
  <c r="E51" i="5"/>
  <c r="C51" i="5"/>
  <c r="I49" i="5"/>
  <c r="G49" i="5"/>
  <c r="E49" i="5"/>
  <c r="C49" i="5"/>
  <c r="I48" i="5"/>
  <c r="E48" i="5"/>
  <c r="C48" i="5"/>
  <c r="I44" i="5"/>
  <c r="G44" i="5"/>
  <c r="E44" i="5"/>
  <c r="I43" i="5"/>
  <c r="G43" i="5"/>
  <c r="E43" i="5"/>
  <c r="C43" i="5"/>
  <c r="C44" i="5"/>
  <c r="I42" i="5"/>
  <c r="G42" i="5"/>
  <c r="E42" i="5"/>
  <c r="I40" i="5"/>
  <c r="K40" i="5" s="1"/>
  <c r="I37" i="5"/>
  <c r="E37" i="5"/>
  <c r="I35" i="5"/>
  <c r="G35" i="5"/>
  <c r="E35" i="5"/>
  <c r="C35" i="5"/>
  <c r="I34" i="5"/>
  <c r="E34" i="5"/>
  <c r="C34" i="5"/>
  <c r="I33" i="5"/>
  <c r="G33" i="5"/>
  <c r="E33" i="5"/>
  <c r="C33" i="5"/>
  <c r="I31" i="5"/>
  <c r="G31" i="5"/>
  <c r="E31" i="5"/>
  <c r="E27" i="7"/>
  <c r="C31" i="5"/>
  <c r="I30" i="5"/>
  <c r="G30" i="5"/>
  <c r="E30" i="5"/>
  <c r="C30" i="5"/>
  <c r="I28" i="5"/>
  <c r="P10" i="7"/>
  <c r="C15" i="5"/>
  <c r="K14" i="5"/>
  <c r="K136" i="5" s="1"/>
  <c r="I13" i="5"/>
  <c r="I134" i="5" s="1"/>
  <c r="G13" i="5"/>
  <c r="G134" i="5" s="1"/>
  <c r="E13" i="5"/>
  <c r="E134" i="5" s="1"/>
  <c r="I12" i="5"/>
  <c r="G12" i="5"/>
  <c r="M106" i="7"/>
  <c r="M105" i="7"/>
  <c r="M104" i="7"/>
  <c r="M103" i="7"/>
  <c r="M102" i="7" s="1"/>
  <c r="M101" i="7"/>
  <c r="M97" i="7"/>
  <c r="N11" i="7"/>
  <c r="O10" i="7"/>
  <c r="K6" i="7"/>
  <c r="J6" i="7"/>
  <c r="I6" i="7"/>
  <c r="H6" i="7"/>
  <c r="G6" i="7"/>
  <c r="F6" i="7"/>
  <c r="E6" i="7"/>
  <c r="D6" i="7"/>
  <c r="C6" i="7"/>
  <c r="AC34" i="3"/>
  <c r="AC31" i="3"/>
  <c r="AC63" i="3"/>
  <c r="AA63" i="3"/>
  <c r="Y31" i="3"/>
  <c r="Y63" i="3"/>
  <c r="V63" i="3"/>
  <c r="T63" i="3"/>
  <c r="T31" i="3"/>
  <c r="R63" i="3"/>
  <c r="O63" i="3"/>
  <c r="O31" i="3"/>
  <c r="M63" i="3"/>
  <c r="H63" i="3"/>
  <c r="F63" i="3"/>
  <c r="D63" i="3"/>
  <c r="V10" i="3"/>
  <c r="T10" i="3"/>
  <c r="O10" i="3"/>
  <c r="V34" i="3"/>
  <c r="O34" i="3"/>
  <c r="M34" i="3"/>
  <c r="K63" i="3"/>
  <c r="AA34" i="3"/>
  <c r="Y34" i="3"/>
  <c r="T34" i="3"/>
  <c r="R34" i="3"/>
  <c r="K34" i="3"/>
  <c r="Y28" i="3"/>
  <c r="AA28" i="3"/>
  <c r="AC28" i="3"/>
  <c r="AC22" i="3"/>
  <c r="V28" i="3"/>
  <c r="T28" i="3"/>
  <c r="R28" i="3"/>
  <c r="O28" i="3"/>
  <c r="M28" i="3"/>
  <c r="K28" i="3"/>
  <c r="AA22" i="3"/>
  <c r="Y22" i="3"/>
  <c r="V22" i="3"/>
  <c r="T22" i="3"/>
  <c r="R22" i="3"/>
  <c r="O22" i="3"/>
  <c r="M22" i="3"/>
  <c r="K22" i="3"/>
  <c r="K107" i="5" l="1"/>
  <c r="K15" i="5"/>
  <c r="K135" i="5" s="1"/>
  <c r="C135" i="5"/>
  <c r="K13" i="5"/>
  <c r="K134" i="5" s="1"/>
  <c r="M99" i="7"/>
  <c r="F23" i="6"/>
  <c r="Q21" i="6"/>
  <c r="P21" i="6"/>
  <c r="P20" i="6" s="1"/>
  <c r="P19" i="6" s="1"/>
  <c r="P18" i="6" s="1"/>
  <c r="P22" i="6" s="1"/>
  <c r="O21" i="6"/>
  <c r="O23" i="6" s="1"/>
  <c r="N21" i="6"/>
  <c r="M21" i="6"/>
  <c r="M20" i="6" s="1"/>
  <c r="M19" i="6" s="1"/>
  <c r="M18" i="6" s="1"/>
  <c r="M22" i="6" s="1"/>
  <c r="L21" i="6"/>
  <c r="L20" i="6" s="1"/>
  <c r="L19" i="6" s="1"/>
  <c r="L18" i="6" s="1"/>
  <c r="L22" i="6" s="1"/>
  <c r="K21" i="6"/>
  <c r="J21" i="6"/>
  <c r="I21" i="6"/>
  <c r="I23" i="6" s="1"/>
  <c r="H21" i="6"/>
  <c r="H20" i="6" s="1"/>
  <c r="H19" i="6" s="1"/>
  <c r="H18" i="6" s="1"/>
  <c r="H22" i="6" s="1"/>
  <c r="G21" i="6"/>
  <c r="F21" i="6"/>
  <c r="Q20" i="6"/>
  <c r="Q19" i="6" s="1"/>
  <c r="Q18" i="6" s="1"/>
  <c r="Q22" i="6" s="1"/>
  <c r="O20" i="6"/>
  <c r="N20" i="6"/>
  <c r="N19" i="6" s="1"/>
  <c r="N18" i="6" s="1"/>
  <c r="N22" i="6" s="1"/>
  <c r="K20" i="6"/>
  <c r="J20" i="6"/>
  <c r="I20" i="6"/>
  <c r="I19" i="6" s="1"/>
  <c r="I18" i="6" s="1"/>
  <c r="I22" i="6" s="1"/>
  <c r="G20" i="6"/>
  <c r="F20" i="6"/>
  <c r="O19" i="6"/>
  <c r="K19" i="6"/>
  <c r="K18" i="6" s="1"/>
  <c r="K22" i="6" s="1"/>
  <c r="J19" i="6"/>
  <c r="J18" i="6" s="1"/>
  <c r="J22" i="6" s="1"/>
  <c r="G19" i="6"/>
  <c r="F19" i="6"/>
  <c r="F18" i="6" s="1"/>
  <c r="F22" i="6" s="1"/>
  <c r="O18" i="6"/>
  <c r="O22" i="6" s="1"/>
  <c r="G18" i="6"/>
  <c r="G22" i="6" s="1"/>
  <c r="C17" i="6"/>
  <c r="Q16" i="6"/>
  <c r="P16" i="6"/>
  <c r="O16" i="6"/>
  <c r="N16" i="6"/>
  <c r="M16" i="6"/>
  <c r="L16" i="6"/>
  <c r="K16" i="6"/>
  <c r="J16" i="6"/>
  <c r="I16" i="6"/>
  <c r="H16" i="6"/>
  <c r="G16" i="6"/>
  <c r="F16" i="6"/>
  <c r="C16" i="6"/>
  <c r="C15" i="6"/>
  <c r="Q14" i="6"/>
  <c r="P14" i="6"/>
  <c r="O14" i="6"/>
  <c r="O13" i="6" s="1"/>
  <c r="O12" i="6" s="1"/>
  <c r="O11" i="6" s="1"/>
  <c r="N14" i="6"/>
  <c r="M14" i="6"/>
  <c r="L14" i="6"/>
  <c r="K14" i="6"/>
  <c r="K13" i="6" s="1"/>
  <c r="K12" i="6" s="1"/>
  <c r="K11" i="6" s="1"/>
  <c r="J14" i="6"/>
  <c r="I14" i="6"/>
  <c r="H14" i="6"/>
  <c r="G14" i="6"/>
  <c r="G13" i="6" s="1"/>
  <c r="G12" i="6" s="1"/>
  <c r="G11" i="6" s="1"/>
  <c r="F14" i="6"/>
  <c r="C14" i="6"/>
  <c r="Q13" i="6"/>
  <c r="P13" i="6"/>
  <c r="P12" i="6" s="1"/>
  <c r="P11" i="6" s="1"/>
  <c r="N13" i="6"/>
  <c r="M13" i="6"/>
  <c r="L13" i="6"/>
  <c r="L12" i="6" s="1"/>
  <c r="L11" i="6" s="1"/>
  <c r="J13" i="6"/>
  <c r="I13" i="6"/>
  <c r="H13" i="6"/>
  <c r="H12" i="6" s="1"/>
  <c r="H11" i="6" s="1"/>
  <c r="F13" i="6"/>
  <c r="C13" i="6"/>
  <c r="Q12" i="6"/>
  <c r="Q11" i="6" s="1"/>
  <c r="N12" i="6"/>
  <c r="M12" i="6"/>
  <c r="M11" i="6" s="1"/>
  <c r="J12" i="6"/>
  <c r="I12" i="6"/>
  <c r="I11" i="6" s="1"/>
  <c r="F12" i="6"/>
  <c r="C12" i="6"/>
  <c r="C11" i="6" s="1"/>
  <c r="N11" i="6"/>
  <c r="J11" i="6"/>
  <c r="F11" i="6"/>
  <c r="C10" i="6"/>
  <c r="O99" i="7" l="1"/>
  <c r="M96" i="7"/>
  <c r="N96" i="7" s="1"/>
  <c r="P96" i="7" s="1"/>
  <c r="C21" i="6"/>
  <c r="C20" i="6" s="1"/>
  <c r="C19" i="6" s="1"/>
  <c r="C18" i="6" s="1"/>
  <c r="C22" i="6" s="1"/>
  <c r="L23" i="6"/>
  <c r="C23" i="6" s="1"/>
  <c r="K141" i="5" l="1"/>
  <c r="L140" i="5"/>
  <c r="L139" i="5"/>
  <c r="J133" i="5"/>
  <c r="I133" i="5"/>
  <c r="H133" i="5"/>
  <c r="G133" i="5"/>
  <c r="F133" i="5"/>
  <c r="E133" i="5"/>
  <c r="D133" i="5"/>
  <c r="C133" i="5"/>
  <c r="H129" i="5"/>
  <c r="L126" i="5"/>
  <c r="K126" i="5"/>
  <c r="L125" i="5"/>
  <c r="K125" i="5"/>
  <c r="L124" i="5"/>
  <c r="K124" i="5"/>
  <c r="L123" i="5"/>
  <c r="K123" i="5"/>
  <c r="L122" i="5"/>
  <c r="K122" i="5"/>
  <c r="L121" i="5"/>
  <c r="K121" i="5"/>
  <c r="J120" i="5"/>
  <c r="J118" i="5" s="1"/>
  <c r="I120" i="5"/>
  <c r="I118" i="5" s="1"/>
  <c r="H120" i="5"/>
  <c r="H118" i="5" s="1"/>
  <c r="G120" i="5"/>
  <c r="G118" i="5" s="1"/>
  <c r="F120" i="5"/>
  <c r="F118" i="5" s="1"/>
  <c r="E120" i="5"/>
  <c r="E118" i="5" s="1"/>
  <c r="D120" i="5"/>
  <c r="D118" i="5" s="1"/>
  <c r="C120" i="5"/>
  <c r="C118" i="5" s="1"/>
  <c r="L119" i="5"/>
  <c r="K119" i="5"/>
  <c r="L117" i="5"/>
  <c r="L116" i="5" s="1"/>
  <c r="K117" i="5"/>
  <c r="K116" i="5" s="1"/>
  <c r="J116" i="5"/>
  <c r="I116" i="5"/>
  <c r="H116" i="5"/>
  <c r="G116" i="5"/>
  <c r="F116" i="5"/>
  <c r="E116" i="5"/>
  <c r="D116" i="5"/>
  <c r="C116" i="5"/>
  <c r="L114" i="5"/>
  <c r="L113" i="5" s="1"/>
  <c r="L112" i="5" s="1"/>
  <c r="K114" i="5"/>
  <c r="K113" i="5" s="1"/>
  <c r="K112" i="5" s="1"/>
  <c r="J113" i="5"/>
  <c r="J112" i="5" s="1"/>
  <c r="I113" i="5"/>
  <c r="I112" i="5" s="1"/>
  <c r="G113" i="5"/>
  <c r="G112" i="5" s="1"/>
  <c r="E113" i="5"/>
  <c r="E112" i="5" s="1"/>
  <c r="D113" i="5"/>
  <c r="D112" i="5" s="1"/>
  <c r="C113" i="5"/>
  <c r="C112" i="5" s="1"/>
  <c r="L111" i="5"/>
  <c r="K111" i="5"/>
  <c r="L110" i="5"/>
  <c r="K110" i="5"/>
  <c r="L109" i="5"/>
  <c r="K109" i="5"/>
  <c r="L108" i="5"/>
  <c r="K108" i="5"/>
  <c r="L107" i="5"/>
  <c r="J106" i="5"/>
  <c r="J105" i="5" s="1"/>
  <c r="I106" i="5"/>
  <c r="I105" i="5" s="1"/>
  <c r="H106" i="5"/>
  <c r="H105" i="5" s="1"/>
  <c r="G106" i="5"/>
  <c r="G105" i="5" s="1"/>
  <c r="F106" i="5"/>
  <c r="F105" i="5" s="1"/>
  <c r="E106" i="5"/>
  <c r="E105" i="5" s="1"/>
  <c r="D106" i="5"/>
  <c r="D105" i="5" s="1"/>
  <c r="C106" i="5"/>
  <c r="C105" i="5" s="1"/>
  <c r="L104" i="5"/>
  <c r="K104" i="5"/>
  <c r="L103" i="5"/>
  <c r="K103" i="5"/>
  <c r="L102" i="5"/>
  <c r="K102" i="5"/>
  <c r="L101" i="5"/>
  <c r="L100" i="5" s="1"/>
  <c r="K101" i="5"/>
  <c r="K100" i="5" s="1"/>
  <c r="J100" i="5"/>
  <c r="I100" i="5"/>
  <c r="H100" i="5"/>
  <c r="G100" i="5"/>
  <c r="F100" i="5"/>
  <c r="E100" i="5"/>
  <c r="D100" i="5"/>
  <c r="C100" i="5"/>
  <c r="L99" i="5"/>
  <c r="K99" i="5"/>
  <c r="L98" i="5"/>
  <c r="K98" i="5"/>
  <c r="L97" i="5"/>
  <c r="K97" i="5"/>
  <c r="L96" i="5"/>
  <c r="K96" i="5"/>
  <c r="J95" i="5"/>
  <c r="I95" i="5"/>
  <c r="H95" i="5"/>
  <c r="G95" i="5"/>
  <c r="F95" i="5"/>
  <c r="E95" i="5"/>
  <c r="D95" i="5"/>
  <c r="C95" i="5"/>
  <c r="L94" i="5"/>
  <c r="K94" i="5"/>
  <c r="L93" i="5"/>
  <c r="K93" i="5"/>
  <c r="L92" i="5"/>
  <c r="K92" i="5"/>
  <c r="L91" i="5"/>
  <c r="K91" i="5"/>
  <c r="J90" i="5"/>
  <c r="I90" i="5"/>
  <c r="H90" i="5"/>
  <c r="G90" i="5"/>
  <c r="F90" i="5"/>
  <c r="E90" i="5"/>
  <c r="D90" i="5"/>
  <c r="C90" i="5"/>
  <c r="L88" i="5"/>
  <c r="L86" i="5" s="1"/>
  <c r="K88" i="5"/>
  <c r="K86" i="5" s="1"/>
  <c r="L85" i="5"/>
  <c r="K85" i="5"/>
  <c r="L84" i="5"/>
  <c r="K84" i="5"/>
  <c r="L83" i="5"/>
  <c r="K83" i="5"/>
  <c r="L82" i="5"/>
  <c r="K82" i="5"/>
  <c r="L81" i="5"/>
  <c r="K81" i="5"/>
  <c r="J80" i="5"/>
  <c r="I80" i="5"/>
  <c r="H80" i="5"/>
  <c r="G80" i="5"/>
  <c r="F80" i="5"/>
  <c r="E80" i="5"/>
  <c r="D80" i="5"/>
  <c r="C80" i="5"/>
  <c r="L79" i="5"/>
  <c r="K79" i="5"/>
  <c r="L78" i="5"/>
  <c r="K78" i="5"/>
  <c r="J77" i="5"/>
  <c r="I77" i="5"/>
  <c r="H77" i="5"/>
  <c r="G77" i="5"/>
  <c r="F77" i="5"/>
  <c r="E77" i="5"/>
  <c r="D77" i="5"/>
  <c r="C77" i="5"/>
  <c r="L76" i="5"/>
  <c r="K76" i="5"/>
  <c r="L75" i="5"/>
  <c r="K75" i="5"/>
  <c r="L74" i="5"/>
  <c r="K74" i="5"/>
  <c r="L73" i="5"/>
  <c r="K73" i="5"/>
  <c r="L72" i="5"/>
  <c r="K72" i="5"/>
  <c r="L71" i="5"/>
  <c r="K71" i="5"/>
  <c r="J70" i="5"/>
  <c r="I70" i="5"/>
  <c r="H70" i="5"/>
  <c r="G70" i="5"/>
  <c r="F70" i="5"/>
  <c r="E70" i="5"/>
  <c r="D70" i="5"/>
  <c r="C70" i="5"/>
  <c r="L69" i="5"/>
  <c r="K69" i="5"/>
  <c r="L68" i="5"/>
  <c r="K68" i="5"/>
  <c r="L67" i="5"/>
  <c r="K67" i="5"/>
  <c r="L66" i="5"/>
  <c r="K66" i="5"/>
  <c r="L65" i="5"/>
  <c r="K65" i="5"/>
  <c r="L64" i="5"/>
  <c r="K64" i="5"/>
  <c r="L63" i="5"/>
  <c r="K63" i="5"/>
  <c r="L62" i="5"/>
  <c r="K62" i="5"/>
  <c r="J61" i="5"/>
  <c r="I61" i="5"/>
  <c r="H61" i="5"/>
  <c r="G61" i="5"/>
  <c r="F61" i="5"/>
  <c r="E61" i="5"/>
  <c r="D61" i="5"/>
  <c r="C61" i="5"/>
  <c r="L60" i="5"/>
  <c r="K60" i="5"/>
  <c r="L59" i="5"/>
  <c r="K59" i="5"/>
  <c r="L58" i="5"/>
  <c r="K58" i="5"/>
  <c r="L57" i="5"/>
  <c r="K57" i="5"/>
  <c r="L56" i="5"/>
  <c r="K56" i="5"/>
  <c r="J55" i="5"/>
  <c r="I55" i="5"/>
  <c r="H55" i="5"/>
  <c r="G55" i="5"/>
  <c r="F55" i="5"/>
  <c r="E55" i="5"/>
  <c r="D55" i="5"/>
  <c r="C55" i="5"/>
  <c r="L54" i="5"/>
  <c r="K54" i="5"/>
  <c r="L52" i="5"/>
  <c r="K52" i="5"/>
  <c r="L51" i="5"/>
  <c r="K51" i="5"/>
  <c r="J50" i="5"/>
  <c r="I50" i="5"/>
  <c r="H50" i="5"/>
  <c r="G50" i="5"/>
  <c r="F50" i="5"/>
  <c r="E50" i="5"/>
  <c r="D50" i="5"/>
  <c r="C50" i="5"/>
  <c r="L49" i="5"/>
  <c r="K49" i="5"/>
  <c r="L48" i="5"/>
  <c r="K48" i="5"/>
  <c r="J47" i="5"/>
  <c r="I47" i="5"/>
  <c r="H47" i="5"/>
  <c r="G47" i="5"/>
  <c r="F47" i="5"/>
  <c r="E47" i="5"/>
  <c r="D47" i="5"/>
  <c r="C47" i="5"/>
  <c r="L44" i="5"/>
  <c r="K44" i="5"/>
  <c r="L43" i="5"/>
  <c r="K43" i="5"/>
  <c r="L42" i="5"/>
  <c r="K42" i="5"/>
  <c r="J41" i="5"/>
  <c r="J39" i="5" s="1"/>
  <c r="I41" i="5"/>
  <c r="I39" i="5" s="1"/>
  <c r="H41" i="5"/>
  <c r="H39" i="5" s="1"/>
  <c r="G41" i="5"/>
  <c r="G39" i="5" s="1"/>
  <c r="F41" i="5"/>
  <c r="F39" i="5" s="1"/>
  <c r="E41" i="5"/>
  <c r="D41" i="5"/>
  <c r="D39" i="5" s="1"/>
  <c r="C41" i="5"/>
  <c r="L40" i="5"/>
  <c r="L38" i="5"/>
  <c r="K38" i="5"/>
  <c r="L37" i="5"/>
  <c r="K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J29" i="5"/>
  <c r="I29" i="5"/>
  <c r="H29" i="5"/>
  <c r="G29" i="5"/>
  <c r="F29" i="5"/>
  <c r="E29" i="5"/>
  <c r="D29" i="5"/>
  <c r="C29" i="5"/>
  <c r="L28" i="5"/>
  <c r="L27" i="5" s="1"/>
  <c r="K28" i="5"/>
  <c r="K27" i="5" s="1"/>
  <c r="J27" i="5"/>
  <c r="I27" i="5"/>
  <c r="H27" i="5"/>
  <c r="G27" i="5"/>
  <c r="F27" i="5"/>
  <c r="E27" i="5"/>
  <c r="D27" i="5"/>
  <c r="C27" i="5"/>
  <c r="L21" i="5"/>
  <c r="K21" i="5"/>
  <c r="L20" i="5"/>
  <c r="K20" i="5"/>
  <c r="L18" i="5"/>
  <c r="K18" i="5"/>
  <c r="L17" i="5"/>
  <c r="K17" i="5"/>
  <c r="J16" i="5"/>
  <c r="J137" i="5" s="1"/>
  <c r="I16" i="5"/>
  <c r="H16" i="5"/>
  <c r="H10" i="5" s="1"/>
  <c r="G16" i="5"/>
  <c r="G10" i="5" s="1"/>
  <c r="F16" i="5"/>
  <c r="E16" i="5"/>
  <c r="D16" i="5"/>
  <c r="D10" i="5" s="1"/>
  <c r="C16" i="5"/>
  <c r="C10" i="5" s="1"/>
  <c r="L14" i="5"/>
  <c r="L135" i="5" s="1"/>
  <c r="L11" i="5"/>
  <c r="K12" i="5"/>
  <c r="Q123" i="3"/>
  <c r="J123" i="3"/>
  <c r="H12" i="3"/>
  <c r="C15" i="3"/>
  <c r="C12" i="3" s="1"/>
  <c r="F12" i="3"/>
  <c r="D12" i="3"/>
  <c r="C81" i="3"/>
  <c r="D46" i="5" l="1"/>
  <c r="H46" i="5"/>
  <c r="E89" i="5"/>
  <c r="J46" i="5"/>
  <c r="F46" i="5"/>
  <c r="G46" i="5"/>
  <c r="F89" i="5"/>
  <c r="C46" i="5"/>
  <c r="J10" i="5"/>
  <c r="I89" i="5"/>
  <c r="J89" i="5"/>
  <c r="F137" i="5"/>
  <c r="F132" i="5" s="1"/>
  <c r="F10" i="5"/>
  <c r="I137" i="5"/>
  <c r="I132" i="5" s="1"/>
  <c r="I10" i="5"/>
  <c r="E137" i="5"/>
  <c r="E132" i="5" s="1"/>
  <c r="E10" i="5"/>
  <c r="D26" i="5"/>
  <c r="D25" i="5" s="1"/>
  <c r="H26" i="5"/>
  <c r="H25" i="5" s="1"/>
  <c r="J26" i="5"/>
  <c r="J25" i="5" s="1"/>
  <c r="G53" i="5"/>
  <c r="J115" i="5"/>
  <c r="I26" i="5"/>
  <c r="I25" i="5" s="1"/>
  <c r="C39" i="5"/>
  <c r="H53" i="5"/>
  <c r="K106" i="5"/>
  <c r="K105" i="5" s="1"/>
  <c r="F115" i="5"/>
  <c r="L16" i="5"/>
  <c r="L137" i="5" s="1"/>
  <c r="K90" i="5"/>
  <c r="K95" i="5"/>
  <c r="I115" i="5"/>
  <c r="K41" i="5"/>
  <c r="L47" i="5"/>
  <c r="L50" i="5"/>
  <c r="D53" i="5"/>
  <c r="L61" i="5"/>
  <c r="E115" i="5"/>
  <c r="C26" i="5"/>
  <c r="G26" i="5"/>
  <c r="G25" i="5" s="1"/>
  <c r="D115" i="5"/>
  <c r="L120" i="5"/>
  <c r="L118" i="5" s="1"/>
  <c r="L115" i="5" s="1"/>
  <c r="K120" i="5"/>
  <c r="K118" i="5" s="1"/>
  <c r="K115" i="5" s="1"/>
  <c r="K16" i="5"/>
  <c r="K29" i="5"/>
  <c r="K26" i="5" s="1"/>
  <c r="L77" i="5"/>
  <c r="L90" i="5"/>
  <c r="L95" i="5"/>
  <c r="L106" i="5"/>
  <c r="L105" i="5" s="1"/>
  <c r="F26" i="5"/>
  <c r="F25" i="5" s="1"/>
  <c r="L29" i="5"/>
  <c r="L26" i="5" s="1"/>
  <c r="L41" i="5"/>
  <c r="L39" i="5" s="1"/>
  <c r="K47" i="5"/>
  <c r="E46" i="5"/>
  <c r="I46" i="5"/>
  <c r="K70" i="5"/>
  <c r="K80" i="5"/>
  <c r="H115" i="5"/>
  <c r="C115" i="5"/>
  <c r="G115" i="5"/>
  <c r="K61" i="5"/>
  <c r="E26" i="5"/>
  <c r="E39" i="5"/>
  <c r="J53" i="5"/>
  <c r="K55" i="5"/>
  <c r="C53" i="5"/>
  <c r="F53" i="5"/>
  <c r="J132" i="5"/>
  <c r="K50" i="5"/>
  <c r="L55" i="5"/>
  <c r="L70" i="5"/>
  <c r="L80" i="5"/>
  <c r="D89" i="5"/>
  <c r="H89" i="5"/>
  <c r="D137" i="5"/>
  <c r="D132" i="5" s="1"/>
  <c r="L133" i="5"/>
  <c r="H137" i="5"/>
  <c r="H132" i="5" s="1"/>
  <c r="E53" i="5"/>
  <c r="I53" i="5"/>
  <c r="K77" i="5"/>
  <c r="AE15" i="3"/>
  <c r="AE12" i="3" s="1"/>
  <c r="AE129" i="3" s="1"/>
  <c r="K133" i="5"/>
  <c r="G137" i="5"/>
  <c r="G132" i="5" s="1"/>
  <c r="C137" i="5"/>
  <c r="C132" i="5" s="1"/>
  <c r="C89" i="5"/>
  <c r="G89" i="5"/>
  <c r="Q10" i="3"/>
  <c r="F45" i="5" l="1"/>
  <c r="K53" i="5"/>
  <c r="J45" i="5"/>
  <c r="J24" i="5" s="1"/>
  <c r="J23" i="5" s="1"/>
  <c r="J22" i="5" s="1"/>
  <c r="J128" i="5" s="1"/>
  <c r="J127" i="5" s="1"/>
  <c r="H45" i="5"/>
  <c r="H24" i="5" s="1"/>
  <c r="H23" i="5" s="1"/>
  <c r="H22" i="5" s="1"/>
  <c r="H138" i="5" s="1"/>
  <c r="G45" i="5"/>
  <c r="G24" i="5" s="1"/>
  <c r="G23" i="5" s="1"/>
  <c r="G22" i="5" s="1"/>
  <c r="G138" i="5" s="1"/>
  <c r="C25" i="5"/>
  <c r="K137" i="5"/>
  <c r="K132" i="5" s="1"/>
  <c r="K10" i="5"/>
  <c r="K89" i="5"/>
  <c r="K46" i="5"/>
  <c r="L25" i="5"/>
  <c r="I45" i="5"/>
  <c r="I24" i="5" s="1"/>
  <c r="I23" i="5" s="1"/>
  <c r="I22" i="5" s="1"/>
  <c r="I138" i="5" s="1"/>
  <c r="L132" i="5"/>
  <c r="L53" i="5"/>
  <c r="E45" i="5"/>
  <c r="D45" i="5"/>
  <c r="D24" i="5" s="1"/>
  <c r="D23" i="5" s="1"/>
  <c r="D22" i="5" s="1"/>
  <c r="D138" i="5" s="1"/>
  <c r="L46" i="5"/>
  <c r="L10" i="5"/>
  <c r="L89" i="5"/>
  <c r="K39" i="5"/>
  <c r="K25" i="5" s="1"/>
  <c r="C45" i="5"/>
  <c r="F24" i="5"/>
  <c r="F23" i="5" s="1"/>
  <c r="F22" i="5" s="1"/>
  <c r="F138" i="5" s="1"/>
  <c r="E25" i="5"/>
  <c r="X11" i="3"/>
  <c r="Q11" i="3"/>
  <c r="AA56" i="3"/>
  <c r="V90" i="3"/>
  <c r="K45" i="5" l="1"/>
  <c r="D6" i="5"/>
  <c r="J138" i="5"/>
  <c r="C24" i="5"/>
  <c r="C23" i="5" s="1"/>
  <c r="C22" i="5" s="1"/>
  <c r="C138" i="5" s="1"/>
  <c r="D128" i="5"/>
  <c r="D127" i="5" s="1"/>
  <c r="J6" i="5"/>
  <c r="E24" i="5"/>
  <c r="E23" i="5" s="1"/>
  <c r="E22" i="5" s="1"/>
  <c r="L45" i="5"/>
  <c r="L24" i="5" s="1"/>
  <c r="L23" i="5" s="1"/>
  <c r="L22" i="5" s="1"/>
  <c r="L6" i="5" s="1"/>
  <c r="G128" i="5"/>
  <c r="F6" i="5"/>
  <c r="F128" i="5"/>
  <c r="F127" i="5" s="1"/>
  <c r="G6" i="5"/>
  <c r="I128" i="5"/>
  <c r="I127" i="5" s="1"/>
  <c r="I6" i="5"/>
  <c r="H128" i="5"/>
  <c r="H6" i="5"/>
  <c r="X128" i="3"/>
  <c r="Q128" i="3"/>
  <c r="J128" i="3"/>
  <c r="C128" i="3"/>
  <c r="X123" i="3"/>
  <c r="X120" i="3"/>
  <c r="Q120" i="3"/>
  <c r="J120" i="3"/>
  <c r="C120" i="3"/>
  <c r="X119" i="3"/>
  <c r="J119" i="3"/>
  <c r="C119" i="3"/>
  <c r="X118" i="3"/>
  <c r="Q118" i="3"/>
  <c r="J118" i="3"/>
  <c r="C118" i="3"/>
  <c r="X117" i="3"/>
  <c r="Q117" i="3"/>
  <c r="J117" i="3"/>
  <c r="C117" i="3"/>
  <c r="X116" i="3"/>
  <c r="Q116" i="3"/>
  <c r="J116" i="3"/>
  <c r="C116" i="3"/>
  <c r="X115" i="3"/>
  <c r="Q115" i="3"/>
  <c r="J115" i="3"/>
  <c r="C115" i="3"/>
  <c r="AD114" i="3"/>
  <c r="AD112" i="3" s="1"/>
  <c r="AC114" i="3"/>
  <c r="AC112" i="3" s="1"/>
  <c r="AB114" i="3"/>
  <c r="AB112" i="3" s="1"/>
  <c r="AA114" i="3"/>
  <c r="AA112" i="3" s="1"/>
  <c r="Z114" i="3"/>
  <c r="Z112" i="3" s="1"/>
  <c r="Y114" i="3"/>
  <c r="Y112" i="3" s="1"/>
  <c r="W114" i="3"/>
  <c r="W112" i="3" s="1"/>
  <c r="V114" i="3"/>
  <c r="V112" i="3" s="1"/>
  <c r="U114" i="3"/>
  <c r="U112" i="3" s="1"/>
  <c r="T114" i="3"/>
  <c r="S114" i="3"/>
  <c r="S112" i="3" s="1"/>
  <c r="P114" i="3"/>
  <c r="P112" i="3" s="1"/>
  <c r="O114" i="3"/>
  <c r="O112" i="3" s="1"/>
  <c r="N114" i="3"/>
  <c r="N112" i="3" s="1"/>
  <c r="M114" i="3"/>
  <c r="M112" i="3" s="1"/>
  <c r="L114" i="3"/>
  <c r="L112" i="3" s="1"/>
  <c r="K114" i="3"/>
  <c r="K112" i="3" s="1"/>
  <c r="I114" i="3"/>
  <c r="I112" i="3" s="1"/>
  <c r="H114" i="3"/>
  <c r="H112" i="3" s="1"/>
  <c r="G114" i="3"/>
  <c r="G112" i="3" s="1"/>
  <c r="F114" i="3"/>
  <c r="F112" i="3" s="1"/>
  <c r="E114" i="3"/>
  <c r="E112" i="3" s="1"/>
  <c r="D114" i="3"/>
  <c r="D112" i="3" s="1"/>
  <c r="AE113" i="3"/>
  <c r="J111" i="3"/>
  <c r="J110" i="3" s="1"/>
  <c r="C111" i="3"/>
  <c r="C110" i="3" s="1"/>
  <c r="AD110" i="3"/>
  <c r="AB110" i="3"/>
  <c r="AA110" i="3"/>
  <c r="Z110" i="3"/>
  <c r="Y110" i="3"/>
  <c r="W110" i="3"/>
  <c r="V110" i="3"/>
  <c r="U110" i="3"/>
  <c r="T110" i="3"/>
  <c r="S110" i="3"/>
  <c r="P110" i="3"/>
  <c r="O110" i="3"/>
  <c r="N110" i="3"/>
  <c r="M110" i="3"/>
  <c r="L110" i="3"/>
  <c r="K110" i="3"/>
  <c r="I110" i="3"/>
  <c r="H110" i="3"/>
  <c r="G110" i="3"/>
  <c r="F110" i="3"/>
  <c r="E110" i="3"/>
  <c r="D110" i="3"/>
  <c r="AE108" i="3"/>
  <c r="AE107" i="3" s="1"/>
  <c r="AE106" i="3" s="1"/>
  <c r="AD107" i="3"/>
  <c r="AD106" i="3" s="1"/>
  <c r="AC107" i="3"/>
  <c r="AC106" i="3" s="1"/>
  <c r="AB107" i="3"/>
  <c r="AB106" i="3" s="1"/>
  <c r="AA107" i="3"/>
  <c r="AA106" i="3" s="1"/>
  <c r="Z107" i="3"/>
  <c r="Z106" i="3" s="1"/>
  <c r="Y107" i="3"/>
  <c r="Y106" i="3" s="1"/>
  <c r="X107" i="3"/>
  <c r="X106" i="3" s="1"/>
  <c r="Q107" i="3"/>
  <c r="Q106" i="3" s="1"/>
  <c r="J107" i="3"/>
  <c r="J106" i="3" s="1"/>
  <c r="I107" i="3"/>
  <c r="I106" i="3" s="1"/>
  <c r="H107" i="3"/>
  <c r="H106" i="3" s="1"/>
  <c r="G107" i="3"/>
  <c r="G106" i="3" s="1"/>
  <c r="F107" i="3"/>
  <c r="F106" i="3" s="1"/>
  <c r="E107" i="3"/>
  <c r="E106" i="3" s="1"/>
  <c r="D107" i="3"/>
  <c r="D106" i="3" s="1"/>
  <c r="C107" i="3"/>
  <c r="C106" i="3" s="1"/>
  <c r="X105" i="3"/>
  <c r="Q105" i="3"/>
  <c r="J105" i="3"/>
  <c r="X104" i="3"/>
  <c r="Q104" i="3"/>
  <c r="J104" i="3"/>
  <c r="C104" i="3"/>
  <c r="X103" i="3"/>
  <c r="Q103" i="3"/>
  <c r="J103" i="3"/>
  <c r="C103" i="3"/>
  <c r="X102" i="3"/>
  <c r="Q102" i="3"/>
  <c r="J102" i="3"/>
  <c r="C102" i="3"/>
  <c r="AC100" i="3"/>
  <c r="AC99" i="3" s="1"/>
  <c r="Y100" i="3"/>
  <c r="Y99" i="3" s="1"/>
  <c r="V100" i="3"/>
  <c r="V99" i="3" s="1"/>
  <c r="R100" i="3"/>
  <c r="R99" i="3" s="1"/>
  <c r="J101" i="3"/>
  <c r="C101" i="3"/>
  <c r="AD100" i="3"/>
  <c r="AD99" i="3" s="1"/>
  <c r="AB100" i="3"/>
  <c r="AB99" i="3" s="1"/>
  <c r="Z100" i="3"/>
  <c r="Z99" i="3" s="1"/>
  <c r="W100" i="3"/>
  <c r="W99" i="3" s="1"/>
  <c r="U100" i="3"/>
  <c r="U99" i="3" s="1"/>
  <c r="S100" i="3"/>
  <c r="S99" i="3" s="1"/>
  <c r="P100" i="3"/>
  <c r="P99" i="3" s="1"/>
  <c r="O100" i="3"/>
  <c r="O99" i="3" s="1"/>
  <c r="N100" i="3"/>
  <c r="N99" i="3" s="1"/>
  <c r="M100" i="3"/>
  <c r="M99" i="3" s="1"/>
  <c r="L100" i="3"/>
  <c r="L99" i="3" s="1"/>
  <c r="K100" i="3"/>
  <c r="K99" i="3" s="1"/>
  <c r="I100" i="3"/>
  <c r="I99" i="3" s="1"/>
  <c r="H100" i="3"/>
  <c r="H99" i="3" s="1"/>
  <c r="G100" i="3"/>
  <c r="G99" i="3" s="1"/>
  <c r="F100" i="3"/>
  <c r="F99" i="3" s="1"/>
  <c r="E100" i="3"/>
  <c r="E99" i="3" s="1"/>
  <c r="D100" i="3"/>
  <c r="D99" i="3" s="1"/>
  <c r="J98" i="3"/>
  <c r="AE98" i="3" s="1"/>
  <c r="X97" i="3"/>
  <c r="J97" i="3"/>
  <c r="C97" i="3"/>
  <c r="Q96" i="3"/>
  <c r="J96" i="3"/>
  <c r="C96" i="3"/>
  <c r="X95" i="3"/>
  <c r="Q95" i="3"/>
  <c r="J95" i="3"/>
  <c r="C95" i="3"/>
  <c r="X94" i="3"/>
  <c r="X93" i="3" s="1"/>
  <c r="C94" i="3"/>
  <c r="AD93" i="3"/>
  <c r="W93" i="3"/>
  <c r="Q93" i="3"/>
  <c r="P93" i="3"/>
  <c r="J93" i="3"/>
  <c r="I93" i="3"/>
  <c r="X92" i="3"/>
  <c r="Q92" i="3"/>
  <c r="J92" i="3"/>
  <c r="C92" i="3"/>
  <c r="X91" i="3"/>
  <c r="Q91" i="3"/>
  <c r="J91" i="3"/>
  <c r="C91" i="3"/>
  <c r="X90" i="3"/>
  <c r="Q90" i="3"/>
  <c r="J90" i="3"/>
  <c r="J88" i="3" s="1"/>
  <c r="C90" i="3"/>
  <c r="X89" i="3"/>
  <c r="Q89" i="3"/>
  <c r="C89" i="3"/>
  <c r="AD88" i="3"/>
  <c r="AC88" i="3"/>
  <c r="AB88" i="3"/>
  <c r="AA88" i="3"/>
  <c r="Z88" i="3"/>
  <c r="Y88" i="3"/>
  <c r="W88" i="3"/>
  <c r="V88" i="3"/>
  <c r="U88" i="3"/>
  <c r="T88" i="3"/>
  <c r="S88" i="3"/>
  <c r="R88" i="3"/>
  <c r="P88" i="3"/>
  <c r="O88" i="3"/>
  <c r="N88" i="3"/>
  <c r="M88" i="3"/>
  <c r="L88" i="3"/>
  <c r="K88" i="3"/>
  <c r="I88" i="3"/>
  <c r="H88" i="3"/>
  <c r="G88" i="3"/>
  <c r="F88" i="3"/>
  <c r="E88" i="3"/>
  <c r="D88" i="3"/>
  <c r="X87" i="3"/>
  <c r="Q87" i="3"/>
  <c r="J87" i="3"/>
  <c r="C87" i="3"/>
  <c r="X86" i="3"/>
  <c r="Q86" i="3"/>
  <c r="J86" i="3"/>
  <c r="C86" i="3"/>
  <c r="X85" i="3"/>
  <c r="Q85" i="3"/>
  <c r="J85" i="3"/>
  <c r="C85" i="3"/>
  <c r="X84" i="3"/>
  <c r="Q84" i="3"/>
  <c r="Q83" i="3" s="1"/>
  <c r="J84" i="3"/>
  <c r="C84" i="3"/>
  <c r="AD83" i="3"/>
  <c r="AC83" i="3"/>
  <c r="AB83" i="3"/>
  <c r="AA83" i="3"/>
  <c r="Z83" i="3"/>
  <c r="W83" i="3"/>
  <c r="V83" i="3"/>
  <c r="U83" i="3"/>
  <c r="T83" i="3"/>
  <c r="S83" i="3"/>
  <c r="R83" i="3"/>
  <c r="P83" i="3"/>
  <c r="O83" i="3"/>
  <c r="N83" i="3"/>
  <c r="M83" i="3"/>
  <c r="L83" i="3"/>
  <c r="K83" i="3"/>
  <c r="I83" i="3"/>
  <c r="H83" i="3"/>
  <c r="G83" i="3"/>
  <c r="F83" i="3"/>
  <c r="E83" i="3"/>
  <c r="D83" i="3"/>
  <c r="J81" i="3"/>
  <c r="J80" i="3" s="1"/>
  <c r="C80" i="3"/>
  <c r="AD80" i="3"/>
  <c r="AC80" i="3"/>
  <c r="AB80" i="3"/>
  <c r="AA80" i="3"/>
  <c r="Z80" i="3"/>
  <c r="W80" i="3"/>
  <c r="V80" i="3"/>
  <c r="U80" i="3"/>
  <c r="T80" i="3"/>
  <c r="S80" i="3"/>
  <c r="P80" i="3"/>
  <c r="O80" i="3"/>
  <c r="N80" i="3"/>
  <c r="M80" i="3"/>
  <c r="L80" i="3"/>
  <c r="K80" i="3"/>
  <c r="I80" i="3"/>
  <c r="H80" i="3"/>
  <c r="G80" i="3"/>
  <c r="F80" i="3"/>
  <c r="E80" i="3"/>
  <c r="D80" i="3"/>
  <c r="X79" i="3"/>
  <c r="Q79" i="3"/>
  <c r="J79" i="3"/>
  <c r="C79" i="3"/>
  <c r="X78" i="3"/>
  <c r="Q78" i="3"/>
  <c r="J78" i="3"/>
  <c r="C78" i="3"/>
  <c r="X77" i="3"/>
  <c r="Q77" i="3"/>
  <c r="J77" i="3"/>
  <c r="C77" i="3"/>
  <c r="X76" i="3"/>
  <c r="Q76" i="3"/>
  <c r="J76" i="3"/>
  <c r="C76" i="3"/>
  <c r="X75" i="3"/>
  <c r="Q75" i="3"/>
  <c r="J75" i="3"/>
  <c r="C75" i="3"/>
  <c r="AD74" i="3"/>
  <c r="AC74" i="3"/>
  <c r="AB74" i="3"/>
  <c r="AA74" i="3"/>
  <c r="Z74" i="3"/>
  <c r="Y74" i="3"/>
  <c r="W74" i="3"/>
  <c r="V74" i="3"/>
  <c r="U74" i="3"/>
  <c r="T74" i="3"/>
  <c r="S74" i="3"/>
  <c r="R74" i="3"/>
  <c r="P74" i="3"/>
  <c r="O74" i="3"/>
  <c r="N74" i="3"/>
  <c r="M74" i="3"/>
  <c r="L74" i="3"/>
  <c r="K74" i="3"/>
  <c r="I74" i="3"/>
  <c r="H74" i="3"/>
  <c r="G74" i="3"/>
  <c r="F74" i="3"/>
  <c r="E74" i="3"/>
  <c r="D74" i="3"/>
  <c r="X73" i="3"/>
  <c r="Q73" i="3"/>
  <c r="J73" i="3"/>
  <c r="C73" i="3"/>
  <c r="X72" i="3"/>
  <c r="Q72" i="3"/>
  <c r="J72" i="3"/>
  <c r="J71" i="3" s="1"/>
  <c r="C72" i="3"/>
  <c r="AD71" i="3"/>
  <c r="AC71" i="3"/>
  <c r="AB71" i="3"/>
  <c r="AA71" i="3"/>
  <c r="Z71" i="3"/>
  <c r="Y71" i="3"/>
  <c r="W71" i="3"/>
  <c r="V71" i="3"/>
  <c r="U71" i="3"/>
  <c r="T71" i="3"/>
  <c r="S71" i="3"/>
  <c r="R71" i="3"/>
  <c r="P71" i="3"/>
  <c r="O71" i="3"/>
  <c r="N71" i="3"/>
  <c r="M71" i="3"/>
  <c r="L71" i="3"/>
  <c r="K71" i="3"/>
  <c r="I71" i="3"/>
  <c r="H71" i="3"/>
  <c r="G71" i="3"/>
  <c r="F71" i="3"/>
  <c r="E71" i="3"/>
  <c r="D71" i="3"/>
  <c r="X70" i="3"/>
  <c r="Q70" i="3"/>
  <c r="J70" i="3"/>
  <c r="C70" i="3"/>
  <c r="X69" i="3"/>
  <c r="Q69" i="3"/>
  <c r="J69" i="3"/>
  <c r="C69" i="3"/>
  <c r="X68" i="3"/>
  <c r="Q68" i="3"/>
  <c r="J68" i="3"/>
  <c r="C68" i="3"/>
  <c r="X67" i="3"/>
  <c r="Q67" i="3"/>
  <c r="J67" i="3"/>
  <c r="C67" i="3"/>
  <c r="X66" i="3"/>
  <c r="Q66" i="3"/>
  <c r="J66" i="3"/>
  <c r="C66" i="3"/>
  <c r="X65" i="3"/>
  <c r="Q65" i="3"/>
  <c r="J65" i="3"/>
  <c r="C65" i="3"/>
  <c r="AD64" i="3"/>
  <c r="AC64" i="3"/>
  <c r="AB64" i="3"/>
  <c r="AA64" i="3"/>
  <c r="Z64" i="3"/>
  <c r="Y64" i="3"/>
  <c r="W64" i="3"/>
  <c r="V64" i="3"/>
  <c r="U64" i="3"/>
  <c r="T64" i="3"/>
  <c r="S64" i="3"/>
  <c r="R64" i="3"/>
  <c r="P64" i="3"/>
  <c r="O64" i="3"/>
  <c r="N64" i="3"/>
  <c r="M64" i="3"/>
  <c r="L64" i="3"/>
  <c r="K64" i="3"/>
  <c r="I64" i="3"/>
  <c r="H64" i="3"/>
  <c r="G64" i="3"/>
  <c r="F64" i="3"/>
  <c r="E64" i="3"/>
  <c r="D64" i="3"/>
  <c r="AC55" i="3"/>
  <c r="AA55" i="3"/>
  <c r="V55" i="3"/>
  <c r="T55" i="3"/>
  <c r="J63" i="3"/>
  <c r="C63" i="3"/>
  <c r="X62" i="3"/>
  <c r="Q62" i="3"/>
  <c r="J62" i="3"/>
  <c r="C62" i="3"/>
  <c r="X61" i="3"/>
  <c r="Q61" i="3"/>
  <c r="J61" i="3"/>
  <c r="C61" i="3"/>
  <c r="X60" i="3"/>
  <c r="Q60" i="3"/>
  <c r="J60" i="3"/>
  <c r="C60" i="3"/>
  <c r="X59" i="3"/>
  <c r="Q59" i="3"/>
  <c r="J59" i="3"/>
  <c r="C59" i="3"/>
  <c r="X58" i="3"/>
  <c r="Q58" i="3"/>
  <c r="J58" i="3"/>
  <c r="C58" i="3"/>
  <c r="X57" i="3"/>
  <c r="Q57" i="3"/>
  <c r="J57" i="3"/>
  <c r="C57" i="3"/>
  <c r="X56" i="3"/>
  <c r="Q56" i="3"/>
  <c r="J56" i="3"/>
  <c r="C56" i="3"/>
  <c r="AD55" i="3"/>
  <c r="AB55" i="3"/>
  <c r="Z55" i="3"/>
  <c r="W55" i="3"/>
  <c r="U55" i="3"/>
  <c r="S55" i="3"/>
  <c r="P55" i="3"/>
  <c r="O55" i="3"/>
  <c r="N55" i="3"/>
  <c r="M55" i="3"/>
  <c r="L55" i="3"/>
  <c r="K55" i="3"/>
  <c r="I55" i="3"/>
  <c r="H55" i="3"/>
  <c r="G55" i="3"/>
  <c r="F55" i="3"/>
  <c r="E55" i="3"/>
  <c r="D55" i="3"/>
  <c r="X54" i="3"/>
  <c r="Q54" i="3"/>
  <c r="J54" i="3"/>
  <c r="C54" i="3"/>
  <c r="X53" i="3"/>
  <c r="Q53" i="3"/>
  <c r="J53" i="3"/>
  <c r="C53" i="3"/>
  <c r="X52" i="3"/>
  <c r="T49" i="3"/>
  <c r="R49" i="3"/>
  <c r="J52" i="3"/>
  <c r="C52" i="3"/>
  <c r="X51" i="3"/>
  <c r="Q51" i="3"/>
  <c r="J51" i="3"/>
  <c r="C51" i="3"/>
  <c r="X50" i="3"/>
  <c r="Q50" i="3"/>
  <c r="J50" i="3"/>
  <c r="C50" i="3"/>
  <c r="AD49" i="3"/>
  <c r="AC49" i="3"/>
  <c r="AB49" i="3"/>
  <c r="AA49" i="3"/>
  <c r="Z49" i="3"/>
  <c r="Y49" i="3"/>
  <c r="W49" i="3"/>
  <c r="V49" i="3"/>
  <c r="U49" i="3"/>
  <c r="S49" i="3"/>
  <c r="P49" i="3"/>
  <c r="O49" i="3"/>
  <c r="N49" i="3"/>
  <c r="M49" i="3"/>
  <c r="L49" i="3"/>
  <c r="K49" i="3"/>
  <c r="I49" i="3"/>
  <c r="H49" i="3"/>
  <c r="G49" i="3"/>
  <c r="F49" i="3"/>
  <c r="E49" i="3"/>
  <c r="D49" i="3"/>
  <c r="X48" i="3"/>
  <c r="Q48" i="3"/>
  <c r="J48" i="3"/>
  <c r="C48" i="3"/>
  <c r="X46" i="3"/>
  <c r="J46" i="3"/>
  <c r="C46" i="3"/>
  <c r="X45" i="3"/>
  <c r="Q45" i="3"/>
  <c r="J45" i="3"/>
  <c r="C45" i="3"/>
  <c r="AD44" i="3"/>
  <c r="AC44" i="3"/>
  <c r="AB44" i="3"/>
  <c r="AA44" i="3"/>
  <c r="Z44" i="3"/>
  <c r="Y44" i="3"/>
  <c r="W44" i="3"/>
  <c r="V44" i="3"/>
  <c r="U44" i="3"/>
  <c r="T44" i="3"/>
  <c r="S44" i="3"/>
  <c r="P44" i="3"/>
  <c r="O44" i="3"/>
  <c r="N44" i="3"/>
  <c r="M44" i="3"/>
  <c r="L44" i="3"/>
  <c r="K44" i="3"/>
  <c r="I44" i="3"/>
  <c r="H44" i="3"/>
  <c r="G44" i="3"/>
  <c r="F44" i="3"/>
  <c r="E44" i="3"/>
  <c r="D44" i="3"/>
  <c r="X43" i="3"/>
  <c r="Q43" i="3"/>
  <c r="J43" i="3"/>
  <c r="C43" i="3"/>
  <c r="X42" i="3"/>
  <c r="Q42" i="3"/>
  <c r="J42" i="3"/>
  <c r="J41" i="3" s="1"/>
  <c r="C42" i="3"/>
  <c r="AD41" i="3"/>
  <c r="AC41" i="3"/>
  <c r="AB41" i="3"/>
  <c r="AA41" i="3"/>
  <c r="Z41" i="3"/>
  <c r="Y41" i="3"/>
  <c r="W41" i="3"/>
  <c r="V41" i="3"/>
  <c r="U41" i="3"/>
  <c r="T41" i="3"/>
  <c r="S41" i="3"/>
  <c r="R41" i="3"/>
  <c r="P41" i="3"/>
  <c r="O41" i="3"/>
  <c r="O40" i="3" s="1"/>
  <c r="N41" i="3"/>
  <c r="N40" i="3" s="1"/>
  <c r="M41" i="3"/>
  <c r="L41" i="3"/>
  <c r="K41" i="3"/>
  <c r="I41" i="3"/>
  <c r="I40" i="3" s="1"/>
  <c r="H41" i="3"/>
  <c r="G41" i="3"/>
  <c r="G40" i="3" s="1"/>
  <c r="F41" i="3"/>
  <c r="E41" i="3"/>
  <c r="E40" i="3" s="1"/>
  <c r="D41" i="3"/>
  <c r="X38" i="3"/>
  <c r="Q38" i="3"/>
  <c r="J38" i="3"/>
  <c r="C38" i="3"/>
  <c r="X37" i="3"/>
  <c r="Q37" i="3"/>
  <c r="J37" i="3"/>
  <c r="C37" i="3"/>
  <c r="X36" i="3"/>
  <c r="J36" i="3"/>
  <c r="C36" i="3"/>
  <c r="AD35" i="3"/>
  <c r="AD33" i="3" s="1"/>
  <c r="AC35" i="3"/>
  <c r="AB35" i="3"/>
  <c r="AB33" i="3" s="1"/>
  <c r="AA35" i="3"/>
  <c r="Z35" i="3"/>
  <c r="Z33" i="3" s="1"/>
  <c r="Y35" i="3"/>
  <c r="W35" i="3"/>
  <c r="W33" i="3" s="1"/>
  <c r="V35" i="3"/>
  <c r="U35" i="3"/>
  <c r="U33" i="3" s="1"/>
  <c r="T35" i="3"/>
  <c r="S35" i="3"/>
  <c r="S33" i="3" s="1"/>
  <c r="P35" i="3"/>
  <c r="P33" i="3" s="1"/>
  <c r="O35" i="3"/>
  <c r="O33" i="3" s="1"/>
  <c r="N35" i="3"/>
  <c r="N33" i="3" s="1"/>
  <c r="M35" i="3"/>
  <c r="M33" i="3" s="1"/>
  <c r="L35" i="3"/>
  <c r="L33" i="3" s="1"/>
  <c r="K35" i="3"/>
  <c r="K33" i="3" s="1"/>
  <c r="I35" i="3"/>
  <c r="I33" i="3" s="1"/>
  <c r="H35" i="3"/>
  <c r="H33" i="3" s="1"/>
  <c r="G35" i="3"/>
  <c r="G33" i="3" s="1"/>
  <c r="F35" i="3"/>
  <c r="F33" i="3" s="1"/>
  <c r="E35" i="3"/>
  <c r="E33" i="3" s="1"/>
  <c r="D35" i="3"/>
  <c r="D33" i="3" s="1"/>
  <c r="J34" i="3"/>
  <c r="C34" i="3"/>
  <c r="X32" i="3"/>
  <c r="Q32" i="3"/>
  <c r="J32" i="3"/>
  <c r="C32" i="3"/>
  <c r="X31" i="3"/>
  <c r="Q31" i="3"/>
  <c r="J31" i="3"/>
  <c r="C31" i="3"/>
  <c r="X30" i="3"/>
  <c r="Q30" i="3"/>
  <c r="J30" i="3"/>
  <c r="C30" i="3"/>
  <c r="X29" i="3"/>
  <c r="Q29" i="3"/>
  <c r="C29" i="3"/>
  <c r="AC23" i="3"/>
  <c r="AA23" i="3"/>
  <c r="V23" i="3"/>
  <c r="T23" i="3"/>
  <c r="J28" i="3"/>
  <c r="C28" i="3"/>
  <c r="X27" i="3"/>
  <c r="Q27" i="3"/>
  <c r="J27" i="3"/>
  <c r="C27" i="3"/>
  <c r="X26" i="3"/>
  <c r="Q26" i="3"/>
  <c r="J26" i="3"/>
  <c r="C26" i="3"/>
  <c r="X25" i="3"/>
  <c r="Q25" i="3"/>
  <c r="J25" i="3"/>
  <c r="C25" i="3"/>
  <c r="X24" i="3"/>
  <c r="Q24" i="3"/>
  <c r="J24" i="3"/>
  <c r="C24" i="3"/>
  <c r="AD23" i="3"/>
  <c r="AB23" i="3"/>
  <c r="Z23" i="3"/>
  <c r="W23" i="3"/>
  <c r="U23" i="3"/>
  <c r="S23" i="3"/>
  <c r="P23" i="3"/>
  <c r="O23" i="3"/>
  <c r="N23" i="3"/>
  <c r="M23" i="3"/>
  <c r="L23" i="3"/>
  <c r="K23" i="3"/>
  <c r="I23" i="3"/>
  <c r="H23" i="3"/>
  <c r="G23" i="3"/>
  <c r="F23" i="3"/>
  <c r="E23" i="3"/>
  <c r="D23" i="3"/>
  <c r="AA21" i="3"/>
  <c r="Y21" i="3"/>
  <c r="T21" i="3"/>
  <c r="R21" i="3"/>
  <c r="J22" i="3"/>
  <c r="J21" i="3" s="1"/>
  <c r="C22" i="3"/>
  <c r="C21" i="3" s="1"/>
  <c r="AD21" i="3"/>
  <c r="AB21" i="3"/>
  <c r="Z21" i="3"/>
  <c r="W21" i="3"/>
  <c r="U21" i="3"/>
  <c r="S21" i="3"/>
  <c r="P21" i="3"/>
  <c r="O21" i="3"/>
  <c r="N21" i="3"/>
  <c r="M21" i="3"/>
  <c r="L21" i="3"/>
  <c r="K21" i="3"/>
  <c r="I21" i="3"/>
  <c r="H21" i="3"/>
  <c r="G21" i="3"/>
  <c r="F21" i="3"/>
  <c r="E21" i="3"/>
  <c r="D21" i="3"/>
  <c r="X14" i="3"/>
  <c r="Q14" i="3"/>
  <c r="J14" i="3"/>
  <c r="C14" i="3"/>
  <c r="X13" i="3"/>
  <c r="X12" i="3" s="1"/>
  <c r="X129" i="3" s="1"/>
  <c r="Q13" i="3"/>
  <c r="J13" i="3"/>
  <c r="J12" i="3" s="1"/>
  <c r="C13" i="3"/>
  <c r="AD12" i="3"/>
  <c r="AD9" i="3" s="1"/>
  <c r="AC12" i="3"/>
  <c r="AB12" i="3"/>
  <c r="AB9" i="3" s="1"/>
  <c r="AA12" i="3"/>
  <c r="Z12" i="3"/>
  <c r="Z9" i="3" s="1"/>
  <c r="Y12" i="3"/>
  <c r="W12" i="3"/>
  <c r="W9" i="3" s="1"/>
  <c r="V12" i="3"/>
  <c r="U12" i="3"/>
  <c r="U9" i="3" s="1"/>
  <c r="T12" i="3"/>
  <c r="S12" i="3"/>
  <c r="S9" i="3" s="1"/>
  <c r="R12" i="3"/>
  <c r="P12" i="3"/>
  <c r="P9" i="3" s="1"/>
  <c r="O12" i="3"/>
  <c r="O9" i="3" s="1"/>
  <c r="N12" i="3"/>
  <c r="N9" i="3" s="1"/>
  <c r="M12" i="3"/>
  <c r="M9" i="3" s="1"/>
  <c r="L12" i="3"/>
  <c r="L9" i="3" s="1"/>
  <c r="K12" i="3"/>
  <c r="K9" i="3" s="1"/>
  <c r="I12" i="3"/>
  <c r="I9" i="3" s="1"/>
  <c r="H9" i="3"/>
  <c r="G12" i="3"/>
  <c r="G9" i="3" s="1"/>
  <c r="F9" i="3"/>
  <c r="E12" i="3"/>
  <c r="E9" i="3" s="1"/>
  <c r="D9" i="3"/>
  <c r="AE11" i="3"/>
  <c r="AE128" i="3" s="1"/>
  <c r="J10" i="3"/>
  <c r="J127" i="3" s="1"/>
  <c r="C10" i="3"/>
  <c r="H130" i="5" l="1"/>
  <c r="J129" i="5" s="1"/>
  <c r="J130" i="5" s="1"/>
  <c r="H127" i="5"/>
  <c r="G127" i="5"/>
  <c r="K24" i="5"/>
  <c r="K23" i="5" s="1"/>
  <c r="E128" i="5"/>
  <c r="E127" i="5" s="1"/>
  <c r="E6" i="5"/>
  <c r="J114" i="3"/>
  <c r="C128" i="5"/>
  <c r="C6" i="5"/>
  <c r="L138" i="5"/>
  <c r="E138" i="5"/>
  <c r="L128" i="5"/>
  <c r="L130" i="5" s="1"/>
  <c r="Q88" i="3"/>
  <c r="X88" i="3"/>
  <c r="J83" i="3"/>
  <c r="C127" i="3"/>
  <c r="C9" i="3"/>
  <c r="F109" i="3"/>
  <c r="J74" i="3"/>
  <c r="J44" i="3"/>
  <c r="J40" i="3" s="1"/>
  <c r="C41" i="3"/>
  <c r="X35" i="3"/>
  <c r="C35" i="3"/>
  <c r="C33" i="3" s="1"/>
  <c r="C129" i="3"/>
  <c r="C126" i="3" s="1"/>
  <c r="C71" i="3"/>
  <c r="Q12" i="3"/>
  <c r="Q129" i="3" s="1"/>
  <c r="C100" i="3"/>
  <c r="C99" i="3" s="1"/>
  <c r="J100" i="3"/>
  <c r="J99" i="3" s="1"/>
  <c r="R114" i="3"/>
  <c r="R112" i="3" s="1"/>
  <c r="Q71" i="3"/>
  <c r="M82" i="3"/>
  <c r="V82" i="3"/>
  <c r="R82" i="3"/>
  <c r="Q41" i="3"/>
  <c r="E82" i="3"/>
  <c r="N82" i="3"/>
  <c r="S82" i="3"/>
  <c r="J23" i="3"/>
  <c r="J20" i="3" s="1"/>
  <c r="AB20" i="3"/>
  <c r="AB19" i="3" s="1"/>
  <c r="AA20" i="3"/>
  <c r="N20" i="3"/>
  <c r="N19" i="3" s="1"/>
  <c r="F82" i="3"/>
  <c r="O82" i="3"/>
  <c r="V47" i="3"/>
  <c r="D109" i="3"/>
  <c r="AC82" i="3"/>
  <c r="R9" i="3"/>
  <c r="AD40" i="3"/>
  <c r="AB82" i="3"/>
  <c r="W20" i="3"/>
  <c r="W19" i="3" s="1"/>
  <c r="AD20" i="3"/>
  <c r="AD19" i="3" s="1"/>
  <c r="L20" i="3"/>
  <c r="L19" i="3" s="1"/>
  <c r="P20" i="3"/>
  <c r="P19" i="3" s="1"/>
  <c r="V40" i="3"/>
  <c r="AA40" i="3"/>
  <c r="AA82" i="3"/>
  <c r="S20" i="3"/>
  <c r="S19" i="3" s="1"/>
  <c r="S40" i="3"/>
  <c r="W40" i="3"/>
  <c r="AB40" i="3"/>
  <c r="T82" i="3"/>
  <c r="AA9" i="3"/>
  <c r="AE14" i="3"/>
  <c r="U40" i="3"/>
  <c r="Z40" i="3"/>
  <c r="V9" i="3"/>
  <c r="AA33" i="3"/>
  <c r="AE57" i="3"/>
  <c r="AD47" i="3"/>
  <c r="K40" i="3"/>
  <c r="G20" i="3"/>
  <c r="G19" i="3" s="1"/>
  <c r="I47" i="3"/>
  <c r="P109" i="3"/>
  <c r="AD109" i="3"/>
  <c r="K20" i="3"/>
  <c r="K19" i="3" s="1"/>
  <c r="Z47" i="3"/>
  <c r="T9" i="3"/>
  <c r="D20" i="3"/>
  <c r="D19" i="3" s="1"/>
  <c r="H20" i="3"/>
  <c r="H19" i="3" s="1"/>
  <c r="AC33" i="3"/>
  <c r="V33" i="3"/>
  <c r="AE43" i="3"/>
  <c r="Q52" i="3"/>
  <c r="Q49" i="3" s="1"/>
  <c r="X71" i="3"/>
  <c r="D82" i="3"/>
  <c r="H82" i="3"/>
  <c r="L82" i="3"/>
  <c r="U82" i="3"/>
  <c r="G109" i="3"/>
  <c r="L109" i="3"/>
  <c r="AE115" i="3"/>
  <c r="H109" i="3"/>
  <c r="AB109" i="3"/>
  <c r="E109" i="3"/>
  <c r="I109" i="3"/>
  <c r="N109" i="3"/>
  <c r="O20" i="3"/>
  <c r="O19" i="3" s="1"/>
  <c r="Z109" i="3"/>
  <c r="R23" i="3"/>
  <c r="R20" i="3" s="1"/>
  <c r="AE26" i="3"/>
  <c r="AE27" i="3"/>
  <c r="AE29" i="3"/>
  <c r="AE30" i="3"/>
  <c r="AE32" i="3"/>
  <c r="Q74" i="3"/>
  <c r="C74" i="3"/>
  <c r="AE77" i="3"/>
  <c r="AE78" i="3"/>
  <c r="AE79" i="3"/>
  <c r="G82" i="3"/>
  <c r="K82" i="3"/>
  <c r="Y83" i="3"/>
  <c r="Y82" i="3" s="1"/>
  <c r="J35" i="3"/>
  <c r="J33" i="3" s="1"/>
  <c r="F40" i="3"/>
  <c r="M47" i="3"/>
  <c r="C49" i="3"/>
  <c r="AB47" i="3"/>
  <c r="E47" i="3"/>
  <c r="N47" i="3"/>
  <c r="Z82" i="3"/>
  <c r="X101" i="3"/>
  <c r="X100" i="3" s="1"/>
  <c r="X99" i="3" s="1"/>
  <c r="V109" i="3"/>
  <c r="Q114" i="3"/>
  <c r="Y9" i="3"/>
  <c r="X10" i="3"/>
  <c r="X127" i="3" s="1"/>
  <c r="X126" i="3" s="1"/>
  <c r="AC9" i="3"/>
  <c r="Q46" i="3"/>
  <c r="Q44" i="3" s="1"/>
  <c r="R44" i="3"/>
  <c r="R40" i="3" s="1"/>
  <c r="AA100" i="3"/>
  <c r="AA99" i="3" s="1"/>
  <c r="AE56" i="3"/>
  <c r="C55" i="3"/>
  <c r="F20" i="3"/>
  <c r="F19" i="3" s="1"/>
  <c r="Z20" i="3"/>
  <c r="Z19" i="3" s="1"/>
  <c r="F47" i="3"/>
  <c r="U47" i="3"/>
  <c r="X81" i="3"/>
  <c r="X80" i="3" s="1"/>
  <c r="Y80" i="3"/>
  <c r="J82" i="3"/>
  <c r="P82" i="3"/>
  <c r="Q101" i="3"/>
  <c r="Q100" i="3" s="1"/>
  <c r="Q99" i="3" s="1"/>
  <c r="T100" i="3"/>
  <c r="T99" i="3" s="1"/>
  <c r="X111" i="3"/>
  <c r="X110" i="3" s="1"/>
  <c r="AC110" i="3"/>
  <c r="AC109" i="3" s="1"/>
  <c r="X22" i="3"/>
  <c r="X21" i="3" s="1"/>
  <c r="X28" i="3"/>
  <c r="X23" i="3" s="1"/>
  <c r="X44" i="3"/>
  <c r="J49" i="3"/>
  <c r="AE53" i="3"/>
  <c r="AE54" i="3"/>
  <c r="AE58" i="3"/>
  <c r="AE61" i="3"/>
  <c r="AE62" i="3"/>
  <c r="AE65" i="3"/>
  <c r="AE66" i="3"/>
  <c r="AE67" i="3"/>
  <c r="C64" i="3"/>
  <c r="D47" i="3"/>
  <c r="H47" i="3"/>
  <c r="L47" i="3"/>
  <c r="P47" i="3"/>
  <c r="T47" i="3"/>
  <c r="Q82" i="3"/>
  <c r="AA109" i="3"/>
  <c r="AE118" i="3"/>
  <c r="AC47" i="3"/>
  <c r="AD82" i="3"/>
  <c r="X83" i="3"/>
  <c r="AE90" i="3"/>
  <c r="AE91" i="3"/>
  <c r="AE92" i="3"/>
  <c r="I82" i="3"/>
  <c r="W82" i="3"/>
  <c r="AE105" i="3"/>
  <c r="S109" i="3"/>
  <c r="W109" i="3"/>
  <c r="Y109" i="3"/>
  <c r="U20" i="3"/>
  <c r="U19" i="3" s="1"/>
  <c r="Q22" i="3"/>
  <c r="Q21" i="3" s="1"/>
  <c r="T33" i="3"/>
  <c r="L40" i="3"/>
  <c r="P40" i="3"/>
  <c r="T40" i="3"/>
  <c r="Y40" i="3"/>
  <c r="AC40" i="3"/>
  <c r="AE45" i="3"/>
  <c r="J55" i="3"/>
  <c r="J64" i="3"/>
  <c r="V21" i="3"/>
  <c r="V20" i="3" s="1"/>
  <c r="Y23" i="3"/>
  <c r="Y20" i="3" s="1"/>
  <c r="T20" i="3"/>
  <c r="AE37" i="3"/>
  <c r="AE38" i="3"/>
  <c r="D40" i="3"/>
  <c r="H40" i="3"/>
  <c r="M40" i="3"/>
  <c r="X41" i="3"/>
  <c r="AE48" i="3"/>
  <c r="G47" i="3"/>
  <c r="X49" i="3"/>
  <c r="C83" i="3"/>
  <c r="AE87" i="3"/>
  <c r="AE95" i="3"/>
  <c r="AE97" i="3"/>
  <c r="M109" i="3"/>
  <c r="U109" i="3"/>
  <c r="X114" i="3"/>
  <c r="X112" i="3" s="1"/>
  <c r="J129" i="3"/>
  <c r="J126" i="3" s="1"/>
  <c r="J9" i="3"/>
  <c r="X63" i="3"/>
  <c r="X55" i="3" s="1"/>
  <c r="Y55" i="3"/>
  <c r="AE31" i="3"/>
  <c r="Q63" i="3"/>
  <c r="Q55" i="3" s="1"/>
  <c r="R55" i="3"/>
  <c r="Q81" i="3"/>
  <c r="Q80" i="3" s="1"/>
  <c r="R80" i="3"/>
  <c r="X96" i="3"/>
  <c r="AE96" i="3" s="1"/>
  <c r="AE13" i="3"/>
  <c r="Q34" i="3"/>
  <c r="AE68" i="3"/>
  <c r="AC21" i="3"/>
  <c r="AC20" i="3" s="1"/>
  <c r="Q28" i="3"/>
  <c r="Q23" i="3" s="1"/>
  <c r="Q36" i="3"/>
  <c r="Q35" i="3" s="1"/>
  <c r="R35" i="3"/>
  <c r="R33" i="3" s="1"/>
  <c r="AE42" i="3"/>
  <c r="C44" i="3"/>
  <c r="AE89" i="3"/>
  <c r="C88" i="3"/>
  <c r="E20" i="3"/>
  <c r="E19" i="3" s="1"/>
  <c r="I20" i="3"/>
  <c r="I19" i="3" s="1"/>
  <c r="M20" i="3"/>
  <c r="M19" i="3" s="1"/>
  <c r="AE24" i="3"/>
  <c r="C23" i="3"/>
  <c r="C20" i="3" s="1"/>
  <c r="AE25" i="3"/>
  <c r="X34" i="3"/>
  <c r="X33" i="3" s="1"/>
  <c r="Y33" i="3"/>
  <c r="K47" i="3"/>
  <c r="O47" i="3"/>
  <c r="X64" i="3"/>
  <c r="AE72" i="3"/>
  <c r="C114" i="3"/>
  <c r="C112" i="3" s="1"/>
  <c r="C109" i="3" s="1"/>
  <c r="AE116" i="3"/>
  <c r="Q119" i="3"/>
  <c r="AE119" i="3" s="1"/>
  <c r="T112" i="3"/>
  <c r="T109" i="3" s="1"/>
  <c r="AA47" i="3"/>
  <c r="AE59" i="3"/>
  <c r="AE60" i="3"/>
  <c r="AE69" i="3"/>
  <c r="AE70" i="3"/>
  <c r="AE73" i="3"/>
  <c r="X74" i="3"/>
  <c r="AE102" i="3"/>
  <c r="AE103" i="3"/>
  <c r="AE104" i="3"/>
  <c r="K109" i="3"/>
  <c r="O109" i="3"/>
  <c r="Q111" i="3"/>
  <c r="Q110" i="3" s="1"/>
  <c r="R110" i="3"/>
  <c r="J112" i="3"/>
  <c r="J109" i="3" s="1"/>
  <c r="AE117" i="3"/>
  <c r="S47" i="3"/>
  <c r="W47" i="3"/>
  <c r="AE50" i="3"/>
  <c r="AE51" i="3"/>
  <c r="Q64" i="3"/>
  <c r="AE75" i="3"/>
  <c r="AE76" i="3"/>
  <c r="AE84" i="3"/>
  <c r="AE85" i="3"/>
  <c r="AE86" i="3"/>
  <c r="C93" i="3"/>
  <c r="AE93" i="3" s="1"/>
  <c r="AE94" i="3"/>
  <c r="AE120" i="3"/>
  <c r="C130" i="5" l="1"/>
  <c r="E129" i="5" s="1"/>
  <c r="E130" i="5" s="1"/>
  <c r="G129" i="5" s="1"/>
  <c r="G130" i="5" s="1"/>
  <c r="I129" i="5" s="1"/>
  <c r="I130" i="5" s="1"/>
  <c r="C127" i="5"/>
  <c r="K22" i="5"/>
  <c r="K6" i="5" s="1"/>
  <c r="C40" i="3"/>
  <c r="Q127" i="3"/>
  <c r="Q126" i="3" s="1"/>
  <c r="Q9" i="3"/>
  <c r="O39" i="3"/>
  <c r="O18" i="3" s="1"/>
  <c r="O17" i="3" s="1"/>
  <c r="O16" i="3" s="1"/>
  <c r="O4" i="3" s="1"/>
  <c r="R109" i="3"/>
  <c r="M39" i="3"/>
  <c r="M18" i="3" s="1"/>
  <c r="M17" i="3" s="1"/>
  <c r="M16" i="3" s="1"/>
  <c r="M4" i="3" s="1"/>
  <c r="E39" i="3"/>
  <c r="E18" i="3" s="1"/>
  <c r="E17" i="3" s="1"/>
  <c r="E16" i="3" s="1"/>
  <c r="E122" i="3" s="1"/>
  <c r="N39" i="3"/>
  <c r="N18" i="3" s="1"/>
  <c r="N17" i="3" s="1"/>
  <c r="N16" i="3" s="1"/>
  <c r="Q40" i="3"/>
  <c r="AA19" i="3"/>
  <c r="J19" i="3"/>
  <c r="I39" i="3"/>
  <c r="I18" i="3" s="1"/>
  <c r="I17" i="3" s="1"/>
  <c r="I16" i="3" s="1"/>
  <c r="I122" i="3" s="1"/>
  <c r="AB39" i="3"/>
  <c r="AB18" i="3" s="1"/>
  <c r="AB17" i="3" s="1"/>
  <c r="AB16" i="3" s="1"/>
  <c r="V39" i="3"/>
  <c r="X40" i="3"/>
  <c r="S39" i="3"/>
  <c r="S18" i="3" s="1"/>
  <c r="S17" i="3" s="1"/>
  <c r="S16" i="3" s="1"/>
  <c r="G39" i="3"/>
  <c r="G18" i="3" s="1"/>
  <c r="G17" i="3" s="1"/>
  <c r="G16" i="3" s="1"/>
  <c r="G122" i="3" s="1"/>
  <c r="F39" i="3"/>
  <c r="F18" i="3" s="1"/>
  <c r="F17" i="3" s="1"/>
  <c r="F16" i="3" s="1"/>
  <c r="Q20" i="3"/>
  <c r="AD39" i="3"/>
  <c r="AD18" i="3" s="1"/>
  <c r="AD17" i="3" s="1"/>
  <c r="AD16" i="3" s="1"/>
  <c r="AE36" i="3"/>
  <c r="AE35" i="3" s="1"/>
  <c r="AE10" i="3"/>
  <c r="X20" i="3"/>
  <c r="X19" i="3" s="1"/>
  <c r="AE46" i="3"/>
  <c r="AE44" i="3" s="1"/>
  <c r="X82" i="3"/>
  <c r="W39" i="3"/>
  <c r="W18" i="3" s="1"/>
  <c r="W17" i="3" s="1"/>
  <c r="W16" i="3" s="1"/>
  <c r="W4" i="3" s="1"/>
  <c r="AE41" i="3"/>
  <c r="AA39" i="3"/>
  <c r="K39" i="3"/>
  <c r="K18" i="3" s="1"/>
  <c r="K17" i="3" s="1"/>
  <c r="K16" i="3" s="1"/>
  <c r="K4" i="3" s="1"/>
  <c r="C19" i="3"/>
  <c r="AE88" i="3"/>
  <c r="D39" i="3"/>
  <c r="D18" i="3" s="1"/>
  <c r="D17" i="3" s="1"/>
  <c r="D16" i="3" s="1"/>
  <c r="P39" i="3"/>
  <c r="P18" i="3" s="1"/>
  <c r="P17" i="3" s="1"/>
  <c r="P16" i="3" s="1"/>
  <c r="U39" i="3"/>
  <c r="U18" i="3" s="1"/>
  <c r="U17" i="3" s="1"/>
  <c r="U16" i="3" s="1"/>
  <c r="Z39" i="3"/>
  <c r="Z18" i="3" s="1"/>
  <c r="Z17" i="3" s="1"/>
  <c r="Z16" i="3" s="1"/>
  <c r="V19" i="3"/>
  <c r="AC19" i="3"/>
  <c r="Y47" i="3"/>
  <c r="Y39" i="3" s="1"/>
  <c r="C47" i="3"/>
  <c r="Q112" i="3"/>
  <c r="Q109" i="3" s="1"/>
  <c r="R19" i="3"/>
  <c r="H39" i="3"/>
  <c r="H18" i="3" s="1"/>
  <c r="H17" i="3" s="1"/>
  <c r="H16" i="3" s="1"/>
  <c r="H122" i="3" s="1"/>
  <c r="J47" i="3"/>
  <c r="J39" i="3" s="1"/>
  <c r="AE52" i="3"/>
  <c r="AE49" i="3" s="1"/>
  <c r="AE114" i="3"/>
  <c r="AE112" i="3" s="1"/>
  <c r="AE101" i="3"/>
  <c r="AE100" i="3" s="1"/>
  <c r="AE99" i="3" s="1"/>
  <c r="X9" i="3"/>
  <c r="AE81" i="3"/>
  <c r="AE80" i="3" s="1"/>
  <c r="AE22" i="3"/>
  <c r="T39" i="3"/>
  <c r="T19" i="3"/>
  <c r="Y19" i="3"/>
  <c r="AE64" i="3"/>
  <c r="X47" i="3"/>
  <c r="AE74" i="3"/>
  <c r="Q47" i="3"/>
  <c r="X109" i="3"/>
  <c r="AC39" i="3"/>
  <c r="L39" i="3"/>
  <c r="L18" i="3" s="1"/>
  <c r="L17" i="3" s="1"/>
  <c r="L16" i="3" s="1"/>
  <c r="AE83" i="3"/>
  <c r="AE63" i="3"/>
  <c r="AE55" i="3" s="1"/>
  <c r="C82" i="3"/>
  <c r="AE111" i="3"/>
  <c r="AE110" i="3" s="1"/>
  <c r="AE34" i="3"/>
  <c r="Q33" i="3"/>
  <c r="AE33" i="3" s="1"/>
  <c r="R47" i="3"/>
  <c r="R39" i="3" s="1"/>
  <c r="AE28" i="3"/>
  <c r="AE71" i="3"/>
  <c r="K128" i="5" l="1"/>
  <c r="K138" i="5"/>
  <c r="AE23" i="3"/>
  <c r="AE21" i="3"/>
  <c r="AE127" i="3"/>
  <c r="AE126" i="3" s="1"/>
  <c r="Q39" i="3"/>
  <c r="AE82" i="3"/>
  <c r="AA18" i="3"/>
  <c r="AA17" i="3" s="1"/>
  <c r="AA16" i="3" s="1"/>
  <c r="AA4" i="3" s="1"/>
  <c r="J18" i="3"/>
  <c r="J17" i="3" s="1"/>
  <c r="J16" i="3" s="1"/>
  <c r="J130" i="3" s="1"/>
  <c r="AE40" i="3"/>
  <c r="V18" i="3"/>
  <c r="V17" i="3" s="1"/>
  <c r="V16" i="3" s="1"/>
  <c r="V4" i="3" s="1"/>
  <c r="AE9" i="3"/>
  <c r="X39" i="3"/>
  <c r="X18" i="3" s="1"/>
  <c r="X17" i="3" s="1"/>
  <c r="X16" i="3" s="1"/>
  <c r="X130" i="3" s="1"/>
  <c r="AC18" i="3"/>
  <c r="AC17" i="3" s="1"/>
  <c r="AC16" i="3" s="1"/>
  <c r="AC4" i="3" s="1"/>
  <c r="Y18" i="3"/>
  <c r="Y17" i="3" s="1"/>
  <c r="Y16" i="3" s="1"/>
  <c r="Y4" i="3" s="1"/>
  <c r="AE109" i="3"/>
  <c r="AJ109" i="3" s="1"/>
  <c r="R18" i="3"/>
  <c r="R17" i="3" s="1"/>
  <c r="R16" i="3" s="1"/>
  <c r="R4" i="3" s="1"/>
  <c r="C39" i="3"/>
  <c r="C18" i="3" s="1"/>
  <c r="C17" i="3" s="1"/>
  <c r="C16" i="3" s="1"/>
  <c r="C122" i="3" s="1"/>
  <c r="H4" i="3"/>
  <c r="T18" i="3"/>
  <c r="T17" i="3" s="1"/>
  <c r="T16" i="3" s="1"/>
  <c r="T4" i="3" s="1"/>
  <c r="F122" i="3"/>
  <c r="F4" i="3"/>
  <c r="D122" i="3"/>
  <c r="D4" i="3"/>
  <c r="AE47" i="3"/>
  <c r="Q19" i="3"/>
  <c r="K130" i="5" l="1"/>
  <c r="K127" i="5"/>
  <c r="AE20" i="3"/>
  <c r="AE19" i="3" s="1"/>
  <c r="Q18" i="3"/>
  <c r="Q17" i="3" s="1"/>
  <c r="Q16" i="3" s="1"/>
  <c r="Q4" i="3" s="1"/>
  <c r="AE39" i="3"/>
  <c r="J122" i="3"/>
  <c r="J4" i="3"/>
  <c r="C130" i="3"/>
  <c r="X4" i="3"/>
  <c r="X122" i="3"/>
  <c r="C4" i="3"/>
  <c r="X124" i="3" l="1"/>
  <c r="AE123" i="3" s="1"/>
  <c r="AE18" i="3"/>
  <c r="AE17" i="3" s="1"/>
  <c r="AE122" i="3" s="1"/>
  <c r="Q130" i="3"/>
  <c r="Q122" i="3"/>
  <c r="AE130" i="3" l="1"/>
  <c r="AE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Elita Buša</author>
  </authors>
  <commentList>
    <comment ref="AE72" authorId="0" shapeId="0" xr:uid="{F0B680D3-823A-4F56-A383-647AB9EA4635}">
      <text>
        <r>
          <rPr>
            <sz val="8"/>
            <color indexed="81"/>
            <rFont val="Tahoma"/>
            <family val="2"/>
            <charset val="186"/>
          </rPr>
          <t xml:space="preserve">
390000 satura informācijas vadības sistēma
60000 programnodrošinājuma licencēšana un atjaunināšana</t>
        </r>
      </text>
    </comment>
    <comment ref="AE81" authorId="0" shapeId="0" xr:uid="{22DB0B6F-9ADA-48BB-9A83-15D9530BEA10}">
      <text>
        <r>
          <rPr>
            <sz val="8"/>
            <color indexed="81"/>
            <rFont val="Tahoma"/>
            <family val="2"/>
            <charset val="186"/>
          </rPr>
          <t xml:space="preserve">
AKALA, LaiPA, licences(NABA), dalības maksas</t>
        </r>
      </text>
    </comment>
    <comment ref="AE116" authorId="0" shapeId="0" xr:uid="{8E9352A7-52FB-4138-9B92-B9C5BC72FB15}">
      <text>
        <r>
          <rPr>
            <sz val="8"/>
            <color indexed="81"/>
            <rFont val="Tahoma"/>
            <family val="2"/>
            <charset val="186"/>
          </rPr>
          <t xml:space="preserve">
Tehnoloģijas un aprīkojums Cers_304000-25000 licencēšana uz 5120=279000
</t>
        </r>
      </text>
    </comment>
    <comment ref="AE117" authorId="0" shapeId="0" xr:uid="{F7C6ABFD-4BAE-4572-A1E3-7F0A4EC3B7B6}">
      <text>
        <r>
          <rPr>
            <sz val="8"/>
            <color indexed="81"/>
            <rFont val="Tahoma"/>
            <family val="2"/>
            <charset val="186"/>
          </rPr>
          <t xml:space="preserve">
no 2021.gada :
Mobilā aplikācija 25000
Koplietošanas datu uzglabāšanas aprīkojums 26000
1.skaņu ierakstu studijas  elementu iegāde 205000
KOPĀ: 256 000
</t>
        </r>
      </text>
    </comment>
    <comment ref="AE118" authorId="0" shapeId="0" xr:uid="{A969AAA3-0B3F-4E9F-890B-DEEDD15C6872}">
      <text>
        <r>
          <rPr>
            <sz val="8"/>
            <color indexed="81"/>
            <rFont val="Tahoma"/>
            <family val="2"/>
            <charset val="186"/>
          </rPr>
          <t xml:space="preserve">
Infrastruktūra _Balodis_153500</t>
        </r>
      </text>
    </comment>
    <comment ref="AE119" authorId="0" shapeId="0" xr:uid="{95090782-C7EF-483E-9E14-DC41A21FD242}">
      <text>
        <r>
          <rPr>
            <sz val="8"/>
            <color indexed="81"/>
            <rFont val="Tahoma"/>
            <family val="2"/>
            <charset val="186"/>
          </rPr>
          <t xml:space="preserve">
no 2021.gada Logu atjaunošana 450 000</t>
        </r>
      </text>
    </comment>
  </commentList>
</comments>
</file>

<file path=xl/sharedStrings.xml><?xml version="1.0" encoding="utf-8"?>
<sst xmlns="http://schemas.openxmlformats.org/spreadsheetml/2006/main" count="756" uniqueCount="399">
  <si>
    <t xml:space="preserve">Pielikums Nr.2 </t>
  </si>
  <si>
    <t>VSIA "Latvijas Radio" plānotā un faktiskā naudas plūsma un darbības rādītāji</t>
  </si>
  <si>
    <t>EKK kods</t>
  </si>
  <si>
    <t>I ceturksnis</t>
  </si>
  <si>
    <t>II ceturksnis</t>
  </si>
  <si>
    <t>IIIceturksnis</t>
  </si>
  <si>
    <t>IV ceturksnis</t>
  </si>
  <si>
    <t>Pārskata perioda (I, II, III, IV ceturkņa) plāna un izpildes starpība</t>
  </si>
  <si>
    <t>Plāns</t>
  </si>
  <si>
    <t>Fakts</t>
  </si>
  <si>
    <t>Dotācija un pašu līdzekļi</t>
  </si>
  <si>
    <t>I. Finanšu rādītāji</t>
  </si>
  <si>
    <t>Ieņēmumi - kopā</t>
  </si>
  <si>
    <t>Valsts budžeta dotācija</t>
  </si>
  <si>
    <t>Pašu ieņēmumi no uzņēmējdarbības - kopā</t>
  </si>
  <si>
    <t>Tehnikas un telpu nomas ieņēmumi</t>
  </si>
  <si>
    <t>Citi ieņēmumi</t>
  </si>
  <si>
    <t>Izdevumi - kopā</t>
  </si>
  <si>
    <t>1000-4000 6000-7000</t>
  </si>
  <si>
    <t>Uzturēšanas izdevumi</t>
  </si>
  <si>
    <t>1000-2000</t>
  </si>
  <si>
    <t>Kārtējie izdevumi</t>
  </si>
  <si>
    <t>Atlīdzība</t>
  </si>
  <si>
    <t xml:space="preserve">Atalgojums </t>
  </si>
  <si>
    <t>Mēnešalga</t>
  </si>
  <si>
    <t>Piemaksa par nakts darbu</t>
  </si>
  <si>
    <t>Piemaksa par darbu īpašos apstākļos, speciālas piemaksas</t>
  </si>
  <si>
    <t>Piemaksa par papildu darbu</t>
  </si>
  <si>
    <t>Darba devēja piešķirtie labumi un maksājumi</t>
  </si>
  <si>
    <t>Darba devēja valsts sociālās apdrošināšanas obligātās iemaksas</t>
  </si>
  <si>
    <t>Darba devēja izdevumi veselības, dzīvības un nelaimes gadījumu apdrošināšanai</t>
  </si>
  <si>
    <t>Preces un pakalpojumi</t>
  </si>
  <si>
    <t>Dienas nauda</t>
  </si>
  <si>
    <t>Pakalpojumi</t>
  </si>
  <si>
    <t>Izdevumi par komunālajiem pakalpojumiem</t>
  </si>
  <si>
    <t>Izdevumi par ūdeni un kanalizāciju</t>
  </si>
  <si>
    <t>Izdevumi par elektroenerģiju</t>
  </si>
  <si>
    <t>Izdevumi par pārējiem komunālajiem pakalpojumiem</t>
  </si>
  <si>
    <t>Iestādes administratīvie izdevumi un ar iestādes darbības nodrošināšanu saistītie izdevumi</t>
  </si>
  <si>
    <t>Izdevumi par transporta pakalpojumiem</t>
  </si>
  <si>
    <t>Normatīvajos aktos noteiktie darba devēja veselības izdevumi darba ņēmējam</t>
  </si>
  <si>
    <t>Izdevumi par saņemtajiem apmācību pakalpojumiem</t>
  </si>
  <si>
    <t>Transportlīdzekļu uzturēšana un remonts</t>
  </si>
  <si>
    <t>Iekārtas, inventāra un aparatūras remonts, tehniskā apkalpošana</t>
  </si>
  <si>
    <t>Apdrošināšanas izdevumi</t>
  </si>
  <si>
    <t>Pārējie remontdarbu un iestāžu uzturēšanas pakalpojumi</t>
  </si>
  <si>
    <t>Informācijas tehnoloģiju pakalpojumi</t>
  </si>
  <si>
    <t>Informācijas sistēmas uzturēšana</t>
  </si>
  <si>
    <t>Pārējie informācijas tehnoloģiju pakalpojumi</t>
  </si>
  <si>
    <t>Īre un noma</t>
  </si>
  <si>
    <t>Ēku, telpu īre un noma</t>
  </si>
  <si>
    <t>Transportlīdzekļu noma</t>
  </si>
  <si>
    <t>Zemes noma</t>
  </si>
  <si>
    <t>Pārējā noma</t>
  </si>
  <si>
    <t>Citi pakalpojumi</t>
  </si>
  <si>
    <t>Pārējie iepriekš neklasificētie pakalpojumu veidi</t>
  </si>
  <si>
    <t>Krājumi, materiāli, energoresursi, preces, biroja preces un inventārs, kurus neuzskaita kodā 5000</t>
  </si>
  <si>
    <t>Biroja preces</t>
  </si>
  <si>
    <t>Inventārs</t>
  </si>
  <si>
    <t>Spectērpi</t>
  </si>
  <si>
    <t>Kurināmais un enerģētiskie materiāli</t>
  </si>
  <si>
    <t>Kurināmais</t>
  </si>
  <si>
    <t>Degviela</t>
  </si>
  <si>
    <t>Pārējie enerģētiskie materiāli</t>
  </si>
  <si>
    <t>Materiāli un izejvielas palīgražošanai</t>
  </si>
  <si>
    <t>Zāles, ķimikālijas, laboratorijas preces, medicīniskās ierīces, medicīnas instrumenti, laboratorijas dzīvnieki un to uzturēšana</t>
  </si>
  <si>
    <t>Zāles, ķimikālijas, laboratorijas preces</t>
  </si>
  <si>
    <t>Kārtējā remonta un iestāžu uzturēšanas materiāli</t>
  </si>
  <si>
    <t>Pārējās preces</t>
  </si>
  <si>
    <t>Izdevumi periodikas iegādei</t>
  </si>
  <si>
    <t>Budžeta iestāžu pievienotās vērtības nodokļa maksājumi</t>
  </si>
  <si>
    <t>Pārējie budžeta iestāžu pārskaitītie nodokļi un nodevas</t>
  </si>
  <si>
    <t>Procentu izdevumi</t>
  </si>
  <si>
    <t>Procentu maksājumi iekšzemes kredītiestādēm</t>
  </si>
  <si>
    <t>Nemateriālie ieguldījumi</t>
  </si>
  <si>
    <t>Licences, koncesijas un patenti, preču zīmes un līdzīgas tiesības</t>
  </si>
  <si>
    <t>Pamatlīdzekļi</t>
  </si>
  <si>
    <t>Tehnoloģiskās mašīnas un iekārtas</t>
  </si>
  <si>
    <t>Pārējie pamatlīdzekļi</t>
  </si>
  <si>
    <t>Transportlīdzekļi</t>
  </si>
  <si>
    <t>Datortehnika, sakaru un cita biroju tehnika</t>
  </si>
  <si>
    <t>Pārējie iepriekš neklasificētie pamatlīdzekļi</t>
  </si>
  <si>
    <t>Pamatlīdzekļu izveidošana un nepabeigtā būvniecība</t>
  </si>
  <si>
    <t>Kapitālais remonts un rekonstrukcija</t>
  </si>
  <si>
    <t>Fiskālā bilance</t>
  </si>
  <si>
    <t>Naudas līdzekļu atlikumu izmaiņas: palielinājums (–) vai samazinājums (+)</t>
  </si>
  <si>
    <t>Naudas līdzekļu atlikums perioda sākumā:</t>
  </si>
  <si>
    <t>Naudas līdzekļu atlikums perioda beigās:</t>
  </si>
  <si>
    <t>III. Ieņēmumu un izdevumu ekonomiskais aprēķins</t>
  </si>
  <si>
    <t>Ieņēmumi kopā:</t>
  </si>
  <si>
    <t>Valsts Budžeta dotācija</t>
  </si>
  <si>
    <t>Pašu ieņēmumi</t>
  </si>
  <si>
    <t>Izdevumi kopā:</t>
  </si>
  <si>
    <t>Štata vietas</t>
  </si>
  <si>
    <t>Uzņēmuma vadītājs_____________________</t>
  </si>
  <si>
    <t>Sagatavoja___________________________</t>
  </si>
  <si>
    <t>Pārējo darbinieku mēnešalga (darba alga)</t>
  </si>
  <si>
    <t>Piemaksas, prēmijas un naudas balvas</t>
  </si>
  <si>
    <t>Samaksa par virsstundu darbu un darbu svētku dienās</t>
  </si>
  <si>
    <t>Piemaksa par personisko darba ieguldījumu un darba kvalitāti</t>
  </si>
  <si>
    <t>Citas normatīvajos aktos noteiktās piemaksas, kas nav iepriekš klasificētas</t>
  </si>
  <si>
    <t>Prēmijas un naudas balvas</t>
  </si>
  <si>
    <t>Darba devēja valsts sociālās apdrošināšanas obligātās iemaksas, pabalsti un kompensācijas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</si>
  <si>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</si>
  <si>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</si>
  <si>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pabalsti un kompensācijas, no kā neaprēķina iedzīvotāju ienākuma nodokli un valsts sociālās apdrošināšanas obligātās iemaksas</t>
  </si>
  <si>
    <t>Mācību, darba un dienesta komandējumi, darba braucieni</t>
  </si>
  <si>
    <t>Iekšzemes mācību, darba un dienesta komandējumi, darba braucieni</t>
  </si>
  <si>
    <t>Pārējie komandējumu un darba braucienu izdevumi</t>
  </si>
  <si>
    <t>Ārvalstu mācību, darba un dienesta komandējumi, darba braucieni</t>
  </si>
  <si>
    <t>Izdevumi par siltumenerģiju, tai skaitā apkuri</t>
  </si>
  <si>
    <t>Administratīvie izdevumi un sabiedriskās attiecības</t>
  </si>
  <si>
    <t>Auditoru, tulku pakalpojumi, izdevumi par iestāžu pasūtītajiem pētījumiem</t>
  </si>
  <si>
    <t>Ārvalstīs strādājošo darbinieku dzīvokļa īres un komunālo izdevumu kompensācija</t>
  </si>
  <si>
    <t>Remontdarbi un iestāžu uzturēšanas pakalpojumi (izņemot kapitālo remontu)</t>
  </si>
  <si>
    <t>Ēku, būvju un telpu kārtējais remonts</t>
  </si>
  <si>
    <t>Nekustamā īpašuma uzturēšana</t>
  </si>
  <si>
    <t>Iekārtu, aparatūras un inventāra īre un noma</t>
  </si>
  <si>
    <t>Izdevumi par precēm iestādes darbības nodrošināšanai</t>
  </si>
  <si>
    <t>Izdevumi par precēm iestādes administratīvās darbības nodrošināšanai un sabiedrisko attiecību īstenošanai</t>
  </si>
  <si>
    <t>Budžeta iestāžu līzinga procentu maksājumi</t>
  </si>
  <si>
    <t>Ilgtermiņa ieguldījumi nomātajos pamatlīdzekļos</t>
  </si>
  <si>
    <t>Transferts no kultūras ministrijas</t>
  </si>
  <si>
    <t>I.Rone 67206668</t>
  </si>
  <si>
    <t>Izdevumi par sakaru pakalpojumiem</t>
  </si>
  <si>
    <t>Atalgojums fiziskajām personām uz tiesiskās attiecības regulējošu dokumentu pamata</t>
  </si>
  <si>
    <t>Pārējie iestādes administratīvie izdevumi</t>
  </si>
  <si>
    <t>Budžeta iestāžu nodokļu, nodevu un sankciju maksājumi</t>
  </si>
  <si>
    <t>Budžeta iestāžu nodokļu un nodevu maksājumi</t>
  </si>
  <si>
    <t>Budžeta iestāžu nekustamā īpašuma nodokļa (t.sk. Zemes nodokļa parāda) maksājumi budžetā</t>
  </si>
  <si>
    <t>Maksājumi par budžeta iestādēm piemērotajām sankcijām</t>
  </si>
  <si>
    <t>Pamatkapitāla veidošana</t>
  </si>
  <si>
    <t>Transferti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</si>
  <si>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</si>
  <si>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</si>
  <si>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</si>
  <si>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</si>
  <si>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</si>
  <si>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</si>
  <si>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</si>
  <si>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</si>
  <si>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</si>
  <si>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</si>
  <si>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</si>
  <si>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</si>
  <si>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Izdevumi par atkritumu savākšanu, izvešanu un atkritumu utilizācija</t>
  </si>
  <si>
    <t>IEN</t>
  </si>
  <si>
    <t>IZD</t>
  </si>
  <si>
    <t>Bankas komisija,pakalpojumi</t>
  </si>
  <si>
    <t>Uzņēmumu ienākuma nodoklis</t>
  </si>
  <si>
    <t>2025.gadā</t>
  </si>
  <si>
    <t>Iepriekšējo priodu nesadalītie līdzekļi</t>
  </si>
  <si>
    <t>Darbinieku skaits, t.sk.:</t>
  </si>
  <si>
    <t>Administrācijas darbinieku skaits</t>
  </si>
  <si>
    <t>Sabiedriskā pasūtījuma izstrādes, uzskaites un izpildes uzraudzības kārtības nolikuma</t>
  </si>
  <si>
    <t>Pielikums Nr. 2 "Plānotā un faktiskā naudas plūsma"</t>
  </si>
  <si>
    <t>Izpilde</t>
  </si>
  <si>
    <t>Transferts</t>
  </si>
  <si>
    <t>Reklāma un sludinājumi</t>
  </si>
  <si>
    <t>Iepriekšējo periodu nesadalītie līdzekļi</t>
  </si>
  <si>
    <t xml:space="preserve">Izdevumi par atkritumu savākšanu, izvešanu no apdzīvotām vietām </t>
  </si>
  <si>
    <t>Maksājumu pakalpojumi un komisijas</t>
  </si>
  <si>
    <t>Uzņēmuma ienākuma nodoklis</t>
  </si>
  <si>
    <t>II. Ieņēmumu un izdevumu ekonomiskais aprēķins</t>
  </si>
  <si>
    <t xml:space="preserve">2025. gada pamatbudžeta finansēšanas plāns </t>
  </si>
  <si>
    <t>Finansēšanas plāna rādītāja kods</t>
  </si>
  <si>
    <t>Finansēšanas plāna rādītāja nosaukums</t>
  </si>
  <si>
    <t>Gada summa (iepriekšējā versijā)</t>
  </si>
  <si>
    <t>Izmaiņas</t>
  </si>
  <si>
    <t>Gada summa        (ar izmaiņām)</t>
  </si>
  <si>
    <t>Sākotnējā prognoze pa mēnešiem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</si>
  <si>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</si>
  <si>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</si>
  <si>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</si>
  <si>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</si>
  <si>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</si>
  <si>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</si>
  <si>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</si>
  <si>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</si>
  <si>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</si>
  <si>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</si>
  <si>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</si>
  <si>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</si>
  <si>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I.ceturksnis</t>
  </si>
  <si>
    <t>2.ceturksnis</t>
  </si>
  <si>
    <t>3.ceturksnis</t>
  </si>
  <si>
    <t>4.ceturksnis</t>
  </si>
  <si>
    <t>P0</t>
  </si>
  <si>
    <t>Resursi izdevumu segšanai</t>
  </si>
  <si>
    <t>Valsts budžeta transferti</t>
  </si>
  <si>
    <t>Valsts pamatbudžeta savstarpējie transferti</t>
  </si>
  <si>
    <t>Valsts pamatbudžeta iestāžu saņemtie transferti no valsts pamatbudžeta</t>
  </si>
  <si>
    <t>Valsts pamatbudžeta iestāžu saņemtie transferti no valsts pamatbudžeta dotācijas no vispārējiem ieņēmumiem</t>
  </si>
  <si>
    <t>Dotācija no vispārējiem ieņēmumiem</t>
  </si>
  <si>
    <t>Vispārējā kārtībā sadalāmā dotācija no vispārējiem ieņēmumiem</t>
  </si>
  <si>
    <t>B000</t>
  </si>
  <si>
    <t>Izdevumi – kopā</t>
  </si>
  <si>
    <t>Subsīdijas, dotācijas un sociālie pabalsti</t>
  </si>
  <si>
    <t>Subsīdijas un dotācijas</t>
  </si>
  <si>
    <t>P1M</t>
  </si>
  <si>
    <t>Finansiālā bilance</t>
  </si>
  <si>
    <t>2025.gads</t>
  </si>
  <si>
    <t>Pielikums "Naudas plūsmas plāns un izpilde"</t>
  </si>
  <si>
    <t>Naudas plūsmas plāns un izpilde Latvijas Televīzija</t>
  </si>
  <si>
    <t>III ceturksnis</t>
  </si>
  <si>
    <t>2025. gads</t>
  </si>
  <si>
    <t>74.resors</t>
  </si>
  <si>
    <t>Drošības nauda</t>
  </si>
  <si>
    <t>Aizņēmums</t>
  </si>
  <si>
    <t>t.sk Citi ieņēmumi</t>
  </si>
  <si>
    <t>t.sk Telpu noma</t>
  </si>
  <si>
    <t>Izdevumi par atkritumu savākšanu, izvešanu no apdzīvotām vietām un teritorijām ārpus apdzīvotām vietām un atkritumu utilizāciju</t>
  </si>
  <si>
    <t xml:space="preserve">Administratīvie izdevumi un sabiedriskās attiecības </t>
  </si>
  <si>
    <t>Izdevumi par mācību pakalpojumiem</t>
  </si>
  <si>
    <t>Pārējie ar iestādes pārstāvību, iestādes darbības veicamo funkciju nodrošināšanu saistītie pakalpojumi</t>
  </si>
  <si>
    <t>Izdevumi juridiskās palīdzības sniedzējiem un zvērinātiem tiesu izpildītājiem</t>
  </si>
  <si>
    <t>Budžeta iestāžu nekustamā īpašuma nodokļa (t.sk. zemes nodokļa parāda) maksājumi budžetā</t>
  </si>
  <si>
    <t xml:space="preserve">Maksājumi par budžeta iestādēm piemērotajām sankcijām </t>
  </si>
  <si>
    <t>Procentu maksājumi iekšzemes kredītiestādēm no atvasināto finanšu instrumentu lietošanas rezultāta</t>
  </si>
  <si>
    <t>F40121220</t>
  </si>
  <si>
    <t>Saņemto īstermiņa aizņēmumu atmaksa</t>
  </si>
  <si>
    <t>F40121210</t>
  </si>
  <si>
    <t>Saņemts aizdevums</t>
  </si>
  <si>
    <t>Zeme, ēkas un būves</t>
  </si>
  <si>
    <t>Tehnoloģiskās iekārtas un mašīnas</t>
  </si>
  <si>
    <t>Datortehnika, sakaru un cita biroja tehnika</t>
  </si>
  <si>
    <t>Darbinieku skaits</t>
  </si>
  <si>
    <t>Administrācijas darbinieku skaits 1</t>
  </si>
  <si>
    <t>Piezīmes:</t>
  </si>
  <si>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 xml:space="preserve"> Norādīt darbinieku skaitu, kas atbilst Peļņas vai zaudējuma aprēķina izmaksu pozīcijas "Administrācijas izmaksas" atspoguļotajam darbinieku skaitam</t>
    </r>
  </si>
  <si>
    <t>Uzņēmuma vadītājs:_______________________________________________________</t>
  </si>
  <si>
    <t>Sagatavoja: _____________________________________________________________</t>
  </si>
  <si>
    <t>Mēnesis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</si>
  <si>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</si>
  <si>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</si>
  <si>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</si>
  <si>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</si>
  <si>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</si>
  <si>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</si>
  <si>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</si>
  <si>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</si>
  <si>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</si>
  <si>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</si>
  <si>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</si>
  <si>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</si>
  <si>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Kopā,EUR</t>
  </si>
  <si>
    <t>*Dotācija, EUR</t>
  </si>
  <si>
    <t>**Dotācija, EUR</t>
  </si>
  <si>
    <t>*** 74.resors</t>
  </si>
  <si>
    <t>**** 74.resors-PTS</t>
  </si>
  <si>
    <t>Kopā EUR</t>
  </si>
  <si>
    <t>* Naudas līdzekļu sadalījums "VSIA Latvijas Radio"budžeta programma 04.00.00</t>
  </si>
  <si>
    <t>** Naudas līdzekļu sadalījums " VSIA Latvijas Televīzija" budžeta programma 04.00.00.</t>
  </si>
  <si>
    <t>***  Naudas līdzekļu sadalījums no budžeta resora " 74.Gadskārtējā valsts budžeta izpildes procesā pārdalāmais finansējums" programmas 09.00.00 " Valsts nozīmes reformas īstenošanai"</t>
  </si>
  <si>
    <t>*** * Naudas līdzekļu sadalījums no budžeta resora " 74.Gadskārtējā valsts budžeta izpildes procesā pārdalāmais finansējums" programmas 18.00.00 " Finansējums valsts drošības stiprināšanas pasākumiem"</t>
  </si>
  <si>
    <t>LTV</t>
  </si>
  <si>
    <t>Pielikums "Ieguldījumu investīcijās plāns un izpilde"</t>
  </si>
  <si>
    <t>Nr.p.k.</t>
  </si>
  <si>
    <t>Ieguldījumi investīcijas</t>
  </si>
  <si>
    <r>
      <rPr>
        <b/>
        <sz val="8"/>
        <color theme="1"/>
        <rFont val="Times New Roman"/>
        <family val="1"/>
        <charset val="186"/>
      </rPr>
      <t>Plānotie</t>
    </r>
    <r>
      <rPr>
        <sz val="8"/>
        <color theme="1"/>
        <rFont val="Times New Roman"/>
        <family val="1"/>
        <charset val="186"/>
      </rPr>
      <t xml:space="preserve"> ieguldījumi investīcijās, tūkst. EUR</t>
    </r>
    <r>
      <rPr>
        <vertAlign val="superscript"/>
        <sz val="8"/>
        <color theme="1"/>
        <rFont val="Times New Roman"/>
        <family val="1"/>
        <charset val="186"/>
      </rPr>
      <t>1</t>
    </r>
  </si>
  <si>
    <r>
      <t xml:space="preserve">Ieguldījumu investīcijās </t>
    </r>
    <r>
      <rPr>
        <b/>
        <sz val="8"/>
        <color theme="1"/>
        <rFont val="Times New Roman"/>
        <family val="1"/>
        <charset val="186"/>
      </rPr>
      <t>faktiskā</t>
    </r>
    <r>
      <rPr>
        <sz val="8"/>
        <color theme="1"/>
        <rFont val="Times New Roman"/>
        <family val="1"/>
        <charset val="186"/>
      </rPr>
      <t xml:space="preserve"> izpilde, tūkst. EUR</t>
    </r>
    <r>
      <rPr>
        <vertAlign val="superscript"/>
        <sz val="8"/>
        <color theme="1"/>
        <rFont val="Times New Roman"/>
        <family val="1"/>
        <charset val="186"/>
      </rPr>
      <t>2</t>
    </r>
  </si>
  <si>
    <t>Finansējuma avots</t>
  </si>
  <si>
    <t>Izpildes periods, citi komentāri</t>
  </si>
  <si>
    <t>I. Tehnoloģijas un aprīkojums</t>
  </si>
  <si>
    <t>Videoražošanas iekārtas</t>
  </si>
  <si>
    <t>IT tehnoloģijas</t>
  </si>
  <si>
    <t>MAM</t>
  </si>
  <si>
    <t>Gaismu tehnoloģiju iekārtas</t>
  </si>
  <si>
    <t>Audioiekārtas</t>
  </si>
  <si>
    <t>Audio un video darbstacijas, aprīkojums</t>
  </si>
  <si>
    <t>Portatīvie datori</t>
  </si>
  <si>
    <t>LSM MM jaunā studija, tsk kā ZD operatīvā rezerves studija</t>
  </si>
  <si>
    <t>Replay (frontend) (VoD/OTT web, mobilās App, SmartTV App) un MI risinājumi WEB saturam</t>
  </si>
  <si>
    <t>MAM2 (NRCS attīstība) licences, integrācija ar LTV un LR IT sistēmām, tsk., arhīviem</t>
  </si>
  <si>
    <t>Reģionālās studijas (Daugavpils)</t>
  </si>
  <si>
    <t>Biroja IT (darba stacijas, aplikācijas, LAN, serveri) veiktspēja</t>
  </si>
  <si>
    <t>Studiju kameru un audio atjauninājumi</t>
  </si>
  <si>
    <t>Mobilie ārkārtas drošības komunikāciju risinājumi (mob.studijas, satelīta telefoni, datori, antenas u.c.) no PTS finansējuma</t>
  </si>
  <si>
    <t>Biroja IT infrastruktūras virtualizācija</t>
  </si>
  <si>
    <t>TV ražošanas sistēmu virtualizācija</t>
  </si>
  <si>
    <t>TV ražošanas tehnoloģiju IKT infrastruktūras veiktspējas uzlabošana</t>
  </si>
  <si>
    <t>Studiju operatoru tehnika (robosliedes, krāni)</t>
  </si>
  <si>
    <t>Lielo TV studiju tehniskais aprīkojums</t>
  </si>
  <si>
    <t>Mazo TV studiju tehniskais aprīkojums, tsk. surdo studijas</t>
  </si>
  <si>
    <t>Vienotās režijas 3 (Zaķusalas kompleksā) mobilitātes pamatkomplekts - darbības nepārtrauktības ietvars</t>
  </si>
  <si>
    <t>Datu krātuvju/Arhīva apjoma palielināšana (tsk.kopijas mākoņos)</t>
  </si>
  <si>
    <t>LSM IKT tīkla darbības un drošības monitoringa sistēma</t>
  </si>
  <si>
    <t>Video satura valodu transkodēšanas/tulkošanas sistēma</t>
  </si>
  <si>
    <t>LSM multimediju studijas un reģionālo studiju telpas remontdarbi</t>
  </si>
  <si>
    <t>Video sienu serveri/LED modulārie ekrāni</t>
  </si>
  <si>
    <t>Budžeta plānošanas un kontroles sistēma (BI)</t>
  </si>
  <si>
    <t>LTV PTS studijas piekabe &amp; aprīkojums</t>
  </si>
  <si>
    <t>IKT LAN pamattīkla infrastruktūras attīstība, drošība</t>
  </si>
  <si>
    <t>8 cam PTS un 14 cam PTS esošo 2 ARET / TVC līgumu papildus TV sistēmu aprīkojums</t>
  </si>
  <si>
    <t>Vienotā LSM biroja komunikāciju IKT sistēma (e-pasti, kalendāri, komunikācija,...)</t>
  </si>
  <si>
    <t>PTS projekta vadība, komandējumi IT, LT, rezerves pozīcijas auto transporta aprīkojumam</t>
  </si>
  <si>
    <t>TV Playout cloud risinājums</t>
  </si>
  <si>
    <t>LSM IKT (biroja, audio/video ražošana, digitālā apraide) LSM.LV sistēmu arhitektūra</t>
  </si>
  <si>
    <t>Rezerves interneta/datu pieslēgumi (LVRTC)</t>
  </si>
  <si>
    <t>PTS</t>
  </si>
  <si>
    <t>Digitālie pakalpojumi (LSM web lapa, audio lietotņu attīstība, citu platformu izmantošana)</t>
  </si>
  <si>
    <t xml:space="preserve">MTS - Jauna mobilā tiešraižu studija </t>
  </si>
  <si>
    <t xml:space="preserve">Video novērošanas sistēmas ieviešana </t>
  </si>
  <si>
    <t xml:space="preserve">Starpstudiju balss sakaru sistēmas nomaiņa </t>
  </si>
  <si>
    <t>LR rezerves 14.studijas tehnoloģiskā aprīkojuma iegāde</t>
  </si>
  <si>
    <t>Transporta iegāde vai noma reģionālās studijas</t>
  </si>
  <si>
    <t>SVC komutācijas trakta vadības elementu nomaiņa</t>
  </si>
  <si>
    <t>1.studijas ierakstu nodrošināšanas tehniskā aprīkojuma atjaunināšana</t>
  </si>
  <si>
    <t xml:space="preserve">Mikrofonu parka un skaņas traktu elementu atjaunošana mobilajām translāciju studijām </t>
  </si>
  <si>
    <t>Kopā, tūkst. EUR</t>
  </si>
  <si>
    <t>20__. gada izpildāmās līgumsaistības, kuras attiecināmas uz iepriekšējā gadā noslēgtajiem līgumiem:</t>
  </si>
  <si>
    <t>utt.</t>
  </si>
  <si>
    <t>II. Infrastruktūra</t>
  </si>
  <si>
    <t>Ventilācija</t>
  </si>
  <si>
    <t>Aizdevums</t>
  </si>
  <si>
    <t>Infrastruktūras uzturēšana</t>
  </si>
  <si>
    <t>Apakšstacija</t>
  </si>
  <si>
    <t>Kanalizācijas sūkņu stacijas automātikas un vadības skapja nomaiņa</t>
  </si>
  <si>
    <t>Ēkas 4 ātrgaitas liftu nomaiņa</t>
  </si>
  <si>
    <t>Kopējā interjera atjaunošana ēkas koplietošanas telpās un gaiteņos, tsk. WC</t>
  </si>
  <si>
    <t xml:space="preserve">Zaķusalas krastmala 33 ēkas elektrodīzelģenerators </t>
  </si>
  <si>
    <t>Teritorijas un ieejas mezgla labiekārtošana/LTV PTS angārs</t>
  </si>
  <si>
    <t>Replay tiešraides/VoD straumēšanas/transkodēšanas infrastruktūras atjaunošana (backend)</t>
  </si>
  <si>
    <t xml:space="preserve">Ziņu un raidījumu redakciju un Biroja darba vietu modernizācija. Videomontāžu, datorgrafiķu, stila nodaļu darba telpas un infrastruktūra </t>
  </si>
  <si>
    <t>Logu un jumtu nomaiņa 1-4 stāvs</t>
  </si>
  <si>
    <t>LSM ēku attīsības koncepcija</t>
  </si>
  <si>
    <t>ZD un RD 1-2 personu sarunu ierakstu kabīnes</t>
  </si>
  <si>
    <t>LSM ēku izpētes (TA)</t>
  </si>
  <si>
    <t>Radiomājas jumta seguma nomaiņa, t.sk. autoruzraudzība, būvuzraudzība</t>
  </si>
  <si>
    <t>Mūsdienīgu un funkcionālu Ziņu dienesta telpu izveide</t>
  </si>
  <si>
    <t>Galvenās ieejas mezgla atjaunošana</t>
  </si>
  <si>
    <t>1.studijas rekonstrukcija, t.sk. izpēte, projektēšana, autoruzraudzība, būvuzraudzība, griestu nostiprināšana</t>
  </si>
  <si>
    <t>Mājas inženiertīklu AVK, EL, UKT projektēšana &amp; nomaiņa</t>
  </si>
  <si>
    <t>Iekšpagalmu fasādes atjaunošana Radiomāja</t>
  </si>
  <si>
    <t>III. Citi</t>
  </si>
  <si>
    <t>Monitoru nomaiņa</t>
  </si>
  <si>
    <t>Printeru nomaiņa</t>
  </si>
  <si>
    <t>Planšetes un mobilie</t>
  </si>
  <si>
    <t>Datu centra tīkla infrastruktūras veiktspējas uzlabošana</t>
  </si>
  <si>
    <t>Ilgtermiņa ieguldījumu bāzes noturēšana (mazo IKT/audio/video PL atjaunošana)</t>
  </si>
  <si>
    <t>LSM zīmola un grafiskās identitātes izstrādes izmaksas, zīmola komunikācija &amp; mārketings</t>
  </si>
  <si>
    <t>IT infrastruktūras darbības un drošības risinājumu projekta izstrāde un realizācija</t>
  </si>
  <si>
    <t>LR studijas rekonstrukcijas projekta izstrāde</t>
  </si>
  <si>
    <r>
      <t>tai skaitā no prioritārajiem pasākumiem</t>
    </r>
    <r>
      <rPr>
        <vertAlign val="superscript"/>
        <sz val="10"/>
        <color theme="1"/>
        <rFont val="Times New Roman"/>
        <family val="1"/>
        <charset val="186"/>
      </rPr>
      <t xml:space="preserve"> </t>
    </r>
  </si>
  <si>
    <t>% no valsts budžeta dotācijas (naudas plūsmas rādītājs)</t>
  </si>
  <si>
    <t>Uzņēmuma vadītājs: ____________________________________________________________</t>
  </si>
  <si>
    <t>Sagatavoja: ___________________________________________________________________</t>
  </si>
  <si>
    <t>Ieguldījumu investīcijās plāns un izpilde 2025. gadā Latvijas Sabiedriskais medijs</t>
  </si>
  <si>
    <t xml:space="preserve">Esošo koplietošanas tehnisko resursu darbaspēju uzturēšana </t>
  </si>
  <si>
    <t>Lietotā programmnodrošinājuma licencēšana un atjaunināšana</t>
  </si>
  <si>
    <t>Koplietošanas datu uzglabāšanas un apstrādes tehnoloģiskā aprīkojuma atjaunināšana (ITD)</t>
  </si>
  <si>
    <t>Starpstudiju balss sakaru sistēmas nomaiņa (ITD)</t>
  </si>
  <si>
    <t>Rezerve neparedzētiem gadījumiem</t>
  </si>
  <si>
    <t>Grāmatu iegāde</t>
  </si>
  <si>
    <t>Pielikums Nr.2.2 "Ieguldījumu investīcijās plāns un izpilde"</t>
  </si>
  <si>
    <t>Ieguldījumu investīcijās plāns un izpilde 2025. gadā Latvijas Radio.</t>
  </si>
  <si>
    <t>Iegudījumi investīcijas</t>
  </si>
  <si>
    <t>I TEHNOLOĢIJAS UN APRĪKOJUMS</t>
  </si>
  <si>
    <t>1.</t>
  </si>
  <si>
    <t>Valsts dotācija</t>
  </si>
  <si>
    <t>2.</t>
  </si>
  <si>
    <t>3.</t>
  </si>
  <si>
    <t>Individuālā lietojuma portatīvās un stacionārās datortehnikas nomaiņa</t>
  </si>
  <si>
    <t>Prioritārie pasākumi</t>
  </si>
  <si>
    <t>5.</t>
  </si>
  <si>
    <t>SVC komutācijas trakta vadības elementu nomaiņa (ITD)</t>
  </si>
  <si>
    <t>6.</t>
  </si>
  <si>
    <t>1.studijas ierakstu nodrošināšanas tehniskā aprīkojuma atjaunināšana (SID)</t>
  </si>
  <si>
    <t>7.</t>
  </si>
  <si>
    <t>Mikrofonu parka un skaņas traktu elementu atjaunošana mobilajām translāciju studijām (RID)</t>
  </si>
  <si>
    <t>8.</t>
  </si>
  <si>
    <t>4.</t>
  </si>
  <si>
    <t>9.</t>
  </si>
  <si>
    <t>2025. gada izpildāmās līgumsaistības, kuras attiecināmas uz iepriekšējā gadā noslēgtajiem līgumiem:</t>
  </si>
  <si>
    <t>II INFRASTRUKTŪRA</t>
  </si>
  <si>
    <t>Mēbeļu nomaiņa</t>
  </si>
  <si>
    <t>Galvenās ieejas 2. un 3.durvju atjaunošana</t>
  </si>
  <si>
    <t>Iekšpagalmu fasādes atjaunošana, kritiskās daļas nostiprināšana</t>
  </si>
  <si>
    <t>III CITI</t>
  </si>
  <si>
    <t>15.</t>
  </si>
  <si>
    <r>
      <t xml:space="preserve">2025. gada kopējā summa, tūkst. EUR </t>
    </r>
    <r>
      <rPr>
        <b/>
        <sz val="9"/>
        <color theme="1"/>
        <rFont val="Times New Roman"/>
        <family val="1"/>
        <charset val="186"/>
      </rPr>
      <t>(I+II+III)</t>
    </r>
  </si>
  <si>
    <t>Uzņēmuma vadītājs ____________________</t>
  </si>
  <si>
    <t>Sagatavoja_______________</t>
  </si>
  <si>
    <r>
      <rPr>
        <vertAlign val="superscript"/>
        <sz val="8"/>
        <color theme="1"/>
        <rFont val="Times New Roman"/>
        <family val="1"/>
        <charset val="186"/>
      </rPr>
      <t>1</t>
    </r>
    <r>
      <rPr>
        <sz val="8"/>
        <color theme="1"/>
        <rFont val="Times New Roman"/>
        <family val="1"/>
        <charset val="186"/>
      </rPr>
      <t>Aizpilda iesniedzot plānu</t>
    </r>
  </si>
  <si>
    <r>
      <rPr>
        <vertAlign val="superscript"/>
        <sz val="8"/>
        <color theme="1"/>
        <rFont val="Times New Roman"/>
        <family val="1"/>
        <charset val="186"/>
      </rPr>
      <t>2</t>
    </r>
    <r>
      <rPr>
        <sz val="8"/>
        <color theme="1"/>
        <rFont val="Times New Roman"/>
        <family val="1"/>
        <charset val="186"/>
      </rPr>
      <t>Aizpilda iesniedzot atskaiti par izpildi</t>
    </r>
  </si>
  <si>
    <t>74.resora finansējums</t>
  </si>
  <si>
    <t>tai skaitā no dotācijas</t>
  </si>
  <si>
    <t>tai skaitā no Aizdevuma</t>
  </si>
  <si>
    <t>tai skaitā no 74.resora</t>
  </si>
  <si>
    <t>2025. gada kopējā summa, tūkst. EUR (I. + II. + III.)</t>
  </si>
  <si>
    <t>Dziesmu svētki</t>
  </si>
  <si>
    <t>LR</t>
  </si>
  <si>
    <t>LSM</t>
  </si>
  <si>
    <r>
      <rPr>
        <vertAlign val="superscript"/>
        <sz val="9"/>
        <color theme="1"/>
        <rFont val="Times New Roman"/>
        <family val="1"/>
        <charset val="186"/>
      </rPr>
      <t xml:space="preserve">1 </t>
    </r>
    <r>
      <rPr>
        <sz val="9"/>
        <color theme="1"/>
        <rFont val="Times New Roman"/>
        <family val="1"/>
        <charset val="186"/>
      </rPr>
      <t>Aizpilda, iesniedzot plānu</t>
    </r>
  </si>
  <si>
    <r>
      <rPr>
        <vertAlign val="superscript"/>
        <sz val="9"/>
        <color theme="1"/>
        <rFont val="Times New Roman"/>
        <family val="1"/>
        <charset val="186"/>
      </rPr>
      <t xml:space="preserve">2 </t>
    </r>
    <r>
      <rPr>
        <sz val="9"/>
        <color theme="1"/>
        <rFont val="Times New Roman"/>
        <family val="1"/>
        <charset val="186"/>
      </rPr>
      <t>Aizpilda, iesniedzot atskaiti par izpildi</t>
    </r>
  </si>
  <si>
    <t>VSIA "Latvijas Sabiedriskais medijs" plānotā un faktiskā naudas plūsma un darbības rādītāji</t>
  </si>
  <si>
    <r>
      <t>Plānotie ieguldījumi investīcijās, tūkst. EUR</t>
    </r>
    <r>
      <rPr>
        <b/>
        <vertAlign val="superscript"/>
        <sz val="10"/>
        <color theme="1"/>
        <rFont val="Times New Roman"/>
        <family val="1"/>
        <charset val="186"/>
      </rPr>
      <t>1</t>
    </r>
  </si>
  <si>
    <r>
      <t>Ieguldījumu investīcijās faktiskā izpilde, tūkst. EUR</t>
    </r>
    <r>
      <rPr>
        <b/>
        <vertAlign val="superscript"/>
        <sz val="10"/>
        <color theme="1"/>
        <rFont val="Times New Roman"/>
        <family val="1"/>
        <charset val="186"/>
      </rPr>
      <t>2</t>
    </r>
  </si>
  <si>
    <t>Komerciālo paziņojumu ieņēmumi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</si>
</sst>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0."/>
    <numFmt numFmtId="167" formatCode="0.0"/>
  </numFmts>
  <fonts count="85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u/>
      <sz val="11"/>
      <color theme="10"/>
      <name val="Calibri"/>
      <family val="2"/>
      <charset val="186"/>
    </font>
    <font>
      <sz val="11"/>
      <name val="Times New Roman"/>
      <family val="1"/>
      <charset val="186"/>
    </font>
    <font>
      <sz val="11"/>
      <color indexed="8"/>
      <name val="MS Sans Serif"/>
      <family val="2"/>
      <charset val="186"/>
    </font>
    <font>
      <b/>
      <sz val="11"/>
      <name val="Times New Roman"/>
      <family val="1"/>
    </font>
    <font>
      <b/>
      <sz val="11"/>
      <color indexed="17"/>
      <name val="Times New Roman"/>
      <family val="1"/>
      <charset val="186"/>
    </font>
    <font>
      <b/>
      <u/>
      <sz val="11"/>
      <color indexed="8"/>
      <name val="Times New Roman"/>
      <family val="1"/>
      <charset val="186"/>
    </font>
    <font>
      <b/>
      <u/>
      <sz val="11"/>
      <name val="Times New Roman"/>
      <family val="1"/>
      <charset val="186"/>
    </font>
    <font>
      <sz val="11"/>
      <name val="Times New Roman"/>
      <family val="1"/>
    </font>
    <font>
      <sz val="11"/>
      <color indexed="9"/>
      <name val="Times New Roman"/>
      <family val="1"/>
    </font>
    <font>
      <u/>
      <sz val="11"/>
      <color indexed="12"/>
      <name val="MS Sans Serif"/>
      <family val="2"/>
      <charset val="186"/>
    </font>
    <font>
      <sz val="8"/>
      <color indexed="81"/>
      <name val="Tahoma"/>
      <family val="2"/>
      <charset val="186"/>
    </font>
    <font>
      <sz val="11"/>
      <color rgb="FF00206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color indexed="8"/>
      <name val="MS Sans Serif"/>
      <family val="2"/>
      <charset val="186"/>
    </font>
    <font>
      <b/>
      <sz val="9"/>
      <name val="Times New Roman"/>
      <family val="1"/>
    </font>
    <font>
      <b/>
      <sz val="9"/>
      <color indexed="1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u/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u/>
      <sz val="9"/>
      <name val="Times New Roman"/>
      <family val="1"/>
      <charset val="186"/>
    </font>
    <font>
      <b/>
      <u/>
      <sz val="10"/>
      <color indexed="17"/>
      <name val="Times New Roman"/>
      <family val="1"/>
      <charset val="186"/>
    </font>
    <font>
      <b/>
      <sz val="10"/>
      <color indexed="17"/>
      <name val="Times New Roman"/>
      <family val="1"/>
      <charset val="186"/>
    </font>
    <font>
      <b/>
      <sz val="10"/>
      <color indexed="9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</font>
    <font>
      <sz val="10"/>
      <color indexed="9"/>
      <name val="Times New Roman"/>
      <family val="1"/>
    </font>
    <font>
      <b/>
      <sz val="10"/>
      <name val="Times New Roman"/>
      <family val="1"/>
    </font>
    <font>
      <u/>
      <sz val="10"/>
      <color indexed="12"/>
      <name val="MS Sans Serif"/>
      <family val="2"/>
      <charset val="186"/>
    </font>
    <font>
      <b/>
      <sz val="9.5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.5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.5"/>
      <name val="Times New Roman"/>
      <family val="1"/>
      <charset val="186"/>
    </font>
    <font>
      <b/>
      <sz val="9.5"/>
      <color rgb="FFFF0000"/>
      <name val="Times New Roman"/>
      <family val="1"/>
      <charset val="186"/>
    </font>
    <font>
      <sz val="11"/>
      <color theme="0" tint="-4.9989318521683403E-2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sz val="11"/>
      <color rgb="FF0070C0"/>
      <name val="Calibri"/>
      <family val="2"/>
      <charset val="186"/>
    </font>
    <font>
      <b/>
      <sz val="11"/>
      <color rgb="FF0070C0"/>
      <name val="Calibri"/>
      <family val="2"/>
      <charset val="186"/>
    </font>
    <font>
      <sz val="11"/>
      <color rgb="FF0070C0"/>
      <name val="Calibri"/>
      <family val="2"/>
      <charset val="186"/>
      <scheme val="minor"/>
    </font>
    <font>
      <sz val="11"/>
      <color rgb="FF0070C0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indexed="8"/>
      <name val="MS Sans Serif"/>
    </font>
    <font>
      <b/>
      <sz val="12"/>
      <color indexed="8"/>
      <name val="Times New Roman"/>
      <family val="1"/>
      <charset val="186"/>
    </font>
    <font>
      <sz val="9"/>
      <color indexed="8"/>
      <name val="MS Sans Serif"/>
    </font>
    <font>
      <b/>
      <sz val="10"/>
      <color rgb="FFFF0000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8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vertAlign val="superscript"/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sz val="12"/>
      <color theme="0"/>
      <name val="Times New Roman"/>
      <family val="1"/>
      <charset val="186"/>
    </font>
    <font>
      <sz val="11"/>
      <color theme="0"/>
      <name val="Calibri"/>
      <family val="2"/>
      <charset val="186"/>
    </font>
    <font>
      <sz val="10"/>
      <color theme="0"/>
      <name val="Times New Roman"/>
      <family val="1"/>
      <charset val="186"/>
    </font>
    <font>
      <sz val="9"/>
      <color theme="1"/>
      <name val="Times New Roman"/>
      <family val="1"/>
      <charset val="186"/>
    </font>
    <font>
      <vertAlign val="superscript"/>
      <sz val="9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vertAlign val="superscript"/>
      <sz val="10"/>
      <color theme="1"/>
      <name val="Times New Roman"/>
      <family val="1"/>
      <charset val="186"/>
    </font>
  </fonts>
  <fills count="1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54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</borders>
  <cellStyleXfs count="9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21" fillId="0" borderId="0" applyFont="0" applyFill="0" applyBorder="0" applyAlignment="0" applyProtection="0"/>
    <xf numFmtId="0" fontId="2" fillId="11" borderId="52" applyNumberFormat="0" applyFill="0" applyProtection="0">
      <alignment horizontal="left" vertical="center" indent="1"/>
    </xf>
    <xf numFmtId="9" fontId="21" fillId="0" borderId="0" applyFont="0" applyFill="0" applyBorder="0" applyAlignment="0" applyProtection="0"/>
    <xf numFmtId="0" fontId="57" fillId="12" borderId="0" applyNumberFormat="0" applyBorder="0" applyAlignment="0" applyProtection="0"/>
    <xf numFmtId="0" fontId="59" fillId="0" borderId="0"/>
    <xf numFmtId="0" fontId="21" fillId="0" borderId="0"/>
  </cellStyleXfs>
  <cellXfs count="758">
    <xf numFmtId="0" fontId="0" fillId="0" borderId="0" xfId="0"/>
    <xf numFmtId="3" fontId="5" fillId="0" borderId="4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3" fontId="1" fillId="0" borderId="17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7" borderId="16" xfId="0" applyNumberFormat="1" applyFont="1" applyFill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3" fontId="2" fillId="7" borderId="18" xfId="0" applyNumberFormat="1" applyFont="1" applyFill="1" applyBorder="1" applyAlignment="1">
      <alignment horizontal="center" vertical="center"/>
    </xf>
    <xf numFmtId="3" fontId="2" fillId="7" borderId="15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7" borderId="16" xfId="0" applyNumberFormat="1" applyFont="1" applyFill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7" borderId="18" xfId="0" applyNumberFormat="1" applyFont="1" applyFill="1" applyBorder="1" applyAlignment="1">
      <alignment horizontal="center" vertical="center"/>
    </xf>
    <xf numFmtId="3" fontId="1" fillId="7" borderId="15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vertical="center"/>
    </xf>
    <xf numFmtId="3" fontId="5" fillId="0" borderId="5" xfId="0" applyNumberFormat="1" applyFont="1" applyBorder="1" applyAlignment="1">
      <alignment horizontal="left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 applyProtection="1">
      <alignment vertical="center"/>
      <protection locked="0"/>
    </xf>
    <xf numFmtId="3" fontId="10" fillId="0" borderId="6" xfId="0" applyNumberFormat="1" applyFont="1" applyBorder="1" applyAlignment="1" applyProtection="1">
      <alignment horizontal="right" vertical="center"/>
      <protection locked="0"/>
    </xf>
    <xf numFmtId="3" fontId="10" fillId="0" borderId="6" xfId="0" applyNumberFormat="1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left" vertical="center"/>
    </xf>
    <xf numFmtId="3" fontId="10" fillId="0" borderId="9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4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 applyProtection="1">
      <alignment vertical="center"/>
      <protection locked="0"/>
    </xf>
    <xf numFmtId="3" fontId="10" fillId="0" borderId="1" xfId="0" applyNumberFormat="1" applyFont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vertical="center"/>
    </xf>
    <xf numFmtId="3" fontId="10" fillId="4" borderId="5" xfId="0" applyNumberFormat="1" applyFont="1" applyFill="1" applyBorder="1" applyAlignment="1">
      <alignment vertical="center"/>
    </xf>
    <xf numFmtId="3" fontId="10" fillId="4" borderId="6" xfId="0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17" fillId="0" borderId="0" xfId="0" applyNumberFormat="1" applyFont="1" applyAlignment="1">
      <alignment horizontal="centerContinuous" vertical="center"/>
    </xf>
    <xf numFmtId="4" fontId="17" fillId="0" borderId="0" xfId="0" applyNumberFormat="1" applyFont="1" applyAlignment="1">
      <alignment horizontal="centerContinuous" vertical="center"/>
    </xf>
    <xf numFmtId="3" fontId="12" fillId="0" borderId="0" xfId="0" applyNumberFormat="1" applyFont="1" applyAlignment="1">
      <alignment horizontal="centerContinuous" vertical="center"/>
    </xf>
    <xf numFmtId="0" fontId="18" fillId="0" borderId="0" xfId="1" applyFont="1" applyAlignment="1" applyProtection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Continuous" vertical="center"/>
    </xf>
    <xf numFmtId="2" fontId="5" fillId="0" borderId="6" xfId="0" applyNumberFormat="1" applyFont="1" applyBorder="1" applyAlignment="1">
      <alignment horizontal="left" vertical="center"/>
    </xf>
    <xf numFmtId="2" fontId="5" fillId="0" borderId="6" xfId="0" applyNumberFormat="1" applyFont="1" applyBorder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2" fontId="10" fillId="0" borderId="0" xfId="0" applyNumberFormat="1" applyFont="1" applyAlignment="1">
      <alignment vertical="center"/>
    </xf>
    <xf numFmtId="3" fontId="10" fillId="0" borderId="8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" fontId="5" fillId="0" borderId="1" xfId="0" applyNumberFormat="1" applyFont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" fontId="1" fillId="6" borderId="13" xfId="0" applyNumberFormat="1" applyFont="1" applyFill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3" fontId="1" fillId="7" borderId="4" xfId="0" applyNumberFormat="1" applyFont="1" applyFill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4" fontId="15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Continuous" vertical="center"/>
    </xf>
    <xf numFmtId="0" fontId="5" fillId="6" borderId="1" xfId="0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2" fillId="0" borderId="19" xfId="0" applyFont="1" applyBorder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3" fontId="2" fillId="0" borderId="0" xfId="0" applyNumberFormat="1" applyFont="1" applyAlignment="1">
      <alignment vertical="top"/>
    </xf>
    <xf numFmtId="0" fontId="24" fillId="0" borderId="0" xfId="0" applyFont="1"/>
    <xf numFmtId="3" fontId="25" fillId="0" borderId="0" xfId="0" applyNumberFormat="1" applyFont="1" applyAlignment="1">
      <alignment vertical="top"/>
    </xf>
    <xf numFmtId="0" fontId="3" fillId="0" borderId="0" xfId="0" applyFont="1"/>
    <xf numFmtId="3" fontId="1" fillId="0" borderId="20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3" fontId="1" fillId="6" borderId="20" xfId="0" applyNumberFormat="1" applyFont="1" applyFill="1" applyBorder="1" applyAlignment="1">
      <alignment horizontal="center" vertical="top"/>
    </xf>
    <xf numFmtId="0" fontId="27" fillId="2" borderId="2" xfId="0" applyFont="1" applyFill="1" applyBorder="1" applyAlignment="1">
      <alignment horizontal="center" vertical="center"/>
    </xf>
    <xf numFmtId="0" fontId="28" fillId="2" borderId="19" xfId="2" applyFont="1" applyFill="1" applyBorder="1"/>
    <xf numFmtId="3" fontId="23" fillId="2" borderId="1" xfId="0" applyNumberFormat="1" applyFont="1" applyFill="1" applyBorder="1" applyAlignment="1">
      <alignment horizontal="center" vertical="top" wrapText="1"/>
    </xf>
    <xf numFmtId="3" fontId="23" fillId="2" borderId="16" xfId="0" applyNumberFormat="1" applyFont="1" applyFill="1" applyBorder="1" applyAlignment="1">
      <alignment horizontal="center" vertical="top" wrapText="1"/>
    </xf>
    <xf numFmtId="3" fontId="23" fillId="2" borderId="13" xfId="0" applyNumberFormat="1" applyFont="1" applyFill="1" applyBorder="1" applyAlignment="1">
      <alignment horizontal="center" vertical="top" wrapText="1"/>
    </xf>
    <xf numFmtId="3" fontId="23" fillId="2" borderId="4" xfId="0" applyNumberFormat="1" applyFont="1" applyFill="1" applyBorder="1" applyAlignment="1">
      <alignment horizontal="center" vertical="top" wrapText="1"/>
    </xf>
    <xf numFmtId="0" fontId="29" fillId="2" borderId="2" xfId="0" applyFont="1" applyFill="1" applyBorder="1" applyAlignment="1">
      <alignment horizontal="right" vertical="top" wrapText="1"/>
    </xf>
    <xf numFmtId="0" fontId="22" fillId="2" borderId="3" xfId="0" applyFont="1" applyFill="1" applyBorder="1" applyAlignment="1">
      <alignment vertical="top" wrapText="1"/>
    </xf>
    <xf numFmtId="4" fontId="5" fillId="2" borderId="4" xfId="0" applyNumberFormat="1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6" fillId="0" borderId="0" xfId="0" applyFont="1"/>
    <xf numFmtId="0" fontId="30" fillId="0" borderId="23" xfId="0" applyFont="1" applyBorder="1" applyAlignment="1">
      <alignment vertical="top"/>
    </xf>
    <xf numFmtId="0" fontId="22" fillId="0" borderId="24" xfId="0" applyFont="1" applyBorder="1" applyAlignment="1">
      <alignment vertical="top" wrapText="1"/>
    </xf>
    <xf numFmtId="4" fontId="1" fillId="5" borderId="5" xfId="0" applyNumberFormat="1" applyFont="1" applyFill="1" applyBorder="1" applyAlignment="1">
      <alignment vertical="top"/>
    </xf>
    <xf numFmtId="0" fontId="22" fillId="0" borderId="26" xfId="0" applyFont="1" applyBorder="1" applyAlignment="1">
      <alignment vertical="top" wrapText="1"/>
    </xf>
    <xf numFmtId="4" fontId="1" fillId="0" borderId="6" xfId="0" applyNumberFormat="1" applyFont="1" applyBorder="1" applyAlignment="1">
      <alignment vertical="top"/>
    </xf>
    <xf numFmtId="0" fontId="31" fillId="0" borderId="28" xfId="0" applyFont="1" applyBorder="1" applyAlignment="1">
      <alignment vertical="top"/>
    </xf>
    <xf numFmtId="4" fontId="2" fillId="5" borderId="6" xfId="0" applyNumberFormat="1" applyFont="1" applyFill="1" applyBorder="1" applyAlignment="1">
      <alignment vertical="top"/>
    </xf>
    <xf numFmtId="0" fontId="30" fillId="0" borderId="26" xfId="0" applyFont="1" applyBorder="1" applyAlignment="1">
      <alignment vertical="top" wrapText="1"/>
    </xf>
    <xf numFmtId="0" fontId="31" fillId="0" borderId="29" xfId="0" applyFont="1" applyBorder="1" applyAlignment="1">
      <alignment vertical="top"/>
    </xf>
    <xf numFmtId="0" fontId="32" fillId="0" borderId="30" xfId="0" applyFont="1" applyBorder="1" applyAlignment="1">
      <alignment vertical="top" wrapText="1"/>
    </xf>
    <xf numFmtId="0" fontId="22" fillId="2" borderId="32" xfId="0" applyFont="1" applyFill="1" applyBorder="1" applyAlignment="1">
      <alignment horizontal="right" vertical="top" wrapText="1"/>
    </xf>
    <xf numFmtId="0" fontId="22" fillId="2" borderId="19" xfId="0" applyFont="1" applyFill="1" applyBorder="1" applyAlignment="1">
      <alignment vertical="top" wrapText="1"/>
    </xf>
    <xf numFmtId="0" fontId="8" fillId="0" borderId="0" xfId="0" applyFont="1"/>
    <xf numFmtId="0" fontId="22" fillId="3" borderId="32" xfId="0" applyFont="1" applyFill="1" applyBorder="1" applyAlignment="1">
      <alignment horizontal="right" vertical="top" wrapText="1"/>
    </xf>
    <xf numFmtId="0" fontId="22" fillId="3" borderId="19" xfId="0" applyFont="1" applyFill="1" applyBorder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33" fillId="9" borderId="32" xfId="0" applyFont="1" applyFill="1" applyBorder="1" applyAlignment="1">
      <alignment horizontal="left" vertical="top" wrapText="1"/>
    </xf>
    <xf numFmtId="0" fontId="33" fillId="9" borderId="19" xfId="0" applyFont="1" applyFill="1" applyBorder="1" applyAlignment="1">
      <alignment vertical="top" wrapText="1"/>
    </xf>
    <xf numFmtId="4" fontId="1" fillId="9" borderId="1" xfId="0" applyNumberFormat="1" applyFont="1" applyFill="1" applyBorder="1" applyAlignment="1">
      <alignment vertical="top"/>
    </xf>
    <xf numFmtId="0" fontId="22" fillId="0" borderId="23" xfId="0" applyFont="1" applyBorder="1" applyAlignment="1">
      <alignment horizontal="left" vertical="top" wrapText="1"/>
    </xf>
    <xf numFmtId="4" fontId="1" fillId="0" borderId="5" xfId="0" applyNumberFormat="1" applyFont="1" applyBorder="1" applyAlignment="1">
      <alignment horizontal="left" vertical="top"/>
    </xf>
    <xf numFmtId="0" fontId="22" fillId="0" borderId="28" xfId="0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/>
    </xf>
    <xf numFmtId="0" fontId="22" fillId="0" borderId="28" xfId="0" applyFont="1" applyBorder="1" applyAlignment="1">
      <alignment horizontal="right" vertical="top" wrapText="1"/>
    </xf>
    <xf numFmtId="0" fontId="22" fillId="0" borderId="26" xfId="0" applyFont="1" applyBorder="1" applyAlignment="1">
      <alignment horizontal="left" vertical="top" wrapText="1"/>
    </xf>
    <xf numFmtId="4" fontId="2" fillId="5" borderId="6" xfId="0" applyNumberFormat="1" applyFont="1" applyFill="1" applyBorder="1" applyAlignment="1">
      <alignment horizontal="right" vertical="top"/>
    </xf>
    <xf numFmtId="0" fontId="34" fillId="0" borderId="0" xfId="0" applyFont="1"/>
    <xf numFmtId="0" fontId="22" fillId="0" borderId="28" xfId="0" applyFont="1" applyBorder="1" applyAlignment="1" applyProtection="1">
      <alignment horizontal="right" vertical="top" wrapText="1"/>
      <protection locked="0"/>
    </xf>
    <xf numFmtId="0" fontId="22" fillId="0" borderId="26" xfId="0" applyFont="1" applyBorder="1" applyAlignment="1" applyProtection="1">
      <alignment horizontal="left" vertical="top" wrapText="1"/>
      <protection locked="0"/>
    </xf>
    <xf numFmtId="0" fontId="34" fillId="0" borderId="0" xfId="0" applyFont="1" applyProtection="1">
      <protection locked="0"/>
    </xf>
    <xf numFmtId="0" fontId="22" fillId="0" borderId="28" xfId="0" applyFont="1" applyBorder="1" applyAlignment="1" applyProtection="1">
      <alignment horizontal="center" vertical="top" wrapText="1"/>
      <protection locked="0"/>
    </xf>
    <xf numFmtId="0" fontId="22" fillId="6" borderId="26" xfId="0" applyFont="1" applyFill="1" applyBorder="1" applyAlignment="1" applyProtection="1">
      <alignment horizontal="left" vertical="top" wrapText="1"/>
      <protection locked="0"/>
    </xf>
    <xf numFmtId="0" fontId="22" fillId="0" borderId="28" xfId="0" applyFont="1" applyBorder="1" applyAlignment="1">
      <alignment horizontal="left" vertical="top" wrapText="1"/>
    </xf>
    <xf numFmtId="4" fontId="1" fillId="0" borderId="6" xfId="0" applyNumberFormat="1" applyFont="1" applyBorder="1" applyAlignment="1">
      <alignment horizontal="left" vertical="top"/>
    </xf>
    <xf numFmtId="4" fontId="2" fillId="5" borderId="6" xfId="0" applyNumberFormat="1" applyFont="1" applyFill="1" applyBorder="1" applyAlignment="1">
      <alignment horizontal="center" vertical="top"/>
    </xf>
    <xf numFmtId="4" fontId="2" fillId="5" borderId="6" xfId="0" applyNumberFormat="1" applyFont="1" applyFill="1" applyBorder="1" applyAlignment="1">
      <alignment horizontal="right" vertical="center"/>
    </xf>
    <xf numFmtId="0" fontId="22" fillId="0" borderId="26" xfId="0" applyFont="1" applyBorder="1" applyAlignment="1" applyProtection="1">
      <alignment vertical="top" wrapText="1"/>
      <protection locked="0"/>
    </xf>
    <xf numFmtId="0" fontId="33" fillId="4" borderId="32" xfId="0" applyFont="1" applyFill="1" applyBorder="1" applyAlignment="1">
      <alignment horizontal="left" vertical="top" wrapText="1"/>
    </xf>
    <xf numFmtId="0" fontId="33" fillId="4" borderId="19" xfId="0" applyFont="1" applyFill="1" applyBorder="1" applyAlignment="1">
      <alignment vertical="top" wrapText="1"/>
    </xf>
    <xf numFmtId="4" fontId="1" fillId="4" borderId="1" xfId="0" applyNumberFormat="1" applyFont="1" applyFill="1" applyBorder="1" applyAlignment="1">
      <alignment horizontal="left" vertical="top"/>
    </xf>
    <xf numFmtId="0" fontId="22" fillId="6" borderId="26" xfId="0" applyFont="1" applyFill="1" applyBorder="1" applyAlignment="1">
      <alignment vertical="top" wrapText="1"/>
    </xf>
    <xf numFmtId="0" fontId="30" fillId="6" borderId="26" xfId="0" applyFont="1" applyFill="1" applyBorder="1" applyAlignment="1">
      <alignment vertical="top" wrapText="1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vertical="center"/>
    </xf>
    <xf numFmtId="0" fontId="22" fillId="0" borderId="33" xfId="0" applyFont="1" applyBorder="1" applyAlignment="1">
      <alignment horizontal="right" vertical="top" wrapText="1"/>
    </xf>
    <xf numFmtId="0" fontId="22" fillId="0" borderId="34" xfId="0" applyFont="1" applyBorder="1" applyAlignment="1">
      <alignment vertical="top" wrapText="1"/>
    </xf>
    <xf numFmtId="4" fontId="2" fillId="5" borderId="8" xfId="0" applyNumberFormat="1" applyFont="1" applyFill="1" applyBorder="1" applyAlignment="1">
      <alignment vertical="top"/>
    </xf>
    <xf numFmtId="0" fontId="22" fillId="0" borderId="35" xfId="0" applyFont="1" applyBorder="1" applyAlignment="1">
      <alignment horizontal="center" vertical="top" wrapText="1"/>
    </xf>
    <xf numFmtId="0" fontId="22" fillId="0" borderId="36" xfId="0" applyFont="1" applyBorder="1" applyAlignment="1">
      <alignment vertical="top" wrapText="1"/>
    </xf>
    <xf numFmtId="0" fontId="35" fillId="4" borderId="32" xfId="0" applyFont="1" applyFill="1" applyBorder="1" applyAlignment="1">
      <alignment horizontal="left" vertical="top" wrapText="1"/>
    </xf>
    <xf numFmtId="0" fontId="35" fillId="4" borderId="19" xfId="0" applyFont="1" applyFill="1" applyBorder="1" applyAlignment="1">
      <alignment vertical="top" wrapText="1"/>
    </xf>
    <xf numFmtId="0" fontId="36" fillId="0" borderId="0" xfId="0" applyFont="1"/>
    <xf numFmtId="0" fontId="30" fillId="0" borderId="23" xfId="0" applyFont="1" applyBorder="1" applyAlignment="1">
      <alignment horizontal="left" vertical="top" wrapText="1"/>
    </xf>
    <xf numFmtId="0" fontId="30" fillId="0" borderId="24" xfId="0" applyFont="1" applyBorder="1" applyAlignment="1">
      <alignment vertical="top" wrapText="1"/>
    </xf>
    <xf numFmtId="0" fontId="37" fillId="0" borderId="0" xfId="0" applyFont="1"/>
    <xf numFmtId="0" fontId="30" fillId="0" borderId="28" xfId="0" applyFont="1" applyBorder="1" applyAlignment="1">
      <alignment horizontal="center" vertical="top" wrapText="1"/>
    </xf>
    <xf numFmtId="0" fontId="30" fillId="0" borderId="28" xfId="0" applyFont="1" applyBorder="1" applyAlignment="1">
      <alignment horizontal="left" vertical="top" wrapText="1"/>
    </xf>
    <xf numFmtId="4" fontId="1" fillId="0" borderId="0" xfId="0" applyNumberFormat="1" applyFont="1"/>
    <xf numFmtId="0" fontId="1" fillId="0" borderId="0" xfId="0" applyFont="1"/>
    <xf numFmtId="0" fontId="30" fillId="0" borderId="28" xfId="0" applyFont="1" applyBorder="1" applyAlignment="1">
      <alignment horizontal="right" vertical="top" wrapText="1"/>
    </xf>
    <xf numFmtId="0" fontId="2" fillId="0" borderId="0" xfId="0" applyFont="1"/>
    <xf numFmtId="0" fontId="30" fillId="0" borderId="29" xfId="0" applyFont="1" applyBorder="1" applyAlignment="1">
      <alignment horizontal="right" vertical="top" wrapText="1"/>
    </xf>
    <xf numFmtId="0" fontId="30" fillId="6" borderId="30" xfId="0" applyFont="1" applyFill="1" applyBorder="1" applyAlignment="1">
      <alignment vertical="top" wrapText="1"/>
    </xf>
    <xf numFmtId="0" fontId="30" fillId="0" borderId="29" xfId="0" applyFont="1" applyBorder="1" applyAlignment="1">
      <alignment horizontal="center" vertical="top" wrapText="1"/>
    </xf>
    <xf numFmtId="0" fontId="30" fillId="6" borderId="3" xfId="0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top"/>
    </xf>
    <xf numFmtId="0" fontId="30" fillId="0" borderId="2" xfId="0" applyFont="1" applyBorder="1" applyAlignment="1">
      <alignment horizontal="center" vertical="top" wrapText="1"/>
    </xf>
    <xf numFmtId="0" fontId="31" fillId="8" borderId="32" xfId="0" applyFont="1" applyFill="1" applyBorder="1"/>
    <xf numFmtId="0" fontId="30" fillId="8" borderId="19" xfId="0" applyFont="1" applyFill="1" applyBorder="1" applyAlignment="1">
      <alignment wrapText="1"/>
    </xf>
    <xf numFmtId="4" fontId="1" fillId="8" borderId="1" xfId="0" applyNumberFormat="1" applyFont="1" applyFill="1" applyBorder="1" applyAlignment="1">
      <alignment vertical="top"/>
    </xf>
    <xf numFmtId="0" fontId="31" fillId="0" borderId="32" xfId="0" applyFont="1" applyBorder="1"/>
    <xf numFmtId="0" fontId="31" fillId="6" borderId="19" xfId="0" applyFont="1" applyFill="1" applyBorder="1" applyAlignment="1">
      <alignment horizontal="left" wrapText="1"/>
    </xf>
    <xf numFmtId="4" fontId="2" fillId="0" borderId="1" xfId="0" applyNumberFormat="1" applyFont="1" applyBorder="1" applyAlignment="1" applyProtection="1">
      <alignment vertical="top"/>
      <protection locked="0"/>
    </xf>
    <xf numFmtId="4" fontId="2" fillId="10" borderId="1" xfId="0" applyNumberFormat="1" applyFont="1" applyFill="1" applyBorder="1" applyAlignment="1" applyProtection="1">
      <alignment vertical="top"/>
      <protection locked="0"/>
    </xf>
    <xf numFmtId="0" fontId="22" fillId="2" borderId="32" xfId="0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vertical="top"/>
    </xf>
    <xf numFmtId="0" fontId="22" fillId="4" borderId="23" xfId="0" applyFont="1" applyFill="1" applyBorder="1" applyAlignment="1">
      <alignment horizontal="right" vertical="top"/>
    </xf>
    <xf numFmtId="0" fontId="22" fillId="4" borderId="24" xfId="0" applyFont="1" applyFill="1" applyBorder="1" applyAlignment="1">
      <alignment vertical="top"/>
    </xf>
    <xf numFmtId="4" fontId="1" fillId="4" borderId="5" xfId="0" applyNumberFormat="1" applyFont="1" applyFill="1" applyBorder="1" applyAlignment="1">
      <alignment vertical="top"/>
    </xf>
    <xf numFmtId="0" fontId="22" fillId="0" borderId="28" xfId="0" applyFont="1" applyBorder="1" applyAlignment="1">
      <alignment horizontal="right" vertical="top"/>
    </xf>
    <xf numFmtId="0" fontId="32" fillId="0" borderId="26" xfId="0" applyFont="1" applyBorder="1" applyAlignment="1">
      <alignment vertical="top"/>
    </xf>
    <xf numFmtId="0" fontId="22" fillId="4" borderId="28" xfId="0" applyFont="1" applyFill="1" applyBorder="1" applyAlignment="1">
      <alignment horizontal="right" vertical="top"/>
    </xf>
    <xf numFmtId="0" fontId="22" fillId="4" borderId="26" xfId="0" applyFont="1" applyFill="1" applyBorder="1" applyAlignment="1">
      <alignment vertical="top"/>
    </xf>
    <xf numFmtId="4" fontId="1" fillId="4" borderId="6" xfId="0" applyNumberFormat="1" applyFont="1" applyFill="1" applyBorder="1" applyAlignment="1">
      <alignment vertical="top"/>
    </xf>
    <xf numFmtId="0" fontId="22" fillId="0" borderId="32" xfId="0" applyFont="1" applyBorder="1" applyAlignment="1">
      <alignment horizontal="right" vertical="top"/>
    </xf>
    <xf numFmtId="0" fontId="24" fillId="0" borderId="0" xfId="0" applyFont="1" applyAlignment="1">
      <alignment vertical="top"/>
    </xf>
    <xf numFmtId="0" fontId="26" fillId="0" borderId="0" xfId="0" applyFont="1"/>
    <xf numFmtId="4" fontId="38" fillId="0" borderId="0" xfId="0" applyNumberFormat="1" applyFont="1"/>
    <xf numFmtId="0" fontId="3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3" fontId="1" fillId="0" borderId="0" xfId="0" applyNumberFormat="1" applyFont="1"/>
    <xf numFmtId="0" fontId="39" fillId="0" borderId="0" xfId="0" applyFont="1" applyAlignment="1">
      <alignment wrapText="1"/>
    </xf>
    <xf numFmtId="0" fontId="39" fillId="0" borderId="0" xfId="0" applyFont="1"/>
    <xf numFmtId="3" fontId="40" fillId="0" borderId="0" xfId="0" applyNumberFormat="1" applyFont="1"/>
    <xf numFmtId="3" fontId="41" fillId="0" borderId="0" xfId="0" applyNumberFormat="1" applyFont="1"/>
    <xf numFmtId="3" fontId="42" fillId="0" borderId="0" xfId="0" applyNumberFormat="1" applyFont="1"/>
    <xf numFmtId="0" fontId="40" fillId="0" borderId="0" xfId="0" applyFont="1"/>
    <xf numFmtId="3" fontId="41" fillId="0" borderId="0" xfId="0" applyNumberFormat="1" applyFont="1" applyAlignment="1">
      <alignment horizontal="centerContinuous"/>
    </xf>
    <xf numFmtId="3" fontId="42" fillId="0" borderId="0" xfId="0" applyNumberFormat="1" applyFont="1" applyAlignment="1">
      <alignment horizontal="centerContinuous"/>
    </xf>
    <xf numFmtId="0" fontId="43" fillId="0" borderId="0" xfId="1" applyFont="1" applyAlignment="1" applyProtection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  <xf numFmtId="3" fontId="2" fillId="6" borderId="1" xfId="0" applyNumberFormat="1" applyFont="1" applyFill="1" applyBorder="1" applyAlignment="1">
      <alignment vertical="top"/>
    </xf>
    <xf numFmtId="0" fontId="8" fillId="0" borderId="1" xfId="0" applyFont="1" applyBorder="1" applyAlignment="1">
      <alignment horizontal="right" vertical="center"/>
    </xf>
    <xf numFmtId="0" fontId="32" fillId="0" borderId="19" xfId="0" applyFont="1" applyBorder="1" applyAlignment="1">
      <alignment vertical="top"/>
    </xf>
    <xf numFmtId="0" fontId="24" fillId="0" borderId="1" xfId="0" applyFont="1" applyBorder="1" applyAlignment="1">
      <alignment vertical="top"/>
    </xf>
    <xf numFmtId="0" fontId="44" fillId="0" borderId="0" xfId="0" applyFont="1" applyAlignment="1">
      <alignment vertical="center"/>
    </xf>
    <xf numFmtId="0" fontId="45" fillId="0" borderId="0" xfId="0" applyFont="1"/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/>
    </xf>
    <xf numFmtId="3" fontId="48" fillId="0" borderId="0" xfId="0" applyNumberFormat="1" applyFont="1" applyAlignment="1">
      <alignment horizontal="center"/>
    </xf>
    <xf numFmtId="3" fontId="45" fillId="0" borderId="0" xfId="0" applyNumberFormat="1" applyFont="1"/>
    <xf numFmtId="0" fontId="46" fillId="0" borderId="40" xfId="0" applyFont="1" applyBorder="1" applyAlignment="1">
      <alignment horizontal="center" vertical="center" wrapText="1"/>
    </xf>
    <xf numFmtId="0" fontId="46" fillId="0" borderId="41" xfId="0" applyFont="1" applyBorder="1" applyAlignment="1">
      <alignment horizontal="center" vertical="center" wrapText="1"/>
    </xf>
    <xf numFmtId="0" fontId="46" fillId="0" borderId="42" xfId="0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 vertical="center" wrapText="1"/>
    </xf>
    <xf numFmtId="0" fontId="46" fillId="0" borderId="46" xfId="0" applyFont="1" applyBorder="1" applyAlignment="1">
      <alignment horizontal="center" vertical="center" wrapText="1"/>
    </xf>
    <xf numFmtId="0" fontId="46" fillId="0" borderId="47" xfId="0" applyFont="1" applyBorder="1" applyAlignment="1">
      <alignment horizontal="center" vertical="center" wrapText="1"/>
    </xf>
    <xf numFmtId="0" fontId="44" fillId="0" borderId="51" xfId="0" applyFont="1" applyBorder="1" applyAlignment="1">
      <alignment vertical="center"/>
    </xf>
    <xf numFmtId="0" fontId="44" fillId="0" borderId="4" xfId="0" applyFont="1" applyBorder="1" applyAlignment="1">
      <alignment vertical="center" wrapText="1"/>
    </xf>
    <xf numFmtId="3" fontId="44" fillId="0" borderId="4" xfId="0" applyNumberFormat="1" applyFont="1" applyBorder="1" applyAlignment="1">
      <alignment horizontal="right" vertical="center"/>
    </xf>
    <xf numFmtId="3" fontId="44" fillId="0" borderId="15" xfId="0" applyNumberFormat="1" applyFont="1" applyBorder="1" applyAlignment="1">
      <alignment horizontal="right" vertical="center"/>
    </xf>
    <xf numFmtId="3" fontId="44" fillId="0" borderId="51" xfId="0" applyNumberFormat="1" applyFont="1" applyBorder="1" applyAlignment="1">
      <alignment horizontal="right" vertical="center"/>
    </xf>
    <xf numFmtId="0" fontId="44" fillId="0" borderId="43" xfId="0" applyFont="1" applyBorder="1" applyAlignment="1">
      <alignment vertical="center"/>
    </xf>
    <xf numFmtId="0" fontId="46" fillId="0" borderId="1" xfId="0" applyFont="1" applyBorder="1" applyAlignment="1">
      <alignment vertical="center" wrapText="1"/>
    </xf>
    <xf numFmtId="3" fontId="46" fillId="0" borderId="1" xfId="0" applyNumberFormat="1" applyFont="1" applyBorder="1" applyAlignment="1">
      <alignment horizontal="right" vertical="center"/>
    </xf>
    <xf numFmtId="3" fontId="46" fillId="0" borderId="44" xfId="0" applyNumberFormat="1" applyFont="1" applyBorder="1" applyAlignment="1">
      <alignment horizontal="right" vertical="center"/>
    </xf>
    <xf numFmtId="3" fontId="46" fillId="0" borderId="43" xfId="0" applyNumberFormat="1" applyFont="1" applyBorder="1" applyAlignment="1">
      <alignment horizontal="right" vertical="center"/>
    </xf>
    <xf numFmtId="3" fontId="49" fillId="0" borderId="44" xfId="0" applyNumberFormat="1" applyFont="1" applyBorder="1" applyAlignment="1">
      <alignment horizontal="right" vertical="center"/>
    </xf>
    <xf numFmtId="0" fontId="46" fillId="0" borderId="43" xfId="0" applyFont="1" applyBorder="1" applyAlignment="1">
      <alignment vertical="center"/>
    </xf>
    <xf numFmtId="0" fontId="46" fillId="8" borderId="1" xfId="0" applyFont="1" applyFill="1" applyBorder="1" applyAlignment="1">
      <alignment horizontal="left" vertical="center" wrapText="1"/>
    </xf>
    <xf numFmtId="3" fontId="46" fillId="8" borderId="1" xfId="0" applyNumberFormat="1" applyFont="1" applyFill="1" applyBorder="1" applyAlignment="1">
      <alignment horizontal="right" vertical="center"/>
    </xf>
    <xf numFmtId="3" fontId="46" fillId="8" borderId="44" xfId="0" applyNumberFormat="1" applyFont="1" applyFill="1" applyBorder="1" applyAlignment="1">
      <alignment horizontal="right" vertical="center"/>
    </xf>
    <xf numFmtId="3" fontId="50" fillId="8" borderId="43" xfId="0" applyNumberFormat="1" applyFont="1" applyFill="1" applyBorder="1" applyAlignment="1">
      <alignment horizontal="right" vertical="center"/>
    </xf>
    <xf numFmtId="3" fontId="46" fillId="8" borderId="43" xfId="0" applyNumberFormat="1" applyFont="1" applyFill="1" applyBorder="1" applyAlignment="1">
      <alignment horizontal="right" vertical="center"/>
    </xf>
    <xf numFmtId="3" fontId="49" fillId="8" borderId="44" xfId="0" applyNumberFormat="1" applyFont="1" applyFill="1" applyBorder="1" applyAlignment="1">
      <alignment horizontal="right" vertical="center"/>
    </xf>
    <xf numFmtId="0" fontId="46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3" fontId="44" fillId="0" borderId="1" xfId="0" applyNumberFormat="1" applyFont="1" applyBorder="1" applyAlignment="1">
      <alignment horizontal="right" vertical="center"/>
    </xf>
    <xf numFmtId="3" fontId="44" fillId="0" borderId="44" xfId="0" applyNumberFormat="1" applyFont="1" applyBorder="1" applyAlignment="1">
      <alignment horizontal="right" vertical="center"/>
    </xf>
    <xf numFmtId="3" fontId="44" fillId="0" borderId="43" xfId="0" applyNumberFormat="1" applyFont="1" applyBorder="1" applyAlignment="1">
      <alignment horizontal="right" vertical="center"/>
    </xf>
    <xf numFmtId="0" fontId="2" fillId="0" borderId="1" xfId="4" quotePrefix="1" applyFill="1" applyBorder="1" applyAlignment="1">
      <alignment horizontal="left" vertical="center" wrapText="1"/>
    </xf>
    <xf numFmtId="0" fontId="2" fillId="8" borderId="1" xfId="4" quotePrefix="1" applyFill="1" applyBorder="1" applyAlignment="1">
      <alignment horizontal="left" vertical="center" wrapText="1"/>
    </xf>
    <xf numFmtId="0" fontId="44" fillId="0" borderId="45" xfId="0" applyFont="1" applyBorder="1" applyAlignment="1">
      <alignment vertical="center"/>
    </xf>
    <xf numFmtId="0" fontId="44" fillId="0" borderId="46" xfId="0" applyFont="1" applyBorder="1" applyAlignment="1">
      <alignment vertical="center" wrapText="1"/>
    </xf>
    <xf numFmtId="3" fontId="44" fillId="0" borderId="46" xfId="0" applyNumberFormat="1" applyFont="1" applyBorder="1" applyAlignment="1">
      <alignment horizontal="right" vertical="center"/>
    </xf>
    <xf numFmtId="3" fontId="44" fillId="0" borderId="47" xfId="0" applyNumberFormat="1" applyFont="1" applyBorder="1" applyAlignment="1">
      <alignment horizontal="right" vertical="center"/>
    </xf>
    <xf numFmtId="3" fontId="44" fillId="0" borderId="45" xfId="0" applyNumberFormat="1" applyFont="1" applyBorder="1" applyAlignment="1">
      <alignment horizontal="right" vertical="center"/>
    </xf>
    <xf numFmtId="0" fontId="51" fillId="0" borderId="0" xfId="0" applyFont="1"/>
    <xf numFmtId="164" fontId="51" fillId="0" borderId="0" xfId="3" applyNumberFormat="1" applyFont="1"/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 applyProtection="1">
      <alignment vertical="center"/>
      <protection locked="0"/>
    </xf>
    <xf numFmtId="3" fontId="5" fillId="2" borderId="4" xfId="0" applyNumberFormat="1" applyFont="1" applyFill="1" applyBorder="1" applyAlignment="1">
      <alignment vertical="top"/>
    </xf>
    <xf numFmtId="3" fontId="5" fillId="2" borderId="1" xfId="0" applyNumberFormat="1" applyFont="1" applyFill="1" applyBorder="1" applyAlignment="1">
      <alignment vertical="top"/>
    </xf>
    <xf numFmtId="3" fontId="2" fillId="5" borderId="6" xfId="0" applyNumberFormat="1" applyFont="1" applyFill="1" applyBorder="1" applyAlignment="1">
      <alignment vertical="top"/>
    </xf>
    <xf numFmtId="3" fontId="2" fillId="5" borderId="27" xfId="0" applyNumberFormat="1" applyFont="1" applyFill="1" applyBorder="1" applyAlignment="1">
      <alignment vertical="top"/>
    </xf>
    <xf numFmtId="3" fontId="2" fillId="5" borderId="7" xfId="0" applyNumberFormat="1" applyFont="1" applyFill="1" applyBorder="1" applyAlignment="1">
      <alignment vertical="top"/>
    </xf>
    <xf numFmtId="3" fontId="2" fillId="5" borderId="31" xfId="0" applyNumberFormat="1" applyFont="1" applyFill="1" applyBorder="1" applyAlignment="1">
      <alignment vertical="top"/>
    </xf>
    <xf numFmtId="3" fontId="5" fillId="3" borderId="1" xfId="0" applyNumberFormat="1" applyFont="1" applyFill="1" applyBorder="1" applyAlignment="1">
      <alignment vertical="top"/>
    </xf>
    <xf numFmtId="3" fontId="1" fillId="9" borderId="1" xfId="0" applyNumberFormat="1" applyFont="1" applyFill="1" applyBorder="1" applyAlignment="1">
      <alignment vertical="top"/>
    </xf>
    <xf numFmtId="3" fontId="1" fillId="0" borderId="5" xfId="0" applyNumberFormat="1" applyFont="1" applyBorder="1" applyAlignment="1">
      <alignment horizontal="left" vertical="top"/>
    </xf>
    <xf numFmtId="3" fontId="2" fillId="0" borderId="6" xfId="0" applyNumberFormat="1" applyFont="1" applyBorder="1" applyAlignment="1">
      <alignment horizontal="center" vertical="top"/>
    </xf>
    <xf numFmtId="3" fontId="2" fillId="5" borderId="6" xfId="0" applyNumberFormat="1" applyFont="1" applyFill="1" applyBorder="1" applyAlignment="1">
      <alignment horizontal="right" vertical="top"/>
    </xf>
    <xf numFmtId="3" fontId="2" fillId="5" borderId="6" xfId="0" applyNumberFormat="1" applyFont="1" applyFill="1" applyBorder="1" applyAlignment="1" applyProtection="1">
      <alignment horizontal="right" vertical="top"/>
      <protection locked="0"/>
    </xf>
    <xf numFmtId="3" fontId="2" fillId="5" borderId="6" xfId="0" applyNumberFormat="1" applyFont="1" applyFill="1" applyBorder="1" applyAlignment="1" applyProtection="1">
      <alignment vertical="top"/>
      <protection locked="0"/>
    </xf>
    <xf numFmtId="3" fontId="2" fillId="5" borderId="6" xfId="0" applyNumberFormat="1" applyFont="1" applyFill="1" applyBorder="1" applyAlignment="1" applyProtection="1">
      <alignment horizontal="center" vertical="top"/>
      <protection locked="0"/>
    </xf>
    <xf numFmtId="3" fontId="1" fillId="0" borderId="6" xfId="0" applyNumberFormat="1" applyFont="1" applyBorder="1" applyAlignment="1">
      <alignment horizontal="left" vertical="top"/>
    </xf>
    <xf numFmtId="3" fontId="2" fillId="5" borderId="6" xfId="0" applyNumberFormat="1" applyFont="1" applyFill="1" applyBorder="1" applyAlignment="1">
      <alignment horizontal="center" vertical="top"/>
    </xf>
    <xf numFmtId="3" fontId="2" fillId="5" borderId="6" xfId="0" applyNumberFormat="1" applyFont="1" applyFill="1" applyBorder="1" applyAlignment="1">
      <alignment horizontal="right" vertical="center"/>
    </xf>
    <xf numFmtId="3" fontId="2" fillId="5" borderId="6" xfId="0" applyNumberFormat="1" applyFont="1" applyFill="1" applyBorder="1" applyAlignment="1">
      <alignment vertical="center"/>
    </xf>
    <xf numFmtId="3" fontId="2" fillId="5" borderId="6" xfId="0" applyNumberFormat="1" applyFont="1" applyFill="1" applyBorder="1" applyAlignment="1" applyProtection="1">
      <alignment horizontal="right" vertical="center"/>
      <protection locked="0"/>
    </xf>
    <xf numFmtId="3" fontId="2" fillId="5" borderId="6" xfId="0" applyNumberFormat="1" applyFont="1" applyFill="1" applyBorder="1" applyAlignment="1" applyProtection="1">
      <alignment vertical="center"/>
      <protection locked="0"/>
    </xf>
    <xf numFmtId="3" fontId="1" fillId="4" borderId="1" xfId="0" applyNumberFormat="1" applyFont="1" applyFill="1" applyBorder="1" applyAlignment="1">
      <alignment horizontal="left" vertical="top"/>
    </xf>
    <xf numFmtId="3" fontId="1" fillId="0" borderId="6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vertical="center"/>
    </xf>
    <xf numFmtId="3" fontId="2" fillId="5" borderId="6" xfId="0" applyNumberFormat="1" applyFont="1" applyFill="1" applyBorder="1" applyAlignment="1">
      <alignment horizontal="left" vertical="top"/>
    </xf>
    <xf numFmtId="3" fontId="2" fillId="5" borderId="8" xfId="0" applyNumberFormat="1" applyFont="1" applyFill="1" applyBorder="1" applyAlignment="1">
      <alignment vertical="top"/>
    </xf>
    <xf numFmtId="3" fontId="1" fillId="4" borderId="1" xfId="0" applyNumberFormat="1" applyFont="1" applyFill="1" applyBorder="1" applyAlignment="1">
      <alignment vertical="top"/>
    </xf>
    <xf numFmtId="3" fontId="1" fillId="0" borderId="5" xfId="0" applyNumberFormat="1" applyFont="1" applyBorder="1" applyAlignment="1">
      <alignment vertical="top"/>
    </xf>
    <xf numFmtId="3" fontId="2" fillId="2" borderId="1" xfId="0" applyNumberFormat="1" applyFont="1" applyFill="1" applyBorder="1" applyAlignment="1">
      <alignment vertical="top"/>
    </xf>
    <xf numFmtId="3" fontId="2" fillId="0" borderId="6" xfId="0" applyNumberFormat="1" applyFont="1" applyBorder="1" applyAlignment="1">
      <alignment vertical="top"/>
    </xf>
    <xf numFmtId="3" fontId="5" fillId="2" borderId="13" xfId="0" applyNumberFormat="1" applyFont="1" applyFill="1" applyBorder="1" applyAlignment="1">
      <alignment vertical="center"/>
    </xf>
    <xf numFmtId="3" fontId="5" fillId="5" borderId="1" xfId="0" applyNumberFormat="1" applyFont="1" applyFill="1" applyBorder="1" applyAlignment="1">
      <alignment vertical="center"/>
    </xf>
    <xf numFmtId="3" fontId="5" fillId="5" borderId="14" xfId="0" applyNumberFormat="1" applyFont="1" applyFill="1" applyBorder="1" applyAlignment="1">
      <alignment vertical="center"/>
    </xf>
    <xf numFmtId="3" fontId="10" fillId="5" borderId="1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/>
    </xf>
    <xf numFmtId="3" fontId="20" fillId="5" borderId="1" xfId="0" applyNumberFormat="1" applyFont="1" applyFill="1" applyBorder="1" applyAlignment="1">
      <alignment vertical="center"/>
    </xf>
    <xf numFmtId="3" fontId="5" fillId="5" borderId="1" xfId="0" applyNumberFormat="1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 applyProtection="1">
      <alignment horizontal="right" vertical="center"/>
      <protection locked="0"/>
    </xf>
    <xf numFmtId="3" fontId="10" fillId="5" borderId="1" xfId="0" applyNumberFormat="1" applyFont="1" applyFill="1" applyBorder="1" applyAlignment="1" applyProtection="1">
      <alignment vertical="center"/>
      <protection locked="0"/>
    </xf>
    <xf numFmtId="3" fontId="10" fillId="5" borderId="1" xfId="0" applyNumberFormat="1" applyFont="1" applyFill="1" applyBorder="1" applyAlignment="1" applyProtection="1">
      <alignment horizontal="center" vertical="center"/>
      <protection locked="0"/>
    </xf>
    <xf numFmtId="3" fontId="5" fillId="6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left" vertical="center"/>
    </xf>
    <xf numFmtId="3" fontId="5" fillId="0" borderId="10" xfId="0" applyNumberFormat="1" applyFont="1" applyBorder="1" applyAlignment="1">
      <alignment vertical="center"/>
    </xf>
    <xf numFmtId="3" fontId="10" fillId="0" borderId="10" xfId="0" applyNumberFormat="1" applyFont="1" applyBorder="1" applyAlignment="1" applyProtection="1">
      <alignment vertical="center"/>
      <protection locked="0"/>
    </xf>
    <xf numFmtId="3" fontId="10" fillId="4" borderId="1" xfId="0" applyNumberFormat="1" applyFont="1" applyFill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4" fontId="54" fillId="0" borderId="0" xfId="0" applyNumberFormat="1" applyFont="1" applyAlignment="1">
      <alignment horizontal="center" vertical="center"/>
    </xf>
    <xf numFmtId="4" fontId="53" fillId="0" borderId="0" xfId="0" applyNumberFormat="1" applyFont="1" applyAlignment="1">
      <alignment horizontal="center" vertical="center"/>
    </xf>
    <xf numFmtId="3" fontId="53" fillId="0" borderId="0" xfId="0" applyNumberFormat="1" applyFont="1" applyAlignment="1">
      <alignment horizontal="center" vertical="center"/>
    </xf>
    <xf numFmtId="3" fontId="54" fillId="0" borderId="0" xfId="0" applyNumberFormat="1" applyFont="1" applyAlignment="1">
      <alignment horizontal="center" vertical="center"/>
    </xf>
    <xf numFmtId="3" fontId="55" fillId="0" borderId="0" xfId="0" applyNumberFormat="1" applyFont="1" applyAlignment="1">
      <alignment horizontal="center" vertical="center"/>
    </xf>
    <xf numFmtId="0" fontId="56" fillId="0" borderId="0" xfId="0" applyFont="1" applyAlignment="1">
      <alignment vertical="center"/>
    </xf>
    <xf numFmtId="0" fontId="55" fillId="0" borderId="0" xfId="0" applyFont="1"/>
    <xf numFmtId="4" fontId="56" fillId="0" borderId="0" xfId="0" applyNumberFormat="1" applyFont="1" applyAlignment="1">
      <alignment vertical="center"/>
    </xf>
    <xf numFmtId="3" fontId="2" fillId="0" borderId="0" xfId="7" applyNumberFormat="1" applyFont="1" applyAlignment="1">
      <alignment vertical="top"/>
    </xf>
    <xf numFmtId="0" fontId="34" fillId="0" borderId="0" xfId="7" applyFont="1"/>
    <xf numFmtId="0" fontId="59" fillId="0" borderId="0" xfId="7"/>
    <xf numFmtId="0" fontId="3" fillId="0" borderId="0" xfId="7" applyFont="1" applyAlignment="1">
      <alignment horizontal="right" vertical="top"/>
    </xf>
    <xf numFmtId="0" fontId="3" fillId="0" borderId="0" xfId="7" applyFont="1" applyAlignment="1">
      <alignment vertical="top"/>
    </xf>
    <xf numFmtId="0" fontId="26" fillId="0" borderId="0" xfId="0" applyFont="1" applyAlignment="1">
      <alignment vertical="top"/>
    </xf>
    <xf numFmtId="0" fontId="60" fillId="0" borderId="0" xfId="7" applyFont="1" applyAlignment="1">
      <alignment horizontal="center" vertical="top"/>
    </xf>
    <xf numFmtId="43" fontId="3" fillId="0" borderId="0" xfId="7" applyNumberFormat="1" applyFont="1" applyAlignment="1">
      <alignment horizontal="center" vertical="top"/>
    </xf>
    <xf numFmtId="0" fontId="59" fillId="0" borderId="0" xfId="7" applyAlignment="1">
      <alignment horizontal="center" vertical="top"/>
    </xf>
    <xf numFmtId="3" fontId="59" fillId="0" borderId="0" xfId="7" applyNumberFormat="1" applyAlignment="1">
      <alignment horizontal="center" vertical="top"/>
    </xf>
    <xf numFmtId="3" fontId="1" fillId="0" borderId="20" xfId="7" applyNumberFormat="1" applyFont="1" applyBorder="1" applyAlignment="1">
      <alignment horizontal="center" vertical="top"/>
    </xf>
    <xf numFmtId="3" fontId="1" fillId="0" borderId="1" xfId="7" applyNumberFormat="1" applyFont="1" applyBorder="1" applyAlignment="1">
      <alignment horizontal="center" vertical="top" wrapText="1"/>
    </xf>
    <xf numFmtId="0" fontId="61" fillId="2" borderId="2" xfId="7" applyFont="1" applyFill="1" applyBorder="1" applyAlignment="1">
      <alignment horizontal="center" vertical="center"/>
    </xf>
    <xf numFmtId="3" fontId="23" fillId="2" borderId="4" xfId="7" applyNumberFormat="1" applyFont="1" applyFill="1" applyBorder="1" applyAlignment="1">
      <alignment horizontal="center" vertical="top"/>
    </xf>
    <xf numFmtId="0" fontId="29" fillId="2" borderId="2" xfId="7" applyFont="1" applyFill="1" applyBorder="1" applyAlignment="1">
      <alignment horizontal="right" vertical="top"/>
    </xf>
    <xf numFmtId="0" fontId="22" fillId="2" borderId="3" xfId="7" applyFont="1" applyFill="1" applyBorder="1" applyAlignment="1">
      <alignment vertical="top"/>
    </xf>
    <xf numFmtId="3" fontId="5" fillId="2" borderId="4" xfId="7" applyNumberFormat="1" applyFont="1" applyFill="1" applyBorder="1" applyAlignment="1">
      <alignment vertical="top"/>
    </xf>
    <xf numFmtId="3" fontId="0" fillId="0" borderId="0" xfId="0" applyNumberFormat="1"/>
    <xf numFmtId="0" fontId="30" fillId="0" borderId="23" xfId="7" applyFont="1" applyBorder="1" applyAlignment="1">
      <alignment vertical="top"/>
    </xf>
    <xf numFmtId="0" fontId="22" fillId="0" borderId="24" xfId="7" applyFont="1" applyBorder="1" applyAlignment="1">
      <alignment vertical="top"/>
    </xf>
    <xf numFmtId="3" fontId="1" fillId="0" borderId="6" xfId="8" applyNumberFormat="1" applyFont="1" applyBorder="1" applyAlignment="1">
      <alignment vertical="top"/>
    </xf>
    <xf numFmtId="3" fontId="1" fillId="0" borderId="5" xfId="7" applyNumberFormat="1" applyFont="1" applyBorder="1" applyAlignment="1">
      <alignment vertical="top"/>
    </xf>
    <xf numFmtId="0" fontId="22" fillId="0" borderId="26" xfId="7" applyFont="1" applyBorder="1" applyAlignment="1">
      <alignment vertical="top"/>
    </xf>
    <xf numFmtId="4" fontId="1" fillId="0" borderId="5" xfId="7" applyNumberFormat="1" applyFont="1" applyBorder="1" applyAlignment="1">
      <alignment vertical="top"/>
    </xf>
    <xf numFmtId="3" fontId="2" fillId="0" borderId="5" xfId="7" applyNumberFormat="1" applyFont="1" applyBorder="1" applyAlignment="1">
      <alignment vertical="top"/>
    </xf>
    <xf numFmtId="0" fontId="22" fillId="0" borderId="36" xfId="7" applyFont="1" applyBorder="1" applyAlignment="1">
      <alignment vertical="top"/>
    </xf>
    <xf numFmtId="3" fontId="2" fillId="0" borderId="9" xfId="7" applyNumberFormat="1" applyFont="1" applyBorder="1" applyAlignment="1">
      <alignment vertical="top"/>
    </xf>
    <xf numFmtId="0" fontId="22" fillId="2" borderId="32" xfId="7" applyFont="1" applyFill="1" applyBorder="1" applyAlignment="1">
      <alignment horizontal="right" vertical="top"/>
    </xf>
    <xf numFmtId="0" fontId="22" fillId="2" borderId="19" xfId="7" applyFont="1" applyFill="1" applyBorder="1" applyAlignment="1">
      <alignment vertical="top"/>
    </xf>
    <xf numFmtId="3" fontId="5" fillId="2" borderId="1" xfId="7" applyNumberFormat="1" applyFont="1" applyFill="1" applyBorder="1" applyAlignment="1">
      <alignment vertical="top"/>
    </xf>
    <xf numFmtId="0" fontId="22" fillId="3" borderId="32" xfId="7" applyFont="1" applyFill="1" applyBorder="1" applyAlignment="1">
      <alignment horizontal="right" vertical="top"/>
    </xf>
    <xf numFmtId="0" fontId="22" fillId="3" borderId="19" xfId="7" applyFont="1" applyFill="1" applyBorder="1" applyAlignment="1">
      <alignment vertical="top"/>
    </xf>
    <xf numFmtId="3" fontId="5" fillId="3" borderId="1" xfId="7" applyNumberFormat="1" applyFont="1" applyFill="1" applyBorder="1" applyAlignment="1">
      <alignment vertical="top"/>
    </xf>
    <xf numFmtId="0" fontId="33" fillId="4" borderId="32" xfId="7" applyFont="1" applyFill="1" applyBorder="1" applyAlignment="1">
      <alignment horizontal="left" vertical="top"/>
    </xf>
    <xf numFmtId="0" fontId="33" fillId="4" borderId="19" xfId="7" applyFont="1" applyFill="1" applyBorder="1" applyAlignment="1">
      <alignment vertical="top"/>
    </xf>
    <xf numFmtId="3" fontId="1" fillId="4" borderId="1" xfId="7" applyNumberFormat="1" applyFont="1" applyFill="1" applyBorder="1" applyAlignment="1">
      <alignment vertical="top"/>
    </xf>
    <xf numFmtId="0" fontId="22" fillId="13" borderId="23" xfId="7" applyFont="1" applyFill="1" applyBorder="1" applyAlignment="1">
      <alignment horizontal="left" vertical="top"/>
    </xf>
    <xf numFmtId="0" fontId="22" fillId="13" borderId="24" xfId="7" applyFont="1" applyFill="1" applyBorder="1" applyAlignment="1">
      <alignment vertical="top"/>
    </xf>
    <xf numFmtId="3" fontId="1" fillId="13" borderId="5" xfId="7" applyNumberFormat="1" applyFont="1" applyFill="1" applyBorder="1" applyAlignment="1">
      <alignment vertical="top"/>
    </xf>
    <xf numFmtId="0" fontId="22" fillId="13" borderId="28" xfId="7" applyFont="1" applyFill="1" applyBorder="1" applyAlignment="1">
      <alignment horizontal="center" vertical="top"/>
    </xf>
    <xf numFmtId="0" fontId="22" fillId="13" borderId="26" xfId="7" applyFont="1" applyFill="1" applyBorder="1" applyAlignment="1">
      <alignment vertical="top"/>
    </xf>
    <xf numFmtId="3" fontId="2" fillId="13" borderId="5" xfId="8" applyNumberFormat="1" applyFont="1" applyFill="1" applyBorder="1" applyAlignment="1">
      <alignment vertical="top"/>
    </xf>
    <xf numFmtId="0" fontId="22" fillId="0" borderId="28" xfId="7" applyFont="1" applyBorder="1" applyAlignment="1">
      <alignment horizontal="right" vertical="top"/>
    </xf>
    <xf numFmtId="4" fontId="2" fillId="0" borderId="6" xfId="7" applyNumberFormat="1" applyFont="1" applyBorder="1" applyAlignment="1">
      <alignment vertical="top"/>
    </xf>
    <xf numFmtId="3" fontId="2" fillId="0" borderId="6" xfId="7" applyNumberFormat="1" applyFont="1" applyBorder="1" applyAlignment="1">
      <alignment vertical="top"/>
    </xf>
    <xf numFmtId="3" fontId="2" fillId="13" borderId="5" xfId="7" applyNumberFormat="1" applyFont="1" applyFill="1" applyBorder="1" applyAlignment="1">
      <alignment vertical="top"/>
    </xf>
    <xf numFmtId="0" fontId="22" fillId="0" borderId="28" xfId="7" applyFont="1" applyBorder="1" applyAlignment="1" applyProtection="1">
      <alignment horizontal="right" vertical="top"/>
      <protection locked="0"/>
    </xf>
    <xf numFmtId="0" fontId="22" fillId="0" borderId="26" xfId="7" applyFont="1" applyBorder="1" applyAlignment="1" applyProtection="1">
      <alignment horizontal="left" vertical="top"/>
      <protection locked="0"/>
    </xf>
    <xf numFmtId="0" fontId="22" fillId="0" borderId="28" xfId="7" applyFont="1" applyBorder="1" applyAlignment="1" applyProtection="1">
      <alignment horizontal="center" vertical="top"/>
      <protection locked="0"/>
    </xf>
    <xf numFmtId="4" fontId="2" fillId="0" borderId="5" xfId="7" applyNumberFormat="1" applyFont="1" applyBorder="1" applyAlignment="1">
      <alignment vertical="top"/>
    </xf>
    <xf numFmtId="0" fontId="22" fillId="13" borderId="28" xfId="7" applyFont="1" applyFill="1" applyBorder="1" applyAlignment="1">
      <alignment horizontal="left" vertical="top"/>
    </xf>
    <xf numFmtId="3" fontId="1" fillId="13" borderId="5" xfId="7" applyNumberFormat="1" applyFont="1" applyFill="1" applyBorder="1" applyAlignment="1">
      <alignment horizontal="right" vertical="top"/>
    </xf>
    <xf numFmtId="0" fontId="22" fillId="0" borderId="28" xfId="7" applyFont="1" applyBorder="1" applyAlignment="1">
      <alignment horizontal="center" vertical="top"/>
    </xf>
    <xf numFmtId="0" fontId="30" fillId="0" borderId="28" xfId="7" applyFont="1" applyBorder="1" applyAlignment="1">
      <alignment horizontal="center" vertical="top"/>
    </xf>
    <xf numFmtId="0" fontId="30" fillId="0" borderId="26" xfId="7" applyFont="1" applyBorder="1" applyAlignment="1">
      <alignment vertical="top"/>
    </xf>
    <xf numFmtId="0" fontId="30" fillId="0" borderId="28" xfId="7" applyFont="1" applyBorder="1" applyAlignment="1">
      <alignment horizontal="right" vertical="top"/>
    </xf>
    <xf numFmtId="0" fontId="22" fillId="0" borderId="26" xfId="7" applyFont="1" applyBorder="1" applyAlignment="1" applyProtection="1">
      <alignment vertical="top"/>
      <protection locked="0"/>
    </xf>
    <xf numFmtId="3" fontId="1" fillId="4" borderId="1" xfId="7" applyNumberFormat="1" applyFont="1" applyFill="1" applyBorder="1" applyAlignment="1">
      <alignment horizontal="right" vertical="top"/>
    </xf>
    <xf numFmtId="3" fontId="3" fillId="13" borderId="25" xfId="7" applyNumberFormat="1" applyFont="1" applyFill="1" applyBorder="1" applyAlignment="1">
      <alignment horizontal="right" vertical="top"/>
    </xf>
    <xf numFmtId="3" fontId="24" fillId="13" borderId="6" xfId="7" applyNumberFormat="1" applyFont="1" applyFill="1" applyBorder="1" applyAlignment="1">
      <alignment horizontal="right" vertical="top"/>
    </xf>
    <xf numFmtId="3" fontId="3" fillId="13" borderId="6" xfId="7" applyNumberFormat="1" applyFont="1" applyFill="1" applyBorder="1" applyAlignment="1">
      <alignment horizontal="right" vertical="top"/>
    </xf>
    <xf numFmtId="4" fontId="24" fillId="13" borderId="6" xfId="7" applyNumberFormat="1" applyFont="1" applyFill="1" applyBorder="1" applyAlignment="1">
      <alignment horizontal="right" vertical="top"/>
    </xf>
    <xf numFmtId="0" fontId="22" fillId="13" borderId="26" xfId="7" applyFont="1" applyFill="1" applyBorder="1" applyAlignment="1">
      <alignment horizontal="left" vertical="top"/>
    </xf>
    <xf numFmtId="1" fontId="3" fillId="13" borderId="6" xfId="7" applyNumberFormat="1" applyFont="1" applyFill="1" applyBorder="1" applyAlignment="1">
      <alignment horizontal="right" vertical="top"/>
    </xf>
    <xf numFmtId="0" fontId="30" fillId="13" borderId="26" xfId="7" applyFont="1" applyFill="1" applyBorder="1" applyAlignment="1">
      <alignment vertical="top"/>
    </xf>
    <xf numFmtId="0" fontId="22" fillId="0" borderId="33" xfId="7" applyFont="1" applyBorder="1" applyAlignment="1">
      <alignment horizontal="right" vertical="top"/>
    </xf>
    <xf numFmtId="0" fontId="22" fillId="0" borderId="34" xfId="7" applyFont="1" applyBorder="1" applyAlignment="1">
      <alignment vertical="top"/>
    </xf>
    <xf numFmtId="0" fontId="22" fillId="0" borderId="35" xfId="7" applyFont="1" applyBorder="1" applyAlignment="1">
      <alignment horizontal="right" vertical="top"/>
    </xf>
    <xf numFmtId="0" fontId="35" fillId="4" borderId="32" xfId="7" applyFont="1" applyFill="1" applyBorder="1" applyAlignment="1">
      <alignment horizontal="left" vertical="top"/>
    </xf>
    <xf numFmtId="0" fontId="35" fillId="4" borderId="19" xfId="7" applyFont="1" applyFill="1" applyBorder="1" applyAlignment="1">
      <alignment vertical="top"/>
    </xf>
    <xf numFmtId="4" fontId="1" fillId="4" borderId="1" xfId="7" applyNumberFormat="1" applyFont="1" applyFill="1" applyBorder="1" applyAlignment="1">
      <alignment horizontal="right" vertical="top"/>
    </xf>
    <xf numFmtId="4" fontId="0" fillId="0" borderId="0" xfId="0" applyNumberFormat="1"/>
    <xf numFmtId="0" fontId="30" fillId="13" borderId="23" xfId="7" applyFont="1" applyFill="1" applyBorder="1" applyAlignment="1">
      <alignment horizontal="left" vertical="top"/>
    </xf>
    <xf numFmtId="0" fontId="30" fillId="13" borderId="24" xfId="7" applyFont="1" applyFill="1" applyBorder="1" applyAlignment="1">
      <alignment vertical="top"/>
    </xf>
    <xf numFmtId="4" fontId="58" fillId="0" borderId="0" xfId="0" applyNumberFormat="1" applyFont="1"/>
    <xf numFmtId="0" fontId="30" fillId="13" borderId="28" xfId="7" applyFont="1" applyFill="1" applyBorder="1" applyAlignment="1">
      <alignment horizontal="center" vertical="top"/>
    </xf>
    <xf numFmtId="4" fontId="2" fillId="13" borderId="5" xfId="7" applyNumberFormat="1" applyFont="1" applyFill="1" applyBorder="1" applyAlignment="1">
      <alignment horizontal="right" vertical="top"/>
    </xf>
    <xf numFmtId="3" fontId="2" fillId="13" borderId="5" xfId="7" applyNumberFormat="1" applyFont="1" applyFill="1" applyBorder="1" applyAlignment="1">
      <alignment horizontal="right" vertical="top"/>
    </xf>
    <xf numFmtId="0" fontId="30" fillId="13" borderId="28" xfId="7" applyFont="1" applyFill="1" applyBorder="1" applyAlignment="1">
      <alignment horizontal="left" vertical="top"/>
    </xf>
    <xf numFmtId="3" fontId="1" fillId="13" borderId="5" xfId="8" applyNumberFormat="1" applyFont="1" applyFill="1" applyBorder="1" applyAlignment="1">
      <alignment horizontal="right" vertical="top"/>
    </xf>
    <xf numFmtId="4" fontId="2" fillId="14" borderId="5" xfId="7" applyNumberFormat="1" applyFont="1" applyFill="1" applyBorder="1" applyAlignment="1">
      <alignment horizontal="right" vertical="top"/>
    </xf>
    <xf numFmtId="4" fontId="0" fillId="14" borderId="0" xfId="0" applyNumberFormat="1" applyFill="1"/>
    <xf numFmtId="3" fontId="2" fillId="0" borderId="5" xfId="7" applyNumberFormat="1" applyFont="1" applyBorder="1" applyAlignment="1">
      <alignment horizontal="right" vertical="top"/>
    </xf>
    <xf numFmtId="165" fontId="2" fillId="0" borderId="6" xfId="7" applyNumberFormat="1" applyFont="1" applyBorder="1" applyAlignment="1">
      <alignment vertical="top"/>
    </xf>
    <xf numFmtId="0" fontId="30" fillId="0" borderId="33" xfId="7" applyFont="1" applyBorder="1" applyAlignment="1">
      <alignment horizontal="right" vertical="top"/>
    </xf>
    <xf numFmtId="0" fontId="30" fillId="0" borderId="34" xfId="7" applyFont="1" applyBorder="1" applyAlignment="1">
      <alignment vertical="top"/>
    </xf>
    <xf numFmtId="0" fontId="30" fillId="0" borderId="35" xfId="7" applyFont="1" applyBorder="1" applyAlignment="1">
      <alignment horizontal="center" vertical="top"/>
    </xf>
    <xf numFmtId="0" fontId="30" fillId="0" borderId="36" xfId="7" applyFont="1" applyBorder="1" applyAlignment="1">
      <alignment vertical="top"/>
    </xf>
    <xf numFmtId="4" fontId="2" fillId="0" borderId="9" xfId="7" applyNumberFormat="1" applyFont="1" applyBorder="1" applyAlignment="1">
      <alignment vertical="top"/>
    </xf>
    <xf numFmtId="0" fontId="31" fillId="0" borderId="32" xfId="7" applyFont="1" applyBorder="1"/>
    <xf numFmtId="0" fontId="30" fillId="0" borderId="19" xfId="7" applyFont="1" applyBorder="1"/>
    <xf numFmtId="3" fontId="1" fillId="0" borderId="1" xfId="7" applyNumberFormat="1" applyFont="1" applyBorder="1" applyAlignment="1">
      <alignment horizontal="right" vertical="top"/>
    </xf>
    <xf numFmtId="0" fontId="31" fillId="0" borderId="19" xfId="7" applyFont="1" applyBorder="1" applyAlignment="1">
      <alignment horizontal="left"/>
    </xf>
    <xf numFmtId="3" fontId="2" fillId="0" borderId="1" xfId="7" applyNumberFormat="1" applyFont="1" applyBorder="1" applyAlignment="1" applyProtection="1">
      <alignment horizontal="right" vertical="top"/>
      <protection locked="0"/>
    </xf>
    <xf numFmtId="3" fontId="2" fillId="0" borderId="1" xfId="8" applyNumberFormat="1" applyFont="1" applyBorder="1" applyAlignment="1" applyProtection="1">
      <alignment horizontal="right" vertical="top"/>
      <protection locked="0"/>
    </xf>
    <xf numFmtId="0" fontId="30" fillId="2" borderId="19" xfId="0" applyFont="1" applyFill="1" applyBorder="1" applyAlignment="1">
      <alignment vertical="top"/>
    </xf>
    <xf numFmtId="3" fontId="2" fillId="4" borderId="5" xfId="0" applyNumberFormat="1" applyFont="1" applyFill="1" applyBorder="1" applyAlignment="1">
      <alignment vertical="top"/>
    </xf>
    <xf numFmtId="3" fontId="2" fillId="4" borderId="5" xfId="7" applyNumberFormat="1" applyFont="1" applyFill="1" applyBorder="1" applyAlignment="1">
      <alignment vertical="top"/>
    </xf>
    <xf numFmtId="3" fontId="2" fillId="4" borderId="6" xfId="0" applyNumberFormat="1" applyFont="1" applyFill="1" applyBorder="1" applyAlignment="1">
      <alignment vertical="top"/>
    </xf>
    <xf numFmtId="3" fontId="2" fillId="4" borderId="6" xfId="7" applyNumberFormat="1" applyFont="1" applyFill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3" fontId="62" fillId="0" borderId="1" xfId="0" applyNumberFormat="1" applyFont="1" applyBorder="1" applyAlignment="1">
      <alignment vertical="top"/>
    </xf>
    <xf numFmtId="0" fontId="30" fillId="0" borderId="32" xfId="0" applyFont="1" applyBorder="1" applyAlignment="1">
      <alignment horizontal="right" vertical="top"/>
    </xf>
    <xf numFmtId="0" fontId="30" fillId="0" borderId="19" xfId="0" applyFont="1" applyBorder="1" applyAlignment="1">
      <alignment vertical="top"/>
    </xf>
    <xf numFmtId="0" fontId="9" fillId="0" borderId="0" xfId="1" applyAlignment="1" applyProtection="1"/>
    <xf numFmtId="0" fontId="40" fillId="0" borderId="0" xfId="7" applyFont="1"/>
    <xf numFmtId="3" fontId="40" fillId="0" borderId="0" xfId="7" applyNumberFormat="1" applyFont="1"/>
    <xf numFmtId="3" fontId="41" fillId="0" borderId="0" xfId="7" applyNumberFormat="1" applyFont="1"/>
    <xf numFmtId="0" fontId="3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3" fontId="1" fillId="5" borderId="28" xfId="0" applyNumberFormat="1" applyFont="1" applyFill="1" applyBorder="1" applyAlignment="1">
      <alignment vertical="top"/>
    </xf>
    <xf numFmtId="3" fontId="1" fillId="5" borderId="57" xfId="0" applyNumberFormat="1" applyFont="1" applyFill="1" applyBorder="1" applyAlignment="1">
      <alignment vertical="top"/>
    </xf>
    <xf numFmtId="3" fontId="1" fillId="5" borderId="58" xfId="0" applyNumberFormat="1" applyFont="1" applyFill="1" applyBorder="1" applyAlignment="1">
      <alignment vertical="top"/>
    </xf>
    <xf numFmtId="3" fontId="34" fillId="0" borderId="0" xfId="0" applyNumberFormat="1" applyFont="1"/>
    <xf numFmtId="3" fontId="3" fillId="0" borderId="0" xfId="0" applyNumberFormat="1" applyFont="1"/>
    <xf numFmtId="3" fontId="2" fillId="5" borderId="6" xfId="0" applyNumberFormat="1" applyFont="1" applyFill="1" applyBorder="1" applyAlignment="1">
      <alignment horizontal="center" vertical="center"/>
    </xf>
    <xf numFmtId="3" fontId="24" fillId="0" borderId="0" xfId="0" applyNumberFormat="1" applyFont="1"/>
    <xf numFmtId="3" fontId="37" fillId="0" borderId="0" xfId="0" applyNumberFormat="1" applyFont="1"/>
    <xf numFmtId="3" fontId="8" fillId="0" borderId="0" xfId="0" applyNumberFormat="1" applyFont="1"/>
    <xf numFmtId="3" fontId="36" fillId="0" borderId="0" xfId="0" applyNumberFormat="1" applyFont="1"/>
    <xf numFmtId="0" fontId="22" fillId="0" borderId="28" xfId="0" applyFont="1" applyBorder="1" applyAlignment="1">
      <alignment horizontal="right" vertical="center"/>
    </xf>
    <xf numFmtId="0" fontId="32" fillId="0" borderId="26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32" fillId="0" borderId="24" xfId="0" applyFont="1" applyBorder="1" applyAlignment="1">
      <alignment vertical="center"/>
    </xf>
    <xf numFmtId="0" fontId="32" fillId="0" borderId="24" xfId="0" applyFont="1" applyBorder="1" applyAlignment="1">
      <alignment vertical="center" wrapText="1"/>
    </xf>
    <xf numFmtId="3" fontId="30" fillId="4" borderId="5" xfId="0" applyNumberFormat="1" applyFont="1" applyFill="1" applyBorder="1" applyAlignment="1">
      <alignment vertical="top"/>
    </xf>
    <xf numFmtId="3" fontId="31" fillId="0" borderId="6" xfId="0" applyNumberFormat="1" applyFont="1" applyBorder="1" applyAlignment="1">
      <alignment vertical="center"/>
    </xf>
    <xf numFmtId="3" fontId="30" fillId="4" borderId="6" xfId="0" applyNumberFormat="1" applyFont="1" applyFill="1" applyBorder="1" applyAlignment="1">
      <alignment vertical="top"/>
    </xf>
    <xf numFmtId="3" fontId="31" fillId="6" borderId="1" xfId="0" applyNumberFormat="1" applyFont="1" applyFill="1" applyBorder="1" applyAlignment="1">
      <alignment vertical="top"/>
    </xf>
    <xf numFmtId="0" fontId="22" fillId="0" borderId="1" xfId="0" applyFont="1" applyBorder="1" applyAlignment="1">
      <alignment horizontal="right" vertical="top"/>
    </xf>
    <xf numFmtId="0" fontId="22" fillId="0" borderId="1" xfId="0" applyFont="1" applyBorder="1" applyAlignment="1">
      <alignment vertical="top"/>
    </xf>
    <xf numFmtId="3" fontId="31" fillId="0" borderId="1" xfId="0" applyNumberFormat="1" applyFont="1" applyBorder="1" applyAlignment="1">
      <alignment vertical="top"/>
    </xf>
    <xf numFmtId="0" fontId="58" fillId="0" borderId="1" xfId="0" applyFont="1" applyBorder="1"/>
    <xf numFmtId="0" fontId="64" fillId="0" borderId="1" xfId="0" applyFont="1" applyBorder="1"/>
    <xf numFmtId="164" fontId="0" fillId="8" borderId="1" xfId="0" applyNumberFormat="1" applyFill="1" applyBorder="1"/>
    <xf numFmtId="164" fontId="65" fillId="8" borderId="1" xfId="0" applyNumberFormat="1" applyFont="1" applyFill="1" applyBorder="1"/>
    <xf numFmtId="3" fontId="58" fillId="0" borderId="1" xfId="0" applyNumberFormat="1" applyFont="1" applyBorder="1"/>
    <xf numFmtId="4" fontId="58" fillId="0" borderId="1" xfId="0" applyNumberFormat="1" applyFont="1" applyBorder="1"/>
    <xf numFmtId="0" fontId="64" fillId="0" borderId="9" xfId="0" applyFont="1" applyBorder="1"/>
    <xf numFmtId="164" fontId="66" fillId="0" borderId="0" xfId="0" applyNumberFormat="1" applyFont="1"/>
    <xf numFmtId="0" fontId="67" fillId="0" borderId="0" xfId="0" applyFont="1"/>
    <xf numFmtId="0" fontId="58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3" fontId="1" fillId="0" borderId="5" xfId="0" applyNumberFormat="1" applyFont="1" applyBorder="1" applyAlignment="1">
      <alignment horizontal="left" vertical="center"/>
    </xf>
    <xf numFmtId="3" fontId="1" fillId="0" borderId="6" xfId="0" applyNumberFormat="1" applyFont="1" applyBorder="1" applyAlignment="1">
      <alignment horizontal="left" vertical="center"/>
    </xf>
    <xf numFmtId="3" fontId="1" fillId="5" borderId="6" xfId="0" applyNumberFormat="1" applyFont="1" applyFill="1" applyBorder="1" applyAlignment="1">
      <alignment horizontal="center" vertical="center"/>
    </xf>
    <xf numFmtId="3" fontId="1" fillId="5" borderId="6" xfId="0" applyNumberFormat="1" applyFont="1" applyFill="1" applyBorder="1" applyAlignment="1">
      <alignment vertical="center"/>
    </xf>
    <xf numFmtId="3" fontId="2" fillId="0" borderId="6" xfId="0" applyNumberFormat="1" applyFont="1" applyBorder="1" applyAlignment="1">
      <alignment horizontal="center" vertical="center"/>
    </xf>
    <xf numFmtId="3" fontId="2" fillId="5" borderId="7" xfId="0" applyNumberFormat="1" applyFont="1" applyFill="1" applyBorder="1" applyAlignment="1">
      <alignment vertical="center"/>
    </xf>
    <xf numFmtId="3" fontId="2" fillId="5" borderId="8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3" fontId="30" fillId="8" borderId="1" xfId="0" applyNumberFormat="1" applyFont="1" applyFill="1" applyBorder="1" applyAlignment="1">
      <alignment vertical="center"/>
    </xf>
    <xf numFmtId="3" fontId="31" fillId="0" borderId="1" xfId="0" applyNumberFormat="1" applyFont="1" applyBorder="1" applyAlignment="1" applyProtection="1">
      <alignment vertical="center"/>
      <protection locked="0"/>
    </xf>
    <xf numFmtId="3" fontId="31" fillId="6" borderId="1" xfId="0" applyNumberFormat="1" applyFont="1" applyFill="1" applyBorder="1" applyAlignment="1" applyProtection="1">
      <alignment vertical="center"/>
      <protection locked="0"/>
    </xf>
    <xf numFmtId="0" fontId="22" fillId="15" borderId="32" xfId="0" applyFont="1" applyFill="1" applyBorder="1" applyAlignment="1">
      <alignment horizontal="right" vertical="top"/>
    </xf>
    <xf numFmtId="0" fontId="22" fillId="15" borderId="19" xfId="0" applyFont="1" applyFill="1" applyBorder="1" applyAlignment="1">
      <alignment vertical="top"/>
    </xf>
    <xf numFmtId="3" fontId="31" fillId="15" borderId="1" xfId="0" applyNumberFormat="1" applyFont="1" applyFill="1" applyBorder="1" applyAlignment="1">
      <alignment vertical="top"/>
    </xf>
    <xf numFmtId="3" fontId="31" fillId="5" borderId="1" xfId="0" applyNumberFormat="1" applyFont="1" applyFill="1" applyBorder="1" applyAlignment="1" applyProtection="1">
      <alignment vertical="center"/>
      <protection locked="0"/>
    </xf>
    <xf numFmtId="3" fontId="31" fillId="5" borderId="1" xfId="0" applyNumberFormat="1" applyFont="1" applyFill="1" applyBorder="1" applyAlignment="1">
      <alignment vertical="center"/>
    </xf>
    <xf numFmtId="0" fontId="68" fillId="0" borderId="0" xfId="0" applyFont="1"/>
    <xf numFmtId="4" fontId="68" fillId="0" borderId="0" xfId="0" applyNumberFormat="1" applyFont="1"/>
    <xf numFmtId="0" fontId="73" fillId="0" borderId="32" xfId="0" applyFont="1" applyBorder="1"/>
    <xf numFmtId="0" fontId="73" fillId="0" borderId="19" xfId="0" applyFont="1" applyBorder="1"/>
    <xf numFmtId="0" fontId="73" fillId="0" borderId="1" xfId="0" applyFont="1" applyBorder="1"/>
    <xf numFmtId="166" fontId="68" fillId="0" borderId="23" xfId="0" applyNumberFormat="1" applyFont="1" applyBorder="1" applyAlignment="1">
      <alignment horizontal="center"/>
    </xf>
    <xf numFmtId="0" fontId="68" fillId="0" borderId="24" xfId="0" applyFont="1" applyBorder="1"/>
    <xf numFmtId="0" fontId="68" fillId="0" borderId="5" xfId="0" applyFont="1" applyBorder="1"/>
    <xf numFmtId="166" fontId="68" fillId="0" borderId="28" xfId="0" applyNumberFormat="1" applyFont="1" applyBorder="1" applyAlignment="1">
      <alignment horizontal="center"/>
    </xf>
    <xf numFmtId="0" fontId="68" fillId="0" borderId="26" xfId="0" applyFont="1" applyBorder="1"/>
    <xf numFmtId="0" fontId="68" fillId="0" borderId="6" xfId="0" applyFont="1" applyBorder="1"/>
    <xf numFmtId="0" fontId="2" fillId="0" borderId="24" xfId="0" applyFont="1" applyBorder="1" applyAlignment="1">
      <alignment wrapText="1"/>
    </xf>
    <xf numFmtId="0" fontId="68" fillId="0" borderId="28" xfId="0" applyFont="1" applyBorder="1"/>
    <xf numFmtId="0" fontId="68" fillId="0" borderId="28" xfId="0" applyFont="1" applyBorder="1" applyAlignment="1">
      <alignment horizontal="center"/>
    </xf>
    <xf numFmtId="0" fontId="68" fillId="0" borderId="24" xfId="0" applyFont="1" applyBorder="1" applyAlignment="1">
      <alignment horizontal="left"/>
    </xf>
    <xf numFmtId="0" fontId="73" fillId="0" borderId="5" xfId="0" applyFont="1" applyBorder="1" applyAlignment="1">
      <alignment horizontal="left"/>
    </xf>
    <xf numFmtId="3" fontId="68" fillId="0" borderId="0" xfId="0" applyNumberFormat="1" applyFont="1"/>
    <xf numFmtId="0" fontId="68" fillId="0" borderId="8" xfId="0" applyFont="1" applyBorder="1"/>
    <xf numFmtId="0" fontId="73" fillId="0" borderId="28" xfId="0" applyFont="1" applyBorder="1" applyAlignment="1">
      <alignment horizontal="right"/>
    </xf>
    <xf numFmtId="0" fontId="73" fillId="0" borderId="26" xfId="0" applyFont="1" applyBorder="1" applyAlignment="1">
      <alignment horizontal="right"/>
    </xf>
    <xf numFmtId="164" fontId="68" fillId="0" borderId="0" xfId="3" applyNumberFormat="1" applyFont="1"/>
    <xf numFmtId="0" fontId="73" fillId="0" borderId="34" xfId="0" applyFont="1" applyBorder="1" applyAlignment="1">
      <alignment horizontal="right"/>
    </xf>
    <xf numFmtId="0" fontId="73" fillId="0" borderId="29" xfId="0" applyFont="1" applyBorder="1" applyAlignment="1">
      <alignment horizontal="right"/>
    </xf>
    <xf numFmtId="0" fontId="68" fillId="0" borderId="7" xfId="0" applyFont="1" applyBorder="1"/>
    <xf numFmtId="0" fontId="73" fillId="0" borderId="32" xfId="0" applyFont="1" applyBorder="1" applyAlignment="1">
      <alignment horizontal="right"/>
    </xf>
    <xf numFmtId="0" fontId="68" fillId="0" borderId="1" xfId="0" applyFont="1" applyBorder="1"/>
    <xf numFmtId="0" fontId="68" fillId="0" borderId="32" xfId="0" applyFont="1" applyBorder="1"/>
    <xf numFmtId="0" fontId="73" fillId="0" borderId="19" xfId="0" applyFont="1" applyBorder="1" applyAlignment="1">
      <alignment horizontal="right"/>
    </xf>
    <xf numFmtId="0" fontId="68" fillId="0" borderId="2" xfId="0" applyFont="1" applyBorder="1"/>
    <xf numFmtId="0" fontId="68" fillId="0" borderId="4" xfId="0" applyFont="1" applyBorder="1"/>
    <xf numFmtId="0" fontId="70" fillId="0" borderId="0" xfId="0" applyFont="1" applyAlignment="1">
      <alignment wrapText="1"/>
    </xf>
    <xf numFmtId="0" fontId="70" fillId="0" borderId="0" xfId="0" applyFont="1"/>
    <xf numFmtId="0" fontId="10" fillId="6" borderId="1" xfId="0" applyFont="1" applyFill="1" applyBorder="1" applyAlignment="1">
      <alignment horizontal="left" vertical="center" wrapText="1"/>
    </xf>
    <xf numFmtId="3" fontId="10" fillId="6" borderId="1" xfId="0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/>
    </xf>
    <xf numFmtId="167" fontId="10" fillId="6" borderId="60" xfId="0" applyNumberFormat="1" applyFont="1" applyFill="1" applyBorder="1" applyAlignment="1">
      <alignment horizontal="left" vertical="center" wrapText="1"/>
    </xf>
    <xf numFmtId="0" fontId="68" fillId="0" borderId="0" xfId="0" applyFont="1" applyAlignment="1">
      <alignment horizontal="center"/>
    </xf>
    <xf numFmtId="0" fontId="73" fillId="0" borderId="1" xfId="0" applyFont="1" applyBorder="1" applyAlignment="1">
      <alignment horizontal="center"/>
    </xf>
    <xf numFmtId="3" fontId="68" fillId="0" borderId="5" xfId="0" applyNumberFormat="1" applyFont="1" applyBorder="1" applyAlignment="1">
      <alignment horizontal="center"/>
    </xf>
    <xf numFmtId="3" fontId="68" fillId="0" borderId="6" xfId="0" applyNumberFormat="1" applyFont="1" applyBorder="1" applyAlignment="1">
      <alignment horizontal="center"/>
    </xf>
    <xf numFmtId="1" fontId="68" fillId="0" borderId="5" xfId="0" applyNumberFormat="1" applyFont="1" applyBorder="1" applyAlignment="1">
      <alignment horizontal="center"/>
    </xf>
    <xf numFmtId="1" fontId="68" fillId="0" borderId="6" xfId="0" applyNumberFormat="1" applyFont="1" applyBorder="1" applyAlignment="1">
      <alignment horizontal="center"/>
    </xf>
    <xf numFmtId="1" fontId="2" fillId="0" borderId="5" xfId="3" applyNumberFormat="1" applyFont="1" applyFill="1" applyBorder="1" applyAlignment="1">
      <alignment horizontal="center"/>
    </xf>
    <xf numFmtId="3" fontId="73" fillId="0" borderId="6" xfId="0" applyNumberFormat="1" applyFont="1" applyBorder="1" applyAlignment="1">
      <alignment horizontal="center"/>
    </xf>
    <xf numFmtId="0" fontId="68" fillId="0" borderId="6" xfId="0" applyFont="1" applyBorder="1" applyAlignment="1">
      <alignment horizontal="center"/>
    </xf>
    <xf numFmtId="0" fontId="68" fillId="0" borderId="8" xfId="0" applyFont="1" applyBorder="1" applyAlignment="1">
      <alignment horizontal="center"/>
    </xf>
    <xf numFmtId="0" fontId="68" fillId="0" borderId="7" xfId="0" applyFont="1" applyBorder="1" applyAlignment="1">
      <alignment horizontal="center"/>
    </xf>
    <xf numFmtId="3" fontId="73" fillId="0" borderId="1" xfId="0" applyNumberFormat="1" applyFont="1" applyBorder="1" applyAlignment="1">
      <alignment horizontal="center"/>
    </xf>
    <xf numFmtId="3" fontId="68" fillId="0" borderId="1" xfId="0" applyNumberFormat="1" applyFont="1" applyBorder="1" applyAlignment="1">
      <alignment horizontal="center"/>
    </xf>
    <xf numFmtId="0" fontId="75" fillId="0" borderId="0" xfId="0" applyFont="1"/>
    <xf numFmtId="0" fontId="70" fillId="0" borderId="59" xfId="0" applyFont="1" applyBorder="1" applyAlignment="1">
      <alignment horizontal="center" vertical="center" wrapText="1"/>
    </xf>
    <xf numFmtId="0" fontId="70" fillId="0" borderId="59" xfId="0" applyFont="1" applyBorder="1" applyAlignment="1">
      <alignment horizontal="center" vertical="center"/>
    </xf>
    <xf numFmtId="166" fontId="68" fillId="0" borderId="1" xfId="0" applyNumberFormat="1" applyFont="1" applyBorder="1"/>
    <xf numFmtId="0" fontId="47" fillId="0" borderId="1" xfId="0" applyFont="1" applyBorder="1" applyAlignment="1">
      <alignment horizontal="right"/>
    </xf>
    <xf numFmtId="0" fontId="45" fillId="0" borderId="1" xfId="0" applyFont="1" applyBorder="1" applyAlignment="1">
      <alignment horizontal="left"/>
    </xf>
    <xf numFmtId="0" fontId="45" fillId="0" borderId="1" xfId="0" applyFont="1" applyBorder="1" applyAlignment="1">
      <alignment horizontal="center"/>
    </xf>
    <xf numFmtId="0" fontId="48" fillId="0" borderId="16" xfId="0" applyFont="1" applyBorder="1" applyAlignment="1">
      <alignment horizontal="left"/>
    </xf>
    <xf numFmtId="0" fontId="48" fillId="0" borderId="13" xfId="0" applyFont="1" applyBorder="1" applyAlignment="1">
      <alignment horizontal="left"/>
    </xf>
    <xf numFmtId="167" fontId="10" fillId="6" borderId="1" xfId="0" applyNumberFormat="1" applyFont="1" applyFill="1" applyBorder="1" applyAlignment="1">
      <alignment horizontal="center" vertical="center" wrapText="1"/>
    </xf>
    <xf numFmtId="0" fontId="45" fillId="0" borderId="1" xfId="0" applyFont="1" applyBorder="1"/>
    <xf numFmtId="0" fontId="48" fillId="0" borderId="1" xfId="0" applyFont="1" applyBorder="1" applyAlignment="1">
      <alignment horizontal="right"/>
    </xf>
    <xf numFmtId="0" fontId="48" fillId="0" borderId="1" xfId="0" applyFont="1" applyBorder="1" applyAlignment="1">
      <alignment horizontal="center"/>
    </xf>
    <xf numFmtId="0" fontId="48" fillId="0" borderId="43" xfId="0" applyFont="1" applyBorder="1" applyAlignment="1">
      <alignment horizontal="right"/>
    </xf>
    <xf numFmtId="0" fontId="45" fillId="0" borderId="44" xfId="0" applyFont="1" applyBorder="1"/>
    <xf numFmtId="0" fontId="45" fillId="0" borderId="65" xfId="0" applyFont="1" applyBorder="1"/>
    <xf numFmtId="0" fontId="73" fillId="0" borderId="1" xfId="0" applyFont="1" applyBorder="1" applyAlignment="1">
      <alignment horizontal="right"/>
    </xf>
    <xf numFmtId="0" fontId="69" fillId="0" borderId="1" xfId="0" applyFont="1" applyBorder="1" applyAlignment="1">
      <alignment horizontal="right"/>
    </xf>
    <xf numFmtId="0" fontId="68" fillId="0" borderId="66" xfId="0" applyFont="1" applyBorder="1"/>
    <xf numFmtId="0" fontId="68" fillId="0" borderId="67" xfId="0" applyFont="1" applyBorder="1"/>
    <xf numFmtId="3" fontId="10" fillId="8" borderId="1" xfId="6" applyNumberFormat="1" applyFont="1" applyFill="1" applyBorder="1" applyAlignment="1">
      <alignment horizontal="center" vertical="center" wrapText="1"/>
    </xf>
    <xf numFmtId="3" fontId="10" fillId="8" borderId="1" xfId="0" applyNumberFormat="1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/>
    </xf>
    <xf numFmtId="3" fontId="10" fillId="8" borderId="60" xfId="0" applyNumberFormat="1" applyFont="1" applyFill="1" applyBorder="1" applyAlignment="1">
      <alignment horizontal="center" vertical="center"/>
    </xf>
    <xf numFmtId="0" fontId="68" fillId="0" borderId="9" xfId="0" applyFont="1" applyBorder="1" applyAlignment="1">
      <alignment horizontal="center"/>
    </xf>
    <xf numFmtId="2" fontId="68" fillId="0" borderId="1" xfId="0" applyNumberFormat="1" applyFont="1" applyBorder="1" applyAlignment="1">
      <alignment horizontal="center"/>
    </xf>
    <xf numFmtId="0" fontId="73" fillId="0" borderId="3" xfId="0" applyFont="1" applyBorder="1" applyAlignment="1">
      <alignment horizontal="right"/>
    </xf>
    <xf numFmtId="0" fontId="68" fillId="0" borderId="19" xfId="0" applyFont="1" applyBorder="1" applyAlignment="1">
      <alignment horizontal="right"/>
    </xf>
    <xf numFmtId="0" fontId="68" fillId="0" borderId="3" xfId="0" applyFont="1" applyBorder="1" applyAlignment="1">
      <alignment horizontal="right"/>
    </xf>
    <xf numFmtId="0" fontId="68" fillId="6" borderId="26" xfId="0" applyFont="1" applyFill="1" applyBorder="1"/>
    <xf numFmtId="3" fontId="68" fillId="6" borderId="6" xfId="0" applyNumberFormat="1" applyFont="1" applyFill="1" applyBorder="1" applyAlignment="1">
      <alignment horizontal="center"/>
    </xf>
    <xf numFmtId="2" fontId="68" fillId="0" borderId="0" xfId="0" applyNumberFormat="1" applyFont="1"/>
    <xf numFmtId="0" fontId="68" fillId="0" borderId="1" xfId="0" applyFont="1" applyBorder="1" applyAlignment="1">
      <alignment horizontal="center"/>
    </xf>
    <xf numFmtId="0" fontId="68" fillId="0" borderId="1" xfId="0" applyFont="1" applyBorder="1" applyAlignment="1">
      <alignment horizontal="center" vertical="center"/>
    </xf>
    <xf numFmtId="0" fontId="68" fillId="0" borderId="58" xfId="0" applyFont="1" applyBorder="1"/>
    <xf numFmtId="3" fontId="68" fillId="0" borderId="7" xfId="0" quotePrefix="1" applyNumberFormat="1" applyFont="1" applyBorder="1" applyAlignment="1">
      <alignment horizontal="center"/>
    </xf>
    <xf numFmtId="3" fontId="73" fillId="6" borderId="1" xfId="0" applyNumberFormat="1" applyFont="1" applyFill="1" applyBorder="1" applyAlignment="1">
      <alignment horizontal="center"/>
    </xf>
    <xf numFmtId="3" fontId="68" fillId="6" borderId="1" xfId="0" applyNumberFormat="1" applyFont="1" applyFill="1" applyBorder="1" applyAlignment="1">
      <alignment horizontal="center"/>
    </xf>
    <xf numFmtId="3" fontId="68" fillId="6" borderId="4" xfId="0" applyNumberFormat="1" applyFont="1" applyFill="1" applyBorder="1" applyAlignment="1">
      <alignment horizontal="center"/>
    </xf>
    <xf numFmtId="10" fontId="68" fillId="6" borderId="4" xfId="5" applyNumberFormat="1" applyFont="1" applyFill="1" applyBorder="1" applyAlignment="1">
      <alignment horizontal="center"/>
    </xf>
    <xf numFmtId="0" fontId="68" fillId="6" borderId="58" xfId="0" applyFont="1" applyFill="1" applyBorder="1"/>
    <xf numFmtId="0" fontId="68" fillId="6" borderId="24" xfId="0" applyFont="1" applyFill="1" applyBorder="1"/>
    <xf numFmtId="0" fontId="2" fillId="6" borderId="24" xfId="0" applyFont="1" applyFill="1" applyBorder="1" applyAlignment="1">
      <alignment wrapText="1"/>
    </xf>
    <xf numFmtId="0" fontId="68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3" fontId="2" fillId="6" borderId="6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left" vertical="center" wrapText="1"/>
    </xf>
    <xf numFmtId="3" fontId="2" fillId="6" borderId="7" xfId="0" applyNumberFormat="1" applyFont="1" applyFill="1" applyBorder="1" applyAlignment="1">
      <alignment horizontal="center" vertical="center"/>
    </xf>
    <xf numFmtId="0" fontId="73" fillId="0" borderId="28" xfId="0" applyFont="1" applyBorder="1"/>
    <xf numFmtId="0" fontId="73" fillId="0" borderId="26" xfId="0" applyFont="1" applyBorder="1"/>
    <xf numFmtId="0" fontId="73" fillId="0" borderId="6" xfId="0" applyFont="1" applyBorder="1" applyAlignment="1">
      <alignment horizontal="center"/>
    </xf>
    <xf numFmtId="0" fontId="73" fillId="0" borderId="6" xfId="0" applyFont="1" applyBorder="1"/>
    <xf numFmtId="0" fontId="68" fillId="0" borderId="7" xfId="0" applyFont="1" applyBorder="1" applyAlignment="1">
      <alignment horizontal="left" vertical="center"/>
    </xf>
    <xf numFmtId="167" fontId="2" fillId="6" borderId="68" xfId="0" applyNumberFormat="1" applyFont="1" applyFill="1" applyBorder="1" applyAlignment="1">
      <alignment horizontal="left" vertical="center" wrapText="1"/>
    </xf>
    <xf numFmtId="0" fontId="73" fillId="0" borderId="30" xfId="0" applyFont="1" applyBorder="1" applyAlignment="1">
      <alignment horizontal="right"/>
    </xf>
    <xf numFmtId="0" fontId="73" fillId="0" borderId="0" xfId="0" applyFont="1" applyAlignment="1">
      <alignment horizontal="right"/>
    </xf>
    <xf numFmtId="0" fontId="68" fillId="0" borderId="0" xfId="0" applyFont="1" applyAlignment="1">
      <alignment wrapText="1"/>
    </xf>
    <xf numFmtId="0" fontId="68" fillId="0" borderId="25" xfId="0" applyFont="1" applyBorder="1"/>
    <xf numFmtId="0" fontId="76" fillId="0" borderId="1" xfId="0" applyFont="1" applyBorder="1" applyAlignment="1">
      <alignment vertical="center"/>
    </xf>
    <xf numFmtId="4" fontId="76" fillId="0" borderId="1" xfId="0" applyNumberFormat="1" applyFont="1" applyBorder="1" applyAlignment="1">
      <alignment vertical="center"/>
    </xf>
    <xf numFmtId="3" fontId="23" fillId="0" borderId="0" xfId="0" applyNumberFormat="1" applyFont="1"/>
    <xf numFmtId="0" fontId="58" fillId="0" borderId="1" xfId="0" applyFont="1" applyBorder="1" applyAlignment="1">
      <alignment vertical="center"/>
    </xf>
    <xf numFmtId="0" fontId="58" fillId="0" borderId="1" xfId="0" applyFont="1" applyBorder="1" applyAlignment="1">
      <alignment horizontal="center" vertical="center"/>
    </xf>
    <xf numFmtId="3" fontId="6" fillId="0" borderId="0" xfId="0" applyNumberFormat="1" applyFont="1"/>
    <xf numFmtId="0" fontId="31" fillId="0" borderId="23" xfId="0" applyFont="1" applyBorder="1" applyAlignment="1">
      <alignment vertical="top"/>
    </xf>
    <xf numFmtId="0" fontId="78" fillId="0" borderId="0" xfId="0" applyFont="1" applyAlignment="1">
      <alignment horizontal="center" vertical="top"/>
    </xf>
    <xf numFmtId="0" fontId="79" fillId="0" borderId="0" xfId="0" applyFont="1" applyAlignment="1">
      <alignment horizontal="center" vertical="top"/>
    </xf>
    <xf numFmtId="3" fontId="79" fillId="0" borderId="0" xfId="0" applyNumberFormat="1" applyFont="1" applyAlignment="1">
      <alignment horizontal="center" vertical="top"/>
    </xf>
    <xf numFmtId="0" fontId="80" fillId="0" borderId="0" xfId="0" applyFont="1"/>
    <xf numFmtId="1" fontId="68" fillId="0" borderId="23" xfId="0" applyNumberFormat="1" applyFont="1" applyBorder="1" applyAlignment="1">
      <alignment horizontal="center"/>
    </xf>
    <xf numFmtId="1" fontId="68" fillId="0" borderId="28" xfId="0" applyNumberFormat="1" applyFont="1" applyBorder="1" applyAlignment="1">
      <alignment horizontal="center"/>
    </xf>
    <xf numFmtId="1" fontId="68" fillId="0" borderId="28" xfId="0" applyNumberFormat="1" applyFont="1" applyBorder="1" applyAlignment="1">
      <alignment horizontal="center" vertical="center"/>
    </xf>
    <xf numFmtId="0" fontId="68" fillId="0" borderId="23" xfId="0" applyFont="1" applyBorder="1"/>
    <xf numFmtId="1" fontId="68" fillId="0" borderId="7" xfId="0" applyNumberFormat="1" applyFont="1" applyBorder="1" applyAlignment="1">
      <alignment horizontal="center"/>
    </xf>
    <xf numFmtId="0" fontId="68" fillId="0" borderId="26" xfId="0" applyFont="1" applyBorder="1" applyAlignment="1">
      <alignment wrapText="1"/>
    </xf>
    <xf numFmtId="0" fontId="81" fillId="0" borderId="0" xfId="0" applyFont="1"/>
    <xf numFmtId="4" fontId="81" fillId="0" borderId="0" xfId="0" applyNumberFormat="1" applyFont="1"/>
    <xf numFmtId="3" fontId="83" fillId="0" borderId="0" xfId="0" applyNumberFormat="1" applyFont="1"/>
    <xf numFmtId="0" fontId="73" fillId="0" borderId="32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" xfId="0" applyFont="1" applyBorder="1" applyAlignment="1">
      <alignment horizontal="center" vertical="center" wrapText="1"/>
    </xf>
    <xf numFmtId="4" fontId="24" fillId="0" borderId="0" xfId="0" applyNumberFormat="1" applyFont="1"/>
    <xf numFmtId="4" fontId="3" fillId="0" borderId="0" xfId="0" applyNumberFormat="1" applyFont="1"/>
    <xf numFmtId="4" fontId="1" fillId="0" borderId="6" xfId="0" applyNumberFormat="1" applyFont="1" applyBorder="1" applyAlignment="1">
      <alignment horizontal="left" vertical="center"/>
    </xf>
    <xf numFmtId="4" fontId="79" fillId="0" borderId="0" xfId="0" applyNumberFormat="1" applyFont="1" applyAlignment="1">
      <alignment horizontal="center" vertical="top"/>
    </xf>
    <xf numFmtId="4" fontId="2" fillId="5" borderId="6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4" fontId="1" fillId="5" borderId="6" xfId="0" applyNumberFormat="1" applyFont="1" applyFill="1" applyBorder="1" applyAlignment="1">
      <alignment horizontal="center" vertical="center"/>
    </xf>
    <xf numFmtId="0" fontId="31" fillId="0" borderId="26" xfId="0" applyFont="1" applyBorder="1" applyAlignment="1">
      <alignment horizontal="right" vertical="top" wrapText="1"/>
    </xf>
    <xf numFmtId="0" fontId="32" fillId="0" borderId="26" xfId="0" applyFont="1" applyBorder="1" applyAlignment="1">
      <alignment horizontal="right" vertical="top" wrapText="1"/>
    </xf>
    <xf numFmtId="3" fontId="1" fillId="0" borderId="21" xfId="0" applyNumberFormat="1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6" fillId="0" borderId="0" xfId="0" applyFont="1" applyAlignment="1">
      <alignment horizontal="center" vertical="top"/>
    </xf>
    <xf numFmtId="0" fontId="22" fillId="0" borderId="1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81" fillId="0" borderId="0" xfId="0" applyFont="1" applyAlignment="1">
      <alignment horizontal="left" wrapText="1"/>
    </xf>
    <xf numFmtId="0" fontId="68" fillId="0" borderId="59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0" fontId="68" fillId="0" borderId="7" xfId="0" applyFont="1" applyBorder="1" applyAlignment="1">
      <alignment horizontal="center" vertical="center"/>
    </xf>
    <xf numFmtId="0" fontId="68" fillId="0" borderId="25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0" fontId="73" fillId="0" borderId="0" xfId="0" applyFont="1" applyAlignment="1">
      <alignment horizontal="center"/>
    </xf>
    <xf numFmtId="3" fontId="1" fillId="0" borderId="20" xfId="7" applyNumberFormat="1" applyFont="1" applyBorder="1" applyAlignment="1">
      <alignment horizontal="center" vertical="top" wrapText="1"/>
    </xf>
    <xf numFmtId="3" fontId="1" fillId="0" borderId="10" xfId="7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60" fillId="0" borderId="0" xfId="7" applyFont="1" applyAlignment="1">
      <alignment horizontal="center" vertical="top"/>
    </xf>
    <xf numFmtId="0" fontId="22" fillId="0" borderId="11" xfId="7" applyFont="1" applyBorder="1" applyAlignment="1">
      <alignment horizontal="center" vertical="center"/>
    </xf>
    <xf numFmtId="0" fontId="61" fillId="0" borderId="2" xfId="7" applyFont="1" applyBorder="1" applyAlignment="1">
      <alignment horizontal="center" vertical="center"/>
    </xf>
    <xf numFmtId="0" fontId="61" fillId="0" borderId="12" xfId="7" applyFont="1" applyBorder="1" applyAlignment="1">
      <alignment horizontal="left" vertical="top"/>
    </xf>
    <xf numFmtId="0" fontId="61" fillId="0" borderId="3" xfId="7" applyFont="1" applyBorder="1" applyAlignment="1">
      <alignment horizontal="left" vertical="top"/>
    </xf>
    <xf numFmtId="3" fontId="1" fillId="0" borderId="21" xfId="7" applyNumberFormat="1" applyFont="1" applyBorder="1" applyAlignment="1">
      <alignment horizontal="center" vertical="top"/>
    </xf>
    <xf numFmtId="3" fontId="1" fillId="0" borderId="22" xfId="7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44" fillId="0" borderId="48" xfId="0" applyFont="1" applyBorder="1" applyAlignment="1">
      <alignment horizontal="center" vertical="center" wrapText="1"/>
    </xf>
    <xf numFmtId="0" fontId="44" fillId="0" borderId="49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3" fontId="51" fillId="0" borderId="53" xfId="0" applyNumberFormat="1" applyFont="1" applyBorder="1" applyAlignment="1">
      <alignment horizontal="center"/>
    </xf>
    <xf numFmtId="0" fontId="47" fillId="0" borderId="0" xfId="0" applyFont="1" applyAlignment="1">
      <alignment horizontal="left"/>
    </xf>
    <xf numFmtId="0" fontId="46" fillId="0" borderId="37" xfId="0" applyFont="1" applyBorder="1" applyAlignment="1">
      <alignment horizontal="center" vertical="center" wrapText="1"/>
    </xf>
    <xf numFmtId="0" fontId="46" fillId="0" borderId="43" xfId="0" applyFont="1" applyBorder="1" applyAlignment="1">
      <alignment horizontal="center" vertical="center" wrapText="1"/>
    </xf>
    <xf numFmtId="43" fontId="46" fillId="0" borderId="38" xfId="3" applyFont="1" applyBorder="1" applyAlignment="1">
      <alignment horizontal="center" vertical="center" wrapText="1"/>
    </xf>
    <xf numFmtId="43" fontId="46" fillId="0" borderId="1" xfId="3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 wrapText="1"/>
    </xf>
    <xf numFmtId="0" fontId="46" fillId="0" borderId="44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/>
    </xf>
    <xf numFmtId="0" fontId="44" fillId="0" borderId="41" xfId="0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0" fontId="48" fillId="0" borderId="63" xfId="0" applyFont="1" applyBorder="1" applyAlignment="1">
      <alignment horizontal="left"/>
    </xf>
    <xf numFmtId="0" fontId="48" fillId="0" borderId="61" xfId="0" applyFont="1" applyBorder="1" applyAlignment="1">
      <alignment horizontal="left"/>
    </xf>
    <xf numFmtId="0" fontId="48" fillId="0" borderId="64" xfId="0" applyFont="1" applyBorder="1" applyAlignment="1">
      <alignment horizontal="left"/>
    </xf>
    <xf numFmtId="0" fontId="70" fillId="0" borderId="0" xfId="0" applyFont="1" applyAlignment="1">
      <alignment horizontal="left" wrapText="1"/>
    </xf>
    <xf numFmtId="166" fontId="68" fillId="0" borderId="62" xfId="0" applyNumberFormat="1" applyFont="1" applyBorder="1" applyAlignment="1">
      <alignment horizontal="center"/>
    </xf>
    <xf numFmtId="166" fontId="68" fillId="0" borderId="0" xfId="0" applyNumberFormat="1" applyFont="1" applyAlignment="1">
      <alignment horizontal="center"/>
    </xf>
    <xf numFmtId="166" fontId="68" fillId="0" borderId="14" xfId="0" applyNumberFormat="1" applyFont="1" applyBorder="1" applyAlignment="1">
      <alignment horizontal="center"/>
    </xf>
    <xf numFmtId="0" fontId="73" fillId="0" borderId="20" xfId="0" applyFont="1" applyBorder="1" applyAlignment="1">
      <alignment horizontal="left"/>
    </xf>
    <xf numFmtId="0" fontId="73" fillId="0" borderId="61" xfId="0" applyFont="1" applyBorder="1" applyAlignment="1">
      <alignment horizontal="left"/>
    </xf>
    <xf numFmtId="0" fontId="73" fillId="0" borderId="10" xfId="0" applyFont="1" applyBorder="1" applyAlignment="1">
      <alignment horizontal="left"/>
    </xf>
    <xf numFmtId="167" fontId="10" fillId="6" borderId="59" xfId="0" applyNumberFormat="1" applyFont="1" applyFill="1" applyBorder="1" applyAlignment="1">
      <alignment horizontal="center" vertical="center" wrapText="1"/>
    </xf>
    <xf numFmtId="167" fontId="10" fillId="6" borderId="9" xfId="0" applyNumberFormat="1" applyFont="1" applyFill="1" applyBorder="1" applyAlignment="1">
      <alignment horizontal="center" vertical="center" wrapText="1"/>
    </xf>
    <xf numFmtId="167" fontId="10" fillId="6" borderId="4" xfId="0" applyNumberFormat="1" applyFont="1" applyFill="1" applyBorder="1" applyAlignment="1">
      <alignment horizontal="center" vertical="center" wrapText="1"/>
    </xf>
    <xf numFmtId="0" fontId="48" fillId="0" borderId="20" xfId="0" applyFont="1" applyBorder="1" applyAlignment="1">
      <alignment horizontal="left"/>
    </xf>
    <xf numFmtId="0" fontId="48" fillId="0" borderId="10" xfId="0" applyFont="1" applyBorder="1" applyAlignment="1">
      <alignment horizontal="left"/>
    </xf>
    <xf numFmtId="0" fontId="45" fillId="0" borderId="62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14" xfId="0" applyFont="1" applyBorder="1" applyAlignment="1">
      <alignment horizontal="center"/>
    </xf>
    <xf numFmtId="0" fontId="47" fillId="0" borderId="20" xfId="0" applyFont="1" applyBorder="1" applyAlignment="1">
      <alignment horizontal="left"/>
    </xf>
    <xf numFmtId="0" fontId="47" fillId="0" borderId="61" xfId="0" applyFont="1" applyBorder="1" applyAlignment="1">
      <alignment horizontal="left"/>
    </xf>
    <xf numFmtId="0" fontId="47" fillId="0" borderId="10" xfId="0" applyFont="1" applyBorder="1" applyAlignment="1">
      <alignment horizontal="left"/>
    </xf>
    <xf numFmtId="0" fontId="69" fillId="0" borderId="0" xfId="0" applyFont="1" applyAlignment="1">
      <alignment horizontal="center"/>
    </xf>
    <xf numFmtId="167" fontId="10" fillId="6" borderId="1" xfId="6" applyNumberFormat="1" applyFont="1" applyFill="1" applyBorder="1" applyAlignment="1">
      <alignment horizontal="center" vertical="center" wrapText="1"/>
    </xf>
    <xf numFmtId="167" fontId="10" fillId="6" borderId="59" xfId="6" applyNumberFormat="1" applyFont="1" applyFill="1" applyBorder="1" applyAlignment="1">
      <alignment horizontal="center" vertical="center" wrapText="1"/>
    </xf>
    <xf numFmtId="167" fontId="10" fillId="6" borderId="9" xfId="6" applyNumberFormat="1" applyFont="1" applyFill="1" applyBorder="1" applyAlignment="1">
      <alignment horizontal="center" vertical="center" wrapText="1"/>
    </xf>
    <xf numFmtId="167" fontId="10" fillId="6" borderId="4" xfId="6" applyNumberFormat="1" applyFont="1" applyFill="1" applyBorder="1" applyAlignment="1">
      <alignment horizontal="center" vertical="center" wrapText="1"/>
    </xf>
    <xf numFmtId="0" fontId="77" fillId="0" borderId="16" xfId="0" applyFont="1" applyBorder="1" applyAlignment="1">
      <alignment horizontal="center"/>
    </xf>
    <xf numFmtId="0" fontId="32" fillId="0" borderId="26" xfId="7" applyFont="1" applyBorder="1" applyAlignment="1">
      <alignment horizontal="right" vertical="top"/>
    </xf>
    <xf numFmtId="0" fontId="32" fillId="0" borderId="24" xfId="0" applyFont="1" applyBorder="1" applyAlignment="1">
      <alignment horizontal="right" vertical="top" wrapText="1"/>
    </xf>
    <xf numFmtId="3" fontId="2" fillId="5" borderId="54" xfId="0" applyNumberFormat="1" applyFont="1" applyFill="1" applyBorder="1" applyAlignment="1">
      <alignment vertical="top"/>
    </xf>
    <xf numFmtId="3" fontId="2" fillId="5" borderId="55" xfId="0" applyNumberFormat="1" applyFont="1" applyFill="1" applyBorder="1" applyAlignment="1">
      <alignment vertical="top"/>
    </xf>
    <xf numFmtId="3" fontId="2" fillId="5" borderId="56" xfId="0" applyNumberFormat="1" applyFont="1" applyFill="1" applyBorder="1" applyAlignment="1">
      <alignment vertical="top"/>
    </xf>
    <xf numFmtId="3" fontId="2" fillId="5" borderId="28" xfId="0" applyNumberFormat="1" applyFont="1" applyFill="1" applyBorder="1" applyAlignment="1">
      <alignment vertical="top"/>
    </xf>
    <xf numFmtId="3" fontId="2" fillId="5" borderId="57" xfId="0" applyNumberFormat="1" applyFont="1" applyFill="1" applyBorder="1" applyAlignment="1">
      <alignment vertical="top"/>
    </xf>
    <xf numFmtId="3" fontId="2" fillId="5" borderId="58" xfId="0" applyNumberFormat="1" applyFont="1" applyFill="1" applyBorder="1" applyAlignment="1">
      <alignment vertical="top"/>
    </xf>
    <xf numFmtId="3" fontId="1" fillId="0" borderId="54" xfId="0" applyNumberFormat="1" applyFont="1" applyFill="1" applyBorder="1" applyAlignment="1">
      <alignment horizontal="left" vertical="top"/>
    </xf>
    <xf numFmtId="3" fontId="1" fillId="0" borderId="27" xfId="0" applyNumberFormat="1" applyFont="1" applyBorder="1" applyAlignment="1">
      <alignment horizontal="left" vertical="top"/>
    </xf>
    <xf numFmtId="0" fontId="31" fillId="0" borderId="23" xfId="0" applyFont="1" applyBorder="1" applyAlignment="1">
      <alignment horizontal="right" vertical="top"/>
    </xf>
  </cellXfs>
  <cellStyles count="9">
    <cellStyle name="Bad" xfId="6" builtinId="27"/>
    <cellStyle name="Comma" xfId="3" builtinId="3"/>
    <cellStyle name="Hyperlink" xfId="1" builtinId="8"/>
    <cellStyle name="Normal" xfId="0" builtinId="0"/>
    <cellStyle name="Normal 2 2" xfId="7" xr:uid="{259D3A63-30F2-462B-8332-89F0B4B64187}"/>
    <cellStyle name="Normal 4" xfId="8" xr:uid="{C9A416DE-A315-4D78-B9DE-8A3F4718930C}"/>
    <cellStyle name="Normal_10 forma" xfId="2" xr:uid="{00000000-0005-0000-0000-000002000000}"/>
    <cellStyle name="Percent" xfId="5" builtinId="5"/>
    <cellStyle name="SAPBEXHLevel0" xfId="4" xr:uid="{1AF80EB1-3B3B-4B47-8311-8F019E3DD23E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BF9F-642C-4738-B307-8FB3754B3803}">
  <sheetPr>
    <tabColor theme="9" tint="0.79998168889431442"/>
  </sheetPr>
  <dimension ref="A1:O150"/>
  <sheetViews>
    <sheetView tabSelected="1" topLeftCell="A2" zoomScaleNormal="100" workbookViewId="0">
      <selection activeCell="A18" sqref="A18"/>
    </sheetView>
  </sheetViews>
  <sheetFormatPr defaultColWidth="11.453125" defaultRowHeight="13" outlineLevelRow="2" outlineLevelCol="1"/>
  <cols>
    <col min="1" max="1" width="9.81640625" style="250" customWidth="1"/>
    <col min="2" max="2" width="61" style="251" customWidth="1"/>
    <col min="3" max="3" width="14.26953125" style="131" customWidth="1"/>
    <col min="4" max="4" width="11.54296875" style="131" hidden="1" customWidth="1" outlineLevel="1"/>
    <col min="5" max="5" width="13.7265625" style="131" customWidth="1" collapsed="1"/>
    <col min="6" max="6" width="11.54296875" style="131" hidden="1" customWidth="1" outlineLevel="1"/>
    <col min="7" max="7" width="14.81640625" style="131" customWidth="1" collapsed="1"/>
    <col min="8" max="8" width="11.54296875" style="131" hidden="1" customWidth="1" outlineLevel="1"/>
    <col min="9" max="9" width="13.7265625" style="131" customWidth="1" collapsed="1"/>
    <col min="10" max="10" width="11.54296875" style="131" hidden="1" customWidth="1" outlineLevel="1"/>
    <col min="11" max="11" width="17" style="252" customWidth="1" collapsed="1"/>
    <col min="12" max="12" width="11.54296875" style="252" hidden="1" customWidth="1" outlineLevel="1"/>
    <col min="13" max="13" width="11.453125" style="132" collapsed="1"/>
    <col min="14" max="22" width="10.81640625" style="132" customWidth="1"/>
    <col min="23" max="16384" width="11.453125" style="132"/>
  </cols>
  <sheetData>
    <row r="1" spans="1:14" ht="12.75" hidden="1" customHeight="1">
      <c r="A1" s="129"/>
      <c r="B1" s="130"/>
      <c r="K1" s="636"/>
      <c r="L1" s="636"/>
    </row>
    <row r="2" spans="1:14" ht="15.75" customHeight="1">
      <c r="A2" s="670" t="s">
        <v>154</v>
      </c>
      <c r="B2" s="670"/>
      <c r="C2" s="670"/>
      <c r="D2" s="133"/>
      <c r="E2" s="133"/>
      <c r="F2" s="133"/>
      <c r="G2" s="133"/>
      <c r="H2" s="133"/>
      <c r="I2" s="133"/>
      <c r="K2" s="653"/>
      <c r="L2" s="653"/>
    </row>
    <row r="3" spans="1:14" ht="15" customHeight="1">
      <c r="A3" s="670" t="s">
        <v>155</v>
      </c>
      <c r="B3" s="670"/>
      <c r="C3"/>
      <c r="D3"/>
      <c r="E3"/>
      <c r="F3"/>
      <c r="G3"/>
      <c r="H3"/>
      <c r="I3"/>
      <c r="J3"/>
      <c r="K3"/>
      <c r="L3"/>
      <c r="M3"/>
    </row>
    <row r="4" spans="1:14" ht="15.75" customHeight="1">
      <c r="A4" s="671" t="s">
        <v>395</v>
      </c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671"/>
    </row>
    <row r="5" spans="1:14" ht="15">
      <c r="A5" s="671" t="s">
        <v>150</v>
      </c>
      <c r="B5" s="671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57"/>
    </row>
    <row r="6" spans="1:14" s="644" customFormat="1" ht="12.75" customHeight="1">
      <c r="A6" s="641"/>
      <c r="B6" s="642"/>
      <c r="C6" s="660">
        <f>C10-C22</f>
        <v>141075.00000000186</v>
      </c>
      <c r="D6" s="643">
        <f>D10-D22</f>
        <v>0</v>
      </c>
      <c r="E6" s="660">
        <f>E10-E22</f>
        <v>-476373.81000000238</v>
      </c>
      <c r="F6" s="643">
        <f>F10-F22</f>
        <v>0</v>
      </c>
      <c r="G6" s="660">
        <f>G10-G22</f>
        <v>960569.51000000164</v>
      </c>
      <c r="H6" s="643">
        <f>H10-H22</f>
        <v>0</v>
      </c>
      <c r="I6" s="660">
        <f>I10-I22</f>
        <v>-1019682.1999999955</v>
      </c>
      <c r="J6" s="643">
        <f>J10-J22</f>
        <v>0</v>
      </c>
      <c r="K6" s="660">
        <f>K10-K22</f>
        <v>-394411.49000000954</v>
      </c>
      <c r="L6" s="643">
        <f>L10-L22</f>
        <v>0</v>
      </c>
    </row>
    <row r="7" spans="1:14" s="134" customFormat="1" ht="24" customHeight="1">
      <c r="A7" s="672" t="s">
        <v>2</v>
      </c>
      <c r="B7" s="674"/>
      <c r="C7" s="676" t="s">
        <v>3</v>
      </c>
      <c r="D7" s="676"/>
      <c r="E7" s="668" t="s">
        <v>4</v>
      </c>
      <c r="F7" s="669"/>
      <c r="G7" s="666" t="s">
        <v>5</v>
      </c>
      <c r="H7" s="667"/>
      <c r="I7" s="666" t="s">
        <v>6</v>
      </c>
      <c r="J7" s="667"/>
      <c r="K7" s="668">
        <v>2025</v>
      </c>
      <c r="L7" s="669"/>
    </row>
    <row r="8" spans="1:14" s="134" customFormat="1">
      <c r="A8" s="673"/>
      <c r="B8" s="675"/>
      <c r="C8" s="135" t="s">
        <v>8</v>
      </c>
      <c r="D8" s="136" t="s">
        <v>156</v>
      </c>
      <c r="E8" s="137" t="s">
        <v>8</v>
      </c>
      <c r="F8" s="136" t="s">
        <v>156</v>
      </c>
      <c r="G8" s="137" t="s">
        <v>8</v>
      </c>
      <c r="H8" s="136" t="s">
        <v>156</v>
      </c>
      <c r="I8" s="137" t="s">
        <v>8</v>
      </c>
      <c r="J8" s="136" t="s">
        <v>156</v>
      </c>
      <c r="K8" s="135" t="s">
        <v>8</v>
      </c>
      <c r="L8" s="136" t="s">
        <v>156</v>
      </c>
    </row>
    <row r="9" spans="1:14" s="134" customFormat="1" outlineLevel="2">
      <c r="A9" s="138"/>
      <c r="B9" s="139" t="s">
        <v>11</v>
      </c>
      <c r="C9" s="140"/>
      <c r="D9" s="141"/>
      <c r="E9" s="140"/>
      <c r="F9" s="142"/>
      <c r="G9" s="143"/>
      <c r="H9" s="143"/>
      <c r="I9" s="143"/>
      <c r="J9" s="143"/>
      <c r="K9" s="143"/>
      <c r="L9" s="143"/>
    </row>
    <row r="10" spans="1:14" s="148" customFormat="1" ht="14" outlineLevel="2">
      <c r="A10" s="144"/>
      <c r="B10" s="145" t="s">
        <v>12</v>
      </c>
      <c r="C10" s="303">
        <f>C12+C14+C16+C13+C15</f>
        <v>13548888.130000001</v>
      </c>
      <c r="D10" s="303">
        <f>D12+D14+D16+D13+D15</f>
        <v>0</v>
      </c>
      <c r="E10" s="303">
        <f>E12+E14+E16+E13+E15</f>
        <v>14476480.633333331</v>
      </c>
      <c r="F10" s="303">
        <f>F12+F14+F16+F13+F15</f>
        <v>0</v>
      </c>
      <c r="G10" s="303">
        <f>G12+G14+G16+G13+G15</f>
        <v>17933751.59</v>
      </c>
      <c r="H10" s="303">
        <f>H12+H14+H16+H13+H15</f>
        <v>0</v>
      </c>
      <c r="I10" s="303">
        <f>I12+I14+I16+I13+I15</f>
        <v>25038989.966666669</v>
      </c>
      <c r="J10" s="303">
        <f>J12+J14+J16</f>
        <v>0</v>
      </c>
      <c r="K10" s="303">
        <f>K12+K14+K16+K13+K15</f>
        <v>70998110.319999993</v>
      </c>
      <c r="L10" s="146">
        <f>L11+L14+L16</f>
        <v>0</v>
      </c>
      <c r="N10" s="639"/>
    </row>
    <row r="11" spans="1:14" ht="13.5" customHeight="1" outlineLevel="2">
      <c r="A11" s="149">
        <v>21710</v>
      </c>
      <c r="B11" s="150" t="s">
        <v>13</v>
      </c>
      <c r="C11" s="755">
        <f>SUM(C12:C13)</f>
        <v>12722681</v>
      </c>
      <c r="D11" s="755">
        <f t="shared" ref="D11:K11" si="0">SUM(D12:D13)</f>
        <v>0</v>
      </c>
      <c r="E11" s="755">
        <f t="shared" si="0"/>
        <v>14169216.59333333</v>
      </c>
      <c r="F11" s="755">
        <f t="shared" si="0"/>
        <v>0</v>
      </c>
      <c r="G11" s="755">
        <f t="shared" si="0"/>
        <v>16969283</v>
      </c>
      <c r="H11" s="755">
        <f t="shared" si="0"/>
        <v>0</v>
      </c>
      <c r="I11" s="755">
        <f t="shared" si="0"/>
        <v>24679287.666666672</v>
      </c>
      <c r="J11" s="755">
        <f t="shared" si="0"/>
        <v>0</v>
      </c>
      <c r="K11" s="755">
        <f t="shared" si="0"/>
        <v>68540468.25999999</v>
      </c>
      <c r="L11" s="151">
        <f>D12+F12+H12+J12</f>
        <v>0</v>
      </c>
      <c r="N11" s="639"/>
    </row>
    <row r="12" spans="1:14" ht="13.5" customHeight="1" outlineLevel="2">
      <c r="A12" s="149"/>
      <c r="B12" s="748" t="s">
        <v>13</v>
      </c>
      <c r="C12" s="749">
        <f>3722681+LTV!C11</f>
        <v>12722681</v>
      </c>
      <c r="D12" s="750"/>
      <c r="E12" s="750">
        <f>3907055+564831-70000+LTV!E11+52481.26</f>
        <v>12554367.26</v>
      </c>
      <c r="F12" s="750"/>
      <c r="G12" s="750">
        <f>4032879+LTV!G11</f>
        <v>12132879</v>
      </c>
      <c r="H12" s="750"/>
      <c r="I12" s="750">
        <f>4299244+LTV!I11</f>
        <v>12169151</v>
      </c>
      <c r="J12" s="750"/>
      <c r="K12" s="751">
        <f>C12+E12+G12+I12</f>
        <v>49579078.259999998</v>
      </c>
      <c r="L12" s="151"/>
      <c r="N12" s="639"/>
    </row>
    <row r="13" spans="1:14" ht="13.5" customHeight="1" outlineLevel="2">
      <c r="A13" s="149"/>
      <c r="B13" s="747" t="s">
        <v>206</v>
      </c>
      <c r="C13" s="752"/>
      <c r="D13" s="753"/>
      <c r="E13" s="753">
        <f>LTV!E12</f>
        <v>1614849.33333333</v>
      </c>
      <c r="F13" s="753"/>
      <c r="G13" s="753">
        <f>LTV!G12</f>
        <v>4836404</v>
      </c>
      <c r="H13" s="753"/>
      <c r="I13" s="753">
        <f>LTV!I12</f>
        <v>12510136.66666667</v>
      </c>
      <c r="J13" s="753"/>
      <c r="K13" s="754">
        <f>C13+E13+G13+I13</f>
        <v>18961390</v>
      </c>
      <c r="L13" s="151"/>
      <c r="N13" s="639"/>
    </row>
    <row r="14" spans="1:14" ht="13.5" customHeight="1" outlineLevel="2">
      <c r="A14" s="640">
        <v>18130</v>
      </c>
      <c r="B14" s="150" t="s">
        <v>157</v>
      </c>
      <c r="C14" s="475"/>
      <c r="D14" s="476"/>
      <c r="E14" s="476"/>
      <c r="F14" s="476"/>
      <c r="G14" s="476">
        <v>625000</v>
      </c>
      <c r="H14" s="476"/>
      <c r="I14" s="476"/>
      <c r="J14" s="476"/>
      <c r="K14" s="477">
        <f t="shared" ref="K14:K15" si="1">C14+E14+G14+I14</f>
        <v>625000</v>
      </c>
      <c r="L14" s="151">
        <f>D14+F14+H14+J14</f>
        <v>0</v>
      </c>
      <c r="N14" s="639"/>
    </row>
    <row r="15" spans="1:14" ht="13.5" customHeight="1" outlineLevel="2">
      <c r="A15" s="757" t="s">
        <v>221</v>
      </c>
      <c r="B15" s="387" t="s">
        <v>208</v>
      </c>
      <c r="C15" s="475">
        <f>LTV!C14</f>
        <v>323802</v>
      </c>
      <c r="D15" s="476"/>
      <c r="E15" s="476"/>
      <c r="F15" s="476"/>
      <c r="G15" s="476"/>
      <c r="H15" s="476"/>
      <c r="I15" s="476"/>
      <c r="J15" s="476"/>
      <c r="K15" s="477">
        <f t="shared" si="1"/>
        <v>323802</v>
      </c>
      <c r="L15" s="151"/>
      <c r="N15" s="639"/>
    </row>
    <row r="16" spans="1:14" ht="13.5" customHeight="1" outlineLevel="2">
      <c r="A16" s="149">
        <v>21499</v>
      </c>
      <c r="B16" s="152" t="s">
        <v>14</v>
      </c>
      <c r="C16" s="317">
        <f>SUM(C17:C21)</f>
        <v>502405.13</v>
      </c>
      <c r="D16" s="756">
        <f t="shared" ref="D16:J16" si="2">SUM(D17:D20)</f>
        <v>0</v>
      </c>
      <c r="E16" s="317">
        <f t="shared" si="2"/>
        <v>307264.04000000004</v>
      </c>
      <c r="F16" s="756">
        <f t="shared" si="2"/>
        <v>0</v>
      </c>
      <c r="G16" s="317">
        <f t="shared" si="2"/>
        <v>339468.59</v>
      </c>
      <c r="H16" s="756">
        <f t="shared" si="2"/>
        <v>0</v>
      </c>
      <c r="I16" s="317">
        <f t="shared" si="2"/>
        <v>359702.3</v>
      </c>
      <c r="J16" s="756">
        <f t="shared" si="2"/>
        <v>0</v>
      </c>
      <c r="K16" s="317">
        <f>SUM(K17:K21)</f>
        <v>1508840.06</v>
      </c>
      <c r="L16" s="153">
        <f>SUM(L17:L20)</f>
        <v>0</v>
      </c>
      <c r="M16" s="657"/>
      <c r="N16" s="639"/>
    </row>
    <row r="17" spans="1:14" ht="13.5" hidden="1" customHeight="1" outlineLevel="2">
      <c r="A17" s="154">
        <v>214992</v>
      </c>
      <c r="B17" s="152" t="s">
        <v>158</v>
      </c>
      <c r="C17" s="305"/>
      <c r="D17" s="306"/>
      <c r="E17" s="305"/>
      <c r="F17" s="306"/>
      <c r="G17" s="305"/>
      <c r="H17" s="306"/>
      <c r="I17" s="305"/>
      <c r="J17" s="306"/>
      <c r="K17" s="305">
        <f t="shared" ref="K17:L21" si="3">C17+E17+G17+I17</f>
        <v>0</v>
      </c>
      <c r="L17" s="155">
        <f t="shared" si="3"/>
        <v>0</v>
      </c>
      <c r="M17" s="657"/>
    </row>
    <row r="18" spans="1:14" s="134" customFormat="1" ht="13.5" customHeight="1" outlineLevel="2">
      <c r="A18" s="154">
        <v>214991</v>
      </c>
      <c r="B18" s="664" t="s">
        <v>15</v>
      </c>
      <c r="C18" s="305">
        <v>291830.59999999998</v>
      </c>
      <c r="D18" s="306"/>
      <c r="E18" s="305">
        <f>15000+LTV!E17</f>
        <v>98616.920000000013</v>
      </c>
      <c r="F18" s="306"/>
      <c r="G18" s="305">
        <f>20000+LTV!G17</f>
        <v>100281.30000000002</v>
      </c>
      <c r="H18" s="306"/>
      <c r="I18" s="305">
        <f>11000+LTV!I17</f>
        <v>100950.33</v>
      </c>
      <c r="J18" s="306"/>
      <c r="K18" s="305">
        <f t="shared" si="3"/>
        <v>591679.15</v>
      </c>
      <c r="L18" s="155">
        <f t="shared" si="3"/>
        <v>0</v>
      </c>
      <c r="M18" s="658"/>
    </row>
    <row r="19" spans="1:14" s="134" customFormat="1" ht="13.5" customHeight="1" outlineLevel="2">
      <c r="A19" s="154">
        <v>214993</v>
      </c>
      <c r="B19" s="664" t="s">
        <v>398</v>
      </c>
      <c r="C19" s="305"/>
      <c r="D19" s="306"/>
      <c r="E19" s="305">
        <v>35000</v>
      </c>
      <c r="F19" s="306"/>
      <c r="G19" s="305">
        <v>35000</v>
      </c>
      <c r="H19" s="306"/>
      <c r="I19" s="305">
        <v>30000</v>
      </c>
      <c r="J19" s="306"/>
      <c r="K19" s="305">
        <f t="shared" si="3"/>
        <v>100000</v>
      </c>
      <c r="L19" s="155"/>
      <c r="M19" s="658"/>
    </row>
    <row r="20" spans="1:14" ht="13.5" customHeight="1" outlineLevel="2">
      <c r="A20" s="154">
        <v>214993</v>
      </c>
      <c r="B20" s="665" t="s">
        <v>16</v>
      </c>
      <c r="C20" s="305">
        <v>210574.53</v>
      </c>
      <c r="D20" s="306"/>
      <c r="E20" s="305">
        <f>60000+LTV!E16-35000</f>
        <v>173647.12</v>
      </c>
      <c r="F20" s="306"/>
      <c r="G20" s="305">
        <f>60000+LTV!G16-35000</f>
        <v>204187.29</v>
      </c>
      <c r="H20" s="306"/>
      <c r="I20" s="305">
        <f>97360+LTV!I16-30000</f>
        <v>228751.96999999997</v>
      </c>
      <c r="J20" s="306"/>
      <c r="K20" s="305">
        <f t="shared" si="3"/>
        <v>817160.91</v>
      </c>
      <c r="L20" s="155">
        <f t="shared" si="3"/>
        <v>0</v>
      </c>
      <c r="M20" s="657"/>
    </row>
    <row r="21" spans="1:14" ht="13.5" hidden="1" customHeight="1" outlineLevel="2">
      <c r="A21" s="157"/>
      <c r="B21" s="158" t="s">
        <v>159</v>
      </c>
      <c r="C21" s="307"/>
      <c r="D21" s="308"/>
      <c r="E21" s="307"/>
      <c r="F21" s="308"/>
      <c r="G21" s="307"/>
      <c r="H21" s="308"/>
      <c r="I21" s="307"/>
      <c r="J21" s="308"/>
      <c r="K21" s="305">
        <f t="shared" si="3"/>
        <v>0</v>
      </c>
      <c r="L21" s="155">
        <f t="shared" si="3"/>
        <v>0</v>
      </c>
    </row>
    <row r="22" spans="1:14" s="161" customFormat="1" ht="14" outlineLevel="2">
      <c r="A22" s="159"/>
      <c r="B22" s="160" t="s">
        <v>17</v>
      </c>
      <c r="C22" s="304">
        <f t="shared" ref="C22:L22" si="4">C23+C115</f>
        <v>13407813.129999999</v>
      </c>
      <c r="D22" s="304">
        <f t="shared" si="4"/>
        <v>0</v>
      </c>
      <c r="E22" s="304">
        <f t="shared" si="4"/>
        <v>14952854.443333333</v>
      </c>
      <c r="F22" s="304">
        <f t="shared" si="4"/>
        <v>0</v>
      </c>
      <c r="G22" s="304">
        <f t="shared" si="4"/>
        <v>16973182.079999998</v>
      </c>
      <c r="H22" s="304">
        <f t="shared" si="4"/>
        <v>0</v>
      </c>
      <c r="I22" s="304">
        <f t="shared" si="4"/>
        <v>26058672.166666664</v>
      </c>
      <c r="J22" s="304">
        <f t="shared" si="4"/>
        <v>0</v>
      </c>
      <c r="K22" s="304">
        <f>K23+K115</f>
        <v>71392521.810000002</v>
      </c>
      <c r="L22" s="147">
        <f t="shared" si="4"/>
        <v>0</v>
      </c>
      <c r="N22" s="483"/>
    </row>
    <row r="23" spans="1:14" s="161" customFormat="1" ht="14.5" customHeight="1" outlineLevel="2">
      <c r="A23" s="162" t="s">
        <v>18</v>
      </c>
      <c r="B23" s="163" t="s">
        <v>19</v>
      </c>
      <c r="C23" s="309">
        <f t="shared" ref="C23:L23" si="5">C24+C112</f>
        <v>11190545.079999998</v>
      </c>
      <c r="D23" s="309">
        <f t="shared" si="5"/>
        <v>0</v>
      </c>
      <c r="E23" s="309">
        <f t="shared" si="5"/>
        <v>11752506.84</v>
      </c>
      <c r="F23" s="309">
        <f t="shared" si="5"/>
        <v>0</v>
      </c>
      <c r="G23" s="309">
        <f t="shared" si="5"/>
        <v>11403732.59</v>
      </c>
      <c r="H23" s="309">
        <f t="shared" si="5"/>
        <v>0</v>
      </c>
      <c r="I23" s="309">
        <f t="shared" si="5"/>
        <v>12438124.379999999</v>
      </c>
      <c r="J23" s="309">
        <f t="shared" si="5"/>
        <v>0</v>
      </c>
      <c r="K23" s="309">
        <f t="shared" si="5"/>
        <v>46784908.880000003</v>
      </c>
      <c r="L23" s="164">
        <f t="shared" si="5"/>
        <v>0</v>
      </c>
    </row>
    <row r="24" spans="1:14" s="161" customFormat="1" ht="14" outlineLevel="2">
      <c r="A24" s="162" t="s">
        <v>20</v>
      </c>
      <c r="B24" s="163" t="s">
        <v>21</v>
      </c>
      <c r="C24" s="309">
        <f t="shared" ref="C24:J24" si="6">C25+C45</f>
        <v>11184545.079999998</v>
      </c>
      <c r="D24" s="309">
        <f t="shared" si="6"/>
        <v>0</v>
      </c>
      <c r="E24" s="309">
        <f t="shared" si="6"/>
        <v>11746506.84</v>
      </c>
      <c r="F24" s="309">
        <f t="shared" si="6"/>
        <v>0</v>
      </c>
      <c r="G24" s="309">
        <f t="shared" si="6"/>
        <v>11397732.59</v>
      </c>
      <c r="H24" s="309">
        <f t="shared" si="6"/>
        <v>0</v>
      </c>
      <c r="I24" s="309">
        <f t="shared" si="6"/>
        <v>12431124.379999999</v>
      </c>
      <c r="J24" s="309">
        <f t="shared" si="6"/>
        <v>0</v>
      </c>
      <c r="K24" s="309">
        <f>K25+K45</f>
        <v>46759908.880000003</v>
      </c>
      <c r="L24" s="164">
        <f>L25+L45</f>
        <v>0</v>
      </c>
    </row>
    <row r="25" spans="1:14" outlineLevel="2">
      <c r="A25" s="165">
        <v>1000</v>
      </c>
      <c r="B25" s="166" t="s">
        <v>22</v>
      </c>
      <c r="C25" s="310">
        <f t="shared" ref="C25:J25" si="7">C26+C39</f>
        <v>7328225.6899999995</v>
      </c>
      <c r="D25" s="310">
        <f t="shared" si="7"/>
        <v>0</v>
      </c>
      <c r="E25" s="310">
        <f t="shared" si="7"/>
        <v>8051159.3200000003</v>
      </c>
      <c r="F25" s="310">
        <f t="shared" si="7"/>
        <v>0</v>
      </c>
      <c r="G25" s="310">
        <f t="shared" si="7"/>
        <v>7827830.9900000002</v>
      </c>
      <c r="H25" s="310">
        <f t="shared" si="7"/>
        <v>0</v>
      </c>
      <c r="I25" s="310">
        <f t="shared" si="7"/>
        <v>8336782.4099999983</v>
      </c>
      <c r="J25" s="310">
        <f t="shared" si="7"/>
        <v>0</v>
      </c>
      <c r="K25" s="310">
        <f>K26+K39</f>
        <v>31543998.400000002</v>
      </c>
      <c r="L25" s="167">
        <f>L26+L39</f>
        <v>0</v>
      </c>
    </row>
    <row r="26" spans="1:14" ht="13" customHeight="1" outlineLevel="2">
      <c r="A26" s="168">
        <v>1100</v>
      </c>
      <c r="B26" s="150" t="s">
        <v>23</v>
      </c>
      <c r="C26" s="311">
        <f t="shared" ref="C26:J26" si="8">C27+C29+C37+C38</f>
        <v>5835433.9699999997</v>
      </c>
      <c r="D26" s="311">
        <f t="shared" si="8"/>
        <v>0</v>
      </c>
      <c r="E26" s="311">
        <f t="shared" si="8"/>
        <v>6449029.6699999999</v>
      </c>
      <c r="F26" s="311">
        <f t="shared" si="8"/>
        <v>0</v>
      </c>
      <c r="G26" s="311">
        <f t="shared" si="8"/>
        <v>6251592.0300000003</v>
      </c>
      <c r="H26" s="311">
        <f t="shared" si="8"/>
        <v>0</v>
      </c>
      <c r="I26" s="311">
        <f t="shared" si="8"/>
        <v>6719939.8899999987</v>
      </c>
      <c r="J26" s="311">
        <f t="shared" si="8"/>
        <v>0</v>
      </c>
      <c r="K26" s="311">
        <f>K27+K29+K37+K38</f>
        <v>25255995.560000002</v>
      </c>
      <c r="L26" s="169">
        <f>L27+L29+L37+L38</f>
        <v>0</v>
      </c>
    </row>
    <row r="27" spans="1:14" ht="13" customHeight="1" outlineLevel="2">
      <c r="A27" s="170">
        <v>1110</v>
      </c>
      <c r="B27" s="152" t="s">
        <v>24</v>
      </c>
      <c r="C27" s="312">
        <f t="shared" ref="C27:J27" si="9">C28</f>
        <v>4654958.74</v>
      </c>
      <c r="D27" s="312">
        <f t="shared" si="9"/>
        <v>0</v>
      </c>
      <c r="E27" s="312">
        <f t="shared" si="9"/>
        <v>5102054.8999999994</v>
      </c>
      <c r="F27" s="312">
        <f t="shared" si="9"/>
        <v>0</v>
      </c>
      <c r="G27" s="312">
        <f t="shared" si="9"/>
        <v>4957740.67</v>
      </c>
      <c r="H27" s="312">
        <f t="shared" si="9"/>
        <v>0</v>
      </c>
      <c r="I27" s="312">
        <f t="shared" si="9"/>
        <v>5119668.2999999989</v>
      </c>
      <c r="J27" s="312">
        <f t="shared" si="9"/>
        <v>0</v>
      </c>
      <c r="K27" s="312">
        <f>K28</f>
        <v>19834422.609999999</v>
      </c>
      <c r="L27" s="171">
        <f>L28</f>
        <v>0</v>
      </c>
    </row>
    <row r="28" spans="1:14" s="134" customFormat="1" ht="13" customHeight="1" outlineLevel="2">
      <c r="A28" s="172">
        <v>1119</v>
      </c>
      <c r="B28" s="173" t="s">
        <v>96</v>
      </c>
      <c r="C28" s="305">
        <f>1456787+LTV!C24+165000</f>
        <v>4654958.74</v>
      </c>
      <c r="D28" s="305"/>
      <c r="E28" s="305">
        <f>1587682+LTV!E24+42464-165000</f>
        <v>5102054.8999999994</v>
      </c>
      <c r="F28" s="305"/>
      <c r="G28" s="305">
        <f>1599296+LTV!G24+183169.69</f>
        <v>4957740.67</v>
      </c>
      <c r="H28" s="305"/>
      <c r="I28" s="305">
        <f>1599296+LTV!I24</f>
        <v>5119668.2999999989</v>
      </c>
      <c r="J28" s="305"/>
      <c r="K28" s="313">
        <f>C28+E28+G28+I28</f>
        <v>19834422.609999999</v>
      </c>
      <c r="L28" s="174">
        <f>D28+F28+H28+J28</f>
        <v>0</v>
      </c>
    </row>
    <row r="29" spans="1:14" s="175" customFormat="1" ht="13" customHeight="1" outlineLevel="2">
      <c r="A29" s="170">
        <v>1140</v>
      </c>
      <c r="B29" s="152" t="s">
        <v>97</v>
      </c>
      <c r="C29" s="312">
        <f t="shared" ref="C29:J29" si="10">SUM(C30:C36)</f>
        <v>741539.3</v>
      </c>
      <c r="D29" s="312">
        <f t="shared" si="10"/>
        <v>0</v>
      </c>
      <c r="E29" s="312">
        <f t="shared" si="10"/>
        <v>819343.74</v>
      </c>
      <c r="F29" s="312">
        <f t="shared" si="10"/>
        <v>0</v>
      </c>
      <c r="G29" s="312">
        <f t="shared" si="10"/>
        <v>858832.40999999992</v>
      </c>
      <c r="H29" s="312">
        <f t="shared" si="10"/>
        <v>0</v>
      </c>
      <c r="I29" s="312">
        <f t="shared" si="10"/>
        <v>968197.54</v>
      </c>
      <c r="J29" s="312">
        <f t="shared" si="10"/>
        <v>0</v>
      </c>
      <c r="K29" s="312">
        <f>SUM(K30:K36)</f>
        <v>3387912.99</v>
      </c>
      <c r="L29" s="171">
        <f>SUM(L30:L36)</f>
        <v>0</v>
      </c>
    </row>
    <row r="30" spans="1:14" s="175" customFormat="1" ht="13" customHeight="1" outlineLevel="2">
      <c r="A30" s="172">
        <v>1141</v>
      </c>
      <c r="B30" s="152" t="s">
        <v>25</v>
      </c>
      <c r="C30" s="313">
        <f>13200+LTV!C26</f>
        <v>32154.86</v>
      </c>
      <c r="D30" s="305"/>
      <c r="E30" s="313">
        <f>13200+LTV!E26</f>
        <v>32584.350000000002</v>
      </c>
      <c r="F30" s="305"/>
      <c r="G30" s="313">
        <f>13000+LTV!G26</f>
        <v>33601.699999999997</v>
      </c>
      <c r="H30" s="305"/>
      <c r="I30" s="313">
        <f>14000+LTV!I26</f>
        <v>30104.09</v>
      </c>
      <c r="J30" s="305"/>
      <c r="K30" s="313">
        <f>C30+E30+G30+I30</f>
        <v>128445</v>
      </c>
      <c r="L30" s="174">
        <f>D30+F30+H30+J30</f>
        <v>0</v>
      </c>
    </row>
    <row r="31" spans="1:14" s="175" customFormat="1" ht="13" customHeight="1" outlineLevel="2">
      <c r="A31" s="172">
        <v>1142</v>
      </c>
      <c r="B31" s="152" t="s">
        <v>98</v>
      </c>
      <c r="C31" s="313">
        <f>15600+LTV!C27</f>
        <v>32558.89</v>
      </c>
      <c r="D31" s="305"/>
      <c r="E31" s="313">
        <f>30000+LTV!E27</f>
        <v>66455.13</v>
      </c>
      <c r="F31" s="305"/>
      <c r="G31" s="313">
        <f>12000+LTV!G27</f>
        <v>17703.77</v>
      </c>
      <c r="H31" s="305"/>
      <c r="I31" s="313">
        <f>21080+LTV!I27</f>
        <v>29415.94</v>
      </c>
      <c r="J31" s="305"/>
      <c r="K31" s="313">
        <f t="shared" ref="K31:L38" si="11">C31+E31+G31+I31</f>
        <v>146133.73000000001</v>
      </c>
      <c r="L31" s="174">
        <f t="shared" si="11"/>
        <v>0</v>
      </c>
    </row>
    <row r="32" spans="1:14" s="178" customFormat="1" ht="13" hidden="1" customHeight="1" outlineLevel="2">
      <c r="A32" s="176">
        <v>1145</v>
      </c>
      <c r="B32" s="177" t="s">
        <v>26</v>
      </c>
      <c r="C32" s="314"/>
      <c r="D32" s="315"/>
      <c r="E32" s="314"/>
      <c r="F32" s="315"/>
      <c r="G32" s="314"/>
      <c r="H32" s="315"/>
      <c r="I32" s="314"/>
      <c r="J32" s="315"/>
      <c r="K32" s="313">
        <f t="shared" si="11"/>
        <v>0</v>
      </c>
      <c r="L32" s="174">
        <f t="shared" si="11"/>
        <v>0</v>
      </c>
    </row>
    <row r="33" spans="1:14" s="178" customFormat="1" ht="13" customHeight="1" outlineLevel="2">
      <c r="A33" s="176">
        <v>1146</v>
      </c>
      <c r="B33" s="177" t="s">
        <v>99</v>
      </c>
      <c r="C33" s="314">
        <f>22410+LTV!C28</f>
        <v>214844.00999999998</v>
      </c>
      <c r="D33" s="315"/>
      <c r="E33" s="314">
        <f>22410+LTV!E28</f>
        <v>214844.00999999998</v>
      </c>
      <c r="F33" s="315"/>
      <c r="G33" s="314">
        <f>22410+LTV!G28</f>
        <v>214844.00999999998</v>
      </c>
      <c r="H33" s="315"/>
      <c r="I33" s="314">
        <f>22410+LTV!I28</f>
        <v>214844.00999999998</v>
      </c>
      <c r="J33" s="315"/>
      <c r="K33" s="313">
        <f t="shared" si="11"/>
        <v>859376.03999999992</v>
      </c>
      <c r="L33" s="174">
        <f t="shared" si="11"/>
        <v>0</v>
      </c>
    </row>
    <row r="34" spans="1:14" s="175" customFormat="1" ht="13" customHeight="1" outlineLevel="2">
      <c r="A34" s="172">
        <v>1147</v>
      </c>
      <c r="B34" s="152" t="s">
        <v>27</v>
      </c>
      <c r="C34" s="313">
        <f>141681+LTV!C29</f>
        <v>458415.39</v>
      </c>
      <c r="D34" s="305"/>
      <c r="E34" s="313">
        <f>207943+LTV!E29</f>
        <v>504029.12</v>
      </c>
      <c r="F34" s="305"/>
      <c r="G34" s="313">
        <f>263943+LTV!G29+53005</f>
        <v>589123.46</v>
      </c>
      <c r="H34" s="305"/>
      <c r="I34" s="313">
        <f>273940+LTV!I29</f>
        <v>594955.07000000007</v>
      </c>
      <c r="J34" s="305"/>
      <c r="K34" s="313">
        <f t="shared" si="11"/>
        <v>2146523.04</v>
      </c>
      <c r="L34" s="174">
        <f t="shared" si="11"/>
        <v>0</v>
      </c>
      <c r="N34" s="478"/>
    </row>
    <row r="35" spans="1:14" s="175" customFormat="1" ht="13" customHeight="1" outlineLevel="2">
      <c r="A35" s="172">
        <v>1148</v>
      </c>
      <c r="B35" s="152" t="s">
        <v>101</v>
      </c>
      <c r="C35" s="313">
        <f>LTV!C30</f>
        <v>3566.1499999999996</v>
      </c>
      <c r="D35" s="305"/>
      <c r="E35" s="313">
        <f>LTV!E30</f>
        <v>1431.13</v>
      </c>
      <c r="F35" s="305"/>
      <c r="G35" s="313">
        <f>LTV!G30</f>
        <v>3559.47</v>
      </c>
      <c r="H35" s="305"/>
      <c r="I35" s="313">
        <f>93784+LTV!I30</f>
        <v>98878.43</v>
      </c>
      <c r="J35" s="305"/>
      <c r="K35" s="313">
        <f t="shared" si="11"/>
        <v>107435.18</v>
      </c>
      <c r="L35" s="174">
        <f t="shared" si="11"/>
        <v>0</v>
      </c>
    </row>
    <row r="36" spans="1:14" s="175" customFormat="1" ht="13" hidden="1" customHeight="1" outlineLevel="2">
      <c r="A36" s="172">
        <v>1149</v>
      </c>
      <c r="B36" s="152" t="s">
        <v>100</v>
      </c>
      <c r="C36" s="313"/>
      <c r="D36" s="305"/>
      <c r="E36" s="313"/>
      <c r="F36" s="305"/>
      <c r="G36" s="313"/>
      <c r="H36" s="305"/>
      <c r="I36" s="313"/>
      <c r="J36" s="305"/>
      <c r="K36" s="313">
        <f t="shared" si="11"/>
        <v>0</v>
      </c>
      <c r="L36" s="174">
        <f t="shared" si="11"/>
        <v>0</v>
      </c>
    </row>
    <row r="37" spans="1:14" s="178" customFormat="1" ht="13" customHeight="1" outlineLevel="2">
      <c r="A37" s="179">
        <v>1150</v>
      </c>
      <c r="B37" s="180" t="s">
        <v>125</v>
      </c>
      <c r="C37" s="316">
        <f>204200+LTV!C31</f>
        <v>438935.93</v>
      </c>
      <c r="D37" s="315"/>
      <c r="E37" s="314">
        <f>252300-30000+LTV!E31</f>
        <v>527631.03</v>
      </c>
      <c r="F37" s="314"/>
      <c r="G37" s="314">
        <f>209500+LTV!G31+6400</f>
        <v>435018.94999999995</v>
      </c>
      <c r="H37" s="314"/>
      <c r="I37" s="314">
        <f>214540+LTV!I31</f>
        <v>632074.04999999993</v>
      </c>
      <c r="J37" s="314"/>
      <c r="K37" s="313">
        <f t="shared" si="11"/>
        <v>2033659.96</v>
      </c>
      <c r="L37" s="174">
        <f t="shared" si="11"/>
        <v>0</v>
      </c>
    </row>
    <row r="38" spans="1:14" s="178" customFormat="1" ht="13" hidden="1" customHeight="1" outlineLevel="2">
      <c r="A38" s="179">
        <v>1170</v>
      </c>
      <c r="B38" s="177" t="s">
        <v>28</v>
      </c>
      <c r="C38" s="316"/>
      <c r="D38" s="315"/>
      <c r="E38" s="316"/>
      <c r="F38" s="315"/>
      <c r="G38" s="316"/>
      <c r="H38" s="315"/>
      <c r="I38" s="316"/>
      <c r="J38" s="315"/>
      <c r="K38" s="313">
        <f t="shared" si="11"/>
        <v>0</v>
      </c>
      <c r="L38" s="174">
        <f t="shared" si="11"/>
        <v>0</v>
      </c>
    </row>
    <row r="39" spans="1:14" ht="13" customHeight="1" outlineLevel="2">
      <c r="A39" s="181">
        <v>1200</v>
      </c>
      <c r="B39" s="152" t="s">
        <v>102</v>
      </c>
      <c r="C39" s="317">
        <f t="shared" ref="C39:J39" si="12">C40+C41</f>
        <v>1492791.7200000002</v>
      </c>
      <c r="D39" s="317">
        <f t="shared" si="12"/>
        <v>0</v>
      </c>
      <c r="E39" s="317">
        <f t="shared" si="12"/>
        <v>1602129.6500000001</v>
      </c>
      <c r="F39" s="317">
        <f t="shared" si="12"/>
        <v>0</v>
      </c>
      <c r="G39" s="317">
        <f t="shared" si="12"/>
        <v>1576238.9600000002</v>
      </c>
      <c r="H39" s="317">
        <f t="shared" si="12"/>
        <v>0</v>
      </c>
      <c r="I39" s="317">
        <f t="shared" si="12"/>
        <v>1616842.5199999998</v>
      </c>
      <c r="J39" s="317">
        <f t="shared" si="12"/>
        <v>0</v>
      </c>
      <c r="K39" s="182">
        <f>K40+K41</f>
        <v>6288002.8400000008</v>
      </c>
      <c r="L39" s="182">
        <f>L40+L41</f>
        <v>0</v>
      </c>
    </row>
    <row r="40" spans="1:14" s="134" customFormat="1" ht="14.25" customHeight="1" outlineLevel="2">
      <c r="A40" s="170">
        <v>1210</v>
      </c>
      <c r="B40" s="152" t="s">
        <v>29</v>
      </c>
      <c r="C40" s="183">
        <f>417965+LTV!C34+35000.03</f>
        <v>1305640.1000000003</v>
      </c>
      <c r="D40" s="318"/>
      <c r="E40" s="318">
        <f>469738+LTV!E34+10017.26-35000.03</f>
        <v>1432143.11</v>
      </c>
      <c r="F40" s="318"/>
      <c r="G40" s="318">
        <f>470459+LTV!G34+38487.31</f>
        <v>1384331.87</v>
      </c>
      <c r="H40" s="318"/>
      <c r="I40" s="318">
        <f>489059+LTV!I34</f>
        <v>1453655.3599999999</v>
      </c>
      <c r="J40" s="318"/>
      <c r="K40" s="318">
        <f>C40+E40+G40+I40-0.01</f>
        <v>5575770.4300000006</v>
      </c>
      <c r="L40" s="183">
        <f>D40+F40+H40+J40</f>
        <v>0</v>
      </c>
      <c r="N40" s="479"/>
    </row>
    <row r="41" spans="1:14" s="175" customFormat="1" ht="14.25" customHeight="1" outlineLevel="2">
      <c r="A41" s="170">
        <v>1220</v>
      </c>
      <c r="B41" s="152" t="s">
        <v>103</v>
      </c>
      <c r="C41" s="312">
        <f t="shared" ref="C41:J41" si="13">SUM(C42:C44)</f>
        <v>187151.62</v>
      </c>
      <c r="D41" s="312">
        <f t="shared" si="13"/>
        <v>0</v>
      </c>
      <c r="E41" s="312">
        <f t="shared" si="13"/>
        <v>169986.54</v>
      </c>
      <c r="F41" s="312">
        <f t="shared" si="13"/>
        <v>0</v>
      </c>
      <c r="G41" s="312">
        <f t="shared" si="13"/>
        <v>191907.09</v>
      </c>
      <c r="H41" s="312">
        <f t="shared" si="13"/>
        <v>0</v>
      </c>
      <c r="I41" s="312">
        <f t="shared" si="13"/>
        <v>163187.16</v>
      </c>
      <c r="J41" s="312">
        <f t="shared" si="13"/>
        <v>0</v>
      </c>
      <c r="K41" s="312">
        <f>SUM(K42:K44)</f>
        <v>712232.41</v>
      </c>
      <c r="L41" s="171">
        <f>SUM(L42:L44)</f>
        <v>0</v>
      </c>
    </row>
    <row r="42" spans="1:14" s="175" customFormat="1" ht="26.25" customHeight="1" outlineLevel="2">
      <c r="A42" s="172">
        <v>1221</v>
      </c>
      <c r="B42" s="152" t="s">
        <v>104</v>
      </c>
      <c r="C42" s="319">
        <f>23000+LTV!C36</f>
        <v>49753.539999999994</v>
      </c>
      <c r="D42" s="320"/>
      <c r="E42" s="319">
        <f>20000+LTV!E36</f>
        <v>47387.02</v>
      </c>
      <c r="F42" s="320"/>
      <c r="G42" s="319">
        <f>20000+LTV!G36</f>
        <v>47692.99</v>
      </c>
      <c r="H42" s="320"/>
      <c r="I42" s="319">
        <f>17000+LTV!I36</f>
        <v>44287.94</v>
      </c>
      <c r="J42" s="320"/>
      <c r="K42" s="319">
        <f t="shared" ref="K42:L44" si="14">C42+E42+G42+I42</f>
        <v>189121.49</v>
      </c>
      <c r="L42" s="184">
        <f t="shared" si="14"/>
        <v>0</v>
      </c>
    </row>
    <row r="43" spans="1:14" s="175" customFormat="1" ht="14.5" customHeight="1" outlineLevel="2">
      <c r="A43" s="172">
        <v>1227</v>
      </c>
      <c r="B43" s="152" t="s">
        <v>30</v>
      </c>
      <c r="C43" s="319">
        <f>45000+LTV!C37</f>
        <v>133608.08000000002</v>
      </c>
      <c r="D43" s="320"/>
      <c r="E43" s="319">
        <f>48000+LTV!E37</f>
        <v>119209.52</v>
      </c>
      <c r="F43" s="320"/>
      <c r="G43" s="319">
        <f>47500+LTV!G37</f>
        <v>140924.1</v>
      </c>
      <c r="H43" s="320"/>
      <c r="I43" s="319">
        <f>42000+LTV!I37</f>
        <v>115609.22</v>
      </c>
      <c r="J43" s="320"/>
      <c r="K43" s="319">
        <f t="shared" si="14"/>
        <v>509350.92000000004</v>
      </c>
      <c r="L43" s="184">
        <f t="shared" si="14"/>
        <v>0</v>
      </c>
    </row>
    <row r="44" spans="1:14" s="178" customFormat="1" ht="26.25" customHeight="1" outlineLevel="2">
      <c r="A44" s="176">
        <v>1228</v>
      </c>
      <c r="B44" s="185" t="s">
        <v>105</v>
      </c>
      <c r="C44" s="321">
        <f>1300+LTV!C38</f>
        <v>3790</v>
      </c>
      <c r="D44" s="322"/>
      <c r="E44" s="321">
        <f>900+LTV!E38</f>
        <v>3390</v>
      </c>
      <c r="F44" s="322"/>
      <c r="G44" s="321">
        <f>800+LTV!G38</f>
        <v>3290</v>
      </c>
      <c r="H44" s="322"/>
      <c r="I44" s="321">
        <f>800+LTV!I38</f>
        <v>3290</v>
      </c>
      <c r="J44" s="322"/>
      <c r="K44" s="319">
        <f t="shared" si="14"/>
        <v>13760</v>
      </c>
      <c r="L44" s="184">
        <f t="shared" si="14"/>
        <v>0</v>
      </c>
    </row>
    <row r="45" spans="1:14" s="175" customFormat="1" outlineLevel="2">
      <c r="A45" s="186">
        <v>2000</v>
      </c>
      <c r="B45" s="187" t="s">
        <v>31</v>
      </c>
      <c r="C45" s="323">
        <f t="shared" ref="C45:L45" si="15">C46+C53+C89+C104+C105</f>
        <v>3856319.3899999997</v>
      </c>
      <c r="D45" s="323">
        <f t="shared" si="15"/>
        <v>0</v>
      </c>
      <c r="E45" s="323">
        <f t="shared" si="15"/>
        <v>3695347.52</v>
      </c>
      <c r="F45" s="323">
        <f t="shared" si="15"/>
        <v>0</v>
      </c>
      <c r="G45" s="323">
        <f t="shared" si="15"/>
        <v>3569901.6000000006</v>
      </c>
      <c r="H45" s="323">
        <f t="shared" si="15"/>
        <v>0</v>
      </c>
      <c r="I45" s="323">
        <f t="shared" si="15"/>
        <v>4094341.97</v>
      </c>
      <c r="J45" s="323">
        <f t="shared" si="15"/>
        <v>0</v>
      </c>
      <c r="K45" s="323">
        <f>K46+K53+K89+K104+K105</f>
        <v>15215910.479999999</v>
      </c>
      <c r="L45" s="188">
        <f t="shared" si="15"/>
        <v>0</v>
      </c>
      <c r="N45" s="478"/>
    </row>
    <row r="46" spans="1:14" s="175" customFormat="1" ht="12.65" customHeight="1" outlineLevel="2">
      <c r="A46" s="168">
        <v>2100</v>
      </c>
      <c r="B46" s="150" t="s">
        <v>106</v>
      </c>
      <c r="C46" s="311">
        <f t="shared" ref="C46:J46" si="16">C47+C50</f>
        <v>186885.22000000003</v>
      </c>
      <c r="D46" s="311">
        <f t="shared" si="16"/>
        <v>0</v>
      </c>
      <c r="E46" s="311">
        <f t="shared" si="16"/>
        <v>191014.25999999998</v>
      </c>
      <c r="F46" s="311">
        <f t="shared" si="16"/>
        <v>0</v>
      </c>
      <c r="G46" s="311">
        <f t="shared" si="16"/>
        <v>202334.95</v>
      </c>
      <c r="H46" s="311">
        <f t="shared" si="16"/>
        <v>0</v>
      </c>
      <c r="I46" s="311">
        <f t="shared" si="16"/>
        <v>92642.85</v>
      </c>
      <c r="J46" s="311">
        <f t="shared" si="16"/>
        <v>0</v>
      </c>
      <c r="K46" s="311">
        <f>K47+K50</f>
        <v>672877.27999999991</v>
      </c>
      <c r="L46" s="169">
        <f>L47+L50</f>
        <v>0</v>
      </c>
    </row>
    <row r="47" spans="1:14" s="175" customFormat="1" ht="12.75" customHeight="1" outlineLevel="2">
      <c r="A47" s="170">
        <v>2110</v>
      </c>
      <c r="B47" s="152" t="s">
        <v>107</v>
      </c>
      <c r="C47" s="312">
        <f t="shared" ref="C47:I47" si="17">SUM(C48:C49)</f>
        <v>12423.760000000002</v>
      </c>
      <c r="D47" s="312">
        <f t="shared" si="17"/>
        <v>0</v>
      </c>
      <c r="E47" s="312">
        <f t="shared" si="17"/>
        <v>15891.460000000001</v>
      </c>
      <c r="F47" s="312">
        <f t="shared" si="17"/>
        <v>0</v>
      </c>
      <c r="G47" s="312">
        <f t="shared" si="17"/>
        <v>11519.29</v>
      </c>
      <c r="H47" s="312">
        <f t="shared" si="17"/>
        <v>0</v>
      </c>
      <c r="I47" s="312">
        <f t="shared" si="17"/>
        <v>8807.81</v>
      </c>
      <c r="J47" s="312">
        <f>SUM(J48:J49)</f>
        <v>0</v>
      </c>
      <c r="K47" s="312">
        <f>SUM(K48:K49)</f>
        <v>48642.32</v>
      </c>
      <c r="L47" s="171">
        <f>SUM(L48:L49)</f>
        <v>0</v>
      </c>
    </row>
    <row r="48" spans="1:14" s="175" customFormat="1" ht="12.75" customHeight="1" outlineLevel="2">
      <c r="A48" s="172">
        <v>2111</v>
      </c>
      <c r="B48" s="152" t="s">
        <v>32</v>
      </c>
      <c r="C48" s="313">
        <f>1800+LTV!C42</f>
        <v>4616.3600000000006</v>
      </c>
      <c r="D48" s="305"/>
      <c r="E48" s="313">
        <f>1500+LTV!E42</f>
        <v>6147.26</v>
      </c>
      <c r="F48" s="305"/>
      <c r="G48" s="313">
        <f>1400+LTV!G42+565</f>
        <v>4565.83</v>
      </c>
      <c r="H48" s="305"/>
      <c r="I48" s="313">
        <f>1043+LTV!I42</f>
        <v>3154.41</v>
      </c>
      <c r="J48" s="305"/>
      <c r="K48" s="313">
        <f>C48+E48+G48+I48</f>
        <v>18483.86</v>
      </c>
      <c r="L48" s="174">
        <f>D48+F48+H48+J48</f>
        <v>0</v>
      </c>
    </row>
    <row r="49" spans="1:14" s="175" customFormat="1" ht="12.75" customHeight="1" outlineLevel="2">
      <c r="A49" s="172">
        <v>2112</v>
      </c>
      <c r="B49" s="152" t="s">
        <v>108</v>
      </c>
      <c r="C49" s="313">
        <f>2500+LTV!C43</f>
        <v>7807.4000000000005</v>
      </c>
      <c r="D49" s="305"/>
      <c r="E49" s="313">
        <f>2000+LTV!E43</f>
        <v>9744.2000000000007</v>
      </c>
      <c r="F49" s="305"/>
      <c r="G49" s="313">
        <f>1900+LTV!G43</f>
        <v>6953.46</v>
      </c>
      <c r="H49" s="305"/>
      <c r="I49" s="313">
        <f>1633+LTV!I43</f>
        <v>5653.4</v>
      </c>
      <c r="J49" s="305"/>
      <c r="K49" s="313">
        <f>C49+E49+G49+I49</f>
        <v>30158.46</v>
      </c>
      <c r="L49" s="174">
        <f>D49+F49+H49+J49</f>
        <v>0</v>
      </c>
    </row>
    <row r="50" spans="1:14" s="175" customFormat="1" ht="12.75" customHeight="1" outlineLevel="2">
      <c r="A50" s="170">
        <v>2120</v>
      </c>
      <c r="B50" s="152" t="s">
        <v>109</v>
      </c>
      <c r="C50" s="312">
        <f t="shared" ref="C50:J50" si="18">SUM(C51:C52)</f>
        <v>174461.46000000002</v>
      </c>
      <c r="D50" s="312">
        <f t="shared" si="18"/>
        <v>0</v>
      </c>
      <c r="E50" s="312">
        <f t="shared" si="18"/>
        <v>175122.8</v>
      </c>
      <c r="F50" s="312">
        <f t="shared" si="18"/>
        <v>0</v>
      </c>
      <c r="G50" s="312">
        <f t="shared" si="18"/>
        <v>190815.66</v>
      </c>
      <c r="H50" s="312">
        <f t="shared" si="18"/>
        <v>0</v>
      </c>
      <c r="I50" s="312">
        <f t="shared" si="18"/>
        <v>83835.040000000008</v>
      </c>
      <c r="J50" s="312">
        <f t="shared" si="18"/>
        <v>0</v>
      </c>
      <c r="K50" s="312">
        <f>SUM(K51:K52)</f>
        <v>624234.96</v>
      </c>
      <c r="L50" s="171">
        <f>SUM(L51:L52)</f>
        <v>0</v>
      </c>
    </row>
    <row r="51" spans="1:14" s="134" customFormat="1" ht="12.75" customHeight="1" outlineLevel="2">
      <c r="A51" s="172">
        <v>2121</v>
      </c>
      <c r="B51" s="152" t="s">
        <v>32</v>
      </c>
      <c r="C51" s="313">
        <f>10500+LTV!C45</f>
        <v>34787.86</v>
      </c>
      <c r="D51" s="305"/>
      <c r="E51" s="313">
        <f>12000+LTV!E45</f>
        <v>48926.630000000005</v>
      </c>
      <c r="F51" s="305"/>
      <c r="G51" s="313">
        <f>17000+LTV!G45</f>
        <v>56081.48</v>
      </c>
      <c r="H51" s="305"/>
      <c r="I51" s="313">
        <f>10096+LTV!I45</f>
        <v>29281.18</v>
      </c>
      <c r="J51" s="305"/>
      <c r="K51" s="313">
        <f>C51+E51+G51+I51</f>
        <v>169077.15</v>
      </c>
      <c r="L51" s="174">
        <f>D51+F51+H51+J51</f>
        <v>0</v>
      </c>
    </row>
    <row r="52" spans="1:14" ht="12.75" customHeight="1" outlineLevel="2">
      <c r="A52" s="172">
        <v>2122</v>
      </c>
      <c r="B52" s="152" t="s">
        <v>108</v>
      </c>
      <c r="C52" s="313">
        <f>21000+LTV!C46</f>
        <v>139673.60000000001</v>
      </c>
      <c r="D52" s="305"/>
      <c r="E52" s="313">
        <f>25000+LTV!E46</f>
        <v>126196.17</v>
      </c>
      <c r="F52" s="305"/>
      <c r="G52" s="313">
        <f>27000+LTV!G46</f>
        <v>134734.18</v>
      </c>
      <c r="H52" s="305"/>
      <c r="I52" s="313">
        <f>9154+LTV!I46</f>
        <v>54553.86</v>
      </c>
      <c r="J52" s="305"/>
      <c r="K52" s="313">
        <f>C52+E52+G52+I52</f>
        <v>455157.81</v>
      </c>
      <c r="L52" s="174">
        <f>D52+F52+H52+J52</f>
        <v>0</v>
      </c>
    </row>
    <row r="53" spans="1:14" outlineLevel="2">
      <c r="A53" s="181">
        <v>2200</v>
      </c>
      <c r="B53" s="152" t="s">
        <v>33</v>
      </c>
      <c r="C53" s="317">
        <f t="shared" ref="C53:J53" si="19">C54+C55+C61+C70+C77+C80+C86</f>
        <v>3046248.2799999993</v>
      </c>
      <c r="D53" s="317">
        <f t="shared" si="19"/>
        <v>0</v>
      </c>
      <c r="E53" s="317">
        <f t="shared" si="19"/>
        <v>2925709.6100000003</v>
      </c>
      <c r="F53" s="317">
        <f t="shared" si="19"/>
        <v>0</v>
      </c>
      <c r="G53" s="317">
        <f t="shared" si="19"/>
        <v>2804748.8400000003</v>
      </c>
      <c r="H53" s="317">
        <f t="shared" si="19"/>
        <v>0</v>
      </c>
      <c r="I53" s="317">
        <f t="shared" si="19"/>
        <v>3366051.33</v>
      </c>
      <c r="J53" s="317">
        <f t="shared" si="19"/>
        <v>0</v>
      </c>
      <c r="K53" s="317">
        <f>K54+K55+K61+K70+K77+K80+K86</f>
        <v>12142758.059999999</v>
      </c>
      <c r="L53" s="182">
        <f>L54+L55+L61+L70+L77+L80+L86</f>
        <v>0</v>
      </c>
      <c r="N53" s="481"/>
    </row>
    <row r="54" spans="1:14" ht="12.75" customHeight="1" outlineLevel="2">
      <c r="A54" s="170">
        <v>2210</v>
      </c>
      <c r="B54" s="152" t="s">
        <v>124</v>
      </c>
      <c r="C54" s="313">
        <f>671000+LTV!C48</f>
        <v>800853.95</v>
      </c>
      <c r="D54" s="313"/>
      <c r="E54" s="313">
        <f>677000+LTV!E48</f>
        <v>922748.91</v>
      </c>
      <c r="F54" s="313"/>
      <c r="G54" s="313">
        <f>690580+LTV!G48</f>
        <v>820740.77</v>
      </c>
      <c r="H54" s="313"/>
      <c r="I54" s="313">
        <f>679000+LTV!I48</f>
        <v>937943.86</v>
      </c>
      <c r="J54" s="313"/>
      <c r="K54" s="318">
        <f>C54+E54+G54+I54</f>
        <v>3482287.4899999998</v>
      </c>
      <c r="L54" s="183">
        <f>D54+F54+H54+J54</f>
        <v>0</v>
      </c>
      <c r="M54" s="481"/>
    </row>
    <row r="55" spans="1:14" s="134" customFormat="1" ht="12.75" customHeight="1" outlineLevel="2">
      <c r="A55" s="170">
        <v>2220</v>
      </c>
      <c r="B55" s="152" t="s">
        <v>34</v>
      </c>
      <c r="C55" s="312">
        <f t="shared" ref="C55:J55" si="20">SUM(C56:C60)</f>
        <v>337489.99</v>
      </c>
      <c r="D55" s="312">
        <f t="shared" si="20"/>
        <v>0</v>
      </c>
      <c r="E55" s="312">
        <f t="shared" si="20"/>
        <v>184693.22999999998</v>
      </c>
      <c r="F55" s="312">
        <f t="shared" si="20"/>
        <v>0</v>
      </c>
      <c r="G55" s="312">
        <f t="shared" si="20"/>
        <v>138180.15</v>
      </c>
      <c r="H55" s="312">
        <f t="shared" si="20"/>
        <v>0</v>
      </c>
      <c r="I55" s="312">
        <f t="shared" si="20"/>
        <v>268261.58</v>
      </c>
      <c r="J55" s="312">
        <f t="shared" si="20"/>
        <v>0</v>
      </c>
      <c r="K55" s="312">
        <f>SUM(K56:K60)</f>
        <v>928624.95</v>
      </c>
      <c r="L55" s="171">
        <f>SUM(L56:L60)</f>
        <v>0</v>
      </c>
    </row>
    <row r="56" spans="1:14" ht="12.75" customHeight="1" outlineLevel="2">
      <c r="A56" s="172">
        <v>2221</v>
      </c>
      <c r="B56" s="152" t="s">
        <v>110</v>
      </c>
      <c r="C56" s="305">
        <f>26800+LTV!C50</f>
        <v>196586</v>
      </c>
      <c r="D56" s="305"/>
      <c r="E56" s="305">
        <f>10000+LTV!E50</f>
        <v>54959</v>
      </c>
      <c r="F56" s="305"/>
      <c r="G56" s="305">
        <f>LTV!G50</f>
        <v>2602</v>
      </c>
      <c r="H56" s="305"/>
      <c r="I56" s="305">
        <f>11200+LTV!I50</f>
        <v>133425</v>
      </c>
      <c r="J56" s="305"/>
      <c r="K56" s="313">
        <f>C56+E56+G56+I56</f>
        <v>387572</v>
      </c>
      <c r="L56" s="174">
        <f>D56+F56+H56+J56</f>
        <v>0</v>
      </c>
    </row>
    <row r="57" spans="1:14" ht="12.75" customHeight="1" outlineLevel="2">
      <c r="A57" s="172">
        <v>2222</v>
      </c>
      <c r="B57" s="152" t="s">
        <v>35</v>
      </c>
      <c r="C57" s="305">
        <f>1440+LTV!C51</f>
        <v>4124</v>
      </c>
      <c r="D57" s="305"/>
      <c r="E57" s="305">
        <f>1400+LTV!E51</f>
        <v>4954</v>
      </c>
      <c r="F57" s="305"/>
      <c r="G57" s="305">
        <f>1400+LTV!G51</f>
        <v>4924</v>
      </c>
      <c r="H57" s="305"/>
      <c r="I57" s="305">
        <f>1400+LTV!I51</f>
        <v>4160</v>
      </c>
      <c r="J57" s="305"/>
      <c r="K57" s="313">
        <f t="shared" ref="K57:L60" si="21">C57+E57+G57+I57</f>
        <v>18162</v>
      </c>
      <c r="L57" s="174">
        <f t="shared" si="21"/>
        <v>0</v>
      </c>
    </row>
    <row r="58" spans="1:14" ht="15" customHeight="1" outlineLevel="2">
      <c r="A58" s="172">
        <v>2223</v>
      </c>
      <c r="B58" s="152" t="s">
        <v>36</v>
      </c>
      <c r="C58" s="305">
        <f>21000+LTV!C52</f>
        <v>129799.99</v>
      </c>
      <c r="D58" s="305"/>
      <c r="E58" s="305">
        <f>20000+LTV!E52</f>
        <v>118000.23</v>
      </c>
      <c r="F58" s="305"/>
      <c r="G58" s="305">
        <f>20000+LTV!G52</f>
        <v>123874.15</v>
      </c>
      <c r="H58" s="305"/>
      <c r="I58" s="305">
        <f>19000+LTV!I52</f>
        <v>124096.58</v>
      </c>
      <c r="J58" s="305"/>
      <c r="K58" s="313">
        <f t="shared" si="21"/>
        <v>495770.95</v>
      </c>
      <c r="L58" s="174">
        <f t="shared" si="21"/>
        <v>0</v>
      </c>
    </row>
    <row r="59" spans="1:14" ht="15" customHeight="1" outlineLevel="2">
      <c r="A59" s="172">
        <v>2224</v>
      </c>
      <c r="B59" s="152" t="s">
        <v>160</v>
      </c>
      <c r="C59" s="305">
        <f>LTV!C53</f>
        <v>5280</v>
      </c>
      <c r="D59" s="305"/>
      <c r="E59" s="305">
        <f>LTV!E53</f>
        <v>5280</v>
      </c>
      <c r="F59" s="305"/>
      <c r="G59" s="305">
        <f>LTV!G53</f>
        <v>5280</v>
      </c>
      <c r="H59" s="305"/>
      <c r="I59" s="305">
        <f>LTV!I53</f>
        <v>5280</v>
      </c>
      <c r="J59" s="305"/>
      <c r="K59" s="313">
        <f t="shared" si="21"/>
        <v>21120</v>
      </c>
      <c r="L59" s="174">
        <f t="shared" si="21"/>
        <v>0</v>
      </c>
    </row>
    <row r="60" spans="1:14" ht="15" customHeight="1" outlineLevel="2">
      <c r="A60" s="172">
        <v>2229</v>
      </c>
      <c r="B60" s="189" t="s">
        <v>37</v>
      </c>
      <c r="C60" s="305">
        <v>1700</v>
      </c>
      <c r="D60" s="305"/>
      <c r="E60" s="305">
        <v>1500</v>
      </c>
      <c r="F60" s="305"/>
      <c r="G60" s="305">
        <v>1500</v>
      </c>
      <c r="H60" s="305"/>
      <c r="I60" s="305">
        <v>1300</v>
      </c>
      <c r="J60" s="305"/>
      <c r="K60" s="313">
        <f t="shared" si="21"/>
        <v>6000</v>
      </c>
      <c r="L60" s="174">
        <f t="shared" si="21"/>
        <v>0</v>
      </c>
    </row>
    <row r="61" spans="1:14" ht="15" customHeight="1" outlineLevel="2">
      <c r="A61" s="170">
        <v>2230</v>
      </c>
      <c r="B61" s="189" t="s">
        <v>38</v>
      </c>
      <c r="C61" s="312">
        <f t="shared" ref="C61:J61" si="22">SUM(C62:C69)</f>
        <v>955113.11999999988</v>
      </c>
      <c r="D61" s="312">
        <f t="shared" si="22"/>
        <v>0</v>
      </c>
      <c r="E61" s="312">
        <f t="shared" si="22"/>
        <v>1340128.78</v>
      </c>
      <c r="F61" s="312">
        <f t="shared" si="22"/>
        <v>0</v>
      </c>
      <c r="G61" s="312">
        <f t="shared" si="22"/>
        <v>1112833.9099999999</v>
      </c>
      <c r="H61" s="312">
        <f t="shared" si="22"/>
        <v>0</v>
      </c>
      <c r="I61" s="312">
        <f t="shared" si="22"/>
        <v>1249624.19</v>
      </c>
      <c r="J61" s="312">
        <f t="shared" si="22"/>
        <v>0</v>
      </c>
      <c r="K61" s="312">
        <f>SUM(K62:K69)</f>
        <v>4657700</v>
      </c>
      <c r="L61" s="171">
        <f>SUM(L62:L69)</f>
        <v>0</v>
      </c>
      <c r="N61" s="481"/>
    </row>
    <row r="62" spans="1:14" ht="13.5" customHeight="1" outlineLevel="2">
      <c r="A62" s="172">
        <v>2231</v>
      </c>
      <c r="B62" s="189" t="s">
        <v>111</v>
      </c>
      <c r="C62" s="305">
        <f>5000+LTV!C55</f>
        <v>12200</v>
      </c>
      <c r="D62" s="305"/>
      <c r="E62" s="305">
        <v>8000</v>
      </c>
      <c r="F62" s="305"/>
      <c r="G62" s="305">
        <v>10000</v>
      </c>
      <c r="H62" s="305"/>
      <c r="I62" s="305">
        <v>5956</v>
      </c>
      <c r="J62" s="305"/>
      <c r="K62" s="313">
        <f>C62+E62+G62+I62</f>
        <v>36156</v>
      </c>
      <c r="L62" s="174">
        <f>D62+F62+H62+J62</f>
        <v>0</v>
      </c>
    </row>
    <row r="63" spans="1:14" s="134" customFormat="1" ht="13.5" customHeight="1" outlineLevel="2">
      <c r="A63" s="172">
        <v>2232</v>
      </c>
      <c r="B63" s="189" t="s">
        <v>112</v>
      </c>
      <c r="C63" s="305">
        <f>17000+LTV!C56</f>
        <v>81787.8</v>
      </c>
      <c r="D63" s="305"/>
      <c r="E63" s="305">
        <f>20000+LTV!E56</f>
        <v>117506.84</v>
      </c>
      <c r="F63" s="305"/>
      <c r="G63" s="305">
        <f>25000+LTV!G56</f>
        <v>76365.679999999993</v>
      </c>
      <c r="H63" s="305"/>
      <c r="I63" s="305">
        <f>18365+LTV!I56</f>
        <v>88491.55</v>
      </c>
      <c r="J63" s="305"/>
      <c r="K63" s="313">
        <f t="shared" ref="K63:L69" si="23">C63+E63+G63+I63</f>
        <v>364151.87</v>
      </c>
      <c r="L63" s="174">
        <f t="shared" si="23"/>
        <v>0</v>
      </c>
    </row>
    <row r="64" spans="1:14" s="134" customFormat="1" ht="12.75" customHeight="1" outlineLevel="2">
      <c r="A64" s="172">
        <v>2233</v>
      </c>
      <c r="B64" s="189" t="s">
        <v>39</v>
      </c>
      <c r="C64" s="305">
        <f>LTV!C57</f>
        <v>5110.92</v>
      </c>
      <c r="D64" s="305"/>
      <c r="E64" s="305">
        <f>LTV!E57</f>
        <v>5402.13</v>
      </c>
      <c r="F64" s="305"/>
      <c r="G64" s="305">
        <f>LTV!G57</f>
        <v>4802.6000000000004</v>
      </c>
      <c r="H64" s="305"/>
      <c r="I64" s="305">
        <f>LTV!I57</f>
        <v>4621.08</v>
      </c>
      <c r="J64" s="305"/>
      <c r="K64" s="313">
        <f t="shared" si="23"/>
        <v>19936.73</v>
      </c>
      <c r="L64" s="174">
        <f t="shared" si="23"/>
        <v>0</v>
      </c>
    </row>
    <row r="65" spans="1:12" ht="12.65" hidden="1" customHeight="1" outlineLevel="2">
      <c r="A65" s="172">
        <v>2234</v>
      </c>
      <c r="B65" s="189" t="s">
        <v>40</v>
      </c>
      <c r="C65" s="305"/>
      <c r="D65" s="305"/>
      <c r="E65" s="305"/>
      <c r="F65" s="305"/>
      <c r="G65" s="305"/>
      <c r="H65" s="305"/>
      <c r="I65" s="305"/>
      <c r="J65" s="305"/>
      <c r="K65" s="313">
        <f t="shared" si="23"/>
        <v>0</v>
      </c>
      <c r="L65" s="174">
        <f t="shared" si="23"/>
        <v>0</v>
      </c>
    </row>
    <row r="66" spans="1:12" ht="13.5" customHeight="1" outlineLevel="2">
      <c r="A66" s="172">
        <v>2235</v>
      </c>
      <c r="B66" s="189" t="s">
        <v>41</v>
      </c>
      <c r="C66" s="305">
        <f>6000+LTV!C58</f>
        <v>18000</v>
      </c>
      <c r="D66" s="305"/>
      <c r="E66" s="305">
        <f>11000+LTV!E58</f>
        <v>23000</v>
      </c>
      <c r="F66" s="305"/>
      <c r="G66" s="305">
        <f>8567+LTV!G58</f>
        <v>20567</v>
      </c>
      <c r="H66" s="305"/>
      <c r="I66" s="305">
        <f>9000+LTV!I58</f>
        <v>21000</v>
      </c>
      <c r="J66" s="305"/>
      <c r="K66" s="313">
        <f t="shared" si="23"/>
        <v>82567</v>
      </c>
      <c r="L66" s="174">
        <f t="shared" si="23"/>
        <v>0</v>
      </c>
    </row>
    <row r="67" spans="1:12" ht="12.75" customHeight="1" outlineLevel="2">
      <c r="A67" s="172">
        <v>2236</v>
      </c>
      <c r="B67" s="152" t="s">
        <v>161</v>
      </c>
      <c r="C67" s="305">
        <f>500+LTV!C59</f>
        <v>890</v>
      </c>
      <c r="D67" s="305"/>
      <c r="E67" s="305">
        <f>400+LTV!E59</f>
        <v>790</v>
      </c>
      <c r="F67" s="305"/>
      <c r="G67" s="305">
        <f>400+LTV!G59</f>
        <v>790</v>
      </c>
      <c r="H67" s="305"/>
      <c r="I67" s="305">
        <f>500+LTV!I59</f>
        <v>890</v>
      </c>
      <c r="J67" s="305"/>
      <c r="K67" s="313">
        <f t="shared" si="23"/>
        <v>3360</v>
      </c>
      <c r="L67" s="174">
        <f t="shared" si="23"/>
        <v>0</v>
      </c>
    </row>
    <row r="68" spans="1:12" ht="12.75" hidden="1" customHeight="1" outlineLevel="2">
      <c r="A68" s="172">
        <v>2238</v>
      </c>
      <c r="B68" s="152" t="s">
        <v>113</v>
      </c>
      <c r="C68" s="305"/>
      <c r="D68" s="305"/>
      <c r="E68" s="305"/>
      <c r="F68" s="305"/>
      <c r="G68" s="305"/>
      <c r="H68" s="305"/>
      <c r="I68" s="305"/>
      <c r="J68" s="305"/>
      <c r="K68" s="313">
        <f t="shared" si="23"/>
        <v>0</v>
      </c>
      <c r="L68" s="174">
        <f t="shared" si="23"/>
        <v>0</v>
      </c>
    </row>
    <row r="69" spans="1:12" outlineLevel="2">
      <c r="A69" s="172">
        <v>2239</v>
      </c>
      <c r="B69" s="189" t="s">
        <v>126</v>
      </c>
      <c r="C69" s="305">
        <f>350646+LTV!C60-250000</f>
        <v>837124.39999999991</v>
      </c>
      <c r="D69" s="305"/>
      <c r="E69" s="305">
        <f>417803+LTV!E60</f>
        <v>1185429.81</v>
      </c>
      <c r="F69" s="305"/>
      <c r="G69" s="305">
        <f>368402+LTV!G60</f>
        <v>1000308.6299999999</v>
      </c>
      <c r="H69" s="305"/>
      <c r="I69" s="305">
        <f>553588+LTV!I60</f>
        <v>1128665.56</v>
      </c>
      <c r="J69" s="305"/>
      <c r="K69" s="313">
        <f t="shared" si="23"/>
        <v>4151528.4</v>
      </c>
      <c r="L69" s="174">
        <f t="shared" si="23"/>
        <v>0</v>
      </c>
    </row>
    <row r="70" spans="1:12" ht="15.65" customHeight="1" outlineLevel="2">
      <c r="A70" s="170">
        <v>2240</v>
      </c>
      <c r="B70" s="189" t="s">
        <v>114</v>
      </c>
      <c r="C70" s="312">
        <f t="shared" ref="C70:J70" si="24">SUM(C71:C76)</f>
        <v>129469.61</v>
      </c>
      <c r="D70" s="312">
        <f t="shared" si="24"/>
        <v>0</v>
      </c>
      <c r="E70" s="312">
        <f t="shared" si="24"/>
        <v>133883.45000000001</v>
      </c>
      <c r="F70" s="312">
        <f t="shared" si="24"/>
        <v>0</v>
      </c>
      <c r="G70" s="312">
        <f t="shared" si="24"/>
        <v>160747.68</v>
      </c>
      <c r="H70" s="312">
        <f t="shared" si="24"/>
        <v>0</v>
      </c>
      <c r="I70" s="312">
        <f t="shared" si="24"/>
        <v>133772.45000000001</v>
      </c>
      <c r="J70" s="312">
        <f t="shared" si="24"/>
        <v>0</v>
      </c>
      <c r="K70" s="312">
        <f>SUM(K71:K76)</f>
        <v>557873.18999999994</v>
      </c>
      <c r="L70" s="171">
        <f>SUM(L71:L76)</f>
        <v>0</v>
      </c>
    </row>
    <row r="71" spans="1:12" ht="12.75" customHeight="1" outlineLevel="2">
      <c r="A71" s="172">
        <v>2241</v>
      </c>
      <c r="B71" s="189" t="s">
        <v>115</v>
      </c>
      <c r="C71" s="305">
        <f>2000</f>
        <v>2000</v>
      </c>
      <c r="D71" s="305"/>
      <c r="E71" s="305">
        <v>8000</v>
      </c>
      <c r="F71" s="305"/>
      <c r="G71" s="305">
        <v>23574</v>
      </c>
      <c r="H71" s="305"/>
      <c r="I71" s="305">
        <v>10000</v>
      </c>
      <c r="J71" s="305"/>
      <c r="K71" s="313">
        <f>C71+E71+G71+I71</f>
        <v>43574</v>
      </c>
      <c r="L71" s="174">
        <f>D71+F71+H71+J71</f>
        <v>0</v>
      </c>
    </row>
    <row r="72" spans="1:12" ht="12.75" customHeight="1" outlineLevel="2">
      <c r="A72" s="172">
        <v>2242</v>
      </c>
      <c r="B72" s="189" t="s">
        <v>42</v>
      </c>
      <c r="C72" s="305">
        <f>4000+LTV!C62</f>
        <v>12244.130000000001</v>
      </c>
      <c r="D72" s="305"/>
      <c r="E72" s="305">
        <f>4000+LTV!E62</f>
        <v>12545.65</v>
      </c>
      <c r="F72" s="305"/>
      <c r="G72" s="305">
        <f>3299+LTV!G62</f>
        <v>18370.239999999998</v>
      </c>
      <c r="H72" s="305"/>
      <c r="I72" s="305">
        <f>3000+LTV!I62</f>
        <v>11123.35</v>
      </c>
      <c r="J72" s="305"/>
      <c r="K72" s="313">
        <f t="shared" ref="K72:L76" si="25">C72+E72+G72+I72</f>
        <v>54283.369999999995</v>
      </c>
      <c r="L72" s="174">
        <f t="shared" si="25"/>
        <v>0</v>
      </c>
    </row>
    <row r="73" spans="1:12" ht="15" customHeight="1" outlineLevel="2">
      <c r="A73" s="172">
        <v>2243</v>
      </c>
      <c r="B73" s="189" t="s">
        <v>43</v>
      </c>
      <c r="C73" s="305">
        <f>5000+LTV!C63</f>
        <v>15755</v>
      </c>
      <c r="D73" s="305"/>
      <c r="E73" s="305">
        <f>6000+LTV!E63</f>
        <v>16675</v>
      </c>
      <c r="F73" s="305"/>
      <c r="G73" s="305">
        <f>5361+LTV!G63</f>
        <v>16606</v>
      </c>
      <c r="H73" s="305"/>
      <c r="I73" s="305">
        <f>5000+LTV!I63</f>
        <v>15650</v>
      </c>
      <c r="J73" s="305"/>
      <c r="K73" s="313">
        <f t="shared" si="25"/>
        <v>64686</v>
      </c>
      <c r="L73" s="174">
        <f t="shared" si="25"/>
        <v>0</v>
      </c>
    </row>
    <row r="74" spans="1:12" ht="12.75" customHeight="1" outlineLevel="2">
      <c r="A74" s="172">
        <v>2244</v>
      </c>
      <c r="B74" s="152" t="s">
        <v>116</v>
      </c>
      <c r="C74" s="305">
        <f>37000+LTV!C64</f>
        <v>78652.679999999993</v>
      </c>
      <c r="D74" s="305"/>
      <c r="E74" s="305">
        <f>34000+LTV!E64</f>
        <v>75445</v>
      </c>
      <c r="F74" s="305"/>
      <c r="G74" s="305">
        <f>35000+LTV!G64</f>
        <v>76959.64</v>
      </c>
      <c r="H74" s="305"/>
      <c r="I74" s="305">
        <f>32751+LTV!I64</f>
        <v>74376.5</v>
      </c>
      <c r="J74" s="305"/>
      <c r="K74" s="313">
        <f t="shared" si="25"/>
        <v>305433.82</v>
      </c>
      <c r="L74" s="174">
        <f t="shared" si="25"/>
        <v>0</v>
      </c>
    </row>
    <row r="75" spans="1:12" outlineLevel="2">
      <c r="A75" s="172">
        <v>2247</v>
      </c>
      <c r="B75" s="152" t="s">
        <v>44</v>
      </c>
      <c r="C75" s="305">
        <f>1800+LTV!C65</f>
        <v>2017.8</v>
      </c>
      <c r="D75" s="305"/>
      <c r="E75" s="305">
        <f>1000+LTV!E65</f>
        <v>1217.8</v>
      </c>
      <c r="F75" s="305"/>
      <c r="G75" s="305">
        <f>2200+LTV!G65</f>
        <v>2637.8</v>
      </c>
      <c r="H75" s="305"/>
      <c r="I75" s="305">
        <f>4080+LTV!I65</f>
        <v>5622.6</v>
      </c>
      <c r="J75" s="305"/>
      <c r="K75" s="313">
        <f t="shared" si="25"/>
        <v>11496</v>
      </c>
      <c r="L75" s="174">
        <f t="shared" si="25"/>
        <v>0</v>
      </c>
    </row>
    <row r="76" spans="1:12" ht="15" customHeight="1" outlineLevel="2">
      <c r="A76" s="172">
        <v>2249</v>
      </c>
      <c r="B76" s="152" t="s">
        <v>45</v>
      </c>
      <c r="C76" s="305">
        <v>18800</v>
      </c>
      <c r="D76" s="305"/>
      <c r="E76" s="305">
        <v>20000</v>
      </c>
      <c r="F76" s="305"/>
      <c r="G76" s="305">
        <v>22600</v>
      </c>
      <c r="H76" s="305"/>
      <c r="I76" s="305">
        <v>17000</v>
      </c>
      <c r="J76" s="305"/>
      <c r="K76" s="313">
        <f t="shared" si="25"/>
        <v>78400</v>
      </c>
      <c r="L76" s="174">
        <f t="shared" si="25"/>
        <v>0</v>
      </c>
    </row>
    <row r="77" spans="1:12" s="134" customFormat="1" ht="12.75" customHeight="1" outlineLevel="2">
      <c r="A77" s="170">
        <v>2250</v>
      </c>
      <c r="B77" s="152" t="s">
        <v>46</v>
      </c>
      <c r="C77" s="312">
        <f t="shared" ref="C77:J77" si="26">SUM(C78:C79)</f>
        <v>239848.65</v>
      </c>
      <c r="D77" s="312">
        <f t="shared" si="26"/>
        <v>0</v>
      </c>
      <c r="E77" s="312">
        <f t="shared" si="26"/>
        <v>192969.31</v>
      </c>
      <c r="F77" s="312">
        <f>SUM(F78:F79)</f>
        <v>0</v>
      </c>
      <c r="G77" s="312">
        <f t="shared" si="26"/>
        <v>131182.63</v>
      </c>
      <c r="H77" s="312">
        <f t="shared" si="26"/>
        <v>0</v>
      </c>
      <c r="I77" s="312">
        <f t="shared" si="26"/>
        <v>418550.11</v>
      </c>
      <c r="J77" s="312">
        <f t="shared" si="26"/>
        <v>0</v>
      </c>
      <c r="K77" s="312">
        <f>SUM(K78:K79)</f>
        <v>982550.7</v>
      </c>
      <c r="L77" s="171">
        <f>SUM(L78:L79)</f>
        <v>0</v>
      </c>
    </row>
    <row r="78" spans="1:12" s="134" customFormat="1" ht="14.25" customHeight="1" outlineLevel="2">
      <c r="A78" s="172">
        <v>2250</v>
      </c>
      <c r="B78" s="152" t="s">
        <v>47</v>
      </c>
      <c r="C78" s="305">
        <f>55000+LTV!C66</f>
        <v>239848.65</v>
      </c>
      <c r="D78" s="305"/>
      <c r="E78" s="305">
        <f>56000+LTV!E66</f>
        <v>192969.31</v>
      </c>
      <c r="F78" s="305"/>
      <c r="G78" s="305">
        <f>39000+LTV!G66</f>
        <v>131182.63</v>
      </c>
      <c r="H78" s="305"/>
      <c r="I78" s="305">
        <f>48720+LTV!I66</f>
        <v>418550.11</v>
      </c>
      <c r="J78" s="305"/>
      <c r="K78" s="313">
        <f>C78+E78+G78+I78</f>
        <v>982550.7</v>
      </c>
      <c r="L78" s="174">
        <f>D78+F78+H78+J78</f>
        <v>0</v>
      </c>
    </row>
    <row r="79" spans="1:12" s="134" customFormat="1" ht="12.75" hidden="1" customHeight="1" outlineLevel="2">
      <c r="A79" s="172">
        <v>2259</v>
      </c>
      <c r="B79" s="152" t="s">
        <v>48</v>
      </c>
      <c r="C79" s="305"/>
      <c r="D79" s="305"/>
      <c r="E79" s="305"/>
      <c r="F79" s="305"/>
      <c r="G79" s="305"/>
      <c r="H79" s="305"/>
      <c r="I79" s="305"/>
      <c r="J79" s="305"/>
      <c r="K79" s="313">
        <f>C79+E79+G79+I79</f>
        <v>0</v>
      </c>
      <c r="L79" s="174">
        <f>D79+F79+H79+J79</f>
        <v>0</v>
      </c>
    </row>
    <row r="80" spans="1:12" ht="12.65" customHeight="1" outlineLevel="2">
      <c r="A80" s="170">
        <v>2260</v>
      </c>
      <c r="B80" s="152" t="s">
        <v>49</v>
      </c>
      <c r="C80" s="312">
        <f t="shared" ref="C80:J80" si="27">SUM(C81:C85)</f>
        <v>323528.69999999995</v>
      </c>
      <c r="D80" s="312">
        <f t="shared" si="27"/>
        <v>0</v>
      </c>
      <c r="E80" s="312">
        <f t="shared" si="27"/>
        <v>137873.81</v>
      </c>
      <c r="F80" s="312">
        <f t="shared" si="27"/>
        <v>0</v>
      </c>
      <c r="G80" s="312">
        <f t="shared" si="27"/>
        <v>432644.20999999996</v>
      </c>
      <c r="H80" s="312">
        <f t="shared" si="27"/>
        <v>0</v>
      </c>
      <c r="I80" s="312">
        <f t="shared" si="27"/>
        <v>346060.37</v>
      </c>
      <c r="J80" s="312">
        <f t="shared" si="27"/>
        <v>0</v>
      </c>
      <c r="K80" s="312">
        <f>SUM(K81:K85)</f>
        <v>1240107.0899999999</v>
      </c>
      <c r="L80" s="171">
        <f>SUM(L81:L85)</f>
        <v>0</v>
      </c>
    </row>
    <row r="81" spans="1:12" ht="12.75" customHeight="1" outlineLevel="2">
      <c r="A81" s="172">
        <v>2261</v>
      </c>
      <c r="B81" s="152" t="s">
        <v>50</v>
      </c>
      <c r="C81" s="305">
        <f>21920+LTV!C68</f>
        <v>24611.260000000002</v>
      </c>
      <c r="D81" s="305"/>
      <c r="E81" s="305">
        <f>18000+LTV!E68</f>
        <v>19467.830000000002</v>
      </c>
      <c r="F81" s="305"/>
      <c r="G81" s="305">
        <f>18000+LTV!G68</f>
        <v>21675.64</v>
      </c>
      <c r="H81" s="305"/>
      <c r="I81" s="305">
        <f>25000+LTV!I68</f>
        <v>28568</v>
      </c>
      <c r="J81" s="305"/>
      <c r="K81" s="313">
        <f>C81+E81+G81+I81</f>
        <v>94322.73000000001</v>
      </c>
      <c r="L81" s="174">
        <f>D81+F81+H81+J81</f>
        <v>0</v>
      </c>
    </row>
    <row r="82" spans="1:12" ht="12.75" customHeight="1" outlineLevel="2">
      <c r="A82" s="172">
        <v>2262</v>
      </c>
      <c r="B82" s="152" t="s">
        <v>51</v>
      </c>
      <c r="C82" s="305">
        <f>1000+LTV!C69</f>
        <v>49425.52</v>
      </c>
      <c r="D82" s="305"/>
      <c r="E82" s="305">
        <f>200+LTV!E69</f>
        <v>48649.59</v>
      </c>
      <c r="F82" s="305"/>
      <c r="G82" s="305">
        <f>100+LTV!G69</f>
        <v>49197.59</v>
      </c>
      <c r="H82" s="305"/>
      <c r="I82" s="305">
        <f>100+LTV!I69</f>
        <v>48732.270000000004</v>
      </c>
      <c r="J82" s="305"/>
      <c r="K82" s="313">
        <f t="shared" ref="K82:L85" si="28">C82+E82+G82+I82</f>
        <v>196004.96999999997</v>
      </c>
      <c r="L82" s="174">
        <f t="shared" si="28"/>
        <v>0</v>
      </c>
    </row>
    <row r="83" spans="1:12" s="175" customFormat="1" ht="12" customHeight="1" outlineLevel="2">
      <c r="A83" s="172">
        <v>2263</v>
      </c>
      <c r="B83" s="152" t="s">
        <v>52</v>
      </c>
      <c r="C83" s="305">
        <f>LTV!C70</f>
        <v>3000</v>
      </c>
      <c r="D83" s="305"/>
      <c r="E83" s="305">
        <f>LTV!E70</f>
        <v>3000</v>
      </c>
      <c r="F83" s="305"/>
      <c r="G83" s="305">
        <f>LTV!G70</f>
        <v>3000</v>
      </c>
      <c r="H83" s="305"/>
      <c r="I83" s="305">
        <f>LTV!I70</f>
        <v>3000</v>
      </c>
      <c r="J83" s="305"/>
      <c r="K83" s="313">
        <f t="shared" si="28"/>
        <v>12000</v>
      </c>
      <c r="L83" s="174">
        <f t="shared" si="28"/>
        <v>0</v>
      </c>
    </row>
    <row r="84" spans="1:12" ht="12.75" customHeight="1" outlineLevel="2">
      <c r="A84" s="172">
        <v>2264</v>
      </c>
      <c r="B84" s="190" t="s">
        <v>117</v>
      </c>
      <c r="C84" s="305">
        <f>83000+LTV!C71</f>
        <v>245491.91999999998</v>
      </c>
      <c r="D84" s="305"/>
      <c r="E84" s="305">
        <f>1000+LTV!E71</f>
        <v>66356.39</v>
      </c>
      <c r="F84" s="305"/>
      <c r="G84" s="305">
        <f>1000+LTV!G71+342873</f>
        <v>358370.98</v>
      </c>
      <c r="H84" s="305"/>
      <c r="I84" s="305">
        <f>109141+LTV!I71</f>
        <v>263760.09999999998</v>
      </c>
      <c r="J84" s="305"/>
      <c r="K84" s="313">
        <f t="shared" si="28"/>
        <v>933979.39</v>
      </c>
      <c r="L84" s="174">
        <f t="shared" si="28"/>
        <v>0</v>
      </c>
    </row>
    <row r="85" spans="1:12" ht="12.75" customHeight="1" outlineLevel="2">
      <c r="A85" s="172">
        <v>2269</v>
      </c>
      <c r="B85" s="152" t="s">
        <v>53</v>
      </c>
      <c r="C85" s="305">
        <f>1000</f>
        <v>1000</v>
      </c>
      <c r="D85" s="305"/>
      <c r="E85" s="305">
        <v>400</v>
      </c>
      <c r="F85" s="305"/>
      <c r="G85" s="305">
        <v>400</v>
      </c>
      <c r="H85" s="305"/>
      <c r="I85" s="305">
        <v>2000</v>
      </c>
      <c r="J85" s="305"/>
      <c r="K85" s="313">
        <f t="shared" si="28"/>
        <v>3800</v>
      </c>
      <c r="L85" s="174">
        <f t="shared" si="28"/>
        <v>0</v>
      </c>
    </row>
    <row r="86" spans="1:12" s="134" customFormat="1" ht="12.75" customHeight="1" outlineLevel="2">
      <c r="A86" s="170">
        <v>2270</v>
      </c>
      <c r="B86" s="152" t="s">
        <v>54</v>
      </c>
      <c r="C86" s="312">
        <f>C88+C87</f>
        <v>259944.26</v>
      </c>
      <c r="D86" s="312">
        <f t="shared" ref="D86:K86" si="29">D88+D87</f>
        <v>0</v>
      </c>
      <c r="E86" s="312">
        <f t="shared" si="29"/>
        <v>13412.12</v>
      </c>
      <c r="F86" s="312">
        <f t="shared" si="29"/>
        <v>0</v>
      </c>
      <c r="G86" s="312">
        <f t="shared" si="29"/>
        <v>8419.49</v>
      </c>
      <c r="H86" s="312">
        <f t="shared" si="29"/>
        <v>0</v>
      </c>
      <c r="I86" s="312">
        <f t="shared" si="29"/>
        <v>11838.77</v>
      </c>
      <c r="J86" s="312">
        <f t="shared" si="29"/>
        <v>0</v>
      </c>
      <c r="K86" s="312">
        <f t="shared" si="29"/>
        <v>293614.64</v>
      </c>
      <c r="L86" s="171">
        <f t="shared" ref="L86" si="30">L88</f>
        <v>0</v>
      </c>
    </row>
    <row r="87" spans="1:12" s="134" customFormat="1" ht="12.75" customHeight="1" outlineLevel="2">
      <c r="A87" s="172">
        <v>2270</v>
      </c>
      <c r="B87" s="152" t="s">
        <v>55</v>
      </c>
      <c r="C87" s="313">
        <v>250000</v>
      </c>
      <c r="D87" s="313"/>
      <c r="E87" s="313"/>
      <c r="F87" s="313"/>
      <c r="G87" s="313"/>
      <c r="H87" s="313"/>
      <c r="I87" s="313"/>
      <c r="J87" s="313"/>
      <c r="K87" s="313">
        <f>C87+E87+G87+I87</f>
        <v>250000</v>
      </c>
      <c r="L87" s="171"/>
    </row>
    <row r="88" spans="1:12" s="134" customFormat="1" ht="12.75" customHeight="1" outlineLevel="2">
      <c r="A88" s="172">
        <v>2276</v>
      </c>
      <c r="B88" s="152" t="s">
        <v>215</v>
      </c>
      <c r="C88" s="313">
        <f>LTV!C73</f>
        <v>9944.26</v>
      </c>
      <c r="D88" s="313"/>
      <c r="E88" s="313">
        <f>LTV!E73</f>
        <v>13412.12</v>
      </c>
      <c r="F88" s="313"/>
      <c r="G88" s="313">
        <f>LTV!G73</f>
        <v>8419.49</v>
      </c>
      <c r="H88" s="313"/>
      <c r="I88" s="313">
        <f>LTV!I73</f>
        <v>11838.77</v>
      </c>
      <c r="J88" s="313"/>
      <c r="K88" s="313">
        <f>C88+E88+G88+I88</f>
        <v>43614.64</v>
      </c>
      <c r="L88" s="174">
        <f>D88+F88+H88+J88</f>
        <v>0</v>
      </c>
    </row>
    <row r="89" spans="1:12" s="134" customFormat="1" ht="24.75" customHeight="1" outlineLevel="2">
      <c r="A89" s="181">
        <v>2300</v>
      </c>
      <c r="B89" s="152" t="s">
        <v>56</v>
      </c>
      <c r="C89" s="324">
        <f t="shared" ref="C89:J89" si="31">C90+C95+C99+C100+C102+C103</f>
        <v>260781.88999999998</v>
      </c>
      <c r="D89" s="324">
        <f t="shared" si="31"/>
        <v>0</v>
      </c>
      <c r="E89" s="324">
        <f t="shared" si="31"/>
        <v>260143.96</v>
      </c>
      <c r="F89" s="324">
        <f t="shared" si="31"/>
        <v>0</v>
      </c>
      <c r="G89" s="324">
        <f t="shared" si="31"/>
        <v>244558.03</v>
      </c>
      <c r="H89" s="324">
        <f t="shared" si="31"/>
        <v>0</v>
      </c>
      <c r="I89" s="324">
        <f t="shared" si="31"/>
        <v>294053.78999999998</v>
      </c>
      <c r="J89" s="324">
        <f t="shared" si="31"/>
        <v>0</v>
      </c>
      <c r="K89" s="324">
        <f>K90+K95+K99+K100+K102+K103</f>
        <v>1059537.67</v>
      </c>
      <c r="L89" s="191">
        <f>L90+L95+L99+L100+L102+L103</f>
        <v>0</v>
      </c>
    </row>
    <row r="90" spans="1:12" s="134" customFormat="1" ht="12.75" customHeight="1" outlineLevel="2">
      <c r="A90" s="170">
        <v>2310</v>
      </c>
      <c r="B90" s="152" t="s">
        <v>118</v>
      </c>
      <c r="C90" s="312">
        <f t="shared" ref="C90:J90" si="32">SUM(C91:C94)</f>
        <v>76077.39</v>
      </c>
      <c r="D90" s="312">
        <f t="shared" si="32"/>
        <v>0</v>
      </c>
      <c r="E90" s="312">
        <f t="shared" si="32"/>
        <v>60769.850000000006</v>
      </c>
      <c r="F90" s="312">
        <f t="shared" si="32"/>
        <v>0</v>
      </c>
      <c r="G90" s="312">
        <f t="shared" si="32"/>
        <v>53712.94</v>
      </c>
      <c r="H90" s="312">
        <f t="shared" si="32"/>
        <v>0</v>
      </c>
      <c r="I90" s="312">
        <f t="shared" si="32"/>
        <v>71707.73</v>
      </c>
      <c r="J90" s="312">
        <f t="shared" si="32"/>
        <v>0</v>
      </c>
      <c r="K90" s="312">
        <f>SUM(K91:K94)</f>
        <v>262267.90999999997</v>
      </c>
      <c r="L90" s="171">
        <f>SUM(L91:L94)</f>
        <v>0</v>
      </c>
    </row>
    <row r="91" spans="1:12" s="134" customFormat="1" ht="12.75" customHeight="1" outlineLevel="2">
      <c r="A91" s="172">
        <v>2311</v>
      </c>
      <c r="B91" s="152" t="s">
        <v>57</v>
      </c>
      <c r="C91" s="305">
        <f>700+LTV!C76</f>
        <v>17794.21</v>
      </c>
      <c r="D91" s="305"/>
      <c r="E91" s="305">
        <f>700+LTV!E76</f>
        <v>7373.1900000000005</v>
      </c>
      <c r="F91" s="305"/>
      <c r="G91" s="305">
        <f>700+LTV!G76</f>
        <v>9950.5499999999993</v>
      </c>
      <c r="H91" s="305"/>
      <c r="I91" s="305">
        <f>1900+LTV!I76</f>
        <v>14340.34</v>
      </c>
      <c r="J91" s="305"/>
      <c r="K91" s="313">
        <f>C91+E91+G91+I91</f>
        <v>49458.289999999994</v>
      </c>
      <c r="L91" s="174">
        <f>D91+F91+H91+J91</f>
        <v>0</v>
      </c>
    </row>
    <row r="92" spans="1:12" s="134" customFormat="1" ht="12.75" customHeight="1" outlineLevel="2">
      <c r="A92" s="172">
        <v>2312</v>
      </c>
      <c r="B92" s="152" t="s">
        <v>58</v>
      </c>
      <c r="C92" s="305">
        <f>8000+LTV!C77</f>
        <v>44510.71</v>
      </c>
      <c r="D92" s="305"/>
      <c r="E92" s="305">
        <f>12000+LTV!E77</f>
        <v>42436.66</v>
      </c>
      <c r="F92" s="305"/>
      <c r="G92" s="305">
        <f>5000+LTV!G77</f>
        <v>32202.39</v>
      </c>
      <c r="H92" s="305"/>
      <c r="I92" s="305">
        <f>6600+LTV!I77</f>
        <v>45723.44</v>
      </c>
      <c r="J92" s="305"/>
      <c r="K92" s="313">
        <f t="shared" ref="K92:L94" si="33">C92+E92+G92+I92</f>
        <v>164873.20000000001</v>
      </c>
      <c r="L92" s="174">
        <f t="shared" si="33"/>
        <v>0</v>
      </c>
    </row>
    <row r="93" spans="1:12" ht="12.75" hidden="1" customHeight="1" outlineLevel="2">
      <c r="A93" s="172">
        <v>2313</v>
      </c>
      <c r="B93" s="152" t="s">
        <v>59</v>
      </c>
      <c r="C93" s="305"/>
      <c r="D93" s="305"/>
      <c r="E93" s="305"/>
      <c r="F93" s="305"/>
      <c r="G93" s="305"/>
      <c r="H93" s="305"/>
      <c r="I93" s="305"/>
      <c r="J93" s="305"/>
      <c r="K93" s="313">
        <f t="shared" si="33"/>
        <v>0</v>
      </c>
      <c r="L93" s="174">
        <f t="shared" si="33"/>
        <v>0</v>
      </c>
    </row>
    <row r="94" spans="1:12" ht="23.25" customHeight="1" outlineLevel="2">
      <c r="A94" s="172">
        <v>2314</v>
      </c>
      <c r="B94" s="152" t="s">
        <v>119</v>
      </c>
      <c r="C94" s="305">
        <f>8500+LTV!C78</f>
        <v>13772.470000000001</v>
      </c>
      <c r="D94" s="305"/>
      <c r="E94" s="305">
        <f>5000+LTV!E78</f>
        <v>10960</v>
      </c>
      <c r="F94" s="305"/>
      <c r="G94" s="305">
        <f>5800+LTV!G78</f>
        <v>11560</v>
      </c>
      <c r="H94" s="305"/>
      <c r="I94" s="305">
        <f>4055+LTV!I78</f>
        <v>11643.95</v>
      </c>
      <c r="J94" s="305"/>
      <c r="K94" s="313">
        <f t="shared" si="33"/>
        <v>47936.42</v>
      </c>
      <c r="L94" s="174">
        <f t="shared" si="33"/>
        <v>0</v>
      </c>
    </row>
    <row r="95" spans="1:12" ht="12.75" customHeight="1" outlineLevel="2">
      <c r="A95" s="170">
        <v>2320</v>
      </c>
      <c r="B95" s="152" t="s">
        <v>60</v>
      </c>
      <c r="C95" s="312">
        <f t="shared" ref="C95:J95" si="34">SUM(C96:C98)</f>
        <v>43160.1</v>
      </c>
      <c r="D95" s="312">
        <f t="shared" si="34"/>
        <v>0</v>
      </c>
      <c r="E95" s="312">
        <f t="shared" si="34"/>
        <v>40306.03</v>
      </c>
      <c r="F95" s="312">
        <f t="shared" si="34"/>
        <v>0</v>
      </c>
      <c r="G95" s="312">
        <f t="shared" si="34"/>
        <v>32019.88</v>
      </c>
      <c r="H95" s="312">
        <f t="shared" si="34"/>
        <v>0</v>
      </c>
      <c r="I95" s="312">
        <f t="shared" si="34"/>
        <v>35855.57</v>
      </c>
      <c r="J95" s="312">
        <f t="shared" si="34"/>
        <v>0</v>
      </c>
      <c r="K95" s="312">
        <f>SUM(K96:K98)</f>
        <v>151341.58000000002</v>
      </c>
      <c r="L95" s="171">
        <f>SUM(L96:L98)</f>
        <v>0</v>
      </c>
    </row>
    <row r="96" spans="1:12" ht="12.75" hidden="1" customHeight="1" outlineLevel="2">
      <c r="A96" s="172">
        <v>2321</v>
      </c>
      <c r="B96" s="152" t="s">
        <v>61</v>
      </c>
      <c r="C96" s="305"/>
      <c r="D96" s="305"/>
      <c r="E96" s="305"/>
      <c r="F96" s="305"/>
      <c r="G96" s="305"/>
      <c r="H96" s="305"/>
      <c r="I96" s="305"/>
      <c r="J96" s="305"/>
      <c r="K96" s="313">
        <f>C96+E96+G96+I96</f>
        <v>0</v>
      </c>
      <c r="L96" s="174">
        <f>D96+F96+H96+J96</f>
        <v>0</v>
      </c>
    </row>
    <row r="97" spans="1:12" ht="12.75" customHeight="1" outlineLevel="2">
      <c r="A97" s="172">
        <v>2322</v>
      </c>
      <c r="B97" s="152" t="s">
        <v>62</v>
      </c>
      <c r="C97" s="305">
        <f>10000+LTV!C80</f>
        <v>43160.1</v>
      </c>
      <c r="D97" s="305"/>
      <c r="E97" s="305">
        <f>8000+LTV!E80</f>
        <v>40306.03</v>
      </c>
      <c r="F97" s="305"/>
      <c r="G97" s="305">
        <f>7000+LTV!G80+500</f>
        <v>32019.88</v>
      </c>
      <c r="H97" s="305"/>
      <c r="I97" s="305">
        <f>7400+LTV!I80</f>
        <v>35855.57</v>
      </c>
      <c r="J97" s="305"/>
      <c r="K97" s="313">
        <f t="shared" ref="K97:L99" si="35">C97+E97+G97+I97</f>
        <v>151341.58000000002</v>
      </c>
      <c r="L97" s="174">
        <f t="shared" si="35"/>
        <v>0</v>
      </c>
    </row>
    <row r="98" spans="1:12" ht="12.75" hidden="1" customHeight="1" outlineLevel="2">
      <c r="A98" s="172">
        <v>2329</v>
      </c>
      <c r="B98" s="152" t="s">
        <v>63</v>
      </c>
      <c r="C98" s="305"/>
      <c r="D98" s="305"/>
      <c r="E98" s="305"/>
      <c r="F98" s="305"/>
      <c r="G98" s="305"/>
      <c r="H98" s="305"/>
      <c r="I98" s="305"/>
      <c r="J98" s="305"/>
      <c r="K98" s="313">
        <f t="shared" si="35"/>
        <v>0</v>
      </c>
      <c r="L98" s="174">
        <f t="shared" si="35"/>
        <v>0</v>
      </c>
    </row>
    <row r="99" spans="1:12" ht="12.75" hidden="1" customHeight="1" outlineLevel="2">
      <c r="A99" s="170">
        <v>2330</v>
      </c>
      <c r="B99" s="152" t="s">
        <v>64</v>
      </c>
      <c r="C99" s="305"/>
      <c r="D99" s="305"/>
      <c r="E99" s="305"/>
      <c r="F99" s="305"/>
      <c r="G99" s="305"/>
      <c r="H99" s="305"/>
      <c r="I99" s="305"/>
      <c r="J99" s="305"/>
      <c r="K99" s="313">
        <f t="shared" si="35"/>
        <v>0</v>
      </c>
      <c r="L99" s="174">
        <f t="shared" si="35"/>
        <v>0</v>
      </c>
    </row>
    <row r="100" spans="1:12" s="134" customFormat="1" ht="12" hidden="1" customHeight="1" outlineLevel="2">
      <c r="A100" s="170">
        <v>2340</v>
      </c>
      <c r="B100" s="152" t="s">
        <v>65</v>
      </c>
      <c r="C100" s="325">
        <f t="shared" ref="C100:J100" si="36">C101</f>
        <v>0</v>
      </c>
      <c r="D100" s="325">
        <f t="shared" si="36"/>
        <v>0</v>
      </c>
      <c r="E100" s="325">
        <f t="shared" si="36"/>
        <v>0</v>
      </c>
      <c r="F100" s="325">
        <f t="shared" si="36"/>
        <v>0</v>
      </c>
      <c r="G100" s="325">
        <f t="shared" si="36"/>
        <v>0</v>
      </c>
      <c r="H100" s="325">
        <f t="shared" si="36"/>
        <v>0</v>
      </c>
      <c r="I100" s="325">
        <f t="shared" si="36"/>
        <v>0</v>
      </c>
      <c r="J100" s="325">
        <f t="shared" si="36"/>
        <v>0</v>
      </c>
      <c r="K100" s="325">
        <f>K101</f>
        <v>0</v>
      </c>
      <c r="L100" s="192">
        <f>L101</f>
        <v>0</v>
      </c>
    </row>
    <row r="101" spans="1:12" ht="12.75" hidden="1" customHeight="1" outlineLevel="2">
      <c r="A101" s="172">
        <v>2341</v>
      </c>
      <c r="B101" s="152" t="s">
        <v>66</v>
      </c>
      <c r="C101" s="313">
        <v>0</v>
      </c>
      <c r="D101" s="305"/>
      <c r="E101" s="313"/>
      <c r="F101" s="305"/>
      <c r="G101" s="313"/>
      <c r="H101" s="305"/>
      <c r="I101" s="313"/>
      <c r="J101" s="305"/>
      <c r="K101" s="313">
        <f t="shared" ref="K101:L104" si="37">C101+E101+G101+I101</f>
        <v>0</v>
      </c>
      <c r="L101" s="174">
        <f t="shared" si="37"/>
        <v>0</v>
      </c>
    </row>
    <row r="102" spans="1:12" s="134" customFormat="1" ht="12.75" customHeight="1" outlineLevel="2">
      <c r="A102" s="170">
        <v>2350</v>
      </c>
      <c r="B102" s="152" t="s">
        <v>67</v>
      </c>
      <c r="C102" s="318">
        <f>13000+LTV!C82</f>
        <v>42460</v>
      </c>
      <c r="D102" s="305"/>
      <c r="E102" s="318">
        <f>18000+LTV!E82</f>
        <v>37490</v>
      </c>
      <c r="F102" s="305"/>
      <c r="G102" s="318">
        <f>20340+LTV!G82</f>
        <v>39800</v>
      </c>
      <c r="H102" s="305"/>
      <c r="I102" s="318">
        <f>16000+LTV!I82</f>
        <v>35607.869999999995</v>
      </c>
      <c r="J102" s="305"/>
      <c r="K102" s="313">
        <f t="shared" si="37"/>
        <v>155357.87</v>
      </c>
      <c r="L102" s="174">
        <f t="shared" si="37"/>
        <v>0</v>
      </c>
    </row>
    <row r="103" spans="1:12" s="134" customFormat="1" ht="12.75" customHeight="1" outlineLevel="2">
      <c r="A103" s="170">
        <v>2390</v>
      </c>
      <c r="B103" s="152" t="s">
        <v>68</v>
      </c>
      <c r="C103" s="318">
        <f>10000+LTV!C83</f>
        <v>99084.4</v>
      </c>
      <c r="D103" s="305"/>
      <c r="E103" s="318">
        <f>14000+LTV!E83</f>
        <v>121578.07999999999</v>
      </c>
      <c r="F103" s="305"/>
      <c r="G103" s="318">
        <f>12000+LTV!G83</f>
        <v>119025.20999999999</v>
      </c>
      <c r="H103" s="305"/>
      <c r="I103" s="318">
        <f>14621+LTV!I83</f>
        <v>150882.62</v>
      </c>
      <c r="J103" s="305"/>
      <c r="K103" s="313">
        <f t="shared" si="37"/>
        <v>490570.30999999994</v>
      </c>
      <c r="L103" s="174">
        <f t="shared" si="37"/>
        <v>0</v>
      </c>
    </row>
    <row r="104" spans="1:12" s="134" customFormat="1" outlineLevel="2">
      <c r="A104" s="181">
        <v>2400</v>
      </c>
      <c r="B104" s="173" t="s">
        <v>69</v>
      </c>
      <c r="C104" s="326"/>
      <c r="D104" s="305"/>
      <c r="E104" s="480">
        <f>LTV!E84</f>
        <v>150</v>
      </c>
      <c r="F104" s="305"/>
      <c r="G104" s="326"/>
      <c r="H104" s="305"/>
      <c r="I104" s="318">
        <f>LTV!I84</f>
        <v>150</v>
      </c>
      <c r="J104" s="305"/>
      <c r="K104" s="313">
        <f t="shared" si="37"/>
        <v>300</v>
      </c>
      <c r="L104" s="174">
        <f t="shared" si="37"/>
        <v>0</v>
      </c>
    </row>
    <row r="105" spans="1:12" ht="13" customHeight="1" outlineLevel="2">
      <c r="A105" s="181">
        <v>2500</v>
      </c>
      <c r="B105" s="173" t="s">
        <v>127</v>
      </c>
      <c r="C105" s="317">
        <f t="shared" ref="C105:J105" si="38">C106+C111</f>
        <v>362404</v>
      </c>
      <c r="D105" s="317">
        <f t="shared" si="38"/>
        <v>0</v>
      </c>
      <c r="E105" s="317">
        <f t="shared" si="38"/>
        <v>318329.69</v>
      </c>
      <c r="F105" s="317">
        <f t="shared" si="38"/>
        <v>0</v>
      </c>
      <c r="G105" s="317">
        <f t="shared" si="38"/>
        <v>318259.78000000003</v>
      </c>
      <c r="H105" s="317">
        <f t="shared" si="38"/>
        <v>0</v>
      </c>
      <c r="I105" s="317">
        <f t="shared" si="38"/>
        <v>341444</v>
      </c>
      <c r="J105" s="317">
        <f t="shared" si="38"/>
        <v>0</v>
      </c>
      <c r="K105" s="317">
        <f>K106+K111</f>
        <v>1340437.47</v>
      </c>
      <c r="L105" s="182">
        <f>L106+L111</f>
        <v>0</v>
      </c>
    </row>
    <row r="106" spans="1:12" s="134" customFormat="1" ht="12.75" customHeight="1" outlineLevel="2">
      <c r="A106" s="170">
        <v>2510</v>
      </c>
      <c r="B106" s="152" t="s">
        <v>128</v>
      </c>
      <c r="C106" s="312">
        <f t="shared" ref="C106:J106" si="39">SUM(C107:C110)</f>
        <v>362404</v>
      </c>
      <c r="D106" s="312">
        <f t="shared" si="39"/>
        <v>0</v>
      </c>
      <c r="E106" s="312">
        <f t="shared" si="39"/>
        <v>318329.69</v>
      </c>
      <c r="F106" s="312">
        <f t="shared" si="39"/>
        <v>0</v>
      </c>
      <c r="G106" s="312">
        <f t="shared" si="39"/>
        <v>318259.78000000003</v>
      </c>
      <c r="H106" s="312">
        <f t="shared" si="39"/>
        <v>0</v>
      </c>
      <c r="I106" s="312">
        <f t="shared" si="39"/>
        <v>341444</v>
      </c>
      <c r="J106" s="312">
        <f t="shared" si="39"/>
        <v>0</v>
      </c>
      <c r="K106" s="312">
        <f>SUM(K107:K110)</f>
        <v>1340437.47</v>
      </c>
      <c r="L106" s="171">
        <f>SUM(L107:L110)</f>
        <v>0</v>
      </c>
    </row>
    <row r="107" spans="1:12" s="134" customFormat="1" ht="12.75" customHeight="1" outlineLevel="2">
      <c r="A107" s="172">
        <v>2512</v>
      </c>
      <c r="B107" s="152" t="s">
        <v>70</v>
      </c>
      <c r="C107" s="305">
        <f>20000+LTV!C87</f>
        <v>330000</v>
      </c>
      <c r="D107" s="305"/>
      <c r="E107" s="305">
        <f>20000+LTV!E87</f>
        <v>305000</v>
      </c>
      <c r="F107" s="305"/>
      <c r="G107" s="305">
        <f>20000+LTV!G87</f>
        <v>305000</v>
      </c>
      <c r="H107" s="305"/>
      <c r="I107" s="305">
        <f>20000+LTV!I87</f>
        <v>328162</v>
      </c>
      <c r="J107" s="305"/>
      <c r="K107" s="313">
        <f>C107+E107+G107+I107</f>
        <v>1268162</v>
      </c>
      <c r="L107" s="174">
        <f>D107+F107+H107+J107</f>
        <v>0</v>
      </c>
    </row>
    <row r="108" spans="1:12" s="134" customFormat="1" ht="13" customHeight="1" outlineLevel="2">
      <c r="A108" s="172">
        <v>2513</v>
      </c>
      <c r="B108" s="152" t="s">
        <v>129</v>
      </c>
      <c r="C108" s="305">
        <f>10662+LTV!C88</f>
        <v>31162</v>
      </c>
      <c r="D108" s="305"/>
      <c r="E108" s="305">
        <f>LTV!E88</f>
        <v>11500</v>
      </c>
      <c r="F108" s="305"/>
      <c r="G108" s="305">
        <f>LTV!G88</f>
        <v>11500</v>
      </c>
      <c r="H108" s="305"/>
      <c r="I108" s="305">
        <f>LTV!I88</f>
        <v>11500</v>
      </c>
      <c r="J108" s="305"/>
      <c r="K108" s="313">
        <f t="shared" ref="K108:L111" si="40">C108+E108+G108+I108</f>
        <v>65662</v>
      </c>
      <c r="L108" s="174">
        <f t="shared" si="40"/>
        <v>0</v>
      </c>
    </row>
    <row r="109" spans="1:12" s="134" customFormat="1" ht="12.75" customHeight="1" outlineLevel="2">
      <c r="A109" s="172">
        <v>2516</v>
      </c>
      <c r="B109" s="152" t="s">
        <v>162</v>
      </c>
      <c r="C109" s="305">
        <v>20</v>
      </c>
      <c r="D109" s="305"/>
      <c r="E109" s="305">
        <v>40</v>
      </c>
      <c r="F109" s="305"/>
      <c r="G109" s="305">
        <v>30</v>
      </c>
      <c r="H109" s="305"/>
      <c r="I109" s="305">
        <v>30</v>
      </c>
      <c r="J109" s="305"/>
      <c r="K109" s="313">
        <f t="shared" si="40"/>
        <v>120</v>
      </c>
      <c r="L109" s="174">
        <f t="shared" si="40"/>
        <v>0</v>
      </c>
    </row>
    <row r="110" spans="1:12" s="134" customFormat="1" ht="12.75" customHeight="1" outlineLevel="2">
      <c r="A110" s="193">
        <v>2519</v>
      </c>
      <c r="B110" s="194" t="s">
        <v>71</v>
      </c>
      <c r="C110" s="327">
        <f>250+LTV!C89</f>
        <v>1222</v>
      </c>
      <c r="D110" s="327"/>
      <c r="E110" s="327">
        <f>450+LTV!E89</f>
        <v>1789.69</v>
      </c>
      <c r="F110" s="327"/>
      <c r="G110" s="327">
        <f>350+LTV!G89</f>
        <v>1729.78</v>
      </c>
      <c r="H110" s="327"/>
      <c r="I110" s="327">
        <f>450+LTV!I89</f>
        <v>1752</v>
      </c>
      <c r="J110" s="327"/>
      <c r="K110" s="313">
        <f t="shared" si="40"/>
        <v>6493.47</v>
      </c>
      <c r="L110" s="174">
        <f t="shared" si="40"/>
        <v>0</v>
      </c>
    </row>
    <row r="111" spans="1:12" s="134" customFormat="1" ht="14.25" hidden="1" customHeight="1" outlineLevel="2">
      <c r="A111" s="196">
        <v>2520</v>
      </c>
      <c r="B111" s="197" t="s">
        <v>130</v>
      </c>
      <c r="C111" s="305"/>
      <c r="D111" s="305"/>
      <c r="E111" s="305"/>
      <c r="F111" s="305"/>
      <c r="G111" s="305"/>
      <c r="H111" s="305"/>
      <c r="I111" s="305"/>
      <c r="J111" s="305"/>
      <c r="K111" s="313">
        <f t="shared" si="40"/>
        <v>0</v>
      </c>
      <c r="L111" s="174">
        <f t="shared" si="40"/>
        <v>0</v>
      </c>
    </row>
    <row r="112" spans="1:12" ht="14.25" customHeight="1" outlineLevel="2">
      <c r="A112" s="186">
        <v>4000</v>
      </c>
      <c r="B112" s="187" t="s">
        <v>72</v>
      </c>
      <c r="C112" s="323">
        <f t="shared" ref="C112:E113" si="41">C113</f>
        <v>6000</v>
      </c>
      <c r="D112" s="323">
        <f t="shared" si="41"/>
        <v>0</v>
      </c>
      <c r="E112" s="323">
        <f t="shared" si="41"/>
        <v>6000</v>
      </c>
      <c r="F112" s="328"/>
      <c r="G112" s="323">
        <f>G113</f>
        <v>6000</v>
      </c>
      <c r="H112" s="328"/>
      <c r="I112" s="323">
        <f t="shared" ref="I112:L113" si="42">I113</f>
        <v>7000</v>
      </c>
      <c r="J112" s="323">
        <f t="shared" si="42"/>
        <v>0</v>
      </c>
      <c r="K112" s="323">
        <f t="shared" si="42"/>
        <v>25000</v>
      </c>
      <c r="L112" s="188">
        <f t="shared" si="42"/>
        <v>0</v>
      </c>
    </row>
    <row r="113" spans="1:15" s="134" customFormat="1" ht="14.25" customHeight="1" outlineLevel="2">
      <c r="A113" s="168">
        <v>4200</v>
      </c>
      <c r="B113" s="150" t="s">
        <v>73</v>
      </c>
      <c r="C113" s="311">
        <f t="shared" si="41"/>
        <v>6000</v>
      </c>
      <c r="D113" s="311">
        <f t="shared" si="41"/>
        <v>0</v>
      </c>
      <c r="E113" s="311">
        <f t="shared" si="41"/>
        <v>6000</v>
      </c>
      <c r="F113" s="329"/>
      <c r="G113" s="311">
        <f>G114</f>
        <v>6000</v>
      </c>
      <c r="H113" s="329"/>
      <c r="I113" s="311">
        <f t="shared" si="42"/>
        <v>7000</v>
      </c>
      <c r="J113" s="311">
        <f t="shared" si="42"/>
        <v>0</v>
      </c>
      <c r="K113" s="311">
        <f t="shared" si="42"/>
        <v>25000</v>
      </c>
      <c r="L113" s="169">
        <f t="shared" si="42"/>
        <v>0</v>
      </c>
    </row>
    <row r="114" spans="1:15" s="134" customFormat="1" ht="14.25" customHeight="1" outlineLevel="2">
      <c r="A114" s="170">
        <v>4230</v>
      </c>
      <c r="B114" s="152" t="s">
        <v>218</v>
      </c>
      <c r="C114" s="318">
        <f>LTV!C93</f>
        <v>6000</v>
      </c>
      <c r="D114" s="305">
        <v>0</v>
      </c>
      <c r="E114" s="318">
        <f>LTV!E93</f>
        <v>6000</v>
      </c>
      <c r="F114" s="305"/>
      <c r="G114" s="318">
        <f>LTV!G93</f>
        <v>6000</v>
      </c>
      <c r="H114" s="305"/>
      <c r="I114" s="318">
        <f>LTV!I93</f>
        <v>7000</v>
      </c>
      <c r="J114" s="305"/>
      <c r="K114" s="318">
        <f>C114+E114+G114+I114</f>
        <v>25000</v>
      </c>
      <c r="L114" s="183">
        <f>D114+F114+H114+J114</f>
        <v>0</v>
      </c>
    </row>
    <row r="115" spans="1:15" s="200" customFormat="1" ht="14.25" customHeight="1" outlineLevel="2">
      <c r="A115" s="198">
        <v>5000</v>
      </c>
      <c r="B115" s="199" t="s">
        <v>131</v>
      </c>
      <c r="C115" s="323">
        <f t="shared" ref="C115:H115" si="43">C116+C118</f>
        <v>2217268.0499999998</v>
      </c>
      <c r="D115" s="323">
        <f t="shared" si="43"/>
        <v>0</v>
      </c>
      <c r="E115" s="323">
        <f t="shared" si="43"/>
        <v>3200347.6033333335</v>
      </c>
      <c r="F115" s="323">
        <f t="shared" si="43"/>
        <v>0</v>
      </c>
      <c r="G115" s="323">
        <f t="shared" si="43"/>
        <v>5569449.4900000002</v>
      </c>
      <c r="H115" s="323">
        <f t="shared" si="43"/>
        <v>0</v>
      </c>
      <c r="I115" s="323">
        <f>I116+I118</f>
        <v>13620547.786666667</v>
      </c>
      <c r="J115" s="323">
        <f>J116+J118</f>
        <v>0</v>
      </c>
      <c r="K115" s="188">
        <f>K116+K118</f>
        <v>24607612.93</v>
      </c>
      <c r="L115" s="188">
        <f>L116+L118</f>
        <v>0</v>
      </c>
      <c r="M115" s="484"/>
    </row>
    <row r="116" spans="1:15" s="203" customFormat="1" ht="11.25" customHeight="1" outlineLevel="2">
      <c r="A116" s="201">
        <v>5100</v>
      </c>
      <c r="B116" s="202" t="s">
        <v>74</v>
      </c>
      <c r="C116" s="509">
        <f t="shared" ref="C116:J116" si="44">C117</f>
        <v>1486267.91</v>
      </c>
      <c r="D116" s="509">
        <f t="shared" si="44"/>
        <v>0</v>
      </c>
      <c r="E116" s="509">
        <f t="shared" si="44"/>
        <v>1389360.47</v>
      </c>
      <c r="F116" s="509">
        <f t="shared" si="44"/>
        <v>0</v>
      </c>
      <c r="G116" s="509">
        <f t="shared" si="44"/>
        <v>564788.79</v>
      </c>
      <c r="H116" s="509">
        <f t="shared" si="44"/>
        <v>0</v>
      </c>
      <c r="I116" s="509">
        <f t="shared" si="44"/>
        <v>1003634.26</v>
      </c>
      <c r="J116" s="509">
        <f t="shared" si="44"/>
        <v>0</v>
      </c>
      <c r="K116" s="509">
        <f>K117</f>
        <v>4444051.43</v>
      </c>
      <c r="L116" s="169">
        <f>L117</f>
        <v>0</v>
      </c>
    </row>
    <row r="117" spans="1:15" s="203" customFormat="1" ht="11.25" customHeight="1" outlineLevel="2">
      <c r="A117" s="204">
        <v>5120</v>
      </c>
      <c r="B117" s="156" t="s">
        <v>75</v>
      </c>
      <c r="C117" s="480">
        <f>2000+LTV!C98-14736.59</f>
        <v>1486267.91</v>
      </c>
      <c r="D117" s="320"/>
      <c r="E117" s="480">
        <f>3000+LTV!E98+14736.59</f>
        <v>1389360.47</v>
      </c>
      <c r="F117" s="320"/>
      <c r="G117" s="480">
        <f>15000+LTV!G98</f>
        <v>564788.79</v>
      </c>
      <c r="H117" s="320"/>
      <c r="I117" s="480">
        <f>10000+LTV!I98</f>
        <v>1003634.26</v>
      </c>
      <c r="J117" s="320"/>
      <c r="K117" s="320">
        <f>C117+E117+G117+I117</f>
        <v>4444051.43</v>
      </c>
      <c r="L117" s="155">
        <f>D117+F117+H117+J117</f>
        <v>0</v>
      </c>
      <c r="N117" s="482"/>
    </row>
    <row r="118" spans="1:15" s="207" customFormat="1" ht="11.25" customHeight="1" outlineLevel="2">
      <c r="A118" s="205">
        <v>5200</v>
      </c>
      <c r="B118" s="156" t="s">
        <v>76</v>
      </c>
      <c r="C118" s="510">
        <f>C119+C120+C124+C125+C126</f>
        <v>731000.14</v>
      </c>
      <c r="D118" s="510">
        <f t="shared" ref="D118:H118" si="45">D119+D120+D124+D125+D126</f>
        <v>0</v>
      </c>
      <c r="E118" s="510">
        <f t="shared" si="45"/>
        <v>1810987.1333333333</v>
      </c>
      <c r="F118" s="510">
        <f t="shared" si="45"/>
        <v>0</v>
      </c>
      <c r="G118" s="510">
        <f t="shared" si="45"/>
        <v>5004660.7</v>
      </c>
      <c r="H118" s="510">
        <f t="shared" si="45"/>
        <v>0</v>
      </c>
      <c r="I118" s="510">
        <f>I119+I120+I124+I125+I126</f>
        <v>12616913.526666667</v>
      </c>
      <c r="J118" s="510">
        <f t="shared" ref="J118:K118" si="46">J119+J120+J124+J125+J126</f>
        <v>0</v>
      </c>
      <c r="K118" s="659">
        <f t="shared" si="46"/>
        <v>20163561.5</v>
      </c>
      <c r="L118" s="182">
        <f>L119+L120+L124+L125+L126</f>
        <v>0</v>
      </c>
      <c r="O118" s="240"/>
    </row>
    <row r="119" spans="1:15" s="207" customFormat="1" ht="11.25" customHeight="1" outlineLevel="2">
      <c r="A119" s="204">
        <v>5220</v>
      </c>
      <c r="B119" s="156" t="s">
        <v>77</v>
      </c>
      <c r="C119" s="663">
        <f>LTV!C101-38999.06</f>
        <v>177195</v>
      </c>
      <c r="D119" s="512">
        <v>0</v>
      </c>
      <c r="E119" s="511">
        <f>LTV!E101+38999.06</f>
        <v>607155.06000000006</v>
      </c>
      <c r="F119" s="512"/>
      <c r="G119" s="511">
        <f>LTV!G101</f>
        <v>2258504</v>
      </c>
      <c r="H119" s="512"/>
      <c r="I119" s="511">
        <f>LTV!I101</f>
        <v>10558030</v>
      </c>
      <c r="J119" s="512"/>
      <c r="K119" s="320">
        <f>C119+E119+G119+I119</f>
        <v>13600884.060000001</v>
      </c>
      <c r="L119" s="155">
        <f>D119+F119+H119+J119</f>
        <v>0</v>
      </c>
    </row>
    <row r="120" spans="1:15" s="207" customFormat="1" ht="11.25" customHeight="1" outlineLevel="2">
      <c r="A120" s="204">
        <v>5230</v>
      </c>
      <c r="B120" s="156" t="s">
        <v>78</v>
      </c>
      <c r="C120" s="513">
        <f>SUM(C121:C123)</f>
        <v>165003.14000000001</v>
      </c>
      <c r="D120" s="513">
        <f t="shared" ref="D120:J120" si="47">SUM(D121:D123)</f>
        <v>0</v>
      </c>
      <c r="E120" s="513">
        <f t="shared" si="47"/>
        <v>356472.0733333333</v>
      </c>
      <c r="F120" s="513">
        <f t="shared" si="47"/>
        <v>0</v>
      </c>
      <c r="G120" s="513">
        <f t="shared" si="47"/>
        <v>1201156.7</v>
      </c>
      <c r="H120" s="513">
        <f t="shared" si="47"/>
        <v>0</v>
      </c>
      <c r="I120" s="513">
        <f t="shared" si="47"/>
        <v>1553243.5266666666</v>
      </c>
      <c r="J120" s="513">
        <f t="shared" si="47"/>
        <v>0</v>
      </c>
      <c r="K120" s="513">
        <f>SUM(K121:K123)</f>
        <v>3275875.44</v>
      </c>
      <c r="L120" s="171">
        <f>SUM(L121:L123)</f>
        <v>0</v>
      </c>
    </row>
    <row r="121" spans="1:15" s="209" customFormat="1" ht="11.25" customHeight="1" outlineLevel="2">
      <c r="A121" s="208">
        <v>5231</v>
      </c>
      <c r="B121" s="190" t="s">
        <v>79</v>
      </c>
      <c r="C121" s="320"/>
      <c r="D121" s="320"/>
      <c r="E121" s="320">
        <f>LTV!E103</f>
        <v>35000</v>
      </c>
      <c r="F121" s="320"/>
      <c r="G121" s="320"/>
      <c r="H121" s="320"/>
      <c r="I121" s="320">
        <f>LTV!I103</f>
        <v>35000</v>
      </c>
      <c r="J121" s="320"/>
      <c r="K121" s="320">
        <f>C121+E121+G121+I121</f>
        <v>70000</v>
      </c>
      <c r="L121" s="155">
        <f>D121+F121+H121+J121</f>
        <v>0</v>
      </c>
    </row>
    <row r="122" spans="1:15" s="209" customFormat="1" ht="11.25" customHeight="1" outlineLevel="2">
      <c r="A122" s="208">
        <v>5238</v>
      </c>
      <c r="B122" s="190" t="s">
        <v>80</v>
      </c>
      <c r="C122" s="661">
        <f>100000+LTV!C104-11260.84</f>
        <v>130000</v>
      </c>
      <c r="D122" s="320"/>
      <c r="E122" s="320">
        <f>29000+LTV!E104+11260.84</f>
        <v>214594.17333333331</v>
      </c>
      <c r="F122" s="320"/>
      <c r="G122" s="320">
        <f>20000+LTV!G104</f>
        <v>679333.33333333326</v>
      </c>
      <c r="H122" s="320"/>
      <c r="I122" s="320">
        <f>20000+LTV!I104</f>
        <v>214333.33333333331</v>
      </c>
      <c r="J122" s="320"/>
      <c r="K122" s="320">
        <f t="shared" ref="K122:L126" si="48">C122+E122+G122+I122</f>
        <v>1238260.8399999999</v>
      </c>
      <c r="L122" s="155">
        <f t="shared" si="48"/>
        <v>0</v>
      </c>
    </row>
    <row r="123" spans="1:15" s="209" customFormat="1" ht="11.25" customHeight="1" outlineLevel="2">
      <c r="A123" s="210">
        <v>5239</v>
      </c>
      <c r="B123" s="211" t="s">
        <v>81</v>
      </c>
      <c r="C123" s="514">
        <f>10000+LTV!C105-10877.9</f>
        <v>35003.14</v>
      </c>
      <c r="D123" s="514"/>
      <c r="E123" s="514">
        <f>LTV!E105+10877.9</f>
        <v>106877.9</v>
      </c>
      <c r="F123" s="514"/>
      <c r="G123" s="514">
        <f>LTV!G105</f>
        <v>521823.3666666667</v>
      </c>
      <c r="H123" s="514"/>
      <c r="I123" s="514">
        <f>LTV!I105</f>
        <v>1303910.1933333334</v>
      </c>
      <c r="J123" s="514"/>
      <c r="K123" s="515">
        <f t="shared" si="48"/>
        <v>1967614.6</v>
      </c>
      <c r="L123" s="195">
        <f t="shared" si="48"/>
        <v>0</v>
      </c>
    </row>
    <row r="124" spans="1:15" s="209" customFormat="1" ht="11.25" hidden="1" customHeight="1" outlineLevel="2">
      <c r="A124" s="212">
        <v>5240</v>
      </c>
      <c r="B124" s="213" t="s">
        <v>82</v>
      </c>
      <c r="C124" s="662"/>
      <c r="D124" s="516"/>
      <c r="E124" s="516"/>
      <c r="F124" s="516"/>
      <c r="G124" s="516"/>
      <c r="H124" s="516"/>
      <c r="I124" s="516"/>
      <c r="J124" s="516"/>
      <c r="K124" s="517">
        <f t="shared" si="48"/>
        <v>0</v>
      </c>
      <c r="L124" s="214">
        <f t="shared" si="48"/>
        <v>0</v>
      </c>
    </row>
    <row r="125" spans="1:15" s="209" customFormat="1" ht="11.25" customHeight="1" outlineLevel="2">
      <c r="A125" s="212">
        <v>5250</v>
      </c>
      <c r="B125" s="213" t="s">
        <v>83</v>
      </c>
      <c r="C125" s="516">
        <f>35000+LTV!C106</f>
        <v>388802</v>
      </c>
      <c r="D125" s="516"/>
      <c r="E125" s="516">
        <f>LTV!E106</f>
        <v>847360</v>
      </c>
      <c r="F125" s="516"/>
      <c r="G125" s="516">
        <f>LTV!G106</f>
        <v>1545000</v>
      </c>
      <c r="H125" s="516"/>
      <c r="I125" s="516">
        <f>LTV!I106</f>
        <v>505640</v>
      </c>
      <c r="J125" s="516"/>
      <c r="K125" s="517">
        <f t="shared" si="48"/>
        <v>3286802</v>
      </c>
      <c r="L125" s="214">
        <f t="shared" si="48"/>
        <v>0</v>
      </c>
    </row>
    <row r="126" spans="1:15" s="209" customFormat="1" ht="11.25" hidden="1" customHeight="1" outlineLevel="2">
      <c r="A126" s="215">
        <v>5270</v>
      </c>
      <c r="B126" s="213" t="s">
        <v>121</v>
      </c>
      <c r="C126" s="516"/>
      <c r="D126" s="516"/>
      <c r="E126" s="516"/>
      <c r="F126" s="516"/>
      <c r="G126" s="516">
        <v>0</v>
      </c>
      <c r="H126" s="516"/>
      <c r="I126" s="516">
        <v>0</v>
      </c>
      <c r="J126" s="516"/>
      <c r="K126" s="517">
        <f t="shared" si="48"/>
        <v>0</v>
      </c>
      <c r="L126" s="214">
        <f t="shared" si="48"/>
        <v>0</v>
      </c>
    </row>
    <row r="127" spans="1:15" s="209" customFormat="1" outlineLevel="1">
      <c r="A127" s="216"/>
      <c r="B127" s="217" t="s">
        <v>84</v>
      </c>
      <c r="C127" s="518">
        <f>C128</f>
        <v>141075.00000000186</v>
      </c>
      <c r="D127" s="518">
        <f t="shared" ref="D127:I127" si="49">D128</f>
        <v>0</v>
      </c>
      <c r="E127" s="518">
        <f t="shared" si="49"/>
        <v>-476373.81000000238</v>
      </c>
      <c r="F127" s="518">
        <f t="shared" si="49"/>
        <v>0</v>
      </c>
      <c r="G127" s="518">
        <f t="shared" si="49"/>
        <v>960569.51000000164</v>
      </c>
      <c r="H127" s="518">
        <f t="shared" si="49"/>
        <v>0</v>
      </c>
      <c r="I127" s="518">
        <f t="shared" si="49"/>
        <v>-1019682.1999999955</v>
      </c>
      <c r="J127" s="518">
        <f t="shared" ref="J127" si="50">J128</f>
        <v>0</v>
      </c>
      <c r="K127" s="518">
        <f t="shared" ref="K127" si="51">K128</f>
        <v>-394411.49000000954</v>
      </c>
      <c r="L127" s="218"/>
    </row>
    <row r="128" spans="1:15" s="209" customFormat="1" outlineLevel="1">
      <c r="A128" s="219"/>
      <c r="B128" s="220" t="s">
        <v>85</v>
      </c>
      <c r="C128" s="519">
        <f>C10-C22</f>
        <v>141075.00000000186</v>
      </c>
      <c r="D128" s="519">
        <f>D10-D22</f>
        <v>0</v>
      </c>
      <c r="E128" s="519">
        <f>E10-E22</f>
        <v>-476373.81000000238</v>
      </c>
      <c r="F128" s="520">
        <f>F10-F22</f>
        <v>0</v>
      </c>
      <c r="G128" s="519">
        <f>G10-G22</f>
        <v>960569.51000000164</v>
      </c>
      <c r="H128" s="519">
        <f>H10-H22</f>
        <v>0</v>
      </c>
      <c r="I128" s="519">
        <f>I10-I22</f>
        <v>-1019682.1999999955</v>
      </c>
      <c r="J128" s="519">
        <f>J10-J22</f>
        <v>0</v>
      </c>
      <c r="K128" s="519">
        <f>K10-K22</f>
        <v>-394411.49000000954</v>
      </c>
      <c r="L128" s="221">
        <f>L10-L22</f>
        <v>0</v>
      </c>
    </row>
    <row r="129" spans="1:13" s="209" customFormat="1" outlineLevel="1">
      <c r="A129" s="219"/>
      <c r="B129" s="220" t="s">
        <v>86</v>
      </c>
      <c r="C129" s="524">
        <f>463586.83+LTV!C109+13</f>
        <v>803776.56</v>
      </c>
      <c r="D129" s="524"/>
      <c r="E129" s="524">
        <f>C130</f>
        <v>944851.56000000192</v>
      </c>
      <c r="F129" s="524"/>
      <c r="G129" s="524">
        <f>E130</f>
        <v>468477.74999999953</v>
      </c>
      <c r="H129" s="524">
        <f>F130</f>
        <v>0</v>
      </c>
      <c r="I129" s="524">
        <f>G130</f>
        <v>1429047.2600000012</v>
      </c>
      <c r="J129" s="524">
        <f>H130</f>
        <v>0</v>
      </c>
      <c r="K129" s="524">
        <f>C129</f>
        <v>803776.56</v>
      </c>
      <c r="L129" s="222"/>
    </row>
    <row r="130" spans="1:13" s="209" customFormat="1" outlineLevel="1">
      <c r="A130" s="219"/>
      <c r="B130" s="220" t="s">
        <v>87</v>
      </c>
      <c r="C130" s="524">
        <f>SUM(C128:C129)</f>
        <v>944851.56000000192</v>
      </c>
      <c r="D130" s="524"/>
      <c r="E130" s="524">
        <f>E129+E128</f>
        <v>468477.74999999953</v>
      </c>
      <c r="F130" s="524"/>
      <c r="G130" s="524">
        <f>G128+G129</f>
        <v>1429047.2600000012</v>
      </c>
      <c r="H130" s="525">
        <f>H129+H128</f>
        <v>0</v>
      </c>
      <c r="I130" s="524">
        <f>I129+I128</f>
        <v>409365.06000000564</v>
      </c>
      <c r="J130" s="525">
        <f>J129+J128</f>
        <v>0</v>
      </c>
      <c r="K130" s="524">
        <f>K129+K128</f>
        <v>409365.06999999052</v>
      </c>
      <c r="L130" s="222">
        <f>L129+L128</f>
        <v>0</v>
      </c>
    </row>
    <row r="131" spans="1:13">
      <c r="A131" s="521"/>
      <c r="B131" s="522" t="s">
        <v>163</v>
      </c>
      <c r="C131" s="523"/>
      <c r="D131" s="523"/>
      <c r="E131" s="523"/>
      <c r="F131" s="523"/>
      <c r="G131" s="523"/>
      <c r="H131" s="523"/>
      <c r="I131" s="523"/>
      <c r="J131" s="523"/>
      <c r="K131" s="523"/>
      <c r="L131" s="224"/>
    </row>
    <row r="132" spans="1:13">
      <c r="A132" s="225"/>
      <c r="B132" s="226" t="s">
        <v>89</v>
      </c>
      <c r="C132" s="490">
        <f t="shared" ref="C132:I132" si="52">SUM(C133:C137)</f>
        <v>13548888.130000001</v>
      </c>
      <c r="D132" s="490">
        <f t="shared" si="52"/>
        <v>0</v>
      </c>
      <c r="E132" s="490">
        <f t="shared" si="52"/>
        <v>14476480.633333329</v>
      </c>
      <c r="F132" s="490">
        <f t="shared" si="52"/>
        <v>0</v>
      </c>
      <c r="G132" s="490">
        <f t="shared" si="52"/>
        <v>17933751.59</v>
      </c>
      <c r="H132" s="490">
        <f t="shared" si="52"/>
        <v>0</v>
      </c>
      <c r="I132" s="490">
        <f t="shared" si="52"/>
        <v>25038989.966666672</v>
      </c>
      <c r="J132" s="490">
        <f>SUM(J133:J137)</f>
        <v>0</v>
      </c>
      <c r="K132" s="490">
        <f>SUM(K133:K137)</f>
        <v>70998110.319999993</v>
      </c>
      <c r="L132" s="227">
        <f>SUM(L133:L137)</f>
        <v>0</v>
      </c>
    </row>
    <row r="133" spans="1:13" s="487" customFormat="1" ht="10.5" customHeight="1">
      <c r="A133" s="485"/>
      <c r="B133" s="486" t="s">
        <v>90</v>
      </c>
      <c r="C133" s="491">
        <f>C12</f>
        <v>12722681</v>
      </c>
      <c r="D133" s="491">
        <f>D12</f>
        <v>0</v>
      </c>
      <c r="E133" s="491">
        <f>E12</f>
        <v>12554367.26</v>
      </c>
      <c r="F133" s="491">
        <f>F12</f>
        <v>0</v>
      </c>
      <c r="G133" s="491">
        <f>G12</f>
        <v>12132879</v>
      </c>
      <c r="H133" s="491">
        <f>H12</f>
        <v>0</v>
      </c>
      <c r="I133" s="491">
        <f>I12</f>
        <v>12169151</v>
      </c>
      <c r="J133" s="491">
        <f>J12</f>
        <v>0</v>
      </c>
      <c r="K133" s="491">
        <f>K12</f>
        <v>49579078.259999998</v>
      </c>
      <c r="L133" s="192">
        <f>L11</f>
        <v>0</v>
      </c>
    </row>
    <row r="134" spans="1:13" s="487" customFormat="1" ht="10.5" customHeight="1">
      <c r="A134" s="485"/>
      <c r="B134" s="488" t="s">
        <v>206</v>
      </c>
      <c r="C134" s="491"/>
      <c r="D134" s="491"/>
      <c r="E134" s="491">
        <f>E13</f>
        <v>1614849.33333333</v>
      </c>
      <c r="F134" s="491">
        <f>F13</f>
        <v>0</v>
      </c>
      <c r="G134" s="491">
        <f>G13</f>
        <v>4836404</v>
      </c>
      <c r="H134" s="491">
        <f>H13</f>
        <v>0</v>
      </c>
      <c r="I134" s="491">
        <f>I13</f>
        <v>12510136.66666667</v>
      </c>
      <c r="J134" s="491">
        <f>J13</f>
        <v>0</v>
      </c>
      <c r="K134" s="491">
        <f>K13</f>
        <v>18961390</v>
      </c>
      <c r="L134" s="192"/>
    </row>
    <row r="135" spans="1:13" s="487" customFormat="1" ht="10.5" customHeight="1">
      <c r="A135" s="485"/>
      <c r="B135" s="489" t="s">
        <v>208</v>
      </c>
      <c r="C135" s="491">
        <f>C15</f>
        <v>323802</v>
      </c>
      <c r="D135" s="491">
        <f t="shared" ref="D135:K135" si="53">D15</f>
        <v>0</v>
      </c>
      <c r="E135" s="491"/>
      <c r="F135" s="491">
        <f t="shared" si="53"/>
        <v>0</v>
      </c>
      <c r="G135" s="491"/>
      <c r="H135" s="491">
        <f t="shared" si="53"/>
        <v>0</v>
      </c>
      <c r="I135" s="491"/>
      <c r="J135" s="491">
        <f t="shared" si="53"/>
        <v>0</v>
      </c>
      <c r="K135" s="491">
        <f t="shared" si="53"/>
        <v>323802</v>
      </c>
      <c r="L135" s="192">
        <f>L14</f>
        <v>0</v>
      </c>
    </row>
    <row r="136" spans="1:13" s="487" customFormat="1" ht="10.5" customHeight="1">
      <c r="A136" s="485"/>
      <c r="B136" s="489" t="s">
        <v>157</v>
      </c>
      <c r="C136" s="491"/>
      <c r="D136" s="491"/>
      <c r="E136" s="491"/>
      <c r="F136" s="491"/>
      <c r="G136" s="491">
        <f>G14</f>
        <v>625000</v>
      </c>
      <c r="H136" s="491"/>
      <c r="I136" s="491"/>
      <c r="J136" s="491"/>
      <c r="K136" s="491">
        <f>K14</f>
        <v>625000</v>
      </c>
      <c r="L136" s="192"/>
    </row>
    <row r="137" spans="1:13" s="487" customFormat="1" ht="10.5" customHeight="1">
      <c r="A137" s="485"/>
      <c r="B137" s="486" t="s">
        <v>91</v>
      </c>
      <c r="C137" s="491">
        <f t="shared" ref="C137:L137" si="54">C16</f>
        <v>502405.13</v>
      </c>
      <c r="D137" s="491">
        <f t="shared" si="54"/>
        <v>0</v>
      </c>
      <c r="E137" s="491">
        <f t="shared" si="54"/>
        <v>307264.04000000004</v>
      </c>
      <c r="F137" s="491">
        <f t="shared" si="54"/>
        <v>0</v>
      </c>
      <c r="G137" s="491">
        <f t="shared" si="54"/>
        <v>339468.59</v>
      </c>
      <c r="H137" s="491">
        <f t="shared" si="54"/>
        <v>0</v>
      </c>
      <c r="I137" s="491">
        <f t="shared" si="54"/>
        <v>359702.3</v>
      </c>
      <c r="J137" s="491">
        <f t="shared" si="54"/>
        <v>0</v>
      </c>
      <c r="K137" s="491">
        <f t="shared" si="54"/>
        <v>1508840.06</v>
      </c>
      <c r="L137" s="192">
        <f t="shared" si="54"/>
        <v>0</v>
      </c>
    </row>
    <row r="138" spans="1:13">
      <c r="A138" s="230"/>
      <c r="B138" s="231" t="s">
        <v>92</v>
      </c>
      <c r="C138" s="492">
        <f t="shared" ref="C138:J138" si="55">C22</f>
        <v>13407813.129999999</v>
      </c>
      <c r="D138" s="492">
        <f t="shared" si="55"/>
        <v>0</v>
      </c>
      <c r="E138" s="492">
        <f t="shared" si="55"/>
        <v>14952854.443333333</v>
      </c>
      <c r="F138" s="492">
        <f t="shared" si="55"/>
        <v>0</v>
      </c>
      <c r="G138" s="492">
        <f t="shared" si="55"/>
        <v>16973182.079999998</v>
      </c>
      <c r="H138" s="492">
        <f t="shared" si="55"/>
        <v>0</v>
      </c>
      <c r="I138" s="492">
        <f t="shared" si="55"/>
        <v>26058672.166666664</v>
      </c>
      <c r="J138" s="492">
        <f t="shared" si="55"/>
        <v>0</v>
      </c>
      <c r="K138" s="492">
        <f>K22</f>
        <v>71392521.810000002</v>
      </c>
      <c r="L138" s="232">
        <f>L22</f>
        <v>0</v>
      </c>
      <c r="M138" s="481"/>
    </row>
    <row r="139" spans="1:13" s="134" customFormat="1" ht="10.5" customHeight="1">
      <c r="A139" s="233"/>
      <c r="B139" s="128" t="s">
        <v>93</v>
      </c>
      <c r="C139" s="493">
        <v>845</v>
      </c>
      <c r="D139" s="493"/>
      <c r="E139" s="493">
        <v>854</v>
      </c>
      <c r="F139" s="493"/>
      <c r="G139" s="493">
        <v>860</v>
      </c>
      <c r="H139" s="493"/>
      <c r="I139" s="493">
        <v>866</v>
      </c>
      <c r="J139" s="493"/>
      <c r="K139" s="493">
        <f>SUM(C139:I139)/4</f>
        <v>856.25</v>
      </c>
      <c r="L139" s="253">
        <f>D139</f>
        <v>0</v>
      </c>
    </row>
    <row r="140" spans="1:13" s="134" customFormat="1" ht="10.5" customHeight="1">
      <c r="A140" s="233"/>
      <c r="B140" s="128" t="s">
        <v>152</v>
      </c>
      <c r="C140" s="493">
        <v>865</v>
      </c>
      <c r="D140" s="493"/>
      <c r="E140" s="493">
        <v>869</v>
      </c>
      <c r="F140" s="493"/>
      <c r="G140" s="493">
        <v>870</v>
      </c>
      <c r="H140" s="493"/>
      <c r="I140" s="493">
        <v>874</v>
      </c>
      <c r="J140" s="493"/>
      <c r="K140" s="493">
        <f>SUM(C140:I140)/4</f>
        <v>869.5</v>
      </c>
      <c r="L140" s="253">
        <f>D140</f>
        <v>0</v>
      </c>
    </row>
    <row r="141" spans="1:13">
      <c r="A141" s="494"/>
      <c r="B141" s="495" t="s">
        <v>153</v>
      </c>
      <c r="C141" s="496">
        <v>55</v>
      </c>
      <c r="D141" s="496"/>
      <c r="E141" s="496">
        <v>56</v>
      </c>
      <c r="F141" s="496"/>
      <c r="G141" s="496">
        <v>56</v>
      </c>
      <c r="H141" s="496"/>
      <c r="I141" s="496">
        <v>56</v>
      </c>
      <c r="J141" s="496"/>
      <c r="K141" s="493">
        <f>SUM(C141+E141+G141+I141)/4</f>
        <v>55.75</v>
      </c>
      <c r="L141" s="253"/>
    </row>
    <row r="142" spans="1:13" s="207" customFormat="1" ht="15">
      <c r="A142" s="234"/>
      <c r="B142" s="235"/>
      <c r="C142" s="206"/>
      <c r="D142" s="206"/>
      <c r="E142" s="236"/>
      <c r="F142" s="236"/>
      <c r="G142" s="236"/>
      <c r="H142" s="236"/>
      <c r="I142" s="236"/>
      <c r="J142" s="236"/>
      <c r="K142" s="206"/>
      <c r="L142" s="206"/>
    </row>
    <row r="143" spans="1:13">
      <c r="A143" s="234"/>
      <c r="B143" s="237"/>
      <c r="C143" s="238"/>
      <c r="D143" s="238"/>
      <c r="E143" s="238"/>
      <c r="F143" s="238"/>
      <c r="G143" s="238"/>
      <c r="H143" s="238"/>
      <c r="I143" s="238"/>
      <c r="J143" s="238"/>
      <c r="K143" s="239"/>
      <c r="L143" s="239"/>
    </row>
    <row r="144" spans="1:13" s="207" customFormat="1" ht="15">
      <c r="A144" s="235"/>
      <c r="B144" s="235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</row>
    <row r="145" spans="1:12" s="246" customFormat="1" ht="15.5">
      <c r="A145" s="241"/>
      <c r="B145" s="242"/>
      <c r="C145" s="243"/>
      <c r="D145" s="243"/>
      <c r="E145" s="244"/>
      <c r="F145" s="244"/>
      <c r="G145" s="244"/>
      <c r="H145" s="244"/>
      <c r="I145" s="244"/>
      <c r="J145" s="244"/>
      <c r="K145" s="245"/>
      <c r="L145" s="245"/>
    </row>
    <row r="146" spans="1:12" s="246" customFormat="1">
      <c r="C146" s="243"/>
      <c r="D146" s="243"/>
      <c r="E146" s="247"/>
      <c r="F146" s="247"/>
      <c r="G146" s="247"/>
      <c r="H146" s="247"/>
      <c r="I146" s="247"/>
      <c r="J146" s="247"/>
      <c r="K146" s="248"/>
      <c r="L146" s="248"/>
    </row>
    <row r="147" spans="1:12" s="246" customFormat="1">
      <c r="C147" s="243"/>
      <c r="D147" s="243"/>
      <c r="E147" s="247"/>
      <c r="F147" s="247"/>
      <c r="G147" s="247"/>
      <c r="H147" s="247"/>
      <c r="I147" s="247"/>
      <c r="J147" s="247"/>
      <c r="K147" s="248"/>
      <c r="L147" s="248"/>
    </row>
    <row r="148" spans="1:12" s="246" customFormat="1">
      <c r="C148" s="243"/>
      <c r="D148" s="243"/>
      <c r="E148" s="247"/>
      <c r="F148" s="247"/>
      <c r="G148" s="247"/>
      <c r="H148" s="247"/>
      <c r="I148" s="247"/>
      <c r="J148" s="247"/>
      <c r="K148" s="248"/>
      <c r="L148" s="248"/>
    </row>
    <row r="149" spans="1:12" s="246" customFormat="1">
      <c r="C149" s="243"/>
      <c r="D149" s="243"/>
      <c r="E149" s="244"/>
      <c r="F149" s="244"/>
      <c r="G149" s="244"/>
      <c r="H149" s="244"/>
      <c r="I149" s="244"/>
      <c r="J149" s="244"/>
      <c r="K149" s="245"/>
      <c r="L149" s="245"/>
    </row>
    <row r="150" spans="1:12" s="246" customFormat="1">
      <c r="A150" s="249"/>
      <c r="C150" s="243"/>
      <c r="D150" s="243"/>
      <c r="E150" s="244"/>
      <c r="F150" s="244"/>
      <c r="G150" s="244"/>
      <c r="H150" s="244"/>
      <c r="I150" s="244"/>
      <c r="J150" s="244"/>
      <c r="K150" s="245"/>
      <c r="L150" s="245"/>
    </row>
  </sheetData>
  <mergeCells count="11">
    <mergeCell ref="I7:J7"/>
    <mergeCell ref="K7:L7"/>
    <mergeCell ref="A2:C2"/>
    <mergeCell ref="A3:B3"/>
    <mergeCell ref="A4:L4"/>
    <mergeCell ref="A5:L5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3F21-DEBD-45F9-846E-88AD7656A9B5}">
  <sheetPr>
    <tabColor theme="9" tint="0.79998168889431442"/>
  </sheetPr>
  <dimension ref="A1:N124"/>
  <sheetViews>
    <sheetView zoomScale="110" zoomScaleNormal="110" workbookViewId="0">
      <selection activeCell="J13" sqref="J13"/>
    </sheetView>
  </sheetViews>
  <sheetFormatPr defaultColWidth="8.7265625" defaultRowHeight="13" outlineLevelCol="1"/>
  <cols>
    <col min="1" max="1" width="5.7265625" style="526" customWidth="1"/>
    <col min="2" max="2" width="75.54296875" style="526" customWidth="1"/>
    <col min="3" max="3" width="18.1796875" style="562" customWidth="1"/>
    <col min="4" max="4" width="17.7265625" style="526" hidden="1" customWidth="1" outlineLevel="1"/>
    <col min="5" max="5" width="21.453125" style="526" customWidth="1" collapsed="1"/>
    <col min="6" max="6" width="9.7265625" style="526" hidden="1" customWidth="1" outlineLevel="1"/>
    <col min="7" max="7" width="13.453125" style="526" customWidth="1" collapsed="1"/>
    <col min="8" max="8" width="9.453125" style="526" bestFit="1" customWidth="1"/>
    <col min="9" max="9" width="21.26953125" style="527" customWidth="1"/>
    <col min="10" max="13" width="8.7265625" style="526"/>
    <col min="14" max="14" width="13.1796875" style="527" customWidth="1"/>
    <col min="15" max="15" width="8.7265625" style="526"/>
    <col min="16" max="16" width="19" style="526" customWidth="1"/>
    <col min="17" max="16384" width="8.7265625" style="526"/>
  </cols>
  <sheetData>
    <row r="1" spans="1:6">
      <c r="A1" s="526" t="s">
        <v>154</v>
      </c>
    </row>
    <row r="2" spans="1:6">
      <c r="A2" s="526" t="s">
        <v>256</v>
      </c>
    </row>
    <row r="4" spans="1:6">
      <c r="A4" s="685" t="s">
        <v>347</v>
      </c>
      <c r="B4" s="685"/>
      <c r="C4" s="685"/>
      <c r="D4" s="685"/>
      <c r="E4" s="685"/>
      <c r="F4" s="685"/>
    </row>
    <row r="6" spans="1:6" ht="41.25" customHeight="1">
      <c r="A6" s="654" t="s">
        <v>257</v>
      </c>
      <c r="B6" s="655" t="s">
        <v>258</v>
      </c>
      <c r="C6" s="656" t="s">
        <v>396</v>
      </c>
      <c r="D6" s="656" t="s">
        <v>397</v>
      </c>
      <c r="E6" s="656" t="s">
        <v>261</v>
      </c>
      <c r="F6" s="618" t="s">
        <v>262</v>
      </c>
    </row>
    <row r="7" spans="1:6">
      <c r="A7" s="528" t="s">
        <v>263</v>
      </c>
      <c r="B7" s="529"/>
      <c r="C7" s="563"/>
      <c r="D7" s="530"/>
      <c r="E7" s="530"/>
      <c r="F7" s="530"/>
    </row>
    <row r="8" spans="1:6" ht="13.5" customHeight="1">
      <c r="A8" s="645">
        <v>1</v>
      </c>
      <c r="B8" s="532" t="s">
        <v>264</v>
      </c>
      <c r="C8" s="564">
        <v>100</v>
      </c>
      <c r="D8" s="533"/>
      <c r="E8" s="678" t="s">
        <v>363</v>
      </c>
      <c r="F8" s="533"/>
    </row>
    <row r="9" spans="1:6" ht="13.5" customHeight="1">
      <c r="A9" s="646">
        <v>2</v>
      </c>
      <c r="B9" s="535" t="s">
        <v>265</v>
      </c>
      <c r="C9" s="564">
        <v>100</v>
      </c>
      <c r="D9" s="536"/>
      <c r="E9" s="679"/>
      <c r="F9" s="536"/>
    </row>
    <row r="10" spans="1:6" ht="13.5" customHeight="1">
      <c r="A10" s="645">
        <v>3</v>
      </c>
      <c r="B10" s="535" t="s">
        <v>266</v>
      </c>
      <c r="C10" s="565">
        <v>82.194999999999993</v>
      </c>
      <c r="D10" s="536"/>
      <c r="E10" s="607" t="s">
        <v>359</v>
      </c>
      <c r="F10" s="536"/>
    </row>
    <row r="11" spans="1:6" ht="13.5" customHeight="1">
      <c r="A11" s="646">
        <v>4</v>
      </c>
      <c r="B11" s="604" t="s">
        <v>267</v>
      </c>
      <c r="C11" s="565">
        <v>50</v>
      </c>
      <c r="D11" s="536"/>
      <c r="E11" s="682" t="s">
        <v>363</v>
      </c>
      <c r="F11" s="536"/>
    </row>
    <row r="12" spans="1:6" ht="13.5" customHeight="1">
      <c r="A12" s="645">
        <v>5</v>
      </c>
      <c r="B12" s="604" t="s">
        <v>268</v>
      </c>
      <c r="C12" s="565">
        <v>50</v>
      </c>
      <c r="D12" s="536"/>
      <c r="E12" s="683"/>
      <c r="F12" s="536"/>
    </row>
    <row r="13" spans="1:6" ht="13.5" customHeight="1">
      <c r="A13" s="646">
        <v>6</v>
      </c>
      <c r="B13" s="617" t="s">
        <v>269</v>
      </c>
      <c r="C13" s="566">
        <v>38.99906</v>
      </c>
      <c r="D13" s="536"/>
      <c r="E13" s="683"/>
      <c r="F13" s="536"/>
    </row>
    <row r="14" spans="1:6" ht="13.5" customHeight="1">
      <c r="A14" s="645">
        <v>7</v>
      </c>
      <c r="B14" s="617" t="s">
        <v>270</v>
      </c>
      <c r="C14" s="566">
        <v>11.26084</v>
      </c>
      <c r="D14" s="536"/>
      <c r="E14" s="681"/>
      <c r="F14" s="536"/>
    </row>
    <row r="15" spans="1:6" ht="13.5" customHeight="1">
      <c r="A15" s="646">
        <v>8</v>
      </c>
      <c r="B15" s="617" t="s">
        <v>271</v>
      </c>
      <c r="C15" s="567">
        <v>510</v>
      </c>
      <c r="D15" s="536"/>
      <c r="E15" s="680" t="s">
        <v>385</v>
      </c>
      <c r="F15" s="536"/>
    </row>
    <row r="16" spans="1:6" ht="13.5" customHeight="1">
      <c r="A16" s="645">
        <v>9</v>
      </c>
      <c r="B16" s="537" t="s">
        <v>272</v>
      </c>
      <c r="C16" s="567">
        <v>405</v>
      </c>
      <c r="D16" s="536"/>
      <c r="E16" s="683"/>
      <c r="F16" s="536"/>
    </row>
    <row r="17" spans="1:6" ht="13.5" customHeight="1">
      <c r="A17" s="646">
        <v>10</v>
      </c>
      <c r="B17" s="537" t="s">
        <v>273</v>
      </c>
      <c r="C17" s="567">
        <v>395</v>
      </c>
      <c r="D17" s="536"/>
      <c r="E17" s="683"/>
      <c r="F17" s="536"/>
    </row>
    <row r="18" spans="1:6" ht="13.5" customHeight="1">
      <c r="A18" s="645">
        <v>11</v>
      </c>
      <c r="B18" s="537" t="s">
        <v>274</v>
      </c>
      <c r="C18" s="568">
        <v>355.7</v>
      </c>
      <c r="D18" s="536"/>
      <c r="E18" s="683"/>
      <c r="F18" s="536"/>
    </row>
    <row r="19" spans="1:6" ht="13.5" customHeight="1">
      <c r="A19" s="646">
        <v>12</v>
      </c>
      <c r="B19" s="537" t="s">
        <v>275</v>
      </c>
      <c r="C19" s="568">
        <v>343</v>
      </c>
      <c r="D19" s="536"/>
      <c r="E19" s="683"/>
      <c r="F19" s="536"/>
    </row>
    <row r="20" spans="1:6" ht="13.5" customHeight="1">
      <c r="A20" s="645">
        <v>13</v>
      </c>
      <c r="B20" s="537" t="s">
        <v>276</v>
      </c>
      <c r="C20" s="568">
        <v>290</v>
      </c>
      <c r="D20" s="536"/>
      <c r="E20" s="683"/>
      <c r="F20" s="536"/>
    </row>
    <row r="21" spans="1:6" ht="27" customHeight="1">
      <c r="A21" s="647">
        <v>14</v>
      </c>
      <c r="B21" s="537" t="s">
        <v>277</v>
      </c>
      <c r="C21" s="568">
        <v>231.12100000000001</v>
      </c>
      <c r="D21" s="536"/>
      <c r="E21" s="683"/>
      <c r="F21" s="536"/>
    </row>
    <row r="22" spans="1:6" ht="13.5" customHeight="1">
      <c r="A22" s="645">
        <v>15</v>
      </c>
      <c r="B22" s="537" t="s">
        <v>278</v>
      </c>
      <c r="C22" s="568">
        <v>210</v>
      </c>
      <c r="D22" s="536"/>
      <c r="E22" s="683"/>
      <c r="F22" s="536"/>
    </row>
    <row r="23" spans="1:6" ht="13.5" customHeight="1">
      <c r="A23" s="646">
        <v>16</v>
      </c>
      <c r="B23" s="537" t="s">
        <v>279</v>
      </c>
      <c r="C23" s="568">
        <v>210</v>
      </c>
      <c r="D23" s="536"/>
      <c r="E23" s="683"/>
      <c r="F23" s="536"/>
    </row>
    <row r="24" spans="1:6" ht="13.5" customHeight="1">
      <c r="A24" s="645">
        <v>17</v>
      </c>
      <c r="B24" s="537" t="s">
        <v>280</v>
      </c>
      <c r="C24" s="568">
        <v>205</v>
      </c>
      <c r="D24" s="536"/>
      <c r="E24" s="683"/>
      <c r="F24" s="536"/>
    </row>
    <row r="25" spans="1:6" ht="13.5" customHeight="1">
      <c r="A25" s="646">
        <v>18</v>
      </c>
      <c r="B25" s="537" t="s">
        <v>281</v>
      </c>
      <c r="C25" s="568">
        <v>180</v>
      </c>
      <c r="D25" s="536"/>
      <c r="E25" s="683"/>
      <c r="F25" s="536"/>
    </row>
    <row r="26" spans="1:6" ht="13.5" customHeight="1">
      <c r="A26" s="645">
        <v>19</v>
      </c>
      <c r="B26" s="537" t="s">
        <v>282</v>
      </c>
      <c r="C26" s="568">
        <v>160</v>
      </c>
      <c r="D26" s="536"/>
      <c r="E26" s="683"/>
      <c r="F26" s="536"/>
    </row>
    <row r="27" spans="1:6" ht="13.5" customHeight="1">
      <c r="A27" s="646">
        <v>20</v>
      </c>
      <c r="B27" s="537" t="s">
        <v>283</v>
      </c>
      <c r="C27" s="568">
        <v>160</v>
      </c>
      <c r="D27" s="536"/>
      <c r="E27" s="683"/>
      <c r="F27" s="536"/>
    </row>
    <row r="28" spans="1:6" ht="27" customHeight="1">
      <c r="A28" s="645">
        <v>21</v>
      </c>
      <c r="B28" s="537" t="s">
        <v>284</v>
      </c>
      <c r="C28" s="568">
        <v>158.69478000000001</v>
      </c>
      <c r="D28" s="536"/>
      <c r="E28" s="683"/>
      <c r="F28" s="536"/>
    </row>
    <row r="29" spans="1:6" ht="13.5" customHeight="1">
      <c r="A29" s="646">
        <v>22</v>
      </c>
      <c r="B29" s="537" t="s">
        <v>285</v>
      </c>
      <c r="C29" s="568">
        <v>110</v>
      </c>
      <c r="D29" s="536"/>
      <c r="E29" s="683"/>
      <c r="F29" s="536"/>
    </row>
    <row r="30" spans="1:6" ht="13.5" customHeight="1">
      <c r="A30" s="645">
        <v>23</v>
      </c>
      <c r="B30" s="537" t="s">
        <v>286</v>
      </c>
      <c r="C30" s="568">
        <v>110</v>
      </c>
      <c r="D30" s="536"/>
      <c r="E30" s="683"/>
      <c r="F30" s="536"/>
    </row>
    <row r="31" spans="1:6" ht="13.5" customHeight="1">
      <c r="A31" s="646">
        <v>24</v>
      </c>
      <c r="B31" s="537" t="s">
        <v>287</v>
      </c>
      <c r="C31" s="568">
        <v>110</v>
      </c>
      <c r="D31" s="536"/>
      <c r="E31" s="683"/>
      <c r="F31" s="536"/>
    </row>
    <row r="32" spans="1:6" ht="13.5" customHeight="1">
      <c r="A32" s="645">
        <v>25</v>
      </c>
      <c r="B32" s="537" t="s">
        <v>288</v>
      </c>
      <c r="C32" s="568">
        <v>105</v>
      </c>
      <c r="D32" s="536"/>
      <c r="E32" s="683"/>
      <c r="F32" s="536"/>
    </row>
    <row r="33" spans="1:14" ht="13.5" customHeight="1">
      <c r="A33" s="646">
        <v>26</v>
      </c>
      <c r="B33" s="537" t="s">
        <v>289</v>
      </c>
      <c r="C33" s="568">
        <v>100</v>
      </c>
      <c r="D33" s="536"/>
      <c r="E33" s="683"/>
      <c r="F33" s="536"/>
    </row>
    <row r="34" spans="1:14" ht="13.5" customHeight="1">
      <c r="A34" s="645">
        <v>27</v>
      </c>
      <c r="B34" s="537" t="s">
        <v>290</v>
      </c>
      <c r="C34" s="568">
        <v>100</v>
      </c>
      <c r="D34" s="536"/>
      <c r="E34" s="683"/>
      <c r="F34" s="536"/>
    </row>
    <row r="35" spans="1:14" ht="13.5" customHeight="1">
      <c r="A35" s="646">
        <v>28</v>
      </c>
      <c r="B35" s="537" t="s">
        <v>291</v>
      </c>
      <c r="C35" s="568">
        <v>70</v>
      </c>
      <c r="D35" s="536"/>
      <c r="E35" s="683"/>
      <c r="F35" s="536"/>
      <c r="N35" s="526"/>
    </row>
    <row r="36" spans="1:14" ht="13.5" customHeight="1">
      <c r="A36" s="645">
        <v>29</v>
      </c>
      <c r="B36" s="535" t="s">
        <v>292</v>
      </c>
      <c r="C36" s="565">
        <v>70</v>
      </c>
      <c r="D36" s="536"/>
      <c r="E36" s="683"/>
      <c r="F36" s="536"/>
      <c r="N36" s="526"/>
    </row>
    <row r="37" spans="1:14" ht="13.5" customHeight="1">
      <c r="A37" s="646">
        <v>30</v>
      </c>
      <c r="B37" s="535" t="s">
        <v>293</v>
      </c>
      <c r="C37" s="565">
        <v>70</v>
      </c>
      <c r="D37" s="536"/>
      <c r="E37" s="683"/>
      <c r="F37" s="536"/>
      <c r="N37" s="526"/>
    </row>
    <row r="38" spans="1:14" ht="13.5" customHeight="1">
      <c r="A38" s="645">
        <v>31</v>
      </c>
      <c r="B38" s="535" t="s">
        <v>294</v>
      </c>
      <c r="C38" s="565">
        <v>60</v>
      </c>
      <c r="D38" s="536"/>
      <c r="E38" s="683"/>
      <c r="F38" s="536"/>
      <c r="N38" s="526"/>
    </row>
    <row r="39" spans="1:14" ht="13.5" customHeight="1">
      <c r="A39" s="646">
        <v>32</v>
      </c>
      <c r="B39" s="535" t="s">
        <v>295</v>
      </c>
      <c r="C39" s="565">
        <v>54</v>
      </c>
      <c r="D39" s="536"/>
      <c r="E39" s="683"/>
      <c r="F39" s="536"/>
      <c r="N39" s="526"/>
    </row>
    <row r="40" spans="1:14" ht="13.5" customHeight="1">
      <c r="A40" s="645">
        <v>33</v>
      </c>
      <c r="B40" s="535" t="s">
        <v>296</v>
      </c>
      <c r="C40" s="565">
        <v>50</v>
      </c>
      <c r="D40" s="536"/>
      <c r="E40" s="683"/>
      <c r="F40" s="536"/>
      <c r="N40" s="526"/>
    </row>
    <row r="41" spans="1:14" ht="13.5" customHeight="1">
      <c r="A41" s="646">
        <v>34</v>
      </c>
      <c r="B41" s="535" t="s">
        <v>297</v>
      </c>
      <c r="C41" s="565">
        <v>35</v>
      </c>
      <c r="D41" s="536"/>
      <c r="E41" s="683"/>
      <c r="F41" s="536"/>
      <c r="N41" s="526"/>
    </row>
    <row r="42" spans="1:14" ht="13.5" customHeight="1">
      <c r="A42" s="645">
        <v>35</v>
      </c>
      <c r="B42" s="535" t="s">
        <v>298</v>
      </c>
      <c r="C42" s="565">
        <v>30</v>
      </c>
      <c r="D42" s="536"/>
      <c r="E42" s="683"/>
      <c r="F42" s="536"/>
    </row>
    <row r="43" spans="1:14" ht="13.5" customHeight="1">
      <c r="A43" s="646">
        <v>36</v>
      </c>
      <c r="B43" s="535" t="s">
        <v>299</v>
      </c>
      <c r="C43" s="565">
        <v>9706.0300000000007</v>
      </c>
      <c r="D43" s="536"/>
      <c r="E43" s="683"/>
      <c r="F43" s="536"/>
    </row>
    <row r="44" spans="1:14" ht="13.5" customHeight="1">
      <c r="A44" s="645">
        <v>37</v>
      </c>
      <c r="B44" s="535" t="s">
        <v>300</v>
      </c>
      <c r="C44" s="565">
        <v>160</v>
      </c>
      <c r="D44" s="536"/>
      <c r="E44" s="683"/>
      <c r="F44" s="536"/>
    </row>
    <row r="45" spans="1:14" ht="13.5" customHeight="1">
      <c r="A45" s="646">
        <v>38</v>
      </c>
      <c r="B45" s="535" t="s">
        <v>301</v>
      </c>
      <c r="C45" s="565">
        <v>100</v>
      </c>
      <c r="D45" s="536"/>
      <c r="E45" s="683"/>
      <c r="F45" s="536"/>
    </row>
    <row r="46" spans="1:14" ht="13.5" customHeight="1">
      <c r="A46" s="645">
        <v>39</v>
      </c>
      <c r="B46" s="535" t="s">
        <v>302</v>
      </c>
      <c r="C46" s="565">
        <v>80</v>
      </c>
      <c r="D46" s="536"/>
      <c r="E46" s="683"/>
      <c r="F46" s="536"/>
    </row>
    <row r="47" spans="1:14" ht="13.5" customHeight="1">
      <c r="A47" s="646">
        <v>40</v>
      </c>
      <c r="B47" s="535" t="s">
        <v>303</v>
      </c>
      <c r="C47" s="565">
        <v>50</v>
      </c>
      <c r="D47" s="536"/>
      <c r="E47" s="683"/>
      <c r="F47" s="536"/>
    </row>
    <row r="48" spans="1:14" ht="13.5" customHeight="1">
      <c r="A48" s="645">
        <v>41</v>
      </c>
      <c r="B48" s="535" t="s">
        <v>304</v>
      </c>
      <c r="C48" s="565">
        <v>50</v>
      </c>
      <c r="D48" s="536"/>
      <c r="E48" s="683"/>
      <c r="F48" s="536"/>
    </row>
    <row r="49" spans="1:6" ht="13.5" customHeight="1">
      <c r="A49" s="646">
        <v>42</v>
      </c>
      <c r="B49" s="535" t="s">
        <v>305</v>
      </c>
      <c r="C49" s="565">
        <v>40</v>
      </c>
      <c r="D49" s="536"/>
      <c r="E49" s="683"/>
      <c r="F49" s="536"/>
    </row>
    <row r="50" spans="1:6" ht="13.5" customHeight="1">
      <c r="A50" s="645">
        <v>43</v>
      </c>
      <c r="B50" s="535" t="s">
        <v>306</v>
      </c>
      <c r="C50" s="565">
        <v>25</v>
      </c>
      <c r="D50" s="536"/>
      <c r="E50" s="683"/>
      <c r="F50" s="536"/>
    </row>
    <row r="51" spans="1:6" ht="13.5" customHeight="1">
      <c r="A51" s="646">
        <v>44</v>
      </c>
      <c r="B51" s="535" t="s">
        <v>307</v>
      </c>
      <c r="C51" s="565">
        <v>20</v>
      </c>
      <c r="D51" s="536"/>
      <c r="E51" s="683"/>
      <c r="F51" s="536"/>
    </row>
    <row r="52" spans="1:6" ht="15" customHeight="1">
      <c r="A52" s="645">
        <v>45</v>
      </c>
      <c r="B52" s="609" t="s">
        <v>308</v>
      </c>
      <c r="C52" s="565">
        <v>10</v>
      </c>
      <c r="D52" s="536"/>
      <c r="E52" s="681"/>
      <c r="F52" s="536"/>
    </row>
    <row r="53" spans="1:6" ht="15" customHeight="1">
      <c r="A53" s="646">
        <v>46</v>
      </c>
      <c r="B53" s="619" t="s">
        <v>348</v>
      </c>
      <c r="C53" s="565">
        <v>77</v>
      </c>
      <c r="D53" s="536"/>
      <c r="E53" s="608" t="s">
        <v>359</v>
      </c>
      <c r="F53" s="536"/>
    </row>
    <row r="54" spans="1:6" ht="15" customHeight="1">
      <c r="A54" s="645">
        <v>47</v>
      </c>
      <c r="B54" s="620" t="s">
        <v>350</v>
      </c>
      <c r="C54" s="621">
        <v>50</v>
      </c>
      <c r="D54" s="536"/>
      <c r="E54" s="608" t="s">
        <v>363</v>
      </c>
      <c r="F54" s="536"/>
    </row>
    <row r="55" spans="1:6" ht="15" customHeight="1">
      <c r="A55" s="646">
        <v>48</v>
      </c>
      <c r="B55" s="620" t="s">
        <v>351</v>
      </c>
      <c r="C55" s="621">
        <v>50</v>
      </c>
      <c r="D55" s="536"/>
      <c r="E55" s="680" t="s">
        <v>359</v>
      </c>
      <c r="F55" s="536"/>
    </row>
    <row r="56" spans="1:6" ht="15" customHeight="1">
      <c r="A56" s="649">
        <v>49</v>
      </c>
      <c r="B56" s="622" t="s">
        <v>352</v>
      </c>
      <c r="C56" s="623">
        <v>30</v>
      </c>
      <c r="D56" s="536"/>
      <c r="E56" s="681"/>
      <c r="F56" s="536"/>
    </row>
    <row r="57" spans="1:6">
      <c r="A57" s="648"/>
      <c r="B57" s="545" t="s">
        <v>309</v>
      </c>
      <c r="C57" s="569">
        <f>SUM(C8:C56)</f>
        <v>15768.000680000001</v>
      </c>
      <c r="D57" s="536">
        <f>D8+D9+D12</f>
        <v>0</v>
      </c>
      <c r="E57" s="533"/>
      <c r="F57" s="536"/>
    </row>
    <row r="58" spans="1:6" hidden="1">
      <c r="A58" s="624" t="s">
        <v>310</v>
      </c>
      <c r="B58" s="625"/>
      <c r="C58" s="626"/>
      <c r="D58" s="627"/>
      <c r="E58" s="627"/>
      <c r="F58" s="627"/>
    </row>
    <row r="59" spans="1:6" hidden="1">
      <c r="A59" s="531">
        <v>1</v>
      </c>
      <c r="B59" s="535"/>
      <c r="C59" s="570"/>
      <c r="D59" s="536"/>
      <c r="E59" s="536"/>
      <c r="F59" s="536"/>
    </row>
    <row r="60" spans="1:6" hidden="1">
      <c r="A60" s="534">
        <v>2</v>
      </c>
      <c r="B60" s="535"/>
      <c r="C60" s="570"/>
      <c r="D60" s="536"/>
      <c r="E60" s="536"/>
      <c r="F60" s="536"/>
    </row>
    <row r="61" spans="1:6" hidden="1">
      <c r="A61" s="539" t="s">
        <v>311</v>
      </c>
      <c r="B61" s="535"/>
      <c r="C61" s="570"/>
      <c r="D61" s="536"/>
      <c r="E61" s="536"/>
      <c r="F61" s="536"/>
    </row>
    <row r="62" spans="1:6" hidden="1">
      <c r="A62" s="538"/>
      <c r="B62" s="545" t="s">
        <v>309</v>
      </c>
      <c r="C62" s="570">
        <f>SUM(C59)</f>
        <v>0</v>
      </c>
      <c r="D62" s="536">
        <f>SUM(D59)</f>
        <v>0</v>
      </c>
      <c r="E62" s="536"/>
      <c r="F62" s="536"/>
    </row>
    <row r="63" spans="1:6">
      <c r="A63" s="528" t="s">
        <v>312</v>
      </c>
      <c r="B63" s="529"/>
      <c r="C63" s="563"/>
      <c r="D63" s="530"/>
      <c r="E63" s="530"/>
      <c r="F63" s="530"/>
    </row>
    <row r="64" spans="1:6">
      <c r="A64" s="645">
        <v>1</v>
      </c>
      <c r="B64" s="540" t="s">
        <v>313</v>
      </c>
      <c r="C64" s="565">
        <v>323.80200000000002</v>
      </c>
      <c r="D64" s="541"/>
      <c r="E64" s="607" t="s">
        <v>314</v>
      </c>
      <c r="F64" s="541"/>
    </row>
    <row r="65" spans="1:6">
      <c r="A65" s="646">
        <v>2</v>
      </c>
      <c r="B65" s="540" t="s">
        <v>315</v>
      </c>
      <c r="C65" s="564">
        <v>100</v>
      </c>
      <c r="D65" s="541"/>
      <c r="E65" s="599" t="s">
        <v>363</v>
      </c>
      <c r="F65" s="541"/>
    </row>
    <row r="66" spans="1:6">
      <c r="A66" s="645">
        <v>3</v>
      </c>
      <c r="B66" s="535" t="s">
        <v>316</v>
      </c>
      <c r="C66" s="565">
        <v>30</v>
      </c>
      <c r="D66" s="536"/>
      <c r="E66" s="678" t="s">
        <v>359</v>
      </c>
      <c r="F66" s="536"/>
    </row>
    <row r="67" spans="1:6">
      <c r="A67" s="646">
        <v>4</v>
      </c>
      <c r="B67" s="535" t="s">
        <v>317</v>
      </c>
      <c r="C67" s="565">
        <v>10.8779</v>
      </c>
      <c r="D67" s="536"/>
      <c r="E67" s="679"/>
      <c r="F67" s="536"/>
    </row>
    <row r="68" spans="1:6">
      <c r="A68" s="645">
        <v>5</v>
      </c>
      <c r="B68" s="535" t="s">
        <v>318</v>
      </c>
      <c r="C68" s="565">
        <v>810</v>
      </c>
      <c r="D68" s="536"/>
      <c r="E68" s="678" t="s">
        <v>385</v>
      </c>
      <c r="F68" s="536"/>
    </row>
    <row r="69" spans="1:6" ht="15" customHeight="1">
      <c r="A69" s="646">
        <v>6</v>
      </c>
      <c r="B69" s="535" t="s">
        <v>319</v>
      </c>
      <c r="C69" s="565">
        <v>205</v>
      </c>
      <c r="D69" s="536"/>
      <c r="E69" s="684"/>
      <c r="F69" s="536"/>
    </row>
    <row r="70" spans="1:6" ht="15" customHeight="1">
      <c r="A70" s="645">
        <v>7</v>
      </c>
      <c r="B70" s="535" t="s">
        <v>320</v>
      </c>
      <c r="C70" s="565">
        <v>170</v>
      </c>
      <c r="D70" s="536"/>
      <c r="E70" s="684"/>
      <c r="F70" s="536"/>
    </row>
    <row r="71" spans="1:6" ht="15" customHeight="1">
      <c r="A71" s="646">
        <v>8</v>
      </c>
      <c r="B71" s="535" t="s">
        <v>321</v>
      </c>
      <c r="C71" s="565">
        <v>150</v>
      </c>
      <c r="D71" s="536"/>
      <c r="E71" s="684"/>
      <c r="F71" s="536"/>
    </row>
    <row r="72" spans="1:6" ht="15" customHeight="1">
      <c r="A72" s="645">
        <v>9</v>
      </c>
      <c r="B72" s="535" t="s">
        <v>322</v>
      </c>
      <c r="C72" s="565">
        <v>110</v>
      </c>
      <c r="D72" s="536"/>
      <c r="E72" s="684"/>
      <c r="F72" s="536"/>
    </row>
    <row r="73" spans="1:6" ht="24" customHeight="1">
      <c r="A73" s="647">
        <v>10</v>
      </c>
      <c r="B73" s="650" t="s">
        <v>323</v>
      </c>
      <c r="C73" s="565">
        <v>110</v>
      </c>
      <c r="D73" s="536"/>
      <c r="E73" s="684"/>
      <c r="F73" s="536"/>
    </row>
    <row r="74" spans="1:6" ht="15" customHeight="1">
      <c r="A74" s="645">
        <v>11</v>
      </c>
      <c r="B74" s="535" t="s">
        <v>324</v>
      </c>
      <c r="C74" s="565">
        <v>50</v>
      </c>
      <c r="D74" s="536"/>
      <c r="E74" s="684"/>
      <c r="F74" s="536"/>
    </row>
    <row r="75" spans="1:6" ht="15" customHeight="1">
      <c r="A75" s="646">
        <v>12</v>
      </c>
      <c r="B75" s="535" t="s">
        <v>325</v>
      </c>
      <c r="C75" s="565">
        <v>50</v>
      </c>
      <c r="D75" s="536"/>
      <c r="E75" s="684"/>
      <c r="F75" s="536"/>
    </row>
    <row r="76" spans="1:6" ht="15" customHeight="1">
      <c r="A76" s="645">
        <v>13</v>
      </c>
      <c r="B76" s="535" t="s">
        <v>326</v>
      </c>
      <c r="C76" s="565">
        <v>40</v>
      </c>
      <c r="D76" s="536"/>
      <c r="E76" s="684"/>
      <c r="F76" s="536"/>
    </row>
    <row r="77" spans="1:6" ht="15" customHeight="1">
      <c r="A77" s="646">
        <v>14</v>
      </c>
      <c r="B77" s="535" t="s">
        <v>327</v>
      </c>
      <c r="C77" s="565">
        <v>40</v>
      </c>
      <c r="D77" s="536"/>
      <c r="E77" s="684"/>
      <c r="F77" s="536"/>
    </row>
    <row r="78" spans="1:6" ht="15" customHeight="1">
      <c r="A78" s="645">
        <v>15</v>
      </c>
      <c r="B78" s="535" t="s">
        <v>328</v>
      </c>
      <c r="C78" s="565">
        <v>560</v>
      </c>
      <c r="D78" s="536"/>
      <c r="E78" s="684"/>
      <c r="F78" s="536"/>
    </row>
    <row r="79" spans="1:6" ht="15" customHeight="1">
      <c r="A79" s="646">
        <v>16</v>
      </c>
      <c r="B79" s="604" t="s">
        <v>329</v>
      </c>
      <c r="C79" s="605">
        <v>484.84</v>
      </c>
      <c r="D79" s="536"/>
      <c r="E79" s="684"/>
      <c r="F79" s="536"/>
    </row>
    <row r="80" spans="1:6" ht="15" customHeight="1">
      <c r="A80" s="645">
        <v>17</v>
      </c>
      <c r="B80" s="535" t="s">
        <v>330</v>
      </c>
      <c r="C80" s="565">
        <v>68</v>
      </c>
      <c r="D80" s="536"/>
      <c r="E80" s="684"/>
      <c r="F80" s="536"/>
    </row>
    <row r="81" spans="1:14" ht="15" customHeight="1">
      <c r="A81" s="646">
        <v>18</v>
      </c>
      <c r="B81" s="535" t="s">
        <v>331</v>
      </c>
      <c r="C81" s="565">
        <v>30</v>
      </c>
      <c r="D81" s="536"/>
      <c r="E81" s="684"/>
      <c r="F81" s="536"/>
    </row>
    <row r="82" spans="1:14" ht="15" customHeight="1">
      <c r="A82" s="645">
        <v>19</v>
      </c>
      <c r="B82" s="609" t="s">
        <v>332</v>
      </c>
      <c r="C82" s="565">
        <v>20</v>
      </c>
      <c r="D82" s="536"/>
      <c r="E82" s="684"/>
      <c r="F82" s="536"/>
    </row>
    <row r="83" spans="1:14" ht="15" customHeight="1">
      <c r="A83" s="646">
        <v>20</v>
      </c>
      <c r="B83" s="609" t="s">
        <v>333</v>
      </c>
      <c r="C83" s="565">
        <v>5.16</v>
      </c>
      <c r="D83" s="536"/>
      <c r="E83" s="679"/>
      <c r="F83" s="536"/>
    </row>
    <row r="84" spans="1:14" ht="15" customHeight="1">
      <c r="A84" s="645">
        <v>21</v>
      </c>
      <c r="B84" s="628" t="s">
        <v>352</v>
      </c>
      <c r="C84" s="610">
        <v>5</v>
      </c>
      <c r="D84" s="536"/>
      <c r="E84" s="608" t="s">
        <v>359</v>
      </c>
      <c r="F84" s="536"/>
    </row>
    <row r="85" spans="1:14">
      <c r="A85" s="531"/>
      <c r="B85" s="545" t="s">
        <v>309</v>
      </c>
      <c r="C85" s="569">
        <f>SUM(C64:C84)</f>
        <v>3372.6799000000001</v>
      </c>
      <c r="D85" s="536">
        <f>SUM(D64+D66)</f>
        <v>0</v>
      </c>
      <c r="E85" s="533"/>
      <c r="F85" s="536"/>
    </row>
    <row r="86" spans="1:14" hidden="1">
      <c r="A86" s="624" t="s">
        <v>310</v>
      </c>
      <c r="B86" s="625"/>
      <c r="C86" s="626"/>
      <c r="D86" s="627"/>
      <c r="E86" s="627"/>
      <c r="F86" s="627"/>
    </row>
    <row r="87" spans="1:14" hidden="1">
      <c r="A87" s="531">
        <v>1</v>
      </c>
      <c r="B87" s="535"/>
      <c r="C87" s="570"/>
      <c r="D87" s="536"/>
      <c r="E87" s="536"/>
      <c r="F87" s="536"/>
    </row>
    <row r="88" spans="1:14" hidden="1">
      <c r="A88" s="534">
        <v>2</v>
      </c>
      <c r="B88" s="535"/>
      <c r="C88" s="570"/>
      <c r="D88" s="536"/>
      <c r="E88" s="536"/>
      <c r="F88" s="536"/>
    </row>
    <row r="89" spans="1:14" hidden="1">
      <c r="A89" s="539" t="s">
        <v>311</v>
      </c>
      <c r="B89" s="535"/>
      <c r="C89" s="570"/>
      <c r="D89" s="536"/>
      <c r="E89" s="536"/>
      <c r="F89" s="536"/>
    </row>
    <row r="90" spans="1:14" hidden="1">
      <c r="A90" s="538"/>
      <c r="B90" s="545" t="s">
        <v>309</v>
      </c>
      <c r="C90" s="570">
        <f>SUM(C87)</f>
        <v>0</v>
      </c>
      <c r="D90" s="536">
        <f>SUM(D87)</f>
        <v>0</v>
      </c>
      <c r="E90" s="536"/>
      <c r="F90" s="536"/>
    </row>
    <row r="91" spans="1:14">
      <c r="A91" s="528" t="s">
        <v>334</v>
      </c>
      <c r="B91" s="529"/>
      <c r="C91" s="563"/>
      <c r="D91" s="530"/>
      <c r="E91" s="530"/>
      <c r="F91" s="530"/>
      <c r="J91" s="542"/>
    </row>
    <row r="92" spans="1:14">
      <c r="A92" s="645">
        <v>1</v>
      </c>
      <c r="B92" s="532" t="s">
        <v>335</v>
      </c>
      <c r="C92" s="565">
        <v>30</v>
      </c>
      <c r="D92" s="533"/>
      <c r="E92" s="678" t="s">
        <v>363</v>
      </c>
      <c r="F92" s="533"/>
    </row>
    <row r="93" spans="1:14" ht="15" customHeight="1">
      <c r="A93" s="645">
        <v>2</v>
      </c>
      <c r="B93" s="616" t="s">
        <v>336</v>
      </c>
      <c r="C93" s="565">
        <v>7.8150000000000004</v>
      </c>
      <c r="D93" s="533"/>
      <c r="E93" s="684"/>
      <c r="F93" s="533"/>
      <c r="G93" s="606"/>
      <c r="H93" s="542"/>
    </row>
    <row r="94" spans="1:14" ht="15" customHeight="1">
      <c r="A94" s="646">
        <v>3</v>
      </c>
      <c r="B94" s="535" t="s">
        <v>337</v>
      </c>
      <c r="C94" s="565">
        <v>5.1849999999999996</v>
      </c>
      <c r="D94" s="536"/>
      <c r="E94" s="679"/>
      <c r="F94" s="536"/>
      <c r="N94" s="526"/>
    </row>
    <row r="95" spans="1:14">
      <c r="A95" s="645">
        <v>4</v>
      </c>
      <c r="B95" s="535" t="s">
        <v>338</v>
      </c>
      <c r="C95" s="565">
        <v>430</v>
      </c>
      <c r="D95" s="536"/>
      <c r="E95" s="678" t="s">
        <v>385</v>
      </c>
      <c r="F95" s="536"/>
      <c r="N95" s="526"/>
    </row>
    <row r="96" spans="1:14" ht="15" customHeight="1">
      <c r="A96" s="646">
        <v>5</v>
      </c>
      <c r="B96" s="535" t="s">
        <v>339</v>
      </c>
      <c r="C96" s="565">
        <v>369.84399999999999</v>
      </c>
      <c r="D96" s="536"/>
      <c r="E96" s="684"/>
      <c r="F96" s="536"/>
      <c r="N96" s="526"/>
    </row>
    <row r="97" spans="1:14" ht="15" customHeight="1">
      <c r="A97" s="645">
        <v>6</v>
      </c>
      <c r="B97" s="535" t="s">
        <v>340</v>
      </c>
      <c r="C97" s="565">
        <v>99</v>
      </c>
      <c r="D97" s="536"/>
      <c r="E97" s="684"/>
      <c r="F97" s="536"/>
      <c r="N97" s="526"/>
    </row>
    <row r="98" spans="1:14" ht="15" customHeight="1">
      <c r="A98" s="646">
        <v>7</v>
      </c>
      <c r="B98" s="535" t="s">
        <v>341</v>
      </c>
      <c r="C98" s="565">
        <v>20</v>
      </c>
      <c r="D98" s="536"/>
      <c r="E98" s="684"/>
      <c r="F98" s="536"/>
      <c r="N98" s="526"/>
    </row>
    <row r="99" spans="1:14" ht="15" customHeight="1">
      <c r="A99" s="645">
        <v>8</v>
      </c>
      <c r="B99" s="535" t="s">
        <v>342</v>
      </c>
      <c r="C99" s="565">
        <v>11</v>
      </c>
      <c r="D99" s="536"/>
      <c r="E99" s="679"/>
      <c r="F99" s="536"/>
      <c r="N99" s="526"/>
    </row>
    <row r="100" spans="1:14" ht="15" customHeight="1">
      <c r="A100" s="645">
        <v>9</v>
      </c>
      <c r="B100" s="615" t="s">
        <v>336</v>
      </c>
      <c r="C100" s="565">
        <v>7</v>
      </c>
      <c r="D100" s="536"/>
      <c r="E100" s="678" t="s">
        <v>359</v>
      </c>
      <c r="F100" s="536"/>
      <c r="N100" s="526"/>
    </row>
    <row r="101" spans="1:14" ht="15" customHeight="1">
      <c r="A101" s="646">
        <v>10</v>
      </c>
      <c r="B101" s="629" t="s">
        <v>353</v>
      </c>
      <c r="C101" s="565">
        <v>2</v>
      </c>
      <c r="D101" s="536"/>
      <c r="E101" s="679"/>
      <c r="F101" s="536"/>
      <c r="N101" s="526"/>
    </row>
    <row r="102" spans="1:14">
      <c r="A102" s="544"/>
      <c r="B102" s="545" t="s">
        <v>309</v>
      </c>
      <c r="C102" s="569">
        <f>SUM(C92:C101)</f>
        <v>981.84400000000005</v>
      </c>
      <c r="D102" s="536">
        <f>SUM(D92+D94)</f>
        <v>0</v>
      </c>
      <c r="E102" s="533"/>
      <c r="F102" s="536"/>
      <c r="N102" s="526"/>
    </row>
    <row r="103" spans="1:14" hidden="1">
      <c r="A103" s="624" t="s">
        <v>310</v>
      </c>
      <c r="B103" s="625"/>
      <c r="C103" s="626"/>
      <c r="D103" s="627"/>
      <c r="E103" s="627"/>
      <c r="F103" s="627"/>
      <c r="N103" s="526"/>
    </row>
    <row r="104" spans="1:14" hidden="1">
      <c r="A104" s="531">
        <v>1</v>
      </c>
      <c r="B104" s="545"/>
      <c r="C104" s="570"/>
      <c r="D104" s="536"/>
      <c r="E104" s="536"/>
      <c r="F104" s="536"/>
      <c r="H104" s="546"/>
      <c r="N104" s="526"/>
    </row>
    <row r="105" spans="1:14" hidden="1">
      <c r="A105" s="534">
        <v>2</v>
      </c>
      <c r="B105" s="547"/>
      <c r="C105" s="571"/>
      <c r="D105" s="543"/>
      <c r="E105" s="543"/>
      <c r="F105" s="543"/>
      <c r="N105" s="526"/>
    </row>
    <row r="106" spans="1:14" hidden="1">
      <c r="A106" s="539" t="s">
        <v>311</v>
      </c>
      <c r="B106" s="547"/>
      <c r="C106" s="571"/>
      <c r="D106" s="543"/>
      <c r="E106" s="543"/>
      <c r="F106" s="543"/>
      <c r="N106" s="526"/>
    </row>
    <row r="107" spans="1:14" hidden="1">
      <c r="A107" s="548"/>
      <c r="B107" s="630" t="s">
        <v>309</v>
      </c>
      <c r="C107" s="572">
        <f>SUM(C104)</f>
        <v>0</v>
      </c>
      <c r="D107" s="549">
        <f>SUM(D104)</f>
        <v>0</v>
      </c>
      <c r="E107" s="549"/>
      <c r="F107" s="549"/>
      <c r="N107" s="526"/>
    </row>
    <row r="108" spans="1:14">
      <c r="A108" s="550"/>
      <c r="B108" s="553" t="s">
        <v>389</v>
      </c>
      <c r="C108" s="611">
        <f>C57+C62+C85+C90+C102+C107</f>
        <v>20122.524580000001</v>
      </c>
      <c r="D108" s="551">
        <f>D57+D62+D85+D90+D102+D107</f>
        <v>0</v>
      </c>
      <c r="E108" s="633"/>
      <c r="F108" s="551"/>
      <c r="H108" s="542"/>
      <c r="N108" s="526"/>
    </row>
    <row r="109" spans="1:14" ht="15.5">
      <c r="A109" s="552"/>
      <c r="B109" s="602" t="s">
        <v>343</v>
      </c>
      <c r="C109" s="612">
        <f>C94+C92+C65+C11+C12+C9+C8+C13+C14+C54+C93</f>
        <v>543.25990000000002</v>
      </c>
      <c r="D109" s="551"/>
      <c r="E109" s="536"/>
      <c r="F109" s="551"/>
      <c r="N109" s="526"/>
    </row>
    <row r="110" spans="1:14">
      <c r="A110" s="554"/>
      <c r="B110" s="603" t="s">
        <v>388</v>
      </c>
      <c r="C110" s="613">
        <f>SUM(C15:C52)+SUM(C68:C83)+SUM(C95:C99)</f>
        <v>18961.389780000001</v>
      </c>
      <c r="D110" s="555"/>
      <c r="E110" s="536"/>
      <c r="F110" s="555"/>
      <c r="N110" s="526"/>
    </row>
    <row r="111" spans="1:14">
      <c r="A111" s="554"/>
      <c r="B111" s="603" t="s">
        <v>386</v>
      </c>
      <c r="C111" s="613">
        <f>C10+C53+C55+C56+C66+C67+C84+C101+C100</f>
        <v>294.0729</v>
      </c>
      <c r="D111" s="555"/>
      <c r="E111" s="536"/>
      <c r="F111" s="555"/>
      <c r="N111" s="526"/>
    </row>
    <row r="112" spans="1:14">
      <c r="A112" s="554"/>
      <c r="B112" s="603" t="s">
        <v>387</v>
      </c>
      <c r="C112" s="613">
        <f>C64</f>
        <v>323.80200000000002</v>
      </c>
      <c r="D112" s="555"/>
      <c r="E112" s="536"/>
      <c r="F112" s="555"/>
      <c r="N112" s="526"/>
    </row>
    <row r="113" spans="1:14">
      <c r="A113" s="554"/>
      <c r="B113" s="601" t="s">
        <v>344</v>
      </c>
      <c r="C113" s="614">
        <v>0.40629999999999999</v>
      </c>
      <c r="D113" s="555"/>
      <c r="E113" s="549"/>
      <c r="F113" s="555"/>
    </row>
    <row r="114" spans="1:14">
      <c r="B114" s="631"/>
    </row>
    <row r="115" spans="1:14" s="651" customFormat="1" ht="11.5">
      <c r="A115" s="677" t="s">
        <v>228</v>
      </c>
      <c r="B115" s="677"/>
      <c r="C115" s="677"/>
      <c r="D115" s="677"/>
      <c r="E115" s="677"/>
      <c r="F115" s="677"/>
      <c r="N115" s="652"/>
    </row>
    <row r="116" spans="1:14" s="651" customFormat="1" ht="13.9" customHeight="1">
      <c r="A116" s="677" t="s">
        <v>393</v>
      </c>
      <c r="B116" s="677"/>
      <c r="C116" s="677"/>
      <c r="D116" s="677"/>
      <c r="E116" s="677"/>
      <c r="F116" s="677"/>
      <c r="N116" s="652"/>
    </row>
    <row r="117" spans="1:14" s="651" customFormat="1" ht="13.15" customHeight="1">
      <c r="A117" s="677" t="s">
        <v>394</v>
      </c>
      <c r="B117" s="677"/>
      <c r="C117" s="677"/>
      <c r="D117" s="677"/>
      <c r="E117" s="677"/>
      <c r="F117" s="677"/>
      <c r="N117" s="652"/>
    </row>
    <row r="118" spans="1:14">
      <c r="I118" s="526"/>
    </row>
    <row r="119" spans="1:14">
      <c r="A119" s="526" t="s">
        <v>345</v>
      </c>
      <c r="I119" s="526"/>
    </row>
    <row r="120" spans="1:14" ht="21.75" customHeight="1">
      <c r="A120" s="526" t="s">
        <v>346</v>
      </c>
      <c r="I120" s="526"/>
    </row>
    <row r="121" spans="1:14">
      <c r="I121" s="526"/>
    </row>
    <row r="122" spans="1:14" ht="15" customHeight="1">
      <c r="A122" s="632"/>
      <c r="C122" s="526"/>
      <c r="F122" s="632"/>
      <c r="I122" s="526"/>
    </row>
    <row r="123" spans="1:14" ht="13.5" customHeight="1">
      <c r="C123" s="526"/>
      <c r="I123" s="526"/>
    </row>
    <row r="124" spans="1:14" ht="12.75" customHeight="1">
      <c r="C124" s="526"/>
      <c r="I124" s="526"/>
    </row>
  </sheetData>
  <mergeCells count="13">
    <mergeCell ref="A4:F4"/>
    <mergeCell ref="E15:E52"/>
    <mergeCell ref="E68:E83"/>
    <mergeCell ref="E95:E99"/>
    <mergeCell ref="A115:F115"/>
    <mergeCell ref="E8:E9"/>
    <mergeCell ref="A117:F117"/>
    <mergeCell ref="E100:E101"/>
    <mergeCell ref="E55:E56"/>
    <mergeCell ref="E11:E14"/>
    <mergeCell ref="E66:E67"/>
    <mergeCell ref="E92:E94"/>
    <mergeCell ref="A116:F1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BBE3-2FF1-4858-9825-4C3CCC2D6467}">
  <sheetPr>
    <tabColor theme="9" tint="0.79998168889431442"/>
  </sheetPr>
  <dimension ref="A1:N13"/>
  <sheetViews>
    <sheetView workbookViewId="0">
      <selection activeCell="C19" sqref="C19"/>
    </sheetView>
  </sheetViews>
  <sheetFormatPr defaultRowHeight="14.5"/>
  <cols>
    <col min="1" max="1" width="21.1796875" customWidth="1"/>
    <col min="2" max="2" width="11.26953125" customWidth="1"/>
    <col min="3" max="13" width="13" customWidth="1"/>
    <col min="14" max="14" width="16.453125" customWidth="1"/>
  </cols>
  <sheetData>
    <row r="1" spans="1:14">
      <c r="A1" s="497" t="s">
        <v>232</v>
      </c>
      <c r="B1" s="497" t="s">
        <v>233</v>
      </c>
      <c r="C1" s="497" t="s">
        <v>234</v>
      </c>
      <c r="D1" s="497" t="s">
        <v>235</v>
      </c>
      <c r="E1" s="497" t="s">
        <v>236</v>
      </c>
      <c r="F1" s="497" t="s">
        <v>237</v>
      </c>
      <c r="G1" s="497" t="s">
        <v>238</v>
      </c>
      <c r="H1" s="497" t="s">
        <v>239</v>
      </c>
      <c r="I1" s="497" t="s">
        <v>240</v>
      </c>
      <c r="J1" s="497" t="s">
        <v>241</v>
      </c>
      <c r="K1" s="497" t="s">
        <v>242</v>
      </c>
      <c r="L1" s="497" t="s">
        <v>243</v>
      </c>
      <c r="M1" s="497" t="s">
        <v>244</v>
      </c>
      <c r="N1" s="497" t="s">
        <v>245</v>
      </c>
    </row>
    <row r="2" spans="1:14">
      <c r="A2" s="498" t="s">
        <v>246</v>
      </c>
      <c r="B2" s="499">
        <v>1305285</v>
      </c>
      <c r="C2" s="499">
        <v>1283600</v>
      </c>
      <c r="D2" s="499">
        <v>1133796</v>
      </c>
      <c r="E2" s="499">
        <v>1489931</v>
      </c>
      <c r="F2" s="499">
        <v>1486220</v>
      </c>
      <c r="G2" s="499">
        <v>1495735</v>
      </c>
      <c r="H2" s="500">
        <v>1360930</v>
      </c>
      <c r="I2" s="500">
        <v>1210283</v>
      </c>
      <c r="J2" s="500">
        <v>1391666</v>
      </c>
      <c r="K2" s="500">
        <v>1269792</v>
      </c>
      <c r="L2" s="500">
        <v>1507702</v>
      </c>
      <c r="M2" s="500">
        <v>1521750</v>
      </c>
      <c r="N2" s="501">
        <f>SUM(B2:M2)</f>
        <v>16456690</v>
      </c>
    </row>
    <row r="3" spans="1:14">
      <c r="A3" s="498" t="s">
        <v>247</v>
      </c>
      <c r="B3" s="499">
        <v>3000000</v>
      </c>
      <c r="C3" s="499">
        <v>3000000</v>
      </c>
      <c r="D3" s="499">
        <v>3000000</v>
      </c>
      <c r="E3" s="499">
        <v>2700000</v>
      </c>
      <c r="F3" s="499">
        <v>2700000</v>
      </c>
      <c r="G3" s="499">
        <v>2700000</v>
      </c>
      <c r="H3" s="499">
        <v>2700000</v>
      </c>
      <c r="I3" s="499">
        <v>2700000</v>
      </c>
      <c r="J3" s="499">
        <v>2700000</v>
      </c>
      <c r="K3" s="500">
        <v>2669907</v>
      </c>
      <c r="L3" s="500">
        <v>2600000</v>
      </c>
      <c r="M3" s="500">
        <v>2600000</v>
      </c>
      <c r="N3" s="501">
        <f>SUM(B3:M3)</f>
        <v>33069907</v>
      </c>
    </row>
    <row r="4" spans="1:14">
      <c r="A4" s="498" t="s">
        <v>248</v>
      </c>
      <c r="B4" s="499"/>
      <c r="C4" s="499"/>
      <c r="D4" s="499"/>
      <c r="E4" s="499">
        <v>242360</v>
      </c>
      <c r="F4" s="499">
        <v>299333</v>
      </c>
      <c r="G4" s="499">
        <v>852461</v>
      </c>
      <c r="H4" s="499">
        <v>970461</v>
      </c>
      <c r="I4" s="499">
        <v>1821794</v>
      </c>
      <c r="J4" s="499">
        <v>1663028</v>
      </c>
      <c r="K4" s="500">
        <v>661707</v>
      </c>
      <c r="L4" s="500">
        <v>932400</v>
      </c>
      <c r="M4" s="500">
        <v>1078000</v>
      </c>
      <c r="N4" s="502">
        <f t="shared" ref="N4:N5" si="0">SUM(B4:M4)</f>
        <v>8521544</v>
      </c>
    </row>
    <row r="5" spans="1:14">
      <c r="A5" s="498" t="s">
        <v>249</v>
      </c>
      <c r="B5" s="499"/>
      <c r="C5" s="499"/>
      <c r="D5" s="499"/>
      <c r="E5" s="499">
        <v>158695</v>
      </c>
      <c r="F5" s="499"/>
      <c r="G5" s="499">
        <v>62000</v>
      </c>
      <c r="H5" s="499"/>
      <c r="I5" s="499">
        <v>265561</v>
      </c>
      <c r="J5" s="499">
        <v>115560</v>
      </c>
      <c r="K5" s="500">
        <v>35000</v>
      </c>
      <c r="L5" s="500">
        <v>27000</v>
      </c>
      <c r="M5" s="500">
        <v>9776030</v>
      </c>
      <c r="N5" s="502">
        <f t="shared" si="0"/>
        <v>10439846</v>
      </c>
    </row>
    <row r="6" spans="1:14">
      <c r="A6" s="503" t="s">
        <v>250</v>
      </c>
      <c r="B6" s="504">
        <f>SUM(B2:B5)</f>
        <v>4305285</v>
      </c>
      <c r="C6" s="504">
        <f t="shared" ref="C6:N6" si="1">SUM(C2:C5)</f>
        <v>4283600</v>
      </c>
      <c r="D6" s="504">
        <f t="shared" si="1"/>
        <v>4133796</v>
      </c>
      <c r="E6" s="504">
        <f t="shared" si="1"/>
        <v>4590986</v>
      </c>
      <c r="F6" s="504">
        <f t="shared" si="1"/>
        <v>4485553</v>
      </c>
      <c r="G6" s="504">
        <f t="shared" si="1"/>
        <v>5110196</v>
      </c>
      <c r="H6" s="504">
        <f t="shared" si="1"/>
        <v>5031391</v>
      </c>
      <c r="I6" s="504">
        <f t="shared" si="1"/>
        <v>5997638</v>
      </c>
      <c r="J6" s="504">
        <f t="shared" si="1"/>
        <v>5870254</v>
      </c>
      <c r="K6" s="504">
        <f t="shared" si="1"/>
        <v>4636406</v>
      </c>
      <c r="L6" s="504">
        <f t="shared" si="1"/>
        <v>5067102</v>
      </c>
      <c r="M6" s="504">
        <f t="shared" si="1"/>
        <v>14975780</v>
      </c>
      <c r="N6" s="504">
        <f t="shared" si="1"/>
        <v>68487987</v>
      </c>
    </row>
    <row r="8" spans="1:14">
      <c r="A8" s="505" t="s">
        <v>251</v>
      </c>
      <c r="B8" s="505"/>
      <c r="C8" s="505"/>
      <c r="D8" s="505"/>
      <c r="E8" s="505"/>
      <c r="F8" s="505"/>
      <c r="G8" s="505"/>
      <c r="H8" s="505"/>
      <c r="I8" s="505"/>
      <c r="J8" s="505"/>
    </row>
    <row r="9" spans="1:14">
      <c r="A9" s="505" t="s">
        <v>252</v>
      </c>
      <c r="B9" s="505"/>
      <c r="C9" s="505"/>
      <c r="D9" s="505"/>
      <c r="E9" s="505"/>
      <c r="F9" s="505"/>
      <c r="G9" s="505"/>
      <c r="H9" s="505"/>
      <c r="I9" s="505"/>
      <c r="J9" s="505"/>
    </row>
    <row r="10" spans="1:14">
      <c r="A10" s="505" t="s">
        <v>253</v>
      </c>
      <c r="B10" s="505"/>
      <c r="C10" s="505"/>
      <c r="D10" s="505"/>
      <c r="E10" s="505"/>
      <c r="F10" s="505"/>
      <c r="G10" s="505"/>
      <c r="H10" s="505"/>
      <c r="I10" s="505"/>
      <c r="J10" s="505"/>
    </row>
    <row r="11" spans="1:14">
      <c r="A11" s="505" t="s">
        <v>254</v>
      </c>
      <c r="B11" s="505"/>
      <c r="C11" s="505"/>
      <c r="D11" s="505"/>
      <c r="E11" s="505"/>
      <c r="F11" s="505"/>
      <c r="G11" s="505"/>
      <c r="H11" s="505"/>
      <c r="I11" s="505"/>
      <c r="J11" s="505"/>
    </row>
    <row r="12" spans="1:14">
      <c r="A12" s="505"/>
      <c r="B12" s="505"/>
      <c r="C12" s="505"/>
      <c r="D12" s="505"/>
      <c r="E12" s="505"/>
      <c r="F12" s="505"/>
      <c r="G12" s="505"/>
    </row>
    <row r="13" spans="1:14">
      <c r="A13" s="50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9CBC3-DF2A-42BD-8827-EDB479BCFEAB}">
  <sheetPr>
    <tabColor theme="7" tint="0.79998168889431442"/>
  </sheetPr>
  <dimension ref="A1:P128"/>
  <sheetViews>
    <sheetView topLeftCell="A37" workbookViewId="0">
      <selection activeCell="C52" sqref="C52"/>
    </sheetView>
  </sheetViews>
  <sheetFormatPr defaultRowHeight="14.5" outlineLevelCol="1"/>
  <cols>
    <col min="2" max="2" width="39" customWidth="1"/>
    <col min="3" max="3" width="12.1796875" customWidth="1"/>
    <col min="4" max="4" width="12.1796875" hidden="1" customWidth="1" outlineLevel="1"/>
    <col min="5" max="5" width="12.1796875" customWidth="1" collapsed="1"/>
    <col min="6" max="6" width="12.1796875" hidden="1" customWidth="1" outlineLevel="1"/>
    <col min="7" max="7" width="12.1796875" customWidth="1" collapsed="1"/>
    <col min="8" max="8" width="12.1796875" hidden="1" customWidth="1" outlineLevel="1"/>
    <col min="9" max="9" width="12.1796875" customWidth="1" collapsed="1"/>
    <col min="10" max="10" width="12.1796875" hidden="1" customWidth="1" outlineLevel="1"/>
    <col min="11" max="11" width="12.1796875" customWidth="1" collapsed="1"/>
    <col min="12" max="12" width="12.1796875" customWidth="1"/>
    <col min="13" max="13" width="15.54296875" customWidth="1"/>
    <col min="14" max="14" width="13.26953125" bestFit="1" customWidth="1"/>
    <col min="15" max="15" width="15.81640625" customWidth="1"/>
    <col min="16" max="16" width="13.26953125" bestFit="1" customWidth="1"/>
  </cols>
  <sheetData>
    <row r="1" spans="1:16">
      <c r="A1" s="688" t="s">
        <v>154</v>
      </c>
      <c r="B1" s="688"/>
      <c r="C1" s="365"/>
      <c r="D1" s="365"/>
      <c r="E1" s="365"/>
      <c r="F1" s="365"/>
      <c r="G1" s="365"/>
      <c r="H1" s="365"/>
      <c r="I1" s="365"/>
      <c r="J1" s="366"/>
      <c r="K1" s="366"/>
      <c r="L1" s="366"/>
    </row>
    <row r="2" spans="1:16">
      <c r="A2" s="688" t="s">
        <v>202</v>
      </c>
      <c r="B2" s="688"/>
      <c r="C2" s="365"/>
      <c r="D2" s="365"/>
      <c r="E2" s="365"/>
      <c r="F2" s="365"/>
      <c r="G2" s="365"/>
      <c r="H2" s="365"/>
      <c r="I2" s="365"/>
      <c r="J2" s="367"/>
      <c r="K2" s="367"/>
      <c r="L2" s="367"/>
    </row>
    <row r="3" spans="1:16">
      <c r="A3" s="368"/>
      <c r="B3" s="369"/>
      <c r="C3" s="365"/>
      <c r="D3" s="365"/>
      <c r="E3" s="365"/>
      <c r="F3" s="365"/>
      <c r="G3" s="365"/>
      <c r="H3" s="365"/>
      <c r="I3" s="365"/>
      <c r="J3" s="367"/>
      <c r="K3" s="367"/>
      <c r="L3" s="367"/>
    </row>
    <row r="4" spans="1:16" ht="15">
      <c r="A4" s="671" t="s">
        <v>203</v>
      </c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370"/>
    </row>
    <row r="5" spans="1:16" ht="15">
      <c r="A5" s="689" t="s">
        <v>150</v>
      </c>
      <c r="B5" s="689"/>
      <c r="C5" s="689"/>
      <c r="D5" s="689"/>
      <c r="E5" s="689"/>
      <c r="F5" s="689"/>
      <c r="G5" s="689"/>
      <c r="H5" s="689"/>
      <c r="I5" s="689"/>
      <c r="J5" s="689"/>
      <c r="K5" s="372"/>
      <c r="L5" s="371"/>
    </row>
    <row r="6" spans="1:16" ht="15">
      <c r="A6" s="371"/>
      <c r="B6" s="373"/>
      <c r="C6" s="374">
        <f>C10-C18</f>
        <v>265200.6400000006</v>
      </c>
      <c r="D6" s="374">
        <f t="shared" ref="D6:K6" si="0">D10-D18</f>
        <v>0</v>
      </c>
      <c r="E6" s="374">
        <f t="shared" si="0"/>
        <v>-988819.45000000298</v>
      </c>
      <c r="F6" s="374">
        <f t="shared" si="0"/>
        <v>0</v>
      </c>
      <c r="G6" s="374">
        <f t="shared" si="0"/>
        <v>936501.50999999978</v>
      </c>
      <c r="H6" s="374">
        <f t="shared" si="0"/>
        <v>0</v>
      </c>
      <c r="I6" s="374">
        <f t="shared" si="0"/>
        <v>-960294.19999999553</v>
      </c>
      <c r="J6" s="374">
        <f t="shared" si="0"/>
        <v>0</v>
      </c>
      <c r="K6" s="374">
        <f t="shared" si="0"/>
        <v>-747411.49999999255</v>
      </c>
      <c r="L6" s="374"/>
    </row>
    <row r="7" spans="1:16">
      <c r="A7" s="690" t="s">
        <v>2</v>
      </c>
      <c r="B7" s="692"/>
      <c r="C7" s="694" t="s">
        <v>3</v>
      </c>
      <c r="D7" s="695"/>
      <c r="E7" s="694" t="s">
        <v>4</v>
      </c>
      <c r="F7" s="695"/>
      <c r="G7" s="694" t="s">
        <v>204</v>
      </c>
      <c r="H7" s="695"/>
      <c r="I7" s="694" t="s">
        <v>6</v>
      </c>
      <c r="J7" s="695"/>
      <c r="K7" s="686" t="s">
        <v>205</v>
      </c>
      <c r="L7" s="687"/>
    </row>
    <row r="8" spans="1:16">
      <c r="A8" s="691"/>
      <c r="B8" s="693"/>
      <c r="C8" s="375" t="s">
        <v>8</v>
      </c>
      <c r="D8" s="375" t="s">
        <v>156</v>
      </c>
      <c r="E8" s="375" t="s">
        <v>8</v>
      </c>
      <c r="F8" s="375" t="s">
        <v>156</v>
      </c>
      <c r="G8" s="375" t="s">
        <v>8</v>
      </c>
      <c r="H8" s="375" t="s">
        <v>156</v>
      </c>
      <c r="I8" s="375" t="s">
        <v>8</v>
      </c>
      <c r="J8" s="375" t="s">
        <v>156</v>
      </c>
      <c r="K8" s="376" t="s">
        <v>8</v>
      </c>
      <c r="L8" s="376" t="s">
        <v>156</v>
      </c>
    </row>
    <row r="9" spans="1:16">
      <c r="A9" s="377"/>
      <c r="B9" s="139" t="s">
        <v>11</v>
      </c>
      <c r="C9" s="378"/>
      <c r="D9" s="378"/>
      <c r="E9" s="378"/>
      <c r="F9" s="378"/>
      <c r="G9" s="378"/>
      <c r="H9" s="378"/>
      <c r="I9" s="378"/>
      <c r="J9" s="378"/>
      <c r="K9" s="378"/>
      <c r="L9" s="378"/>
    </row>
    <row r="10" spans="1:16">
      <c r="A10" s="379"/>
      <c r="B10" s="380" t="s">
        <v>12</v>
      </c>
      <c r="C10" s="381">
        <v>9612207.1300000008</v>
      </c>
      <c r="D10" s="381"/>
      <c r="E10" s="381">
        <v>9947113.3733333293</v>
      </c>
      <c r="F10" s="381"/>
      <c r="G10" s="381">
        <v>13195872.59</v>
      </c>
      <c r="H10" s="381"/>
      <c r="I10" s="381">
        <v>20631385.966666669</v>
      </c>
      <c r="J10" s="381"/>
      <c r="K10" s="381">
        <v>53386579.060000002</v>
      </c>
      <c r="L10" s="381"/>
      <c r="O10" s="382">
        <f>K18-K10</f>
        <v>747411.49999999255</v>
      </c>
      <c r="P10" s="382">
        <f>K10+LR_10F_MĒN!AE9</f>
        <v>70470629.060000002</v>
      </c>
    </row>
    <row r="11" spans="1:16">
      <c r="A11" s="383"/>
      <c r="B11" s="384" t="s">
        <v>13</v>
      </c>
      <c r="C11" s="385">
        <v>9000000</v>
      </c>
      <c r="D11" s="386"/>
      <c r="E11" s="385">
        <v>8100000</v>
      </c>
      <c r="F11" s="386"/>
      <c r="G11" s="385">
        <v>8100000</v>
      </c>
      <c r="H11" s="386"/>
      <c r="I11" s="385">
        <v>7869907</v>
      </c>
      <c r="J11" s="385"/>
      <c r="K11" s="386">
        <v>33069907</v>
      </c>
      <c r="L11" s="386"/>
      <c r="M11">
        <v>16456690</v>
      </c>
      <c r="N11" s="382">
        <f>K11+M11</f>
        <v>49526597</v>
      </c>
    </row>
    <row r="12" spans="1:16">
      <c r="A12" s="383"/>
      <c r="B12" s="387" t="s">
        <v>206</v>
      </c>
      <c r="C12" s="386"/>
      <c r="D12" s="386"/>
      <c r="E12" s="388">
        <v>1614849.33333333</v>
      </c>
      <c r="F12" s="388"/>
      <c r="G12" s="388">
        <v>4836404</v>
      </c>
      <c r="H12" s="388"/>
      <c r="I12" s="388">
        <v>12510136.66666667</v>
      </c>
      <c r="J12" s="388"/>
      <c r="K12" s="388">
        <v>18961390</v>
      </c>
      <c r="L12" s="386"/>
    </row>
    <row r="13" spans="1:16">
      <c r="A13" s="383"/>
      <c r="B13" s="387" t="s">
        <v>207</v>
      </c>
      <c r="C13" s="386"/>
      <c r="D13" s="386"/>
      <c r="E13" s="386"/>
      <c r="F13" s="386"/>
      <c r="G13" s="386"/>
      <c r="H13" s="386"/>
      <c r="I13" s="386"/>
      <c r="J13" s="386"/>
      <c r="K13" s="386">
        <v>0</v>
      </c>
      <c r="L13" s="386"/>
    </row>
    <row r="14" spans="1:16">
      <c r="A14" s="383"/>
      <c r="B14" s="387" t="s">
        <v>208</v>
      </c>
      <c r="C14" s="386">
        <v>323802</v>
      </c>
      <c r="D14" s="386"/>
      <c r="E14" s="386"/>
      <c r="F14" s="386"/>
      <c r="G14" s="386"/>
      <c r="H14" s="386"/>
      <c r="I14" s="386"/>
      <c r="J14" s="386"/>
      <c r="K14" s="386">
        <v>323802</v>
      </c>
      <c r="L14" s="386"/>
    </row>
    <row r="15" spans="1:16">
      <c r="A15" s="383"/>
      <c r="B15" s="387" t="s">
        <v>14</v>
      </c>
      <c r="C15" s="385">
        <v>288405.13000000006</v>
      </c>
      <c r="D15" s="385"/>
      <c r="E15" s="385">
        <v>232264.04</v>
      </c>
      <c r="F15" s="385"/>
      <c r="G15" s="385">
        <v>259468.59000000003</v>
      </c>
      <c r="H15" s="385"/>
      <c r="I15" s="385">
        <v>251342.3</v>
      </c>
      <c r="J15" s="385"/>
      <c r="K15" s="385">
        <v>1031480.06</v>
      </c>
      <c r="L15" s="385"/>
    </row>
    <row r="16" spans="1:16">
      <c r="A16" s="154">
        <v>214993</v>
      </c>
      <c r="B16" s="387" t="s">
        <v>209</v>
      </c>
      <c r="C16" s="389">
        <v>196574.52000000002</v>
      </c>
      <c r="D16" s="389"/>
      <c r="E16" s="389">
        <v>148647.12</v>
      </c>
      <c r="F16" s="389"/>
      <c r="G16" s="389">
        <v>179187.29</v>
      </c>
      <c r="H16" s="389"/>
      <c r="I16" s="389">
        <v>161391.96999999997</v>
      </c>
      <c r="J16" s="389"/>
      <c r="K16" s="389">
        <v>685800.9</v>
      </c>
      <c r="L16" s="389"/>
    </row>
    <row r="17" spans="1:12">
      <c r="A17" s="154">
        <v>214991</v>
      </c>
      <c r="B17" s="390" t="s">
        <v>210</v>
      </c>
      <c r="C17" s="389">
        <v>91830.61000000003</v>
      </c>
      <c r="D17" s="391"/>
      <c r="E17" s="389">
        <v>83616.920000000013</v>
      </c>
      <c r="F17" s="391"/>
      <c r="G17" s="389">
        <v>80281.300000000017</v>
      </c>
      <c r="H17" s="391"/>
      <c r="I17" s="389">
        <v>89950.33</v>
      </c>
      <c r="J17" s="391"/>
      <c r="K17" s="391">
        <v>345679.16000000003</v>
      </c>
      <c r="L17" s="391"/>
    </row>
    <row r="18" spans="1:12">
      <c r="A18" s="392"/>
      <c r="B18" s="393" t="s">
        <v>17</v>
      </c>
      <c r="C18" s="394">
        <v>9347006.4900000002</v>
      </c>
      <c r="D18" s="394"/>
      <c r="E18" s="394">
        <v>10935932.823333332</v>
      </c>
      <c r="F18" s="394"/>
      <c r="G18" s="394">
        <v>12259371.08</v>
      </c>
      <c r="H18" s="394"/>
      <c r="I18" s="394">
        <v>21591680.166666664</v>
      </c>
      <c r="J18" s="394"/>
      <c r="K18" s="394">
        <v>54133990.559999995</v>
      </c>
      <c r="L18" s="394"/>
    </row>
    <row r="19" spans="1:12">
      <c r="A19" s="395" t="s">
        <v>18</v>
      </c>
      <c r="B19" s="396" t="s">
        <v>19</v>
      </c>
      <c r="C19" s="397">
        <v>7200864.0499999998</v>
      </c>
      <c r="D19" s="397"/>
      <c r="E19" s="397">
        <v>7843459.6099999994</v>
      </c>
      <c r="F19" s="397"/>
      <c r="G19" s="397">
        <v>6724921.5899999999</v>
      </c>
      <c r="H19" s="397"/>
      <c r="I19" s="397">
        <v>8001132.379999999</v>
      </c>
      <c r="J19" s="397"/>
      <c r="K19" s="397">
        <v>29770377.629999999</v>
      </c>
      <c r="L19" s="397"/>
    </row>
    <row r="20" spans="1:12">
      <c r="A20" s="395" t="s">
        <v>20</v>
      </c>
      <c r="B20" s="396" t="s">
        <v>21</v>
      </c>
      <c r="C20" s="397">
        <v>7194864.0499999998</v>
      </c>
      <c r="D20" s="397"/>
      <c r="E20" s="397">
        <v>7837459.6099999994</v>
      </c>
      <c r="F20" s="397"/>
      <c r="G20" s="397">
        <v>6718921.5899999999</v>
      </c>
      <c r="H20" s="397"/>
      <c r="I20" s="397">
        <v>7994132.379999999</v>
      </c>
      <c r="J20" s="397"/>
      <c r="K20" s="397">
        <v>29745377.629999999</v>
      </c>
      <c r="L20" s="397"/>
    </row>
    <row r="21" spans="1:12">
      <c r="A21" s="398">
        <v>1000</v>
      </c>
      <c r="B21" s="399" t="s">
        <v>22</v>
      </c>
      <c r="C21" s="400">
        <v>4787082.66</v>
      </c>
      <c r="D21" s="400"/>
      <c r="E21" s="400">
        <v>5576505.0899999999</v>
      </c>
      <c r="F21" s="400"/>
      <c r="G21" s="400">
        <v>4887860.99</v>
      </c>
      <c r="H21" s="400"/>
      <c r="I21" s="400">
        <v>5548873.4099999992</v>
      </c>
      <c r="J21" s="400"/>
      <c r="K21" s="400">
        <v>20800322.149999999</v>
      </c>
      <c r="L21" s="400"/>
    </row>
    <row r="22" spans="1:12">
      <c r="A22" s="401">
        <v>1100</v>
      </c>
      <c r="B22" s="402" t="s">
        <v>23</v>
      </c>
      <c r="C22" s="403">
        <v>3816555.97</v>
      </c>
      <c r="D22" s="403"/>
      <c r="E22" s="403">
        <v>4488030.67</v>
      </c>
      <c r="F22" s="403"/>
      <c r="G22" s="403">
        <v>3888868.34</v>
      </c>
      <c r="H22" s="403"/>
      <c r="I22" s="403">
        <v>4480889.8899999997</v>
      </c>
      <c r="J22" s="403"/>
      <c r="K22" s="403">
        <v>16674344.870000001</v>
      </c>
      <c r="L22" s="403"/>
    </row>
    <row r="23" spans="1:12">
      <c r="A23" s="404">
        <v>1110</v>
      </c>
      <c r="B23" s="405" t="s">
        <v>24</v>
      </c>
      <c r="C23" s="406">
        <v>3033171.7399999998</v>
      </c>
      <c r="D23" s="406"/>
      <c r="E23" s="406">
        <v>3636908.8999999994</v>
      </c>
      <c r="F23" s="406"/>
      <c r="G23" s="406">
        <v>3175274.9799999995</v>
      </c>
      <c r="H23" s="406"/>
      <c r="I23" s="406">
        <v>3520372.2999999993</v>
      </c>
      <c r="J23" s="406"/>
      <c r="K23" s="406">
        <v>13365727.919999996</v>
      </c>
      <c r="L23" s="406"/>
    </row>
    <row r="24" spans="1:12">
      <c r="A24" s="407">
        <v>1119</v>
      </c>
      <c r="B24" s="387" t="s">
        <v>96</v>
      </c>
      <c r="C24" s="408">
        <v>3033171.7399999998</v>
      </c>
      <c r="D24" s="408"/>
      <c r="E24" s="408">
        <v>3636908.8999999994</v>
      </c>
      <c r="F24" s="408"/>
      <c r="G24" s="408">
        <v>3175274.9799999995</v>
      </c>
      <c r="H24" s="408"/>
      <c r="I24" s="408">
        <v>3520372.2999999993</v>
      </c>
      <c r="J24" s="408"/>
      <c r="K24" s="408">
        <v>13365727.919999996</v>
      </c>
      <c r="L24" s="409"/>
    </row>
    <row r="25" spans="1:12">
      <c r="A25" s="404">
        <v>1140</v>
      </c>
      <c r="B25" s="405" t="s">
        <v>97</v>
      </c>
      <c r="C25" s="410">
        <v>548648.30000000005</v>
      </c>
      <c r="D25" s="410"/>
      <c r="E25" s="410">
        <v>545790.74</v>
      </c>
      <c r="F25" s="410"/>
      <c r="G25" s="410">
        <v>494474.41</v>
      </c>
      <c r="H25" s="410"/>
      <c r="I25" s="410">
        <v>542983.54</v>
      </c>
      <c r="J25" s="410"/>
      <c r="K25" s="410">
        <v>2131896.9900000002</v>
      </c>
      <c r="L25" s="410"/>
    </row>
    <row r="26" spans="1:12">
      <c r="A26" s="407">
        <v>1141</v>
      </c>
      <c r="B26" s="387" t="s">
        <v>25</v>
      </c>
      <c r="C26" s="408">
        <v>18954.86</v>
      </c>
      <c r="D26" s="408"/>
      <c r="E26" s="408">
        <v>19384.350000000002</v>
      </c>
      <c r="F26" s="408"/>
      <c r="G26" s="408">
        <v>20601.7</v>
      </c>
      <c r="H26" s="408"/>
      <c r="I26" s="408">
        <v>16104.09</v>
      </c>
      <c r="J26" s="408"/>
      <c r="K26" s="408">
        <v>75045</v>
      </c>
      <c r="L26" s="409"/>
    </row>
    <row r="27" spans="1:12">
      <c r="A27" s="407">
        <v>1142</v>
      </c>
      <c r="B27" s="387" t="s">
        <v>98</v>
      </c>
      <c r="C27" s="408">
        <v>16958.89</v>
      </c>
      <c r="D27" s="408"/>
      <c r="E27" s="408">
        <f>36455.13</f>
        <v>36455.129999999997</v>
      </c>
      <c r="F27" s="408"/>
      <c r="G27" s="408">
        <v>5703.77</v>
      </c>
      <c r="H27" s="408"/>
      <c r="I27" s="408">
        <v>8335.9399999999987</v>
      </c>
      <c r="J27" s="408"/>
      <c r="K27" s="408">
        <v>67453.73</v>
      </c>
      <c r="L27" s="409"/>
    </row>
    <row r="28" spans="1:12">
      <c r="A28" s="411">
        <v>1146</v>
      </c>
      <c r="B28" s="412" t="s">
        <v>99</v>
      </c>
      <c r="C28" s="408">
        <v>192434.00999999998</v>
      </c>
      <c r="D28" s="408"/>
      <c r="E28" s="408">
        <v>192434.00999999998</v>
      </c>
      <c r="F28" s="408"/>
      <c r="G28" s="408">
        <v>192434.00999999998</v>
      </c>
      <c r="H28" s="408"/>
      <c r="I28" s="408">
        <v>192434.00999999998</v>
      </c>
      <c r="J28" s="408"/>
      <c r="K28" s="408">
        <v>769736.03999999992</v>
      </c>
      <c r="L28" s="409"/>
    </row>
    <row r="29" spans="1:12">
      <c r="A29" s="407">
        <v>1147</v>
      </c>
      <c r="B29" s="387" t="s">
        <v>27</v>
      </c>
      <c r="C29" s="408">
        <v>316734.39</v>
      </c>
      <c r="D29" s="408"/>
      <c r="E29" s="408">
        <v>296086.12</v>
      </c>
      <c r="F29" s="408"/>
      <c r="G29" s="408">
        <v>272175.46000000002</v>
      </c>
      <c r="H29" s="408"/>
      <c r="I29" s="408">
        <v>321015.07</v>
      </c>
      <c r="J29" s="408"/>
      <c r="K29" s="408">
        <v>1206011.04</v>
      </c>
      <c r="L29" s="409"/>
    </row>
    <row r="30" spans="1:12">
      <c r="A30" s="407">
        <v>1148</v>
      </c>
      <c r="B30" s="387" t="s">
        <v>101</v>
      </c>
      <c r="C30" s="408">
        <v>3566.1499999999996</v>
      </c>
      <c r="D30" s="408"/>
      <c r="E30" s="408">
        <v>1431.13</v>
      </c>
      <c r="F30" s="408"/>
      <c r="G30" s="408">
        <v>3559.47</v>
      </c>
      <c r="H30" s="408"/>
      <c r="I30" s="408">
        <v>5094.4299999999994</v>
      </c>
      <c r="J30" s="408"/>
      <c r="K30" s="408">
        <v>13651.18</v>
      </c>
      <c r="L30" s="409"/>
    </row>
    <row r="31" spans="1:12">
      <c r="A31" s="413">
        <v>1150</v>
      </c>
      <c r="B31" s="412" t="s">
        <v>125</v>
      </c>
      <c r="C31" s="408">
        <v>234735.93</v>
      </c>
      <c r="D31" s="408"/>
      <c r="E31" s="408">
        <v>305331.03000000003</v>
      </c>
      <c r="F31" s="408"/>
      <c r="G31" s="408">
        <v>219118.94999999998</v>
      </c>
      <c r="H31" s="408"/>
      <c r="I31" s="408">
        <v>417534.04999999993</v>
      </c>
      <c r="J31" s="408"/>
      <c r="K31" s="408">
        <v>1176719.96</v>
      </c>
      <c r="L31" s="409"/>
    </row>
    <row r="32" spans="1:12">
      <c r="A32" s="413">
        <v>1170</v>
      </c>
      <c r="B32" s="412" t="s">
        <v>28</v>
      </c>
      <c r="C32" s="414">
        <v>0</v>
      </c>
      <c r="D32" s="414"/>
      <c r="E32" s="414">
        <v>0</v>
      </c>
      <c r="F32" s="408"/>
      <c r="G32" s="414">
        <v>0</v>
      </c>
      <c r="H32" s="414"/>
      <c r="I32" s="414">
        <v>0</v>
      </c>
      <c r="J32" s="414"/>
      <c r="K32" s="408">
        <v>0</v>
      </c>
      <c r="L32" s="409"/>
    </row>
    <row r="33" spans="1:12">
      <c r="A33" s="415">
        <v>1200</v>
      </c>
      <c r="B33" s="405" t="s">
        <v>102</v>
      </c>
      <c r="C33" s="416">
        <v>970526.69000000018</v>
      </c>
      <c r="D33" s="416">
        <v>0</v>
      </c>
      <c r="E33" s="416">
        <v>1088474.4200000002</v>
      </c>
      <c r="F33" s="416"/>
      <c r="G33" s="416">
        <v>998992.65</v>
      </c>
      <c r="H33" s="416"/>
      <c r="I33" s="416">
        <v>1067983.5199999998</v>
      </c>
      <c r="J33" s="416"/>
      <c r="K33" s="416">
        <v>4125977.2800000003</v>
      </c>
      <c r="L33" s="416"/>
    </row>
    <row r="34" spans="1:12">
      <c r="A34" s="417">
        <v>1210</v>
      </c>
      <c r="B34" s="387" t="s">
        <v>29</v>
      </c>
      <c r="C34" s="408">
        <v>852675.07000000018</v>
      </c>
      <c r="D34" s="408"/>
      <c r="E34" s="408">
        <v>987387.88000000012</v>
      </c>
      <c r="F34" s="408"/>
      <c r="G34" s="408">
        <v>875385.56</v>
      </c>
      <c r="H34" s="408"/>
      <c r="I34" s="408">
        <v>964596.35999999987</v>
      </c>
      <c r="J34" s="408"/>
      <c r="K34" s="408">
        <v>3680044.87</v>
      </c>
      <c r="L34" s="409"/>
    </row>
    <row r="35" spans="1:12">
      <c r="A35" s="418">
        <v>1220</v>
      </c>
      <c r="B35" s="419" t="s">
        <v>103</v>
      </c>
      <c r="C35" s="414">
        <v>117851.62</v>
      </c>
      <c r="D35" s="414">
        <v>0</v>
      </c>
      <c r="E35" s="414">
        <v>101086.54000000001</v>
      </c>
      <c r="F35" s="414"/>
      <c r="G35" s="414">
        <v>123607.09</v>
      </c>
      <c r="H35" s="414"/>
      <c r="I35" s="414">
        <v>103387.16</v>
      </c>
      <c r="J35" s="414"/>
      <c r="K35" s="414">
        <v>445932.41000000003</v>
      </c>
      <c r="L35" s="389"/>
    </row>
    <row r="36" spans="1:12">
      <c r="A36" s="420">
        <v>1221</v>
      </c>
      <c r="B36" s="419" t="s">
        <v>104</v>
      </c>
      <c r="C36" s="408">
        <v>26753.539999999997</v>
      </c>
      <c r="D36" s="408"/>
      <c r="E36" s="408">
        <v>27387.019999999997</v>
      </c>
      <c r="F36" s="408"/>
      <c r="G36" s="408">
        <v>27692.989999999998</v>
      </c>
      <c r="H36" s="408"/>
      <c r="I36" s="408">
        <v>27287.94</v>
      </c>
      <c r="J36" s="408"/>
      <c r="K36" s="408">
        <v>109121.48999999999</v>
      </c>
      <c r="L36" s="409"/>
    </row>
    <row r="37" spans="1:12">
      <c r="A37" s="407">
        <v>1227</v>
      </c>
      <c r="B37" s="387" t="s">
        <v>30</v>
      </c>
      <c r="C37" s="408">
        <v>88608.08</v>
      </c>
      <c r="D37" s="408"/>
      <c r="E37" s="408">
        <v>71209.52</v>
      </c>
      <c r="F37" s="408"/>
      <c r="G37" s="408">
        <v>93424.1</v>
      </c>
      <c r="H37" s="408"/>
      <c r="I37" s="408">
        <v>73609.22</v>
      </c>
      <c r="J37" s="408"/>
      <c r="K37" s="408">
        <v>326850.92000000004</v>
      </c>
      <c r="L37" s="409"/>
    </row>
    <row r="38" spans="1:12">
      <c r="A38" s="411">
        <v>1228</v>
      </c>
      <c r="B38" s="421" t="s">
        <v>105</v>
      </c>
      <c r="C38" s="408">
        <v>2490</v>
      </c>
      <c r="D38" s="408"/>
      <c r="E38" s="408">
        <v>2490</v>
      </c>
      <c r="F38" s="408"/>
      <c r="G38" s="408">
        <v>2490</v>
      </c>
      <c r="H38" s="408"/>
      <c r="I38" s="408">
        <v>2490</v>
      </c>
      <c r="J38" s="408"/>
      <c r="K38" s="408">
        <v>9960</v>
      </c>
      <c r="L38" s="409"/>
    </row>
    <row r="39" spans="1:12">
      <c r="A39" s="398">
        <v>2000</v>
      </c>
      <c r="B39" s="399" t="s">
        <v>31</v>
      </c>
      <c r="C39" s="422">
        <v>2407781.3899999997</v>
      </c>
      <c r="D39" s="422">
        <v>0</v>
      </c>
      <c r="E39" s="422">
        <v>2260954.52</v>
      </c>
      <c r="F39" s="422"/>
      <c r="G39" s="422">
        <v>1831060.5999999999</v>
      </c>
      <c r="H39" s="422"/>
      <c r="I39" s="422">
        <v>2445258.9700000002</v>
      </c>
      <c r="J39" s="422"/>
      <c r="K39" s="422">
        <v>8945055.4800000004</v>
      </c>
      <c r="L39" s="422"/>
    </row>
    <row r="40" spans="1:12">
      <c r="A40" s="401">
        <v>2100</v>
      </c>
      <c r="B40" s="402" t="s">
        <v>106</v>
      </c>
      <c r="C40" s="423">
        <v>151085.22000000003</v>
      </c>
      <c r="D40" s="423">
        <v>0</v>
      </c>
      <c r="E40" s="423">
        <v>150514.25999999998</v>
      </c>
      <c r="F40" s="423"/>
      <c r="G40" s="423">
        <v>154469.95000000001</v>
      </c>
      <c r="H40" s="423"/>
      <c r="I40" s="423">
        <v>70716.850000000006</v>
      </c>
      <c r="J40" s="423"/>
      <c r="K40" s="423">
        <v>526786.28</v>
      </c>
      <c r="L40" s="423"/>
    </row>
    <row r="41" spans="1:12">
      <c r="A41" s="404">
        <v>2110</v>
      </c>
      <c r="B41" s="405" t="s">
        <v>107</v>
      </c>
      <c r="C41" s="424">
        <v>8123.76</v>
      </c>
      <c r="D41" s="424">
        <v>0</v>
      </c>
      <c r="E41" s="424">
        <v>12391.460000000001</v>
      </c>
      <c r="F41" s="424"/>
      <c r="G41" s="424">
        <v>7654.29</v>
      </c>
      <c r="H41" s="424"/>
      <c r="I41" s="424">
        <v>6131.8099999999995</v>
      </c>
      <c r="J41" s="424"/>
      <c r="K41" s="424">
        <v>34301.32</v>
      </c>
      <c r="L41" s="424"/>
    </row>
    <row r="42" spans="1:12">
      <c r="A42" s="407">
        <v>2111</v>
      </c>
      <c r="B42" s="387" t="s">
        <v>32</v>
      </c>
      <c r="C42" s="408">
        <v>2816.36</v>
      </c>
      <c r="D42" s="408"/>
      <c r="E42" s="408">
        <v>4647.26</v>
      </c>
      <c r="F42" s="408"/>
      <c r="G42" s="408">
        <v>2600.83</v>
      </c>
      <c r="H42" s="408"/>
      <c r="I42" s="408">
        <v>2111.41</v>
      </c>
      <c r="J42" s="408"/>
      <c r="K42" s="408">
        <v>12175.86</v>
      </c>
      <c r="L42" s="409"/>
    </row>
    <row r="43" spans="1:12">
      <c r="A43" s="407">
        <v>2112</v>
      </c>
      <c r="B43" s="387" t="s">
        <v>108</v>
      </c>
      <c r="C43" s="408">
        <v>5307.4000000000005</v>
      </c>
      <c r="D43" s="408"/>
      <c r="E43" s="408">
        <v>7744.2000000000007</v>
      </c>
      <c r="F43" s="408"/>
      <c r="G43" s="408">
        <v>5053.46</v>
      </c>
      <c r="H43" s="408"/>
      <c r="I43" s="408">
        <v>4020.4</v>
      </c>
      <c r="J43" s="408"/>
      <c r="K43" s="408">
        <v>22125.460000000003</v>
      </c>
      <c r="L43" s="409"/>
    </row>
    <row r="44" spans="1:12">
      <c r="A44" s="404">
        <v>2120</v>
      </c>
      <c r="B44" s="405" t="s">
        <v>109</v>
      </c>
      <c r="C44" s="424">
        <v>142961.46000000002</v>
      </c>
      <c r="D44" s="424">
        <v>0</v>
      </c>
      <c r="E44" s="424">
        <v>138122.79999999999</v>
      </c>
      <c r="F44" s="424"/>
      <c r="G44" s="424">
        <v>146815.66</v>
      </c>
      <c r="H44" s="424"/>
      <c r="I44" s="424">
        <v>64585.04</v>
      </c>
      <c r="J44" s="424"/>
      <c r="K44" s="424">
        <v>492484.96</v>
      </c>
      <c r="L44" s="424"/>
    </row>
    <row r="45" spans="1:12">
      <c r="A45" s="407">
        <v>2121</v>
      </c>
      <c r="B45" s="387" t="s">
        <v>32</v>
      </c>
      <c r="C45" s="408">
        <v>24287.86</v>
      </c>
      <c r="D45" s="408"/>
      <c r="E45" s="408">
        <v>36926.630000000005</v>
      </c>
      <c r="F45" s="408"/>
      <c r="G45" s="408">
        <v>39081.480000000003</v>
      </c>
      <c r="H45" s="408"/>
      <c r="I45" s="408">
        <v>19185.18</v>
      </c>
      <c r="J45" s="408"/>
      <c r="K45" s="408">
        <v>119481.15</v>
      </c>
      <c r="L45" s="409"/>
    </row>
    <row r="46" spans="1:12">
      <c r="A46" s="407">
        <v>2122</v>
      </c>
      <c r="B46" s="387" t="s">
        <v>108</v>
      </c>
      <c r="C46" s="408">
        <v>118673.60000000001</v>
      </c>
      <c r="D46" s="408"/>
      <c r="E46" s="408">
        <v>101196.17</v>
      </c>
      <c r="F46" s="408"/>
      <c r="G46" s="408">
        <v>107734.18</v>
      </c>
      <c r="H46" s="408"/>
      <c r="I46" s="408">
        <v>45399.86</v>
      </c>
      <c r="J46" s="408"/>
      <c r="K46" s="408">
        <v>373003.81</v>
      </c>
      <c r="L46" s="409"/>
    </row>
    <row r="47" spans="1:12">
      <c r="A47" s="415">
        <v>2200</v>
      </c>
      <c r="B47" s="405" t="s">
        <v>33</v>
      </c>
      <c r="C47" s="425">
        <v>1714642.28</v>
      </c>
      <c r="D47" s="425">
        <v>0</v>
      </c>
      <c r="E47" s="425">
        <v>1610006.61</v>
      </c>
      <c r="F47" s="425"/>
      <c r="G47" s="425">
        <v>1185492.8399999999</v>
      </c>
      <c r="H47" s="425"/>
      <c r="I47" s="425">
        <v>1809950.33</v>
      </c>
      <c r="J47" s="425"/>
      <c r="K47" s="425">
        <v>6320092.0600000005</v>
      </c>
      <c r="L47" s="425"/>
    </row>
    <row r="48" spans="1:12">
      <c r="A48" s="404">
        <v>2210</v>
      </c>
      <c r="B48" s="405" t="s">
        <v>124</v>
      </c>
      <c r="C48" s="426">
        <v>129853.95</v>
      </c>
      <c r="D48" s="426"/>
      <c r="E48" s="426">
        <v>245748.91</v>
      </c>
      <c r="F48" s="426"/>
      <c r="G48" s="426">
        <v>130160.77</v>
      </c>
      <c r="H48" s="426"/>
      <c r="I48" s="426">
        <v>258943.86000000002</v>
      </c>
      <c r="J48" s="426"/>
      <c r="K48" s="426">
        <v>764707.49</v>
      </c>
      <c r="L48" s="424"/>
    </row>
    <row r="49" spans="1:12">
      <c r="A49" s="404">
        <v>2220</v>
      </c>
      <c r="B49" s="405" t="s">
        <v>34</v>
      </c>
      <c r="C49" s="424">
        <v>286549.99</v>
      </c>
      <c r="D49" s="424">
        <v>0</v>
      </c>
      <c r="E49" s="424">
        <v>151793.22999999998</v>
      </c>
      <c r="F49" s="424"/>
      <c r="G49" s="424">
        <v>115280.15</v>
      </c>
      <c r="H49" s="424"/>
      <c r="I49" s="424">
        <v>235361.58000000002</v>
      </c>
      <c r="J49" s="424"/>
      <c r="K49" s="424">
        <v>788984.95</v>
      </c>
      <c r="L49" s="424"/>
    </row>
    <row r="50" spans="1:12">
      <c r="A50" s="407">
        <v>2221</v>
      </c>
      <c r="B50" s="387" t="s">
        <v>110</v>
      </c>
      <c r="C50" s="408">
        <v>169786</v>
      </c>
      <c r="D50" s="408"/>
      <c r="E50" s="408">
        <v>44959</v>
      </c>
      <c r="F50" s="408"/>
      <c r="G50" s="408">
        <v>2602</v>
      </c>
      <c r="H50" s="408"/>
      <c r="I50" s="408">
        <v>122225</v>
      </c>
      <c r="J50" s="408"/>
      <c r="K50" s="408">
        <v>339572</v>
      </c>
      <c r="L50" s="409"/>
    </row>
    <row r="51" spans="1:12">
      <c r="A51" s="407">
        <v>2222</v>
      </c>
      <c r="B51" s="387" t="s">
        <v>35</v>
      </c>
      <c r="C51" s="408">
        <v>2684</v>
      </c>
      <c r="D51" s="408"/>
      <c r="E51" s="408">
        <v>3554</v>
      </c>
      <c r="F51" s="408"/>
      <c r="G51" s="408">
        <v>3524</v>
      </c>
      <c r="H51" s="408"/>
      <c r="I51" s="408">
        <v>2760</v>
      </c>
      <c r="J51" s="408"/>
      <c r="K51" s="408">
        <v>12522</v>
      </c>
      <c r="L51" s="409"/>
    </row>
    <row r="52" spans="1:12">
      <c r="A52" s="407">
        <v>2223</v>
      </c>
      <c r="B52" s="387" t="s">
        <v>36</v>
      </c>
      <c r="C52" s="408">
        <v>108799.99</v>
      </c>
      <c r="D52" s="408"/>
      <c r="E52" s="408">
        <v>98000.23</v>
      </c>
      <c r="F52" s="408"/>
      <c r="G52" s="408">
        <v>103874.15</v>
      </c>
      <c r="H52" s="408"/>
      <c r="I52" s="408">
        <v>105096.58</v>
      </c>
      <c r="J52" s="408"/>
      <c r="K52" s="408">
        <v>415770.95</v>
      </c>
      <c r="L52" s="409"/>
    </row>
    <row r="53" spans="1:12">
      <c r="A53" s="407">
        <v>2224</v>
      </c>
      <c r="B53" s="387" t="s">
        <v>211</v>
      </c>
      <c r="C53" s="408">
        <v>5280</v>
      </c>
      <c r="D53" s="408"/>
      <c r="E53" s="408">
        <v>5280</v>
      </c>
      <c r="F53" s="408"/>
      <c r="G53" s="408">
        <v>5280</v>
      </c>
      <c r="H53" s="408"/>
      <c r="I53" s="408">
        <v>5280</v>
      </c>
      <c r="J53" s="408"/>
      <c r="K53" s="408">
        <v>21120</v>
      </c>
      <c r="L53" s="409"/>
    </row>
    <row r="54" spans="1:12">
      <c r="A54" s="404">
        <v>2230</v>
      </c>
      <c r="B54" s="405" t="s">
        <v>38</v>
      </c>
      <c r="C54" s="424">
        <v>825967.12</v>
      </c>
      <c r="D54" s="424">
        <v>0</v>
      </c>
      <c r="E54" s="424">
        <v>882925.77999999991</v>
      </c>
      <c r="F54" s="424"/>
      <c r="G54" s="424">
        <v>700464.90999999992</v>
      </c>
      <c r="H54" s="424"/>
      <c r="I54" s="424">
        <v>662215.19000000006</v>
      </c>
      <c r="J54" s="424"/>
      <c r="K54" s="424">
        <v>3071572.9999999995</v>
      </c>
      <c r="L54" s="424"/>
    </row>
    <row r="55" spans="1:12">
      <c r="A55" s="407">
        <v>2231</v>
      </c>
      <c r="B55" s="387" t="s">
        <v>212</v>
      </c>
      <c r="C55" s="408">
        <v>7200</v>
      </c>
      <c r="D55" s="409"/>
      <c r="E55" s="409">
        <v>0</v>
      </c>
      <c r="F55" s="409"/>
      <c r="G55" s="409">
        <v>0</v>
      </c>
      <c r="H55" s="409"/>
      <c r="I55" s="409">
        <v>0</v>
      </c>
      <c r="J55" s="409"/>
      <c r="K55" s="409">
        <v>7200</v>
      </c>
      <c r="L55" s="409"/>
    </row>
    <row r="56" spans="1:12">
      <c r="A56" s="407">
        <v>2232</v>
      </c>
      <c r="B56" s="387" t="s">
        <v>112</v>
      </c>
      <c r="C56" s="408">
        <v>64787.8</v>
      </c>
      <c r="D56" s="408"/>
      <c r="E56" s="408">
        <v>97506.84</v>
      </c>
      <c r="F56" s="408"/>
      <c r="G56" s="408">
        <v>51365.68</v>
      </c>
      <c r="H56" s="408"/>
      <c r="I56" s="408">
        <v>70126.55</v>
      </c>
      <c r="J56" s="408"/>
      <c r="K56" s="408">
        <v>283786.87</v>
      </c>
      <c r="L56" s="409"/>
    </row>
    <row r="57" spans="1:12">
      <c r="A57" s="407">
        <v>2233</v>
      </c>
      <c r="B57" s="387" t="s">
        <v>39</v>
      </c>
      <c r="C57" s="408">
        <v>5110.92</v>
      </c>
      <c r="D57" s="408"/>
      <c r="E57" s="408">
        <v>5402.13</v>
      </c>
      <c r="F57" s="408"/>
      <c r="G57" s="408">
        <v>4802.6000000000004</v>
      </c>
      <c r="H57" s="408"/>
      <c r="I57" s="408">
        <v>4621.08</v>
      </c>
      <c r="J57" s="408"/>
      <c r="K57" s="408">
        <v>19936.73</v>
      </c>
      <c r="L57" s="409"/>
    </row>
    <row r="58" spans="1:12">
      <c r="A58" s="407">
        <v>2235</v>
      </c>
      <c r="B58" s="387" t="s">
        <v>213</v>
      </c>
      <c r="C58" s="408">
        <v>12000</v>
      </c>
      <c r="D58" s="408"/>
      <c r="E58" s="408">
        <v>12000</v>
      </c>
      <c r="F58" s="408"/>
      <c r="G58" s="408">
        <v>12000</v>
      </c>
      <c r="H58" s="408"/>
      <c r="I58" s="408">
        <v>12000</v>
      </c>
      <c r="J58" s="408"/>
      <c r="K58" s="408">
        <v>48000</v>
      </c>
      <c r="L58" s="409"/>
    </row>
    <row r="59" spans="1:12">
      <c r="A59" s="407">
        <v>2236</v>
      </c>
      <c r="B59" s="387" t="s">
        <v>161</v>
      </c>
      <c r="C59" s="408">
        <v>390</v>
      </c>
      <c r="D59" s="408"/>
      <c r="E59" s="408">
        <v>390</v>
      </c>
      <c r="F59" s="408"/>
      <c r="G59" s="408">
        <v>390</v>
      </c>
      <c r="H59" s="408"/>
      <c r="I59" s="408">
        <v>390</v>
      </c>
      <c r="J59" s="408"/>
      <c r="K59" s="408">
        <v>1560</v>
      </c>
      <c r="L59" s="409"/>
    </row>
    <row r="60" spans="1:12">
      <c r="A60" s="420">
        <v>2239</v>
      </c>
      <c r="B60" s="387" t="s">
        <v>214</v>
      </c>
      <c r="C60" s="408">
        <v>736478.4</v>
      </c>
      <c r="D60" s="408"/>
      <c r="E60" s="408">
        <v>767626.80999999994</v>
      </c>
      <c r="F60" s="408"/>
      <c r="G60" s="408">
        <v>631906.62999999989</v>
      </c>
      <c r="H60" s="408"/>
      <c r="I60" s="408">
        <v>575077.56000000006</v>
      </c>
      <c r="J60" s="408"/>
      <c r="K60" s="408">
        <v>2711089.4</v>
      </c>
      <c r="L60" s="409"/>
    </row>
    <row r="61" spans="1:12">
      <c r="A61" s="404">
        <v>2240</v>
      </c>
      <c r="B61" s="405" t="s">
        <v>114</v>
      </c>
      <c r="C61" s="424">
        <v>60869.61</v>
      </c>
      <c r="D61" s="424">
        <v>0</v>
      </c>
      <c r="E61" s="424">
        <v>60883.450000000004</v>
      </c>
      <c r="F61" s="424"/>
      <c r="G61" s="424">
        <v>68713.680000000008</v>
      </c>
      <c r="H61" s="424"/>
      <c r="I61" s="424">
        <v>61941.45</v>
      </c>
      <c r="J61" s="424"/>
      <c r="K61" s="424">
        <v>252408.19</v>
      </c>
      <c r="L61" s="424"/>
    </row>
    <row r="62" spans="1:12">
      <c r="A62" s="407">
        <v>2242</v>
      </c>
      <c r="B62" s="387" t="s">
        <v>42</v>
      </c>
      <c r="C62" s="408">
        <v>8244.130000000001</v>
      </c>
      <c r="D62" s="408"/>
      <c r="E62" s="408">
        <v>8545.65</v>
      </c>
      <c r="F62" s="408"/>
      <c r="G62" s="408">
        <v>15071.24</v>
      </c>
      <c r="H62" s="408"/>
      <c r="I62" s="408">
        <v>8123.35</v>
      </c>
      <c r="J62" s="408"/>
      <c r="K62" s="408">
        <v>39984.369999999995</v>
      </c>
      <c r="L62" s="409"/>
    </row>
    <row r="63" spans="1:12">
      <c r="A63" s="407">
        <v>2243</v>
      </c>
      <c r="B63" s="387" t="s">
        <v>43</v>
      </c>
      <c r="C63" s="408">
        <v>10755</v>
      </c>
      <c r="D63" s="408"/>
      <c r="E63" s="408">
        <v>10675</v>
      </c>
      <c r="F63" s="408"/>
      <c r="G63" s="408">
        <v>11245</v>
      </c>
      <c r="H63" s="408"/>
      <c r="I63" s="408">
        <v>10650</v>
      </c>
      <c r="J63" s="408"/>
      <c r="K63" s="408">
        <v>43325</v>
      </c>
      <c r="L63" s="409"/>
    </row>
    <row r="64" spans="1:12">
      <c r="A64" s="407">
        <v>2244</v>
      </c>
      <c r="B64" s="387" t="s">
        <v>116</v>
      </c>
      <c r="C64" s="408">
        <v>41652.68</v>
      </c>
      <c r="D64" s="408"/>
      <c r="E64" s="408">
        <v>41445</v>
      </c>
      <c r="F64" s="408"/>
      <c r="G64" s="408">
        <v>41959.64</v>
      </c>
      <c r="H64" s="408"/>
      <c r="I64" s="408">
        <v>41625.5</v>
      </c>
      <c r="J64" s="408"/>
      <c r="K64" s="408">
        <v>166682.82</v>
      </c>
      <c r="L64" s="409"/>
    </row>
    <row r="65" spans="1:12">
      <c r="A65" s="407">
        <v>2247</v>
      </c>
      <c r="B65" s="387" t="s">
        <v>44</v>
      </c>
      <c r="C65" s="408">
        <v>217.8</v>
      </c>
      <c r="D65" s="408"/>
      <c r="E65" s="408">
        <v>217.8</v>
      </c>
      <c r="F65" s="408"/>
      <c r="G65" s="408">
        <v>437.8</v>
      </c>
      <c r="H65" s="408"/>
      <c r="I65" s="408">
        <v>1542.6</v>
      </c>
      <c r="J65" s="408"/>
      <c r="K65" s="408">
        <v>2416</v>
      </c>
      <c r="L65" s="409"/>
    </row>
    <row r="66" spans="1:12">
      <c r="A66" s="404">
        <v>2250</v>
      </c>
      <c r="B66" s="405" t="s">
        <v>46</v>
      </c>
      <c r="C66" s="426">
        <v>184848.65</v>
      </c>
      <c r="D66" s="426"/>
      <c r="E66" s="426">
        <v>136969.31</v>
      </c>
      <c r="F66" s="426"/>
      <c r="G66" s="426">
        <v>92182.63</v>
      </c>
      <c r="H66" s="426"/>
      <c r="I66" s="426">
        <v>369830.11</v>
      </c>
      <c r="J66" s="426"/>
      <c r="K66" s="426">
        <v>783830.7</v>
      </c>
      <c r="L66" s="424"/>
    </row>
    <row r="67" spans="1:12">
      <c r="A67" s="404">
        <v>2260</v>
      </c>
      <c r="B67" s="405" t="s">
        <v>49</v>
      </c>
      <c r="C67" s="424">
        <v>216608.69999999998</v>
      </c>
      <c r="D67" s="424">
        <v>0</v>
      </c>
      <c r="E67" s="424">
        <v>118273.81</v>
      </c>
      <c r="F67" s="424"/>
      <c r="G67" s="424">
        <v>70271.209999999992</v>
      </c>
      <c r="H67" s="424"/>
      <c r="I67" s="424">
        <v>209819.37</v>
      </c>
      <c r="J67" s="424"/>
      <c r="K67" s="424">
        <v>614973.09</v>
      </c>
      <c r="L67" s="424"/>
    </row>
    <row r="68" spans="1:12">
      <c r="A68" s="407">
        <v>2261</v>
      </c>
      <c r="B68" s="387" t="s">
        <v>50</v>
      </c>
      <c r="C68" s="408">
        <v>2691.26</v>
      </c>
      <c r="D68" s="408"/>
      <c r="E68" s="408">
        <v>1467.83</v>
      </c>
      <c r="F68" s="408"/>
      <c r="G68" s="408">
        <v>3675.6400000000003</v>
      </c>
      <c r="H68" s="408"/>
      <c r="I68" s="408">
        <v>3568</v>
      </c>
      <c r="J68" s="408"/>
      <c r="K68" s="408">
        <v>11402.73</v>
      </c>
      <c r="L68" s="409"/>
    </row>
    <row r="69" spans="1:12">
      <c r="A69" s="407">
        <v>2262</v>
      </c>
      <c r="B69" s="387" t="s">
        <v>51</v>
      </c>
      <c r="C69" s="408">
        <v>48425.52</v>
      </c>
      <c r="D69" s="408"/>
      <c r="E69" s="408">
        <v>48449.59</v>
      </c>
      <c r="F69" s="408"/>
      <c r="G69" s="408">
        <v>49097.59</v>
      </c>
      <c r="H69" s="408"/>
      <c r="I69" s="408">
        <v>48632.270000000004</v>
      </c>
      <c r="J69" s="408"/>
      <c r="K69" s="408">
        <v>194604.96999999997</v>
      </c>
      <c r="L69" s="409"/>
    </row>
    <row r="70" spans="1:12">
      <c r="A70" s="407">
        <v>2263</v>
      </c>
      <c r="B70" s="387" t="s">
        <v>52</v>
      </c>
      <c r="C70" s="408">
        <v>3000</v>
      </c>
      <c r="D70" s="408"/>
      <c r="E70" s="408">
        <v>3000</v>
      </c>
      <c r="F70" s="408"/>
      <c r="G70" s="408">
        <v>3000</v>
      </c>
      <c r="H70" s="408"/>
      <c r="I70" s="408">
        <v>3000</v>
      </c>
      <c r="J70" s="408"/>
      <c r="K70" s="408">
        <v>12000</v>
      </c>
      <c r="L70" s="409"/>
    </row>
    <row r="71" spans="1:12">
      <c r="A71" s="407">
        <v>2264</v>
      </c>
      <c r="B71" s="387" t="s">
        <v>117</v>
      </c>
      <c r="C71" s="408">
        <v>162491.91999999998</v>
      </c>
      <c r="D71" s="408"/>
      <c r="E71" s="408">
        <v>65356.39</v>
      </c>
      <c r="F71" s="408"/>
      <c r="G71" s="408">
        <v>14497.980000000001</v>
      </c>
      <c r="H71" s="408"/>
      <c r="I71" s="408">
        <v>154619.09999999998</v>
      </c>
      <c r="J71" s="408"/>
      <c r="K71" s="408">
        <v>396965.39</v>
      </c>
      <c r="L71" s="409"/>
    </row>
    <row r="72" spans="1:12">
      <c r="A72" s="404">
        <v>2270</v>
      </c>
      <c r="B72" s="405" t="s">
        <v>54</v>
      </c>
      <c r="C72" s="424">
        <v>9944.26</v>
      </c>
      <c r="D72" s="424">
        <v>0</v>
      </c>
      <c r="E72" s="424">
        <v>13412.12</v>
      </c>
      <c r="F72" s="424"/>
      <c r="G72" s="424">
        <v>8419.49</v>
      </c>
      <c r="H72" s="424"/>
      <c r="I72" s="424">
        <v>11838.77</v>
      </c>
      <c r="J72" s="424"/>
      <c r="K72" s="424">
        <v>43614.64</v>
      </c>
      <c r="L72" s="424"/>
    </row>
    <row r="73" spans="1:12">
      <c r="A73" s="407">
        <v>2276</v>
      </c>
      <c r="B73" s="387" t="s">
        <v>215</v>
      </c>
      <c r="C73" s="408">
        <v>9944.26</v>
      </c>
      <c r="D73" s="408"/>
      <c r="E73" s="408">
        <v>13412.12</v>
      </c>
      <c r="F73" s="408"/>
      <c r="G73" s="408">
        <v>8419.49</v>
      </c>
      <c r="H73" s="408"/>
      <c r="I73" s="408">
        <v>11838.77</v>
      </c>
      <c r="J73" s="408"/>
      <c r="K73" s="408">
        <v>43614.64</v>
      </c>
      <c r="L73" s="409"/>
    </row>
    <row r="74" spans="1:12">
      <c r="A74" s="415">
        <v>2300</v>
      </c>
      <c r="B74" s="405" t="s">
        <v>56</v>
      </c>
      <c r="C74" s="425">
        <v>210581.88999999998</v>
      </c>
      <c r="D74" s="425">
        <v>0</v>
      </c>
      <c r="E74" s="425">
        <v>202443.96</v>
      </c>
      <c r="F74" s="425"/>
      <c r="G74" s="425">
        <v>193218.03</v>
      </c>
      <c r="H74" s="425"/>
      <c r="I74" s="425">
        <v>243477.78999999998</v>
      </c>
      <c r="J74" s="425"/>
      <c r="K74" s="425">
        <v>849721.66999999993</v>
      </c>
      <c r="L74" s="425"/>
    </row>
    <row r="75" spans="1:12">
      <c r="A75" s="404">
        <v>2310</v>
      </c>
      <c r="B75" s="405" t="s">
        <v>118</v>
      </c>
      <c r="C75" s="424">
        <v>58877.39</v>
      </c>
      <c r="D75" s="424">
        <v>0</v>
      </c>
      <c r="E75" s="424">
        <v>43069.85</v>
      </c>
      <c r="F75" s="424"/>
      <c r="G75" s="424">
        <v>42212.94</v>
      </c>
      <c r="H75" s="424"/>
      <c r="I75" s="424">
        <v>59152.729999999996</v>
      </c>
      <c r="J75" s="424"/>
      <c r="K75" s="424">
        <v>203312.90999999997</v>
      </c>
      <c r="L75" s="424"/>
    </row>
    <row r="76" spans="1:12">
      <c r="A76" s="407">
        <v>2311</v>
      </c>
      <c r="B76" s="387" t="s">
        <v>57</v>
      </c>
      <c r="C76" s="408">
        <v>17094.21</v>
      </c>
      <c r="D76" s="408"/>
      <c r="E76" s="408">
        <v>6673.1900000000005</v>
      </c>
      <c r="F76" s="408"/>
      <c r="G76" s="408">
        <v>9250.5499999999993</v>
      </c>
      <c r="H76" s="408"/>
      <c r="I76" s="408">
        <v>12440.34</v>
      </c>
      <c r="J76" s="408"/>
      <c r="K76" s="408">
        <v>45458.289999999994</v>
      </c>
      <c r="L76" s="409"/>
    </row>
    <row r="77" spans="1:12">
      <c r="A77" s="407">
        <v>2312</v>
      </c>
      <c r="B77" s="387" t="s">
        <v>58</v>
      </c>
      <c r="C77" s="408">
        <v>36510.71</v>
      </c>
      <c r="D77" s="408"/>
      <c r="E77" s="408">
        <v>30436.66</v>
      </c>
      <c r="F77" s="408"/>
      <c r="G77" s="408">
        <v>27202.39</v>
      </c>
      <c r="H77" s="408"/>
      <c r="I77" s="408">
        <v>39123.440000000002</v>
      </c>
      <c r="J77" s="408"/>
      <c r="K77" s="408">
        <v>133273.20000000001</v>
      </c>
      <c r="L77" s="409"/>
    </row>
    <row r="78" spans="1:12">
      <c r="A78" s="407">
        <v>2314</v>
      </c>
      <c r="B78" s="387" t="s">
        <v>119</v>
      </c>
      <c r="C78" s="408">
        <v>5272.47</v>
      </c>
      <c r="D78" s="408"/>
      <c r="E78" s="408">
        <v>5960</v>
      </c>
      <c r="F78" s="408"/>
      <c r="G78" s="408">
        <v>5760</v>
      </c>
      <c r="H78" s="408"/>
      <c r="I78" s="408">
        <v>7588.95</v>
      </c>
      <c r="J78" s="408"/>
      <c r="K78" s="408">
        <v>24581.420000000002</v>
      </c>
      <c r="L78" s="409"/>
    </row>
    <row r="79" spans="1:12">
      <c r="A79" s="404">
        <v>2320</v>
      </c>
      <c r="B79" s="405" t="s">
        <v>60</v>
      </c>
      <c r="C79" s="424">
        <v>33160.1</v>
      </c>
      <c r="D79" s="424">
        <v>0</v>
      </c>
      <c r="E79" s="424">
        <v>32306.03</v>
      </c>
      <c r="F79" s="424"/>
      <c r="G79" s="424">
        <v>24519.88</v>
      </c>
      <c r="H79" s="424"/>
      <c r="I79" s="424">
        <v>28455.57</v>
      </c>
      <c r="J79" s="424"/>
      <c r="K79" s="424">
        <v>118441.57999999999</v>
      </c>
      <c r="L79" s="424"/>
    </row>
    <row r="80" spans="1:12">
      <c r="A80" s="407">
        <v>2322</v>
      </c>
      <c r="B80" s="387" t="s">
        <v>62</v>
      </c>
      <c r="C80" s="408">
        <v>33160.1</v>
      </c>
      <c r="D80" s="408"/>
      <c r="E80" s="408">
        <v>32306.03</v>
      </c>
      <c r="F80" s="408"/>
      <c r="G80" s="408">
        <v>24519.88</v>
      </c>
      <c r="H80" s="408"/>
      <c r="I80" s="408">
        <v>28455.57</v>
      </c>
      <c r="J80" s="408"/>
      <c r="K80" s="408">
        <v>118441.57999999999</v>
      </c>
      <c r="L80" s="409"/>
    </row>
    <row r="81" spans="1:16">
      <c r="A81" s="404">
        <v>2340</v>
      </c>
      <c r="B81" s="405" t="s">
        <v>65</v>
      </c>
      <c r="C81" s="424">
        <v>0</v>
      </c>
      <c r="D81" s="424">
        <v>0</v>
      </c>
      <c r="E81" s="424">
        <v>0</v>
      </c>
      <c r="F81" s="424"/>
      <c r="G81" s="424">
        <v>0</v>
      </c>
      <c r="H81" s="424"/>
      <c r="I81" s="424">
        <v>0</v>
      </c>
      <c r="J81" s="424"/>
      <c r="K81" s="424">
        <v>0</v>
      </c>
      <c r="L81" s="424"/>
    </row>
    <row r="82" spans="1:16">
      <c r="A82" s="404">
        <v>2350</v>
      </c>
      <c r="B82" s="405" t="s">
        <v>67</v>
      </c>
      <c r="C82" s="426">
        <v>29460</v>
      </c>
      <c r="D82" s="426"/>
      <c r="E82" s="426">
        <v>19490</v>
      </c>
      <c r="F82" s="426"/>
      <c r="G82" s="426">
        <v>19460</v>
      </c>
      <c r="H82" s="426"/>
      <c r="I82" s="426">
        <v>19607.87</v>
      </c>
      <c r="J82" s="426"/>
      <c r="K82" s="426">
        <v>88017.87</v>
      </c>
      <c r="L82" s="424"/>
    </row>
    <row r="83" spans="1:16">
      <c r="A83" s="404">
        <v>2390</v>
      </c>
      <c r="B83" s="405" t="s">
        <v>68</v>
      </c>
      <c r="C83" s="426">
        <v>89084.4</v>
      </c>
      <c r="D83" s="426"/>
      <c r="E83" s="426">
        <v>107578.07999999999</v>
      </c>
      <c r="F83" s="426"/>
      <c r="G83" s="426">
        <v>107025.20999999999</v>
      </c>
      <c r="H83" s="426"/>
      <c r="I83" s="426">
        <v>136261.62</v>
      </c>
      <c r="J83" s="426"/>
      <c r="K83" s="426">
        <v>439949.30999999994</v>
      </c>
      <c r="L83" s="424"/>
    </row>
    <row r="84" spans="1:16">
      <c r="A84" s="415">
        <v>2400</v>
      </c>
      <c r="B84" s="427" t="s">
        <v>69</v>
      </c>
      <c r="C84" s="428">
        <v>0</v>
      </c>
      <c r="D84" s="428"/>
      <c r="E84" s="428">
        <v>150</v>
      </c>
      <c r="F84" s="428"/>
      <c r="G84" s="428">
        <v>0</v>
      </c>
      <c r="H84" s="428"/>
      <c r="I84" s="428">
        <v>150</v>
      </c>
      <c r="J84" s="428"/>
      <c r="K84" s="428">
        <v>300</v>
      </c>
      <c r="L84" s="428"/>
    </row>
    <row r="85" spans="1:16">
      <c r="A85" s="415">
        <v>2500</v>
      </c>
      <c r="B85" s="427" t="s">
        <v>127</v>
      </c>
      <c r="C85" s="425">
        <v>331472</v>
      </c>
      <c r="D85" s="425">
        <v>0</v>
      </c>
      <c r="E85" s="425">
        <v>297839.69</v>
      </c>
      <c r="F85" s="425"/>
      <c r="G85" s="425">
        <v>297879.78000000003</v>
      </c>
      <c r="H85" s="425"/>
      <c r="I85" s="425">
        <v>320964</v>
      </c>
      <c r="J85" s="425"/>
      <c r="K85" s="425">
        <v>1248155.47</v>
      </c>
      <c r="L85" s="425"/>
    </row>
    <row r="86" spans="1:16">
      <c r="A86" s="404">
        <v>2510</v>
      </c>
      <c r="B86" s="429" t="s">
        <v>128</v>
      </c>
      <c r="C86" s="424">
        <v>331472</v>
      </c>
      <c r="D86" s="424">
        <v>0</v>
      </c>
      <c r="E86" s="424">
        <v>297839.69</v>
      </c>
      <c r="F86" s="424"/>
      <c r="G86" s="424">
        <v>297879.78000000003</v>
      </c>
      <c r="H86" s="424"/>
      <c r="I86" s="424">
        <v>320964</v>
      </c>
      <c r="J86" s="424"/>
      <c r="K86" s="424">
        <v>1248155.47</v>
      </c>
      <c r="L86" s="424"/>
    </row>
    <row r="87" spans="1:16">
      <c r="A87" s="407">
        <v>2512</v>
      </c>
      <c r="B87" s="387" t="s">
        <v>70</v>
      </c>
      <c r="C87" s="408">
        <v>310000</v>
      </c>
      <c r="D87" s="408"/>
      <c r="E87" s="408">
        <v>285000</v>
      </c>
      <c r="F87" s="408"/>
      <c r="G87" s="408">
        <v>285000</v>
      </c>
      <c r="H87" s="408"/>
      <c r="I87" s="408">
        <v>308162</v>
      </c>
      <c r="J87" s="408"/>
      <c r="K87" s="408">
        <v>1188162</v>
      </c>
      <c r="L87" s="409"/>
    </row>
    <row r="88" spans="1:16">
      <c r="A88" s="407">
        <v>2513</v>
      </c>
      <c r="B88" s="387" t="s">
        <v>216</v>
      </c>
      <c r="C88" s="408">
        <v>20500</v>
      </c>
      <c r="D88" s="408"/>
      <c r="E88" s="408">
        <v>11500</v>
      </c>
      <c r="F88" s="408"/>
      <c r="G88" s="408">
        <v>11500</v>
      </c>
      <c r="H88" s="408"/>
      <c r="I88" s="408">
        <v>11500</v>
      </c>
      <c r="J88" s="408"/>
      <c r="K88" s="408">
        <v>55000</v>
      </c>
      <c r="L88" s="409"/>
    </row>
    <row r="89" spans="1:16">
      <c r="A89" s="430">
        <v>2519</v>
      </c>
      <c r="B89" s="431" t="s">
        <v>71</v>
      </c>
      <c r="C89" s="408">
        <v>972</v>
      </c>
      <c r="D89" s="408"/>
      <c r="E89" s="408">
        <v>1339.69</v>
      </c>
      <c r="F89" s="408"/>
      <c r="G89" s="408">
        <v>1379.78</v>
      </c>
      <c r="H89" s="408"/>
      <c r="I89" s="408">
        <v>1302</v>
      </c>
      <c r="J89" s="408"/>
      <c r="K89" s="408">
        <v>4993.47</v>
      </c>
      <c r="L89" s="409"/>
    </row>
    <row r="90" spans="1:16">
      <c r="A90" s="432">
        <v>2520</v>
      </c>
      <c r="B90" s="390" t="s">
        <v>217</v>
      </c>
      <c r="C90" s="408">
        <v>0</v>
      </c>
      <c r="D90" s="408"/>
      <c r="E90" s="408">
        <v>0</v>
      </c>
      <c r="F90" s="408"/>
      <c r="G90" s="408">
        <v>0</v>
      </c>
      <c r="H90" s="408"/>
      <c r="I90" s="408">
        <v>0</v>
      </c>
      <c r="J90" s="408"/>
      <c r="K90" s="408">
        <v>0</v>
      </c>
      <c r="L90" s="409"/>
    </row>
    <row r="91" spans="1:16">
      <c r="A91" s="398">
        <v>4000</v>
      </c>
      <c r="B91" s="399" t="s">
        <v>72</v>
      </c>
      <c r="C91" s="422">
        <v>6000</v>
      </c>
      <c r="D91" s="422"/>
      <c r="E91" s="422">
        <v>6000</v>
      </c>
      <c r="F91" s="422"/>
      <c r="G91" s="422">
        <v>6000</v>
      </c>
      <c r="H91" s="422"/>
      <c r="I91" s="422">
        <v>7000</v>
      </c>
      <c r="J91" s="422"/>
      <c r="K91" s="422">
        <v>25000</v>
      </c>
      <c r="L91" s="422"/>
    </row>
    <row r="92" spans="1:16">
      <c r="A92" s="401">
        <v>4200</v>
      </c>
      <c r="B92" s="402" t="s">
        <v>73</v>
      </c>
      <c r="C92" s="416">
        <v>6000</v>
      </c>
      <c r="D92" s="416"/>
      <c r="E92" s="416">
        <v>6000</v>
      </c>
      <c r="F92" s="416"/>
      <c r="G92" s="416">
        <v>6000</v>
      </c>
      <c r="H92" s="416"/>
      <c r="I92" s="416">
        <v>7000</v>
      </c>
      <c r="J92" s="416"/>
      <c r="K92" s="416">
        <v>25000</v>
      </c>
      <c r="L92" s="416"/>
    </row>
    <row r="93" spans="1:16">
      <c r="A93" s="407">
        <v>4230</v>
      </c>
      <c r="B93" s="387" t="s">
        <v>218</v>
      </c>
      <c r="C93" s="409">
        <v>6000</v>
      </c>
      <c r="D93" s="409"/>
      <c r="E93" s="409">
        <v>6000</v>
      </c>
      <c r="F93" s="409"/>
      <c r="G93" s="409">
        <v>6000</v>
      </c>
      <c r="H93" s="409"/>
      <c r="I93" s="409">
        <v>7000</v>
      </c>
      <c r="J93" s="409"/>
      <c r="K93" s="409">
        <v>25000</v>
      </c>
      <c r="L93" s="409"/>
    </row>
    <row r="94" spans="1:16">
      <c r="A94" s="430" t="s">
        <v>219</v>
      </c>
      <c r="B94" s="431" t="s">
        <v>220</v>
      </c>
      <c r="C94" s="409">
        <v>0</v>
      </c>
      <c r="D94" s="409"/>
      <c r="E94" s="409">
        <v>0</v>
      </c>
      <c r="F94" s="409"/>
      <c r="G94" s="409">
        <v>0</v>
      </c>
      <c r="H94" s="409"/>
      <c r="I94" s="409">
        <v>0</v>
      </c>
      <c r="J94" s="409"/>
      <c r="K94" s="409">
        <v>0</v>
      </c>
      <c r="L94" s="409"/>
    </row>
    <row r="95" spans="1:16">
      <c r="A95" s="432" t="s">
        <v>221</v>
      </c>
      <c r="B95" s="390" t="s">
        <v>222</v>
      </c>
      <c r="C95" s="391">
        <v>0</v>
      </c>
      <c r="D95" s="391"/>
      <c r="E95" s="391">
        <v>0</v>
      </c>
      <c r="F95" s="391"/>
      <c r="G95" s="391">
        <v>0</v>
      </c>
      <c r="H95" s="391"/>
      <c r="I95" s="391">
        <v>0</v>
      </c>
      <c r="J95" s="391"/>
      <c r="K95" s="391">
        <v>0</v>
      </c>
      <c r="L95" s="391"/>
    </row>
    <row r="96" spans="1:16">
      <c r="A96" s="433">
        <v>5000</v>
      </c>
      <c r="B96" s="434" t="s">
        <v>131</v>
      </c>
      <c r="C96" s="422">
        <v>2146142.44</v>
      </c>
      <c r="D96" s="422">
        <v>0</v>
      </c>
      <c r="E96" s="422">
        <v>3092473.2133333329</v>
      </c>
      <c r="F96" s="422"/>
      <c r="G96" s="422">
        <v>5534449.4900000002</v>
      </c>
      <c r="H96" s="422"/>
      <c r="I96" s="422">
        <v>13590547.786666667</v>
      </c>
      <c r="J96" s="422"/>
      <c r="K96" s="435">
        <v>24363612.93</v>
      </c>
      <c r="L96" s="422"/>
      <c r="M96" s="436">
        <f>M97++M99</f>
        <v>24363612.93</v>
      </c>
      <c r="N96" s="436">
        <f>M96-M97</f>
        <v>19949561.5</v>
      </c>
      <c r="O96">
        <v>717000</v>
      </c>
      <c r="P96" s="436">
        <f>N96+O96</f>
        <v>20666561.5</v>
      </c>
    </row>
    <row r="97" spans="1:15">
      <c r="A97" s="437">
        <v>5100</v>
      </c>
      <c r="B97" s="438" t="s">
        <v>74</v>
      </c>
      <c r="C97" s="416">
        <v>1499004.5</v>
      </c>
      <c r="D97" s="416">
        <v>0</v>
      </c>
      <c r="E97" s="416">
        <v>1371623.88</v>
      </c>
      <c r="F97" s="416"/>
      <c r="G97" s="416">
        <v>549788.79</v>
      </c>
      <c r="H97" s="416"/>
      <c r="I97" s="416">
        <v>993634.26</v>
      </c>
      <c r="J97" s="416"/>
      <c r="K97" s="416">
        <v>4414051.43</v>
      </c>
      <c r="L97" s="416"/>
      <c r="M97" s="439">
        <f>C97+E97+G97+I97</f>
        <v>4414051.43</v>
      </c>
    </row>
    <row r="98" spans="1:15">
      <c r="A98" s="440">
        <v>5120</v>
      </c>
      <c r="B98" s="429" t="s">
        <v>75</v>
      </c>
      <c r="C98" s="441">
        <v>1499004.5</v>
      </c>
      <c r="D98" s="441"/>
      <c r="E98" s="441">
        <v>1371623.88</v>
      </c>
      <c r="F98" s="441"/>
      <c r="G98" s="441">
        <v>549788.79</v>
      </c>
      <c r="H98" s="441"/>
      <c r="I98" s="441">
        <v>993634.26</v>
      </c>
      <c r="J98" s="441"/>
      <c r="K98" s="441">
        <v>4414051.43</v>
      </c>
      <c r="L98" s="442"/>
    </row>
    <row r="99" spans="1:15">
      <c r="A99" s="443">
        <v>5200</v>
      </c>
      <c r="B99" s="429" t="s">
        <v>76</v>
      </c>
      <c r="C99" s="444">
        <v>647137.93999999994</v>
      </c>
      <c r="D99" s="444">
        <v>0</v>
      </c>
      <c r="E99" s="444">
        <v>1720849.3333333333</v>
      </c>
      <c r="F99" s="444"/>
      <c r="G99" s="444">
        <v>4984660.7</v>
      </c>
      <c r="H99" s="444"/>
      <c r="I99" s="444">
        <v>12596913.526666667</v>
      </c>
      <c r="J99" s="444"/>
      <c r="K99" s="444">
        <v>19949561.5</v>
      </c>
      <c r="L99" s="444"/>
      <c r="M99" s="439">
        <f>M101+M102+M106</f>
        <v>19949561.5</v>
      </c>
      <c r="N99">
        <v>214000</v>
      </c>
      <c r="O99" s="436">
        <f>SUM(M99:N99)</f>
        <v>20163561.5</v>
      </c>
    </row>
    <row r="100" spans="1:15">
      <c r="A100" s="440">
        <v>5210</v>
      </c>
      <c r="B100" s="429" t="s">
        <v>223</v>
      </c>
      <c r="C100" s="442">
        <v>0</v>
      </c>
      <c r="D100" s="442"/>
      <c r="E100" s="442">
        <v>0</v>
      </c>
      <c r="F100" s="442"/>
      <c r="G100" s="442">
        <v>0</v>
      </c>
      <c r="H100" s="442"/>
      <c r="I100" s="442">
        <v>0</v>
      </c>
      <c r="J100" s="442"/>
      <c r="K100" s="442">
        <v>0</v>
      </c>
      <c r="L100" s="442"/>
    </row>
    <row r="101" spans="1:15">
      <c r="A101" s="440">
        <v>5220</v>
      </c>
      <c r="B101" s="429" t="s">
        <v>224</v>
      </c>
      <c r="C101" s="441">
        <v>216194.06</v>
      </c>
      <c r="D101" s="441"/>
      <c r="E101" s="441">
        <v>568156</v>
      </c>
      <c r="F101" s="441"/>
      <c r="G101" s="441">
        <v>2258504</v>
      </c>
      <c r="H101" s="441"/>
      <c r="I101" s="441">
        <v>10558030</v>
      </c>
      <c r="J101" s="441"/>
      <c r="K101" s="441">
        <v>13600884.060000001</v>
      </c>
      <c r="L101" s="442"/>
      <c r="M101" s="436">
        <f>C101+E101+G101+I101</f>
        <v>13600884.060000001</v>
      </c>
      <c r="N101" s="436"/>
    </row>
    <row r="102" spans="1:15">
      <c r="A102" s="440">
        <v>5230</v>
      </c>
      <c r="B102" s="429" t="s">
        <v>78</v>
      </c>
      <c r="C102" s="445">
        <v>430943.88</v>
      </c>
      <c r="D102" s="445">
        <v>0</v>
      </c>
      <c r="E102" s="445">
        <v>1152693.3333333333</v>
      </c>
      <c r="F102" s="445"/>
      <c r="G102" s="445">
        <v>2726156.7</v>
      </c>
      <c r="H102" s="445"/>
      <c r="I102" s="445">
        <v>2038883.5266666666</v>
      </c>
      <c r="J102" s="441"/>
      <c r="K102" s="445">
        <v>6348677.4400000004</v>
      </c>
      <c r="L102" s="442"/>
      <c r="M102" s="446">
        <f>M103+M104+M105</f>
        <v>3096875.44</v>
      </c>
    </row>
    <row r="103" spans="1:15">
      <c r="A103" s="420">
        <v>5231</v>
      </c>
      <c r="B103" s="419" t="s">
        <v>79</v>
      </c>
      <c r="C103" s="409">
        <v>0</v>
      </c>
      <c r="D103" s="409"/>
      <c r="E103" s="409">
        <v>35000</v>
      </c>
      <c r="F103" s="409"/>
      <c r="G103" s="409">
        <v>0</v>
      </c>
      <c r="H103" s="409"/>
      <c r="I103" s="409">
        <v>35000</v>
      </c>
      <c r="J103" s="409"/>
      <c r="K103" s="409">
        <v>70000</v>
      </c>
      <c r="L103" s="447"/>
      <c r="M103" s="436">
        <f t="shared" ref="M103:M106" si="1">C103+E103+G103+I103</f>
        <v>70000</v>
      </c>
    </row>
    <row r="104" spans="1:15">
      <c r="A104" s="420">
        <v>5238</v>
      </c>
      <c r="B104" s="419" t="s">
        <v>225</v>
      </c>
      <c r="C104" s="448">
        <v>41260.839999999997</v>
      </c>
      <c r="D104" s="448"/>
      <c r="E104" s="448">
        <v>174333.33333333331</v>
      </c>
      <c r="F104" s="448"/>
      <c r="G104" s="448">
        <v>659333.33333333326</v>
      </c>
      <c r="H104" s="448"/>
      <c r="I104" s="448">
        <v>194333.33333333331</v>
      </c>
      <c r="J104" s="408"/>
      <c r="K104" s="448">
        <v>1069260.8399999999</v>
      </c>
      <c r="L104" s="409"/>
      <c r="M104" s="436">
        <f>C104+E104+G104+I104</f>
        <v>1069260.8399999999</v>
      </c>
    </row>
    <row r="105" spans="1:15">
      <c r="A105" s="449">
        <v>5239</v>
      </c>
      <c r="B105" s="450" t="s">
        <v>81</v>
      </c>
      <c r="C105" s="408">
        <v>35881.040000000001</v>
      </c>
      <c r="D105" s="408"/>
      <c r="E105" s="408">
        <v>96000</v>
      </c>
      <c r="F105" s="408"/>
      <c r="G105" s="408">
        <v>521823.3666666667</v>
      </c>
      <c r="H105" s="408"/>
      <c r="I105" s="408">
        <v>1303910.1933333334</v>
      </c>
      <c r="J105" s="408"/>
      <c r="K105" s="408">
        <v>1957614.6</v>
      </c>
      <c r="L105" s="409"/>
      <c r="M105" s="436">
        <f t="shared" si="1"/>
        <v>1957614.6</v>
      </c>
    </row>
    <row r="106" spans="1:15">
      <c r="A106" s="451">
        <v>5250</v>
      </c>
      <c r="B106" s="452" t="s">
        <v>83</v>
      </c>
      <c r="C106" s="453">
        <v>353802</v>
      </c>
      <c r="D106" s="453"/>
      <c r="E106" s="453">
        <v>847360</v>
      </c>
      <c r="F106" s="453"/>
      <c r="G106" s="453">
        <v>1545000</v>
      </c>
      <c r="H106" s="453"/>
      <c r="I106" s="453">
        <v>505640</v>
      </c>
      <c r="J106" s="453"/>
      <c r="K106" s="453">
        <v>3251802</v>
      </c>
      <c r="L106" s="391"/>
      <c r="M106" s="439">
        <f t="shared" si="1"/>
        <v>3251802</v>
      </c>
    </row>
    <row r="107" spans="1:15">
      <c r="A107" s="454"/>
      <c r="B107" s="455" t="s">
        <v>200</v>
      </c>
      <c r="C107" s="456">
        <v>265200.6400000006</v>
      </c>
      <c r="D107" s="456"/>
      <c r="E107" s="456">
        <v>-988819.45000000298</v>
      </c>
      <c r="F107" s="456"/>
      <c r="G107" s="456">
        <v>936501.50999999978</v>
      </c>
      <c r="H107" s="456"/>
      <c r="I107" s="456">
        <v>-960294.19999999553</v>
      </c>
      <c r="J107" s="456"/>
      <c r="K107" s="456">
        <v>-747411.49999999814</v>
      </c>
      <c r="L107" s="456"/>
    </row>
    <row r="108" spans="1:15">
      <c r="A108" s="454"/>
      <c r="B108" s="457" t="s">
        <v>85</v>
      </c>
      <c r="C108" s="458">
        <v>265200.6400000006</v>
      </c>
      <c r="D108" s="458"/>
      <c r="E108" s="458">
        <v>-988819.45000000298</v>
      </c>
      <c r="F108" s="458"/>
      <c r="G108" s="458">
        <v>936501.50999999978</v>
      </c>
      <c r="H108" s="458"/>
      <c r="I108" s="458">
        <v>-960294.19999999553</v>
      </c>
      <c r="J108" s="458"/>
      <c r="K108" s="458">
        <v>-747411.49999999814</v>
      </c>
      <c r="L108" s="458"/>
    </row>
    <row r="109" spans="1:15">
      <c r="A109" s="454"/>
      <c r="B109" s="457" t="s">
        <v>86</v>
      </c>
      <c r="C109" s="458">
        <v>340176.73</v>
      </c>
      <c r="D109" s="458"/>
      <c r="E109" s="459">
        <v>605377.37000000058</v>
      </c>
      <c r="F109" s="458"/>
      <c r="G109" s="459">
        <v>-383442.0800000024</v>
      </c>
      <c r="H109" s="459"/>
      <c r="I109" s="459">
        <v>553059.42999999737</v>
      </c>
      <c r="J109" s="459"/>
      <c r="K109" s="458">
        <v>340176.73</v>
      </c>
      <c r="L109" s="458"/>
    </row>
    <row r="110" spans="1:15">
      <c r="A110" s="454"/>
      <c r="B110" s="457" t="s">
        <v>87</v>
      </c>
      <c r="C110" s="459">
        <v>605377.37000000058</v>
      </c>
      <c r="D110" s="458"/>
      <c r="E110" s="459">
        <v>-383442.0800000024</v>
      </c>
      <c r="F110" s="458"/>
      <c r="G110" s="459">
        <v>553059.42999999737</v>
      </c>
      <c r="H110" s="459"/>
      <c r="I110" s="459">
        <v>-407234.76999999816</v>
      </c>
      <c r="J110" s="459"/>
      <c r="K110" s="458">
        <v>-407234.76999999816</v>
      </c>
      <c r="L110" s="458"/>
    </row>
    <row r="111" spans="1:15">
      <c r="A111" s="223"/>
      <c r="B111" s="460" t="s">
        <v>163</v>
      </c>
      <c r="C111" s="330"/>
      <c r="D111" s="330"/>
      <c r="E111" s="330"/>
      <c r="F111" s="330"/>
      <c r="G111" s="330"/>
      <c r="H111" s="330"/>
      <c r="I111" s="330"/>
      <c r="J111" s="330"/>
      <c r="K111" s="330"/>
      <c r="L111" s="330"/>
    </row>
    <row r="112" spans="1:15">
      <c r="A112" s="225"/>
      <c r="B112" s="226" t="s">
        <v>89</v>
      </c>
      <c r="C112" s="461">
        <v>9612207.1300000008</v>
      </c>
      <c r="D112" s="462">
        <v>0</v>
      </c>
      <c r="E112" s="461">
        <v>9947113.3733333293</v>
      </c>
      <c r="F112" s="461">
        <v>0</v>
      </c>
      <c r="G112" s="461">
        <v>13195872.59</v>
      </c>
      <c r="H112" s="461">
        <v>0</v>
      </c>
      <c r="I112" s="461">
        <v>20631385.966666669</v>
      </c>
      <c r="J112" s="461">
        <v>0</v>
      </c>
      <c r="K112" s="462">
        <v>53386579.060000002</v>
      </c>
      <c r="L112" s="462"/>
    </row>
    <row r="113" spans="1:15">
      <c r="A113" s="228"/>
      <c r="B113" s="229" t="s">
        <v>90</v>
      </c>
      <c r="C113" s="331">
        <v>9000000</v>
      </c>
      <c r="D113" s="331">
        <v>0</v>
      </c>
      <c r="E113" s="331">
        <v>8100000</v>
      </c>
      <c r="F113" s="331">
        <v>0</v>
      </c>
      <c r="G113" s="331">
        <v>8100000</v>
      </c>
      <c r="H113" s="331">
        <v>0</v>
      </c>
      <c r="I113" s="331">
        <v>7869907</v>
      </c>
      <c r="J113" s="331">
        <v>0</v>
      </c>
      <c r="K113" s="409">
        <v>33069907</v>
      </c>
      <c r="L113" s="409"/>
    </row>
    <row r="114" spans="1:15">
      <c r="A114" s="228"/>
      <c r="B114" s="229" t="s">
        <v>207</v>
      </c>
      <c r="C114" s="331">
        <v>0</v>
      </c>
      <c r="D114" s="331">
        <v>0</v>
      </c>
      <c r="E114" s="331">
        <v>0</v>
      </c>
      <c r="F114" s="331">
        <v>0</v>
      </c>
      <c r="G114" s="331">
        <v>0</v>
      </c>
      <c r="H114" s="331">
        <v>0</v>
      </c>
      <c r="I114" s="331">
        <v>0</v>
      </c>
      <c r="J114" s="331">
        <v>0</v>
      </c>
      <c r="K114" s="409">
        <v>0</v>
      </c>
      <c r="L114" s="409"/>
    </row>
    <row r="115" spans="1:15">
      <c r="A115" s="228"/>
      <c r="B115" s="229" t="s">
        <v>208</v>
      </c>
      <c r="C115" s="331">
        <v>323802</v>
      </c>
      <c r="D115" s="331">
        <v>0</v>
      </c>
      <c r="E115" s="331">
        <v>0</v>
      </c>
      <c r="F115" s="331">
        <v>0</v>
      </c>
      <c r="G115" s="331">
        <v>0</v>
      </c>
      <c r="H115" s="331">
        <v>0</v>
      </c>
      <c r="I115" s="331">
        <v>0</v>
      </c>
      <c r="J115" s="331">
        <v>0</v>
      </c>
      <c r="K115" s="409">
        <v>323802</v>
      </c>
      <c r="L115" s="409"/>
    </row>
    <row r="116" spans="1:15">
      <c r="A116" s="228"/>
      <c r="B116" s="229" t="s">
        <v>91</v>
      </c>
      <c r="C116" s="331">
        <v>288405.13000000006</v>
      </c>
      <c r="D116" s="331">
        <v>0</v>
      </c>
      <c r="E116" s="331">
        <v>232264.04</v>
      </c>
      <c r="F116" s="331">
        <v>0</v>
      </c>
      <c r="G116" s="331">
        <v>259468.59000000003</v>
      </c>
      <c r="H116" s="331">
        <v>0</v>
      </c>
      <c r="I116" s="331">
        <v>251342.3</v>
      </c>
      <c r="J116" s="331">
        <v>0</v>
      </c>
      <c r="K116" s="409">
        <v>1031480.06</v>
      </c>
      <c r="L116" s="409"/>
    </row>
    <row r="117" spans="1:15">
      <c r="A117" s="230"/>
      <c r="B117" s="231" t="s">
        <v>92</v>
      </c>
      <c r="C117" s="463">
        <v>9347006.4900000002</v>
      </c>
      <c r="D117" s="463">
        <v>0</v>
      </c>
      <c r="E117" s="463">
        <v>10935932.823333332</v>
      </c>
      <c r="F117" s="463">
        <v>0</v>
      </c>
      <c r="G117" s="463">
        <v>12259371.08</v>
      </c>
      <c r="H117" s="463">
        <v>0</v>
      </c>
      <c r="I117" s="463">
        <v>21591680.166666664</v>
      </c>
      <c r="J117" s="463">
        <v>0</v>
      </c>
      <c r="K117" s="464">
        <v>54133990.559999995</v>
      </c>
      <c r="L117" s="464"/>
      <c r="N117" s="382"/>
      <c r="O117" s="382"/>
    </row>
    <row r="118" spans="1:15">
      <c r="A118" s="233"/>
      <c r="B118" s="128" t="s">
        <v>93</v>
      </c>
      <c r="C118" s="465">
        <v>530</v>
      </c>
      <c r="D118" s="465"/>
      <c r="E118" s="465">
        <v>534</v>
      </c>
      <c r="F118" s="465"/>
      <c r="G118" s="465">
        <v>535</v>
      </c>
      <c r="H118" s="465"/>
      <c r="I118" s="465">
        <v>535</v>
      </c>
      <c r="J118" s="466"/>
      <c r="K118" s="465">
        <v>533.5</v>
      </c>
      <c r="L118" s="465"/>
    </row>
    <row r="119" spans="1:15">
      <c r="A119" s="233"/>
      <c r="B119" s="128" t="s">
        <v>226</v>
      </c>
      <c r="C119" s="465">
        <v>560</v>
      </c>
      <c r="D119" s="465"/>
      <c r="E119" s="465">
        <v>564</v>
      </c>
      <c r="F119" s="465"/>
      <c r="G119" s="465">
        <v>564</v>
      </c>
      <c r="H119" s="465"/>
      <c r="I119" s="465">
        <v>564</v>
      </c>
      <c r="J119" s="466"/>
      <c r="K119" s="465">
        <v>563</v>
      </c>
      <c r="L119" s="465"/>
    </row>
    <row r="120" spans="1:15">
      <c r="A120" s="467"/>
      <c r="B120" s="468" t="s">
        <v>227</v>
      </c>
      <c r="C120" s="465">
        <v>29</v>
      </c>
      <c r="D120" s="465"/>
      <c r="E120" s="465">
        <v>29</v>
      </c>
      <c r="F120" s="465"/>
      <c r="G120" s="465">
        <v>30</v>
      </c>
      <c r="H120" s="465"/>
      <c r="I120" s="465">
        <v>30</v>
      </c>
      <c r="J120" s="465"/>
      <c r="K120" s="465">
        <v>29.5</v>
      </c>
      <c r="L120" s="465"/>
    </row>
    <row r="121" spans="1:15">
      <c r="A121" s="469"/>
      <c r="B121" s="470"/>
      <c r="C121" s="471"/>
      <c r="D121" s="471"/>
      <c r="E121" s="472"/>
      <c r="F121" s="472"/>
      <c r="G121" s="472"/>
      <c r="H121" s="472"/>
      <c r="I121" s="472"/>
      <c r="J121" s="472"/>
      <c r="K121" s="472"/>
      <c r="L121" s="472"/>
    </row>
    <row r="122" spans="1:15">
      <c r="A122" s="368"/>
      <c r="B122" s="369"/>
      <c r="C122" s="365"/>
      <c r="D122" s="365"/>
      <c r="E122" s="365"/>
      <c r="F122" s="365"/>
      <c r="G122" s="365"/>
      <c r="H122" s="365"/>
      <c r="I122" s="365"/>
      <c r="J122" s="365"/>
      <c r="K122" s="365"/>
      <c r="L122" s="365"/>
    </row>
    <row r="123" spans="1:15">
      <c r="A123" s="368"/>
      <c r="B123" s="369"/>
      <c r="C123" s="365"/>
      <c r="D123" s="365"/>
      <c r="E123" s="365"/>
      <c r="F123" s="365"/>
      <c r="G123" s="365"/>
      <c r="H123" s="365"/>
      <c r="I123" s="365"/>
      <c r="J123" s="365"/>
      <c r="K123" s="365"/>
      <c r="L123" s="365"/>
    </row>
    <row r="124" spans="1:15">
      <c r="A124" s="473" t="s">
        <v>228</v>
      </c>
      <c r="B124" s="369"/>
      <c r="C124" s="365"/>
      <c r="D124" s="365"/>
      <c r="E124" s="365"/>
      <c r="F124" s="365"/>
      <c r="G124" s="365"/>
      <c r="H124" s="365"/>
      <c r="I124" s="365"/>
      <c r="J124" s="365"/>
      <c r="K124" s="365"/>
      <c r="L124" s="365"/>
    </row>
    <row r="125" spans="1:15">
      <c r="A125" s="473" t="s">
        <v>229</v>
      </c>
      <c r="B125" s="369"/>
      <c r="C125" s="365"/>
      <c r="D125" s="365"/>
      <c r="E125" s="365"/>
      <c r="F125" s="365"/>
      <c r="G125" s="365"/>
      <c r="H125" s="365"/>
      <c r="I125" s="365"/>
      <c r="J125" s="365"/>
      <c r="K125" s="365"/>
      <c r="L125" s="365"/>
    </row>
    <row r="126" spans="1:15">
      <c r="A126" s="129"/>
      <c r="B126" s="369"/>
      <c r="C126" s="365"/>
      <c r="D126" s="365"/>
      <c r="E126" s="365"/>
      <c r="F126" s="365"/>
      <c r="G126" s="365"/>
      <c r="H126" s="365"/>
      <c r="I126" s="365"/>
      <c r="J126" s="365"/>
      <c r="K126" s="365"/>
      <c r="L126" s="365"/>
    </row>
    <row r="127" spans="1:15">
      <c r="A127" s="474" t="s">
        <v>230</v>
      </c>
      <c r="B127" s="369"/>
      <c r="C127" s="365"/>
      <c r="D127" s="365"/>
      <c r="E127" s="365"/>
      <c r="F127" s="365"/>
      <c r="G127" s="365"/>
      <c r="H127" s="365"/>
      <c r="I127" s="365"/>
      <c r="J127" s="365"/>
      <c r="K127" s="365"/>
      <c r="L127" s="365"/>
    </row>
    <row r="128" spans="1:15">
      <c r="A128" s="474" t="s">
        <v>231</v>
      </c>
      <c r="B128" s="369"/>
      <c r="C128" s="365"/>
      <c r="D128" s="365"/>
      <c r="E128" s="365"/>
      <c r="F128" s="365"/>
      <c r="G128" s="365"/>
      <c r="H128" s="365"/>
      <c r="I128" s="365"/>
      <c r="J128" s="365"/>
      <c r="K128" s="365"/>
      <c r="L128" s="365"/>
    </row>
  </sheetData>
  <mergeCells count="11">
    <mergeCell ref="K7:L7"/>
    <mergeCell ref="A1:B1"/>
    <mergeCell ref="A2:B2"/>
    <mergeCell ref="A4:K4"/>
    <mergeCell ref="A5:J5"/>
    <mergeCell ref="A7:A8"/>
    <mergeCell ref="B7:B8"/>
    <mergeCell ref="C7:D7"/>
    <mergeCell ref="E7:F7"/>
    <mergeCell ref="G7:H7"/>
    <mergeCell ref="I7:J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BE849-2E74-4AB2-86E4-2E449E83EDCE}">
  <sheetPr>
    <tabColor theme="7" tint="0.79998168889431442"/>
  </sheetPr>
  <dimension ref="A1:AJ143"/>
  <sheetViews>
    <sheetView topLeftCell="A2" zoomScale="90" zoomScaleNormal="90" workbookViewId="0">
      <selection activeCell="AN25" sqref="AN25"/>
    </sheetView>
  </sheetViews>
  <sheetFormatPr defaultColWidth="11.453125" defaultRowHeight="14" outlineLevelCol="3"/>
  <cols>
    <col min="1" max="1" width="9.453125" style="64" customWidth="1"/>
    <col min="2" max="2" width="59.81640625" style="12" customWidth="1"/>
    <col min="3" max="3" width="13.26953125" style="9" hidden="1" customWidth="1" outlineLevel="3"/>
    <col min="4" max="4" width="13.453125" style="7" hidden="1" customWidth="1" outlineLevel="3"/>
    <col min="5" max="5" width="7.81640625" style="7" hidden="1" customWidth="1" outlineLevel="3"/>
    <col min="6" max="6" width="13.81640625" style="7" hidden="1" customWidth="1" outlineLevel="3"/>
    <col min="7" max="7" width="8.1796875" style="7" hidden="1" customWidth="1" outlineLevel="3"/>
    <col min="8" max="8" width="13.81640625" style="7" hidden="1" customWidth="1" outlineLevel="3"/>
    <col min="9" max="9" width="8.1796875" style="7" hidden="1" customWidth="1" outlineLevel="3"/>
    <col min="10" max="10" width="14.1796875" style="9" hidden="1" customWidth="1" outlineLevel="2" collapsed="1"/>
    <col min="11" max="11" width="14.7265625" style="8" hidden="1" customWidth="1" outlineLevel="2"/>
    <col min="12" max="12" width="7.54296875" style="7" hidden="1" customWidth="1" outlineLevel="2"/>
    <col min="13" max="13" width="14.453125" style="8" hidden="1" customWidth="1" outlineLevel="2"/>
    <col min="14" max="14" width="8.1796875" style="7" hidden="1" customWidth="1" outlineLevel="2"/>
    <col min="15" max="15" width="13.7265625" style="8" hidden="1" customWidth="1" outlineLevel="2"/>
    <col min="16" max="16" width="8.453125" style="7" hidden="1" customWidth="1" outlineLevel="2"/>
    <col min="17" max="17" width="15.81640625" style="9" hidden="1" customWidth="1" outlineLevel="1" collapsed="1"/>
    <col min="18" max="18" width="13.26953125" style="7" hidden="1" customWidth="1" outlineLevel="1"/>
    <col min="19" max="19" width="8" style="7" hidden="1" customWidth="1" outlineLevel="1"/>
    <col min="20" max="20" width="13.453125" style="7" hidden="1" customWidth="1" outlineLevel="1"/>
    <col min="21" max="21" width="7.81640625" style="7" hidden="1" customWidth="1" outlineLevel="1"/>
    <col min="22" max="22" width="13.81640625" style="7" hidden="1" customWidth="1" outlineLevel="1"/>
    <col min="23" max="23" width="7.7265625" style="7" hidden="1" customWidth="1" outlineLevel="1"/>
    <col min="24" max="24" width="14.1796875" style="9" hidden="1" customWidth="1" outlineLevel="1" collapsed="1"/>
    <col min="25" max="25" width="14.1796875" style="7" hidden="1" customWidth="1" outlineLevel="1"/>
    <col min="26" max="26" width="8.1796875" style="7" hidden="1" customWidth="1" outlineLevel="1"/>
    <col min="27" max="27" width="14.453125" style="7" hidden="1" customWidth="1" outlineLevel="1"/>
    <col min="28" max="28" width="8.81640625" style="7" hidden="1" customWidth="1" outlineLevel="1"/>
    <col min="29" max="29" width="15.81640625" style="7" hidden="1" customWidth="1" outlineLevel="1"/>
    <col min="30" max="30" width="7.81640625" style="7" customWidth="1" collapsed="1"/>
    <col min="31" max="31" width="14.7265625" style="67" customWidth="1"/>
    <col min="32" max="32" width="12.1796875" style="9" hidden="1" customWidth="1"/>
    <col min="33" max="33" width="20.1796875" style="9" hidden="1" customWidth="1"/>
    <col min="34" max="34" width="17.54296875" style="10" hidden="1" customWidth="1"/>
    <col min="35" max="35" width="14.26953125" style="10" bestFit="1" customWidth="1"/>
    <col min="36" max="16384" width="11.453125" style="10"/>
  </cols>
  <sheetData>
    <row r="1" spans="1:36" hidden="1">
      <c r="A1" s="5"/>
      <c r="B1" s="6"/>
      <c r="AE1" s="697" t="s">
        <v>0</v>
      </c>
      <c r="AF1" s="697"/>
    </row>
    <row r="2" spans="1:36">
      <c r="A2" s="698" t="s">
        <v>1</v>
      </c>
      <c r="B2" s="698"/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8"/>
      <c r="T2" s="698"/>
      <c r="U2" s="698"/>
      <c r="V2" s="698"/>
      <c r="W2" s="698"/>
      <c r="X2" s="698"/>
      <c r="Y2" s="698"/>
      <c r="Z2" s="698"/>
      <c r="AA2" s="698"/>
      <c r="AB2" s="698"/>
      <c r="AC2" s="698"/>
      <c r="AD2" s="698"/>
      <c r="AE2" s="698"/>
      <c r="AF2" s="698"/>
      <c r="AG2" s="65"/>
    </row>
    <row r="3" spans="1:36" ht="14.5">
      <c r="A3" s="698" t="s">
        <v>150</v>
      </c>
      <c r="B3" s="698"/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  <c r="P3" s="698"/>
      <c r="Q3" s="698"/>
      <c r="R3" s="698"/>
      <c r="S3" s="698"/>
      <c r="T3" s="698"/>
      <c r="U3" s="698"/>
      <c r="V3" s="698"/>
      <c r="W3" s="698"/>
      <c r="X3" s="698"/>
      <c r="Y3" s="698"/>
      <c r="Z3" s="698"/>
      <c r="AA3" s="698"/>
      <c r="AB3" s="698"/>
      <c r="AC3" s="698"/>
      <c r="AD3" s="698"/>
      <c r="AE3" s="698"/>
      <c r="AF3" s="698"/>
      <c r="AG3" s="11"/>
      <c r="AI3"/>
    </row>
    <row r="4" spans="1:36" s="362" customFormat="1" ht="13" customHeight="1">
      <c r="A4" s="355"/>
      <c r="B4" s="356"/>
      <c r="C4" s="357">
        <f>C9-C16</f>
        <v>150000</v>
      </c>
      <c r="D4" s="358">
        <f>D9-D16</f>
        <v>83543</v>
      </c>
      <c r="E4" s="358"/>
      <c r="F4" s="358">
        <f>F9-F16</f>
        <v>66457</v>
      </c>
      <c r="G4" s="358"/>
      <c r="H4" s="358">
        <f>H9-H16</f>
        <v>0</v>
      </c>
      <c r="I4" s="359"/>
      <c r="J4" s="360">
        <f>J9-J16</f>
        <v>388320</v>
      </c>
      <c r="K4" s="358">
        <f>K9-K16</f>
        <v>138987</v>
      </c>
      <c r="L4" s="359"/>
      <c r="M4" s="358">
        <f>M9-M16</f>
        <v>164013</v>
      </c>
      <c r="N4" s="359"/>
      <c r="O4" s="358">
        <f>O9-O16</f>
        <v>85320</v>
      </c>
      <c r="P4" s="359"/>
      <c r="Q4" s="357">
        <f>Q9-Q16</f>
        <v>24068</v>
      </c>
      <c r="R4" s="358">
        <f>R9-R16</f>
        <v>4068</v>
      </c>
      <c r="S4" s="358"/>
      <c r="T4" s="358">
        <f>T9-T16</f>
        <v>20000</v>
      </c>
      <c r="U4" s="358"/>
      <c r="V4" s="358">
        <f>V9-V16</f>
        <v>0</v>
      </c>
      <c r="W4" s="358">
        <f>W9-W16</f>
        <v>0</v>
      </c>
      <c r="X4" s="357">
        <f>X9-X16</f>
        <v>-59388</v>
      </c>
      <c r="Y4" s="358">
        <f>Y9-Y16</f>
        <v>-64529</v>
      </c>
      <c r="Z4" s="358"/>
      <c r="AA4" s="358">
        <f>AA9-AA16</f>
        <v>26069</v>
      </c>
      <c r="AB4" s="358"/>
      <c r="AC4" s="358">
        <f>AC9-AC16</f>
        <v>-20928</v>
      </c>
      <c r="AD4" s="358"/>
      <c r="AE4" s="357">
        <f>AE9-AE16</f>
        <v>503000</v>
      </c>
      <c r="AF4" s="359"/>
      <c r="AG4" s="361"/>
      <c r="AI4" s="363"/>
      <c r="AJ4" s="364"/>
    </row>
    <row r="5" spans="1:36" s="12" customFormat="1" ht="27.75" customHeight="1">
      <c r="A5" s="699" t="s">
        <v>2</v>
      </c>
      <c r="B5" s="701"/>
      <c r="C5" s="703" t="s">
        <v>3</v>
      </c>
      <c r="D5" s="703"/>
      <c r="E5" s="703"/>
      <c r="F5" s="703"/>
      <c r="G5" s="703"/>
      <c r="H5" s="703"/>
      <c r="I5" s="703"/>
      <c r="J5" s="703" t="s">
        <v>4</v>
      </c>
      <c r="K5" s="703"/>
      <c r="L5" s="703"/>
      <c r="M5" s="703"/>
      <c r="N5" s="703"/>
      <c r="O5" s="703"/>
      <c r="P5" s="703"/>
      <c r="Q5" s="703" t="s">
        <v>5</v>
      </c>
      <c r="R5" s="703"/>
      <c r="S5" s="703"/>
      <c r="T5" s="703"/>
      <c r="U5" s="703"/>
      <c r="V5" s="703"/>
      <c r="W5" s="703"/>
      <c r="X5" s="703" t="s">
        <v>6</v>
      </c>
      <c r="Y5" s="703"/>
      <c r="Z5" s="703"/>
      <c r="AA5" s="703"/>
      <c r="AB5" s="703"/>
      <c r="AC5" s="703"/>
      <c r="AD5" s="703"/>
      <c r="AE5" s="703" t="s">
        <v>201</v>
      </c>
      <c r="AF5" s="703"/>
      <c r="AG5" s="696" t="s">
        <v>7</v>
      </c>
      <c r="AH5" s="696"/>
      <c r="AI5"/>
    </row>
    <row r="6" spans="1:36" s="12" customFormat="1" ht="14.5" hidden="1">
      <c r="A6" s="700"/>
      <c r="B6" s="702"/>
      <c r="C6" s="13" t="s">
        <v>8</v>
      </c>
      <c r="D6" s="110" t="s">
        <v>8</v>
      </c>
      <c r="E6" s="20" t="s">
        <v>9</v>
      </c>
      <c r="F6" s="21" t="s">
        <v>8</v>
      </c>
      <c r="G6" s="22" t="s">
        <v>9</v>
      </c>
      <c r="H6" s="21" t="s">
        <v>8</v>
      </c>
      <c r="I6" s="23" t="s">
        <v>9</v>
      </c>
      <c r="J6" s="13" t="s">
        <v>8</v>
      </c>
      <c r="K6" s="14" t="s">
        <v>8</v>
      </c>
      <c r="L6" s="20" t="s">
        <v>9</v>
      </c>
      <c r="M6" s="16" t="s">
        <v>8</v>
      </c>
      <c r="N6" s="22" t="s">
        <v>9</v>
      </c>
      <c r="O6" s="16" t="s">
        <v>8</v>
      </c>
      <c r="P6" s="23" t="s">
        <v>9</v>
      </c>
      <c r="Q6" s="13" t="s">
        <v>8</v>
      </c>
      <c r="R6" s="14" t="s">
        <v>8</v>
      </c>
      <c r="S6" s="15" t="s">
        <v>9</v>
      </c>
      <c r="T6" s="16" t="s">
        <v>8</v>
      </c>
      <c r="U6" s="17" t="s">
        <v>9</v>
      </c>
      <c r="V6" s="16" t="s">
        <v>8</v>
      </c>
      <c r="W6" s="18" t="s">
        <v>9</v>
      </c>
      <c r="X6" s="13" t="s">
        <v>8</v>
      </c>
      <c r="Y6" s="19" t="s">
        <v>8</v>
      </c>
      <c r="Z6" s="20" t="s">
        <v>9</v>
      </c>
      <c r="AA6" s="21" t="s">
        <v>8</v>
      </c>
      <c r="AB6" s="22" t="s">
        <v>9</v>
      </c>
      <c r="AC6" s="21" t="s">
        <v>8</v>
      </c>
      <c r="AD6" s="23" t="s">
        <v>9</v>
      </c>
      <c r="AE6" s="111" t="s">
        <v>8</v>
      </c>
      <c r="AF6" s="112" t="s">
        <v>9</v>
      </c>
      <c r="AG6" s="113" t="s">
        <v>8</v>
      </c>
      <c r="AH6" s="114" t="s">
        <v>9</v>
      </c>
      <c r="AI6"/>
    </row>
    <row r="7" spans="1:36" s="12" customFormat="1" ht="37.5" customHeight="1">
      <c r="A7" s="76"/>
      <c r="B7" s="77"/>
      <c r="C7" s="3" t="s">
        <v>10</v>
      </c>
      <c r="D7" s="3" t="s">
        <v>133</v>
      </c>
      <c r="E7" s="3" t="s">
        <v>10</v>
      </c>
      <c r="F7" s="3" t="s">
        <v>134</v>
      </c>
      <c r="G7" s="3" t="s">
        <v>10</v>
      </c>
      <c r="H7" s="3" t="s">
        <v>135</v>
      </c>
      <c r="I7" s="3" t="s">
        <v>10</v>
      </c>
      <c r="J7" s="3" t="s">
        <v>10</v>
      </c>
      <c r="K7" s="78" t="s">
        <v>136</v>
      </c>
      <c r="L7" s="3" t="s">
        <v>10</v>
      </c>
      <c r="M7" s="78" t="s">
        <v>137</v>
      </c>
      <c r="N7" s="3" t="s">
        <v>10</v>
      </c>
      <c r="O7" s="78" t="s">
        <v>138</v>
      </c>
      <c r="P7" s="3" t="s">
        <v>10</v>
      </c>
      <c r="Q7" s="3" t="s">
        <v>10</v>
      </c>
      <c r="R7" s="78" t="s">
        <v>139</v>
      </c>
      <c r="S7" s="3" t="s">
        <v>10</v>
      </c>
      <c r="T7" s="78" t="s">
        <v>140</v>
      </c>
      <c r="U7" s="3" t="s">
        <v>10</v>
      </c>
      <c r="V7" s="78" t="s">
        <v>141</v>
      </c>
      <c r="W7" s="3" t="s">
        <v>10</v>
      </c>
      <c r="X7" s="3" t="s">
        <v>10</v>
      </c>
      <c r="Y7" s="78" t="s">
        <v>142</v>
      </c>
      <c r="Z7" s="3" t="s">
        <v>10</v>
      </c>
      <c r="AA7" s="78" t="s">
        <v>143</v>
      </c>
      <c r="AB7" s="3" t="s">
        <v>10</v>
      </c>
      <c r="AC7" s="78" t="s">
        <v>144</v>
      </c>
      <c r="AD7" s="3" t="s">
        <v>10</v>
      </c>
      <c r="AE7" s="4" t="s">
        <v>10</v>
      </c>
      <c r="AF7" s="3" t="s">
        <v>10</v>
      </c>
      <c r="AG7" s="1" t="s">
        <v>10</v>
      </c>
      <c r="AH7" s="2" t="s">
        <v>10</v>
      </c>
      <c r="AI7"/>
    </row>
    <row r="8" spans="1:36" s="12" customFormat="1">
      <c r="A8" s="79"/>
      <c r="B8" s="80" t="s">
        <v>11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25"/>
      <c r="AF8" s="24"/>
      <c r="AG8" s="24"/>
      <c r="AH8" s="24"/>
    </row>
    <row r="9" spans="1:36" s="12" customFormat="1">
      <c r="A9" s="115"/>
      <c r="B9" s="116" t="s">
        <v>12</v>
      </c>
      <c r="C9" s="26">
        <f>C10+C11+C12</f>
        <v>4086681</v>
      </c>
      <c r="D9" s="26">
        <f t="shared" ref="D9:I9" si="0">D10+D11+D12</f>
        <v>1429285</v>
      </c>
      <c r="E9" s="26">
        <f t="shared" si="0"/>
        <v>0</v>
      </c>
      <c r="F9" s="26">
        <f t="shared" si="0"/>
        <v>1338600</v>
      </c>
      <c r="G9" s="26">
        <f t="shared" si="0"/>
        <v>0</v>
      </c>
      <c r="H9" s="26">
        <f t="shared" si="0"/>
        <v>1318796</v>
      </c>
      <c r="I9" s="26">
        <f t="shared" si="0"/>
        <v>0</v>
      </c>
      <c r="J9" s="26">
        <f>J10+J11+J12</f>
        <v>4476886</v>
      </c>
      <c r="K9" s="26">
        <f t="shared" ref="K9:P9" si="1">K10+K11+K12</f>
        <v>1514931</v>
      </c>
      <c r="L9" s="26">
        <f t="shared" si="1"/>
        <v>0</v>
      </c>
      <c r="M9" s="26">
        <f t="shared" si="1"/>
        <v>1511220</v>
      </c>
      <c r="N9" s="26">
        <f t="shared" si="1"/>
        <v>0</v>
      </c>
      <c r="O9" s="26">
        <f t="shared" si="1"/>
        <v>1450735</v>
      </c>
      <c r="P9" s="26">
        <f t="shared" si="1"/>
        <v>0</v>
      </c>
      <c r="Q9" s="26">
        <f>Q10+Q11+Q12</f>
        <v>4112879</v>
      </c>
      <c r="R9" s="26">
        <f t="shared" ref="R9:W9" si="2">R10+R11+R12</f>
        <v>1388170</v>
      </c>
      <c r="S9" s="26">
        <f t="shared" si="2"/>
        <v>0</v>
      </c>
      <c r="T9" s="26">
        <f t="shared" si="2"/>
        <v>1307095</v>
      </c>
      <c r="U9" s="26">
        <f t="shared" si="2"/>
        <v>0</v>
      </c>
      <c r="V9" s="26">
        <f t="shared" si="2"/>
        <v>1417614</v>
      </c>
      <c r="W9" s="26">
        <f t="shared" si="2"/>
        <v>0</v>
      </c>
      <c r="X9" s="26">
        <f>X10+X11+X12</f>
        <v>4407604</v>
      </c>
      <c r="Y9" s="26">
        <f t="shared" ref="Y9:AD9" si="3">Y10+Y11+Y12</f>
        <v>1293912</v>
      </c>
      <c r="Z9" s="26">
        <f t="shared" si="3"/>
        <v>0</v>
      </c>
      <c r="AA9" s="26">
        <f t="shared" si="3"/>
        <v>1531822</v>
      </c>
      <c r="AB9" s="26">
        <f t="shared" si="3"/>
        <v>0</v>
      </c>
      <c r="AC9" s="26">
        <f t="shared" si="3"/>
        <v>1581870</v>
      </c>
      <c r="AD9" s="26">
        <f t="shared" si="3"/>
        <v>0</v>
      </c>
      <c r="AE9" s="332">
        <f>AE10+AE11+AE12</f>
        <v>17084050</v>
      </c>
      <c r="AF9" s="27"/>
      <c r="AG9" s="27"/>
      <c r="AH9" s="27"/>
      <c r="AI9" s="126"/>
      <c r="AJ9" s="126"/>
    </row>
    <row r="10" spans="1:36" s="45" customFormat="1">
      <c r="A10" s="83">
        <v>21710</v>
      </c>
      <c r="B10" s="84" t="s">
        <v>13</v>
      </c>
      <c r="C10" s="333">
        <f>D10+F10+H10</f>
        <v>3722681</v>
      </c>
      <c r="D10" s="333">
        <v>1305285</v>
      </c>
      <c r="E10" s="333"/>
      <c r="F10" s="333">
        <v>1283600</v>
      </c>
      <c r="G10" s="333"/>
      <c r="H10" s="333">
        <v>1133796</v>
      </c>
      <c r="I10" s="333"/>
      <c r="J10" s="333">
        <f>K10+M10+O10</f>
        <v>4401886</v>
      </c>
      <c r="K10" s="333">
        <v>1489931</v>
      </c>
      <c r="L10" s="333"/>
      <c r="M10" s="333">
        <v>1486220</v>
      </c>
      <c r="N10" s="333"/>
      <c r="O10" s="333">
        <f>1495735-70000</f>
        <v>1425735</v>
      </c>
      <c r="P10" s="333"/>
      <c r="Q10" s="333">
        <f>R10+T10+V10</f>
        <v>4032879</v>
      </c>
      <c r="R10" s="333">
        <v>1360930</v>
      </c>
      <c r="S10" s="333"/>
      <c r="T10" s="333">
        <f>1210283+69932</f>
        <v>1280215</v>
      </c>
      <c r="U10" s="333"/>
      <c r="V10" s="333">
        <f>1391666+68</f>
        <v>1391734</v>
      </c>
      <c r="W10" s="333"/>
      <c r="X10" s="333">
        <f>Y10+AA10+AC10</f>
        <v>4299244</v>
      </c>
      <c r="Y10" s="333">
        <v>1269792</v>
      </c>
      <c r="Z10" s="333"/>
      <c r="AA10" s="333">
        <v>1507702</v>
      </c>
      <c r="AB10" s="333"/>
      <c r="AC10" s="333">
        <v>1521750</v>
      </c>
      <c r="AD10" s="333"/>
      <c r="AE10" s="334">
        <f>C10+J10+Q10+X10</f>
        <v>16456690</v>
      </c>
      <c r="AF10" s="29"/>
      <c r="AG10" s="29"/>
      <c r="AH10" s="29"/>
      <c r="AJ10" s="8"/>
    </row>
    <row r="11" spans="1:36" s="45" customFormat="1" hidden="1">
      <c r="A11" s="83">
        <v>21499</v>
      </c>
      <c r="B11" s="84" t="s">
        <v>132</v>
      </c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>
        <f>R11+T11+V11</f>
        <v>0</v>
      </c>
      <c r="R11" s="333"/>
      <c r="S11" s="333"/>
      <c r="T11" s="333"/>
      <c r="U11" s="333"/>
      <c r="V11" s="333"/>
      <c r="W11" s="333"/>
      <c r="X11" s="333">
        <f>Y11+AA11+AC11</f>
        <v>0</v>
      </c>
      <c r="Y11" s="333"/>
      <c r="Z11" s="333"/>
      <c r="AA11" s="333"/>
      <c r="AB11" s="333"/>
      <c r="AC11" s="333"/>
      <c r="AD11" s="333"/>
      <c r="AE11" s="333">
        <f>C11+J11+Q11+X11</f>
        <v>0</v>
      </c>
      <c r="AF11" s="29"/>
      <c r="AG11" s="29"/>
      <c r="AH11" s="29"/>
    </row>
    <row r="12" spans="1:36" s="45" customFormat="1" ht="14.25" customHeight="1">
      <c r="A12" s="83" t="s">
        <v>146</v>
      </c>
      <c r="B12" s="84" t="s">
        <v>14</v>
      </c>
      <c r="C12" s="47">
        <f>SUM(C13:C15)</f>
        <v>364000</v>
      </c>
      <c r="D12" s="47">
        <f>SUM(D13:D15)</f>
        <v>124000</v>
      </c>
      <c r="E12" s="47">
        <f t="shared" ref="E12:AD12" si="4">SUM(E13:E14)</f>
        <v>0</v>
      </c>
      <c r="F12" s="47">
        <f>SUM(F13:F15)</f>
        <v>55000</v>
      </c>
      <c r="G12" s="47">
        <f t="shared" si="4"/>
        <v>0</v>
      </c>
      <c r="H12" s="47">
        <f>SUM(H13:H15)</f>
        <v>185000</v>
      </c>
      <c r="I12" s="47">
        <f t="shared" si="4"/>
        <v>0</v>
      </c>
      <c r="J12" s="47">
        <f t="shared" si="4"/>
        <v>75000</v>
      </c>
      <c r="K12" s="47">
        <f t="shared" si="4"/>
        <v>25000</v>
      </c>
      <c r="L12" s="47">
        <f t="shared" si="4"/>
        <v>0</v>
      </c>
      <c r="M12" s="47">
        <f t="shared" si="4"/>
        <v>25000</v>
      </c>
      <c r="N12" s="47">
        <f t="shared" si="4"/>
        <v>0</v>
      </c>
      <c r="O12" s="47">
        <f t="shared" si="4"/>
        <v>25000</v>
      </c>
      <c r="P12" s="47">
        <f t="shared" si="4"/>
        <v>0</v>
      </c>
      <c r="Q12" s="47">
        <f t="shared" si="4"/>
        <v>80000</v>
      </c>
      <c r="R12" s="47">
        <f t="shared" si="4"/>
        <v>27240</v>
      </c>
      <c r="S12" s="47">
        <f t="shared" si="4"/>
        <v>0</v>
      </c>
      <c r="T12" s="47">
        <f t="shared" si="4"/>
        <v>26880</v>
      </c>
      <c r="U12" s="47">
        <f t="shared" si="4"/>
        <v>0</v>
      </c>
      <c r="V12" s="47">
        <f t="shared" si="4"/>
        <v>25880</v>
      </c>
      <c r="W12" s="47">
        <f t="shared" si="4"/>
        <v>0</v>
      </c>
      <c r="X12" s="47">
        <f t="shared" si="4"/>
        <v>108360</v>
      </c>
      <c r="Y12" s="47">
        <f t="shared" si="4"/>
        <v>24120</v>
      </c>
      <c r="Z12" s="47">
        <f t="shared" si="4"/>
        <v>0</v>
      </c>
      <c r="AA12" s="47">
        <f t="shared" si="4"/>
        <v>24120</v>
      </c>
      <c r="AB12" s="47">
        <f t="shared" si="4"/>
        <v>0</v>
      </c>
      <c r="AC12" s="47">
        <f t="shared" si="4"/>
        <v>60120</v>
      </c>
      <c r="AD12" s="47">
        <f t="shared" si="4"/>
        <v>0</v>
      </c>
      <c r="AE12" s="47">
        <f>SUM(AE13:AH15)</f>
        <v>627360</v>
      </c>
      <c r="AF12" s="30"/>
      <c r="AG12" s="30"/>
      <c r="AH12" s="30"/>
    </row>
    <row r="13" spans="1:36" s="6" customFormat="1" ht="19.5" customHeight="1">
      <c r="A13" s="85">
        <v>214991</v>
      </c>
      <c r="B13" s="84" t="s">
        <v>15</v>
      </c>
      <c r="C13" s="333">
        <f>D13+F13+H13</f>
        <v>14000</v>
      </c>
      <c r="D13" s="335">
        <v>4000</v>
      </c>
      <c r="E13" s="335"/>
      <c r="F13" s="335">
        <v>5000</v>
      </c>
      <c r="G13" s="335"/>
      <c r="H13" s="335">
        <v>5000</v>
      </c>
      <c r="I13" s="335"/>
      <c r="J13" s="333">
        <f>K13+M13+O13</f>
        <v>14640</v>
      </c>
      <c r="K13" s="335">
        <v>4880</v>
      </c>
      <c r="L13" s="335"/>
      <c r="M13" s="335">
        <v>4880</v>
      </c>
      <c r="N13" s="335"/>
      <c r="O13" s="335">
        <v>4880</v>
      </c>
      <c r="P13" s="335"/>
      <c r="Q13" s="333">
        <f>R13+T13+V13</f>
        <v>20000</v>
      </c>
      <c r="R13" s="335">
        <v>7240</v>
      </c>
      <c r="S13" s="335"/>
      <c r="T13" s="335">
        <v>6880</v>
      </c>
      <c r="U13" s="335"/>
      <c r="V13" s="335">
        <v>5880</v>
      </c>
      <c r="W13" s="335"/>
      <c r="X13" s="333">
        <f>Y13+AA13+AC13</f>
        <v>11000</v>
      </c>
      <c r="Y13" s="335">
        <v>4000</v>
      </c>
      <c r="Z13" s="335"/>
      <c r="AA13" s="335">
        <v>4000</v>
      </c>
      <c r="AB13" s="335"/>
      <c r="AC13" s="335">
        <v>3000</v>
      </c>
      <c r="AD13" s="335"/>
      <c r="AE13" s="335">
        <f>C13+J13+Q13+X13</f>
        <v>59640</v>
      </c>
      <c r="AF13" s="31"/>
      <c r="AG13" s="31"/>
      <c r="AH13" s="31"/>
    </row>
    <row r="14" spans="1:36" s="45" customFormat="1" ht="19.5" customHeight="1">
      <c r="A14" s="85">
        <v>214993</v>
      </c>
      <c r="B14" s="84" t="s">
        <v>16</v>
      </c>
      <c r="C14" s="333">
        <f>D14+F14+H14</f>
        <v>200000</v>
      </c>
      <c r="D14" s="335">
        <v>120000</v>
      </c>
      <c r="E14" s="335"/>
      <c r="F14" s="335">
        <v>50000</v>
      </c>
      <c r="G14" s="335"/>
      <c r="H14" s="335">
        <v>30000</v>
      </c>
      <c r="I14" s="335"/>
      <c r="J14" s="333">
        <f>K14+M14+O14</f>
        <v>60360</v>
      </c>
      <c r="K14" s="335">
        <v>20120</v>
      </c>
      <c r="L14" s="335"/>
      <c r="M14" s="335">
        <v>20120</v>
      </c>
      <c r="N14" s="335"/>
      <c r="O14" s="335">
        <v>20120</v>
      </c>
      <c r="P14" s="335"/>
      <c r="Q14" s="333">
        <f>R14+T14+V14</f>
        <v>60000</v>
      </c>
      <c r="R14" s="335">
        <v>20000</v>
      </c>
      <c r="S14" s="335"/>
      <c r="T14" s="335">
        <v>20000</v>
      </c>
      <c r="U14" s="335"/>
      <c r="V14" s="335">
        <v>20000</v>
      </c>
      <c r="W14" s="335"/>
      <c r="X14" s="333">
        <f>Y14+AA14+AC14</f>
        <v>97360</v>
      </c>
      <c r="Y14" s="335">
        <v>20120</v>
      </c>
      <c r="Z14" s="335"/>
      <c r="AA14" s="335">
        <v>20120</v>
      </c>
      <c r="AB14" s="335"/>
      <c r="AC14" s="335">
        <v>57120</v>
      </c>
      <c r="AD14" s="335"/>
      <c r="AE14" s="335">
        <f>C14+J14+Q14+X14</f>
        <v>417720</v>
      </c>
      <c r="AF14" s="32"/>
      <c r="AG14" s="32"/>
      <c r="AH14" s="32"/>
    </row>
    <row r="15" spans="1:36" s="45" customFormat="1" ht="16.5" customHeight="1">
      <c r="A15" s="85"/>
      <c r="B15" s="84" t="s">
        <v>151</v>
      </c>
      <c r="C15" s="333">
        <f>D15+F15+H15</f>
        <v>150000</v>
      </c>
      <c r="D15" s="335"/>
      <c r="E15" s="335"/>
      <c r="F15" s="335"/>
      <c r="G15" s="335"/>
      <c r="H15" s="335">
        <v>150000</v>
      </c>
      <c r="I15" s="335"/>
      <c r="J15" s="333"/>
      <c r="K15" s="335"/>
      <c r="L15" s="335"/>
      <c r="M15" s="335"/>
      <c r="N15" s="335"/>
      <c r="O15" s="335"/>
      <c r="P15" s="335"/>
      <c r="Q15" s="333"/>
      <c r="R15" s="335"/>
      <c r="S15" s="335"/>
      <c r="T15" s="335"/>
      <c r="U15" s="335"/>
      <c r="V15" s="335"/>
      <c r="W15" s="335"/>
      <c r="X15" s="333"/>
      <c r="Y15" s="335"/>
      <c r="Z15" s="335"/>
      <c r="AA15" s="335"/>
      <c r="AB15" s="335"/>
      <c r="AC15" s="335"/>
      <c r="AD15" s="335"/>
      <c r="AE15" s="335">
        <f>C15+J15+Q15+X15</f>
        <v>150000</v>
      </c>
      <c r="AF15" s="46"/>
      <c r="AG15" s="46"/>
      <c r="AH15" s="46"/>
    </row>
    <row r="16" spans="1:36">
      <c r="A16" s="86" t="s">
        <v>147</v>
      </c>
      <c r="B16" s="82" t="s">
        <v>17</v>
      </c>
      <c r="C16" s="26">
        <f>C17+C109</f>
        <v>3936681</v>
      </c>
      <c r="D16" s="26">
        <f t="shared" ref="D16:I16" si="5">D17+D109</f>
        <v>1345742</v>
      </c>
      <c r="E16" s="26">
        <f t="shared" si="5"/>
        <v>0</v>
      </c>
      <c r="F16" s="26">
        <f t="shared" si="5"/>
        <v>1272143</v>
      </c>
      <c r="G16" s="26">
        <f t="shared" si="5"/>
        <v>0</v>
      </c>
      <c r="H16" s="26">
        <f t="shared" si="5"/>
        <v>1318796</v>
      </c>
      <c r="I16" s="26">
        <f t="shared" si="5"/>
        <v>0</v>
      </c>
      <c r="J16" s="26">
        <f>J17+J109</f>
        <v>4088566</v>
      </c>
      <c r="K16" s="26">
        <f t="shared" ref="K16:P16" si="6">K17+K109</f>
        <v>1375944</v>
      </c>
      <c r="L16" s="26">
        <f t="shared" si="6"/>
        <v>0</v>
      </c>
      <c r="M16" s="26">
        <f t="shared" si="6"/>
        <v>1347207</v>
      </c>
      <c r="N16" s="26">
        <f t="shared" si="6"/>
        <v>0</v>
      </c>
      <c r="O16" s="26">
        <f t="shared" si="6"/>
        <v>1365415</v>
      </c>
      <c r="P16" s="26">
        <f t="shared" si="6"/>
        <v>0</v>
      </c>
      <c r="Q16" s="26">
        <f>Q17+Q109</f>
        <v>4088811</v>
      </c>
      <c r="R16" s="26">
        <f t="shared" ref="R16:W16" si="7">R17+R109</f>
        <v>1384102</v>
      </c>
      <c r="S16" s="26">
        <f t="shared" si="7"/>
        <v>0</v>
      </c>
      <c r="T16" s="26">
        <f t="shared" si="7"/>
        <v>1287095</v>
      </c>
      <c r="U16" s="26">
        <f t="shared" si="7"/>
        <v>0</v>
      </c>
      <c r="V16" s="26">
        <f t="shared" si="7"/>
        <v>1417614</v>
      </c>
      <c r="W16" s="26">
        <f t="shared" si="7"/>
        <v>0</v>
      </c>
      <c r="X16" s="26">
        <f>X17+X109</f>
        <v>4466992</v>
      </c>
      <c r="Y16" s="26">
        <f t="shared" ref="Y16:AD16" si="8">Y17+Y109</f>
        <v>1358441</v>
      </c>
      <c r="Z16" s="26">
        <f t="shared" si="8"/>
        <v>0</v>
      </c>
      <c r="AA16" s="26">
        <f t="shared" si="8"/>
        <v>1505753</v>
      </c>
      <c r="AB16" s="26">
        <f t="shared" si="8"/>
        <v>0</v>
      </c>
      <c r="AC16" s="26">
        <f>AC17+AC109</f>
        <v>1602798</v>
      </c>
      <c r="AD16" s="26">
        <f t="shared" si="8"/>
        <v>0</v>
      </c>
      <c r="AE16" s="26">
        <f>AE17+AE109</f>
        <v>16581050</v>
      </c>
      <c r="AF16" s="26"/>
      <c r="AG16" s="26"/>
      <c r="AH16" s="26"/>
      <c r="AJ16" s="127"/>
    </row>
    <row r="17" spans="1:36" ht="26">
      <c r="A17" s="87" t="s">
        <v>18</v>
      </c>
      <c r="B17" s="88" t="s">
        <v>19</v>
      </c>
      <c r="C17" s="33">
        <f>C18+C106</f>
        <v>3789681</v>
      </c>
      <c r="D17" s="33">
        <f t="shared" ref="D17:I17" si="9">D18+D106</f>
        <v>1337692</v>
      </c>
      <c r="E17" s="33">
        <f t="shared" si="9"/>
        <v>0</v>
      </c>
      <c r="F17" s="33">
        <f t="shared" si="9"/>
        <v>1228343</v>
      </c>
      <c r="G17" s="33">
        <f t="shared" si="9"/>
        <v>0</v>
      </c>
      <c r="H17" s="33">
        <f t="shared" si="9"/>
        <v>1223646</v>
      </c>
      <c r="I17" s="33">
        <f t="shared" si="9"/>
        <v>0</v>
      </c>
      <c r="J17" s="33">
        <f>J18+J106</f>
        <v>4056566</v>
      </c>
      <c r="K17" s="33">
        <f t="shared" ref="K17:P17" si="10">K18+K106</f>
        <v>1365444</v>
      </c>
      <c r="L17" s="33">
        <f t="shared" si="10"/>
        <v>0</v>
      </c>
      <c r="M17" s="33">
        <f t="shared" si="10"/>
        <v>1336207</v>
      </c>
      <c r="N17" s="33">
        <f t="shared" si="10"/>
        <v>0</v>
      </c>
      <c r="O17" s="33">
        <f t="shared" si="10"/>
        <v>1354915</v>
      </c>
      <c r="P17" s="33">
        <f t="shared" si="10"/>
        <v>0</v>
      </c>
      <c r="Q17" s="33">
        <f>Q18+Q106</f>
        <v>4053811</v>
      </c>
      <c r="R17" s="33">
        <f t="shared" ref="R17:W17" si="11">R18+R106</f>
        <v>1369102</v>
      </c>
      <c r="S17" s="33">
        <f t="shared" si="11"/>
        <v>0</v>
      </c>
      <c r="T17" s="33">
        <f t="shared" si="11"/>
        <v>1273095</v>
      </c>
      <c r="U17" s="33">
        <f t="shared" si="11"/>
        <v>0</v>
      </c>
      <c r="V17" s="33">
        <f t="shared" si="11"/>
        <v>1411614</v>
      </c>
      <c r="W17" s="33">
        <f t="shared" si="11"/>
        <v>0</v>
      </c>
      <c r="X17" s="33">
        <f>X18+X106</f>
        <v>4436992</v>
      </c>
      <c r="Y17" s="33">
        <f t="shared" ref="Y17:AD17" si="12">Y18+Y106</f>
        <v>1346441</v>
      </c>
      <c r="Z17" s="33">
        <f t="shared" si="12"/>
        <v>0</v>
      </c>
      <c r="AA17" s="33">
        <f t="shared" si="12"/>
        <v>1489753</v>
      </c>
      <c r="AB17" s="33">
        <f t="shared" si="12"/>
        <v>0</v>
      </c>
      <c r="AC17" s="33">
        <f>AC18+AC106</f>
        <v>1600798</v>
      </c>
      <c r="AD17" s="33">
        <f t="shared" si="12"/>
        <v>0</v>
      </c>
      <c r="AE17" s="33">
        <f>AE18+AE106</f>
        <v>16337050</v>
      </c>
      <c r="AF17" s="33"/>
      <c r="AG17" s="33"/>
      <c r="AH17" s="33"/>
      <c r="AJ17" s="127"/>
    </row>
    <row r="18" spans="1:36">
      <c r="A18" s="87" t="s">
        <v>20</v>
      </c>
      <c r="B18" s="88" t="s">
        <v>21</v>
      </c>
      <c r="C18" s="33">
        <f>C19+C39</f>
        <v>3789681</v>
      </c>
      <c r="D18" s="33">
        <f t="shared" ref="D18:I18" si="13">D19+D39</f>
        <v>1337692</v>
      </c>
      <c r="E18" s="33">
        <f t="shared" si="13"/>
        <v>0</v>
      </c>
      <c r="F18" s="33">
        <f t="shared" si="13"/>
        <v>1228343</v>
      </c>
      <c r="G18" s="33">
        <f t="shared" si="13"/>
        <v>0</v>
      </c>
      <c r="H18" s="33">
        <f t="shared" si="13"/>
        <v>1223646</v>
      </c>
      <c r="I18" s="33">
        <f t="shared" si="13"/>
        <v>0</v>
      </c>
      <c r="J18" s="33">
        <f>J19+J39</f>
        <v>4056566</v>
      </c>
      <c r="K18" s="33">
        <f t="shared" ref="K18:P18" si="14">K19+K39</f>
        <v>1365444</v>
      </c>
      <c r="L18" s="33">
        <f t="shared" si="14"/>
        <v>0</v>
      </c>
      <c r="M18" s="33">
        <f t="shared" si="14"/>
        <v>1336207</v>
      </c>
      <c r="N18" s="33">
        <f t="shared" si="14"/>
        <v>0</v>
      </c>
      <c r="O18" s="33">
        <f t="shared" si="14"/>
        <v>1354915</v>
      </c>
      <c r="P18" s="33">
        <f t="shared" si="14"/>
        <v>0</v>
      </c>
      <c r="Q18" s="33">
        <f>Q19+Q39</f>
        <v>4053811</v>
      </c>
      <c r="R18" s="33">
        <f t="shared" ref="R18:W18" si="15">R19+R39</f>
        <v>1369102</v>
      </c>
      <c r="S18" s="33">
        <f t="shared" si="15"/>
        <v>0</v>
      </c>
      <c r="T18" s="33">
        <f t="shared" si="15"/>
        <v>1273095</v>
      </c>
      <c r="U18" s="33">
        <f t="shared" si="15"/>
        <v>0</v>
      </c>
      <c r="V18" s="33">
        <f t="shared" si="15"/>
        <v>1411614</v>
      </c>
      <c r="W18" s="33">
        <f t="shared" si="15"/>
        <v>0</v>
      </c>
      <c r="X18" s="33">
        <f>X19+X39</f>
        <v>4436992</v>
      </c>
      <c r="Y18" s="33">
        <f t="shared" ref="Y18:AD18" si="16">Y19+Y39</f>
        <v>1346441</v>
      </c>
      <c r="Z18" s="33">
        <f t="shared" si="16"/>
        <v>0</v>
      </c>
      <c r="AA18" s="33">
        <f t="shared" si="16"/>
        <v>1489753</v>
      </c>
      <c r="AB18" s="33">
        <f t="shared" si="16"/>
        <v>0</v>
      </c>
      <c r="AC18" s="33">
        <f>AC19+AC39</f>
        <v>1600798</v>
      </c>
      <c r="AD18" s="33">
        <f t="shared" si="16"/>
        <v>0</v>
      </c>
      <c r="AE18" s="33">
        <f>AE19+AE39</f>
        <v>16337050</v>
      </c>
      <c r="AF18" s="33"/>
      <c r="AG18" s="33"/>
      <c r="AH18" s="33"/>
      <c r="AJ18" s="127"/>
    </row>
    <row r="19" spans="1:36">
      <c r="A19" s="89">
        <v>1000</v>
      </c>
      <c r="B19" s="90" t="s">
        <v>22</v>
      </c>
      <c r="C19" s="34">
        <f>C20+C33</f>
        <v>2341143</v>
      </c>
      <c r="D19" s="34">
        <f t="shared" ref="D19:I19" si="17">D20+D33</f>
        <v>782247</v>
      </c>
      <c r="E19" s="34">
        <f t="shared" si="17"/>
        <v>0</v>
      </c>
      <c r="F19" s="34">
        <f t="shared" si="17"/>
        <v>768633</v>
      </c>
      <c r="G19" s="34">
        <f t="shared" si="17"/>
        <v>0</v>
      </c>
      <c r="H19" s="34">
        <f t="shared" si="17"/>
        <v>790263</v>
      </c>
      <c r="I19" s="34">
        <f t="shared" si="17"/>
        <v>0</v>
      </c>
      <c r="J19" s="34">
        <f>J20+J33</f>
        <v>2622173</v>
      </c>
      <c r="K19" s="34">
        <f t="shared" ref="K19:P19" si="18">K20+K33</f>
        <v>881344</v>
      </c>
      <c r="L19" s="34">
        <f t="shared" si="18"/>
        <v>0</v>
      </c>
      <c r="M19" s="34">
        <f t="shared" si="18"/>
        <v>861564</v>
      </c>
      <c r="N19" s="34">
        <f t="shared" si="18"/>
        <v>0</v>
      </c>
      <c r="O19" s="34">
        <f t="shared" si="18"/>
        <v>879265</v>
      </c>
      <c r="P19" s="34">
        <f t="shared" si="18"/>
        <v>0</v>
      </c>
      <c r="Q19" s="34">
        <f>Q20+Q33</f>
        <v>2658908</v>
      </c>
      <c r="R19" s="34">
        <f t="shared" ref="R19:W19" si="19">R20+R33</f>
        <v>922058</v>
      </c>
      <c r="S19" s="34">
        <f t="shared" si="19"/>
        <v>0</v>
      </c>
      <c r="T19" s="34">
        <f t="shared" si="19"/>
        <v>848398</v>
      </c>
      <c r="U19" s="34">
        <f t="shared" si="19"/>
        <v>0</v>
      </c>
      <c r="V19" s="34">
        <f t="shared" si="19"/>
        <v>888452</v>
      </c>
      <c r="W19" s="34">
        <f t="shared" si="19"/>
        <v>0</v>
      </c>
      <c r="X19" s="34">
        <f>X20+X33</f>
        <v>2787909</v>
      </c>
      <c r="Y19" s="34">
        <f t="shared" ref="Y19:AD19" si="20">Y20+Y33</f>
        <v>895667</v>
      </c>
      <c r="Z19" s="34">
        <f t="shared" si="20"/>
        <v>0</v>
      </c>
      <c r="AA19" s="34">
        <f t="shared" si="20"/>
        <v>920794</v>
      </c>
      <c r="AB19" s="34">
        <f t="shared" si="20"/>
        <v>0</v>
      </c>
      <c r="AC19" s="34">
        <f>AC20+AC33</f>
        <v>971448</v>
      </c>
      <c r="AD19" s="34">
        <f t="shared" si="20"/>
        <v>0</v>
      </c>
      <c r="AE19" s="34">
        <f>AE20+AE33</f>
        <v>10410133</v>
      </c>
      <c r="AF19" s="34"/>
      <c r="AG19" s="34"/>
      <c r="AH19" s="34"/>
      <c r="AJ19" s="127"/>
    </row>
    <row r="20" spans="1:36" ht="15.75" customHeight="1">
      <c r="A20" s="91">
        <v>1100</v>
      </c>
      <c r="B20" s="92" t="s">
        <v>23</v>
      </c>
      <c r="C20" s="336">
        <f>C21+C23+C31+C32</f>
        <v>1853878</v>
      </c>
      <c r="D20" s="336">
        <f t="shared" ref="D20:I20" si="21">D21+D23+D31+D32</f>
        <v>615847</v>
      </c>
      <c r="E20" s="336">
        <f t="shared" si="21"/>
        <v>0</v>
      </c>
      <c r="F20" s="336">
        <f t="shared" si="21"/>
        <v>618933</v>
      </c>
      <c r="G20" s="336">
        <f t="shared" si="21"/>
        <v>0</v>
      </c>
      <c r="H20" s="336">
        <f t="shared" si="21"/>
        <v>619098</v>
      </c>
      <c r="I20" s="336">
        <f t="shared" si="21"/>
        <v>0</v>
      </c>
      <c r="J20" s="336">
        <f>J21+J23+J31+J32</f>
        <v>2083535</v>
      </c>
      <c r="K20" s="336">
        <f t="shared" ref="K20:P20" si="22">K21+K23+K31+K32</f>
        <v>680436</v>
      </c>
      <c r="L20" s="336">
        <f t="shared" si="22"/>
        <v>0</v>
      </c>
      <c r="M20" s="336">
        <f t="shared" si="22"/>
        <v>695050</v>
      </c>
      <c r="N20" s="336">
        <f t="shared" si="22"/>
        <v>0</v>
      </c>
      <c r="O20" s="336">
        <f t="shared" si="22"/>
        <v>708049</v>
      </c>
      <c r="P20" s="336">
        <f t="shared" si="22"/>
        <v>0</v>
      </c>
      <c r="Q20" s="301">
        <f>Q21+Q23+Q31+Q32</f>
        <v>2120149</v>
      </c>
      <c r="R20" s="301">
        <f t="shared" ref="R20:W20" si="23">R21+R23+R31+R32</f>
        <v>716450</v>
      </c>
      <c r="S20" s="301">
        <f t="shared" si="23"/>
        <v>0</v>
      </c>
      <c r="T20" s="301">
        <f t="shared" si="23"/>
        <v>691950</v>
      </c>
      <c r="U20" s="301">
        <f t="shared" si="23"/>
        <v>0</v>
      </c>
      <c r="V20" s="301">
        <f t="shared" si="23"/>
        <v>711749</v>
      </c>
      <c r="W20" s="301">
        <f t="shared" si="23"/>
        <v>0</v>
      </c>
      <c r="X20" s="336">
        <f t="shared" ref="X20:AE20" si="24">X21+X23+X31+X32</f>
        <v>2239050</v>
      </c>
      <c r="Y20" s="336">
        <f t="shared" si="24"/>
        <v>699849</v>
      </c>
      <c r="Z20" s="336">
        <f t="shared" si="24"/>
        <v>0</v>
      </c>
      <c r="AA20" s="336">
        <f t="shared" si="24"/>
        <v>740246</v>
      </c>
      <c r="AB20" s="336">
        <f t="shared" si="24"/>
        <v>0</v>
      </c>
      <c r="AC20" s="336">
        <f t="shared" si="24"/>
        <v>798955</v>
      </c>
      <c r="AD20" s="336">
        <f t="shared" si="24"/>
        <v>0</v>
      </c>
      <c r="AE20" s="336">
        <f t="shared" si="24"/>
        <v>8296612</v>
      </c>
      <c r="AF20" s="29"/>
      <c r="AG20" s="35"/>
      <c r="AH20" s="29"/>
      <c r="AJ20" s="127"/>
    </row>
    <row r="21" spans="1:36" ht="15.75" customHeight="1">
      <c r="A21" s="93">
        <v>1110</v>
      </c>
      <c r="B21" s="92" t="s">
        <v>24</v>
      </c>
      <c r="C21" s="301">
        <f>C22</f>
        <v>1456787</v>
      </c>
      <c r="D21" s="337">
        <f t="shared" ref="D21:I21" si="25">D22</f>
        <v>485596</v>
      </c>
      <c r="E21" s="337">
        <f t="shared" si="25"/>
        <v>0</v>
      </c>
      <c r="F21" s="337">
        <f t="shared" si="25"/>
        <v>485596</v>
      </c>
      <c r="G21" s="337">
        <f t="shared" si="25"/>
        <v>0</v>
      </c>
      <c r="H21" s="337">
        <f t="shared" si="25"/>
        <v>485595</v>
      </c>
      <c r="I21" s="337">
        <f t="shared" si="25"/>
        <v>0</v>
      </c>
      <c r="J21" s="301">
        <f>J22</f>
        <v>1587682</v>
      </c>
      <c r="K21" s="337">
        <f t="shared" ref="K21:P21" si="26">K22</f>
        <v>521485</v>
      </c>
      <c r="L21" s="337">
        <f t="shared" si="26"/>
        <v>0</v>
      </c>
      <c r="M21" s="337">
        <f t="shared" si="26"/>
        <v>533099</v>
      </c>
      <c r="N21" s="337">
        <f t="shared" si="26"/>
        <v>0</v>
      </c>
      <c r="O21" s="337">
        <f t="shared" si="26"/>
        <v>533098</v>
      </c>
      <c r="P21" s="337">
        <f t="shared" si="26"/>
        <v>0</v>
      </c>
      <c r="Q21" s="301">
        <f>Q22</f>
        <v>1599296</v>
      </c>
      <c r="R21" s="337">
        <f t="shared" ref="R21:W21" si="27">R22</f>
        <v>533099</v>
      </c>
      <c r="S21" s="337">
        <f t="shared" si="27"/>
        <v>0</v>
      </c>
      <c r="T21" s="337">
        <f t="shared" si="27"/>
        <v>533099</v>
      </c>
      <c r="U21" s="337">
        <f t="shared" si="27"/>
        <v>0</v>
      </c>
      <c r="V21" s="337">
        <f t="shared" si="27"/>
        <v>533098</v>
      </c>
      <c r="W21" s="337">
        <f t="shared" si="27"/>
        <v>0</v>
      </c>
      <c r="X21" s="301">
        <f t="shared" ref="X21:AE21" si="28">X22</f>
        <v>1599296</v>
      </c>
      <c r="Y21" s="337">
        <f t="shared" si="28"/>
        <v>533099</v>
      </c>
      <c r="Z21" s="337">
        <f t="shared" si="28"/>
        <v>0</v>
      </c>
      <c r="AA21" s="337">
        <f t="shared" si="28"/>
        <v>533099</v>
      </c>
      <c r="AB21" s="337">
        <f t="shared" si="28"/>
        <v>0</v>
      </c>
      <c r="AC21" s="337">
        <f t="shared" si="28"/>
        <v>533098</v>
      </c>
      <c r="AD21" s="337">
        <f t="shared" si="28"/>
        <v>0</v>
      </c>
      <c r="AE21" s="337">
        <f t="shared" si="28"/>
        <v>6243061</v>
      </c>
      <c r="AF21" s="31"/>
      <c r="AG21" s="36"/>
      <c r="AH21" s="31"/>
      <c r="AJ21" s="127"/>
    </row>
    <row r="22" spans="1:36" s="6" customFormat="1" ht="15.75" customHeight="1">
      <c r="A22" s="94">
        <v>1119</v>
      </c>
      <c r="B22" s="95" t="s">
        <v>96</v>
      </c>
      <c r="C22" s="333">
        <f>D22+F22+H22</f>
        <v>1456787</v>
      </c>
      <c r="D22" s="335">
        <v>485596</v>
      </c>
      <c r="E22" s="335"/>
      <c r="F22" s="335">
        <v>485596</v>
      </c>
      <c r="G22" s="335"/>
      <c r="H22" s="335">
        <v>485595</v>
      </c>
      <c r="I22" s="335"/>
      <c r="J22" s="333">
        <f>K22+M22+O22</f>
        <v>1587682</v>
      </c>
      <c r="K22" s="335">
        <f>485596+35889</f>
        <v>521485</v>
      </c>
      <c r="L22" s="335"/>
      <c r="M22" s="335">
        <f>485596+47503</f>
        <v>533099</v>
      </c>
      <c r="N22" s="335"/>
      <c r="O22" s="335">
        <f>485595+47503</f>
        <v>533098</v>
      </c>
      <c r="P22" s="335"/>
      <c r="Q22" s="333">
        <f>R22+T22+V22</f>
        <v>1599296</v>
      </c>
      <c r="R22" s="338">
        <f>485596+47503</f>
        <v>533099</v>
      </c>
      <c r="S22" s="335"/>
      <c r="T22" s="338">
        <f>485596+47503</f>
        <v>533099</v>
      </c>
      <c r="U22" s="335"/>
      <c r="V22" s="338">
        <f>485595+47503</f>
        <v>533098</v>
      </c>
      <c r="W22" s="335"/>
      <c r="X22" s="333">
        <f>Y22+AA22+AC22</f>
        <v>1599296</v>
      </c>
      <c r="Y22" s="338">
        <f>485596+47503</f>
        <v>533099</v>
      </c>
      <c r="Z22" s="335"/>
      <c r="AA22" s="338">
        <f>485596+47503</f>
        <v>533099</v>
      </c>
      <c r="AB22" s="335"/>
      <c r="AC22" s="338">
        <f>485595+47503</f>
        <v>533098</v>
      </c>
      <c r="AD22" s="335"/>
      <c r="AE22" s="339">
        <f>C22+J22+Q22+X22</f>
        <v>6243061</v>
      </c>
      <c r="AF22" s="31"/>
      <c r="AG22" s="31"/>
      <c r="AH22" s="31"/>
      <c r="AJ22" s="127"/>
    </row>
    <row r="23" spans="1:36" ht="15.75" customHeight="1">
      <c r="A23" s="93">
        <v>1140</v>
      </c>
      <c r="B23" s="92" t="s">
        <v>97</v>
      </c>
      <c r="C23" s="301">
        <f>SUM(C24:C30)</f>
        <v>192891</v>
      </c>
      <c r="D23" s="337">
        <f t="shared" ref="D23:I23" si="29">SUM(D24:D30)</f>
        <v>66751</v>
      </c>
      <c r="E23" s="337">
        <f t="shared" si="29"/>
        <v>0</v>
      </c>
      <c r="F23" s="337">
        <f t="shared" si="29"/>
        <v>64270</v>
      </c>
      <c r="G23" s="337">
        <f t="shared" si="29"/>
        <v>0</v>
      </c>
      <c r="H23" s="337">
        <f t="shared" si="29"/>
        <v>61870</v>
      </c>
      <c r="I23" s="337">
        <f t="shared" si="29"/>
        <v>0</v>
      </c>
      <c r="J23" s="301">
        <f>SUM(J24:J30)</f>
        <v>273553</v>
      </c>
      <c r="K23" s="337">
        <f t="shared" ref="K23:P23" si="30">SUM(K24:K30)</f>
        <v>85851</v>
      </c>
      <c r="L23" s="337">
        <f t="shared" si="30"/>
        <v>0</v>
      </c>
      <c r="M23" s="337">
        <f>SUM(M24:M30)</f>
        <v>87851</v>
      </c>
      <c r="N23" s="337">
        <f t="shared" si="30"/>
        <v>0</v>
      </c>
      <c r="O23" s="337">
        <f>SUM(O24:O30)</f>
        <v>99851</v>
      </c>
      <c r="P23" s="337">
        <f t="shared" si="30"/>
        <v>0</v>
      </c>
      <c r="Q23" s="301">
        <f>SUM(Q24:Q30)</f>
        <v>311353</v>
      </c>
      <c r="R23" s="337">
        <f t="shared" ref="R23:W23" si="31">SUM(R24:R30)</f>
        <v>108851</v>
      </c>
      <c r="S23" s="337">
        <f t="shared" si="31"/>
        <v>0</v>
      </c>
      <c r="T23" s="337">
        <f t="shared" si="31"/>
        <v>98851</v>
      </c>
      <c r="U23" s="337">
        <f t="shared" si="31"/>
        <v>0</v>
      </c>
      <c r="V23" s="337">
        <f t="shared" si="31"/>
        <v>103651</v>
      </c>
      <c r="W23" s="337">
        <f t="shared" si="31"/>
        <v>0</v>
      </c>
      <c r="X23" s="301">
        <f t="shared" ref="X23:AE23" si="32">SUM(X24:X30)</f>
        <v>425214</v>
      </c>
      <c r="Y23" s="337">
        <f t="shared" si="32"/>
        <v>101350</v>
      </c>
      <c r="Z23" s="337">
        <f t="shared" si="32"/>
        <v>0</v>
      </c>
      <c r="AA23" s="337">
        <f t="shared" si="32"/>
        <v>128007</v>
      </c>
      <c r="AB23" s="337">
        <f t="shared" si="32"/>
        <v>0</v>
      </c>
      <c r="AC23" s="337">
        <f t="shared" si="32"/>
        <v>195857</v>
      </c>
      <c r="AD23" s="337">
        <f t="shared" si="32"/>
        <v>0</v>
      </c>
      <c r="AE23" s="337">
        <f t="shared" si="32"/>
        <v>1203011</v>
      </c>
      <c r="AF23" s="31"/>
      <c r="AG23" s="36"/>
      <c r="AH23" s="31"/>
      <c r="AJ23" s="127"/>
    </row>
    <row r="24" spans="1:36" s="45" customFormat="1" ht="15.75" customHeight="1">
      <c r="A24" s="94">
        <v>1141</v>
      </c>
      <c r="B24" s="84" t="s">
        <v>25</v>
      </c>
      <c r="C24" s="339">
        <f>D24+F24+H24</f>
        <v>13200</v>
      </c>
      <c r="D24" s="340">
        <v>4400</v>
      </c>
      <c r="E24" s="335"/>
      <c r="F24" s="335">
        <v>4400</v>
      </c>
      <c r="G24" s="335"/>
      <c r="H24" s="335">
        <v>4400</v>
      </c>
      <c r="I24" s="335"/>
      <c r="J24" s="339">
        <f>K24+M24+O24</f>
        <v>13200</v>
      </c>
      <c r="K24" s="340">
        <v>4400</v>
      </c>
      <c r="L24" s="335"/>
      <c r="M24" s="335">
        <v>4400</v>
      </c>
      <c r="N24" s="335"/>
      <c r="O24" s="335">
        <v>4400</v>
      </c>
      <c r="P24" s="335"/>
      <c r="Q24" s="339">
        <f>R24+T24+V24</f>
        <v>13000</v>
      </c>
      <c r="R24" s="340">
        <v>4400</v>
      </c>
      <c r="S24" s="335"/>
      <c r="T24" s="335">
        <v>4400</v>
      </c>
      <c r="U24" s="335"/>
      <c r="V24" s="335">
        <v>4200</v>
      </c>
      <c r="W24" s="335"/>
      <c r="X24" s="339">
        <f>Y24+AA24+AC24</f>
        <v>14000</v>
      </c>
      <c r="Y24" s="340">
        <v>4400</v>
      </c>
      <c r="Z24" s="335"/>
      <c r="AA24" s="335">
        <v>4900</v>
      </c>
      <c r="AB24" s="335"/>
      <c r="AC24" s="335">
        <v>4700</v>
      </c>
      <c r="AD24" s="335"/>
      <c r="AE24" s="339">
        <f>C24+J24+Q24+X24</f>
        <v>53400</v>
      </c>
      <c r="AF24" s="31"/>
      <c r="AG24" s="37"/>
      <c r="AH24" s="31"/>
      <c r="AJ24" s="127"/>
    </row>
    <row r="25" spans="1:36" s="45" customFormat="1" ht="15.75" customHeight="1">
      <c r="A25" s="94">
        <v>1142</v>
      </c>
      <c r="B25" s="84" t="s">
        <v>98</v>
      </c>
      <c r="C25" s="339">
        <f t="shared" ref="C25:C32" si="33">D25+F25+H25</f>
        <v>15600</v>
      </c>
      <c r="D25" s="340">
        <v>5400</v>
      </c>
      <c r="E25" s="335"/>
      <c r="F25" s="335">
        <v>5200</v>
      </c>
      <c r="G25" s="335"/>
      <c r="H25" s="335">
        <v>5000</v>
      </c>
      <c r="I25" s="335"/>
      <c r="J25" s="339">
        <f t="shared" ref="J25:J32" si="34">K25+M25+O25</f>
        <v>30000</v>
      </c>
      <c r="K25" s="340">
        <v>6000</v>
      </c>
      <c r="L25" s="335"/>
      <c r="M25" s="335">
        <v>8000</v>
      </c>
      <c r="N25" s="335"/>
      <c r="O25" s="335">
        <v>16000</v>
      </c>
      <c r="P25" s="335"/>
      <c r="Q25" s="339">
        <f t="shared" ref="Q25:Q32" si="35">R25+T25+V25</f>
        <v>12000</v>
      </c>
      <c r="R25" s="340">
        <v>4000</v>
      </c>
      <c r="S25" s="340"/>
      <c r="T25" s="340">
        <v>4000</v>
      </c>
      <c r="U25" s="340"/>
      <c r="V25" s="340">
        <v>4000</v>
      </c>
      <c r="W25" s="335"/>
      <c r="X25" s="339">
        <f t="shared" ref="X25:X32" si="36">Y25+AA25+AC25</f>
        <v>21080</v>
      </c>
      <c r="Y25" s="340">
        <v>6500</v>
      </c>
      <c r="Z25" s="340"/>
      <c r="AA25" s="340">
        <v>7000</v>
      </c>
      <c r="AB25" s="340"/>
      <c r="AC25" s="340">
        <v>7580</v>
      </c>
      <c r="AD25" s="335"/>
      <c r="AE25" s="339">
        <f>C25+J25+Q25+X25</f>
        <v>78680</v>
      </c>
      <c r="AF25" s="31"/>
      <c r="AG25" s="37"/>
      <c r="AH25" s="31"/>
      <c r="AJ25" s="127"/>
    </row>
    <row r="26" spans="1:36" s="72" customFormat="1" ht="15.75" hidden="1" customHeight="1">
      <c r="A26" s="96">
        <v>1145</v>
      </c>
      <c r="B26" s="97" t="s">
        <v>26</v>
      </c>
      <c r="C26" s="339">
        <f t="shared" si="33"/>
        <v>0</v>
      </c>
      <c r="D26" s="341"/>
      <c r="E26" s="342"/>
      <c r="F26" s="342"/>
      <c r="G26" s="342"/>
      <c r="H26" s="342"/>
      <c r="I26" s="342"/>
      <c r="J26" s="339">
        <f t="shared" si="34"/>
        <v>0</v>
      </c>
      <c r="K26" s="341"/>
      <c r="L26" s="342"/>
      <c r="M26" s="342"/>
      <c r="N26" s="342"/>
      <c r="O26" s="342"/>
      <c r="P26" s="342"/>
      <c r="Q26" s="339">
        <f t="shared" si="35"/>
        <v>0</v>
      </c>
      <c r="R26" s="341"/>
      <c r="S26" s="341"/>
      <c r="T26" s="341"/>
      <c r="U26" s="341"/>
      <c r="V26" s="341"/>
      <c r="W26" s="342"/>
      <c r="X26" s="339">
        <f t="shared" si="36"/>
        <v>0</v>
      </c>
      <c r="Y26" s="341"/>
      <c r="Z26" s="341"/>
      <c r="AA26" s="341"/>
      <c r="AB26" s="341"/>
      <c r="AC26" s="341"/>
      <c r="AD26" s="342"/>
      <c r="AE26" s="339">
        <f t="shared" ref="AE26:AE34" si="37">C26+J26+Q26+X26</f>
        <v>0</v>
      </c>
      <c r="AF26" s="38"/>
      <c r="AG26" s="39"/>
      <c r="AH26" s="38"/>
      <c r="AJ26" s="127"/>
    </row>
    <row r="27" spans="1:36" s="72" customFormat="1" ht="15.75" customHeight="1">
      <c r="A27" s="96">
        <v>1146</v>
      </c>
      <c r="B27" s="97" t="s">
        <v>99</v>
      </c>
      <c r="C27" s="339">
        <f t="shared" si="33"/>
        <v>22410</v>
      </c>
      <c r="D27" s="341">
        <v>7470</v>
      </c>
      <c r="E27" s="342"/>
      <c r="F27" s="342">
        <v>7470</v>
      </c>
      <c r="G27" s="342"/>
      <c r="H27" s="342">
        <v>7470</v>
      </c>
      <c r="I27" s="342"/>
      <c r="J27" s="339">
        <f t="shared" si="34"/>
        <v>22410</v>
      </c>
      <c r="K27" s="341">
        <v>7470</v>
      </c>
      <c r="L27" s="342"/>
      <c r="M27" s="342">
        <v>7470</v>
      </c>
      <c r="N27" s="342"/>
      <c r="O27" s="342">
        <v>7470</v>
      </c>
      <c r="P27" s="342"/>
      <c r="Q27" s="339">
        <f t="shared" si="35"/>
        <v>22410</v>
      </c>
      <c r="R27" s="341">
        <v>7470</v>
      </c>
      <c r="S27" s="341"/>
      <c r="T27" s="341">
        <v>7470</v>
      </c>
      <c r="U27" s="341"/>
      <c r="V27" s="341">
        <v>7470</v>
      </c>
      <c r="W27" s="342"/>
      <c r="X27" s="339">
        <f t="shared" si="36"/>
        <v>22410</v>
      </c>
      <c r="Y27" s="341">
        <v>7470</v>
      </c>
      <c r="Z27" s="341"/>
      <c r="AA27" s="341">
        <v>7470</v>
      </c>
      <c r="AB27" s="341"/>
      <c r="AC27" s="341">
        <v>7470</v>
      </c>
      <c r="AD27" s="342"/>
      <c r="AE27" s="339">
        <f t="shared" si="37"/>
        <v>89640</v>
      </c>
      <c r="AF27" s="38"/>
      <c r="AG27" s="39"/>
      <c r="AH27" s="38"/>
      <c r="AJ27" s="127"/>
    </row>
    <row r="28" spans="1:36" s="45" customFormat="1" ht="15.75" customHeight="1">
      <c r="A28" s="125">
        <v>1147</v>
      </c>
      <c r="B28" s="98" t="s">
        <v>27</v>
      </c>
      <c r="C28" s="339">
        <f t="shared" si="33"/>
        <v>141681</v>
      </c>
      <c r="D28" s="340">
        <v>49481</v>
      </c>
      <c r="E28" s="335"/>
      <c r="F28" s="335">
        <v>47200</v>
      </c>
      <c r="G28" s="335"/>
      <c r="H28" s="335">
        <v>45000</v>
      </c>
      <c r="I28" s="335"/>
      <c r="J28" s="339">
        <f t="shared" si="34"/>
        <v>207943</v>
      </c>
      <c r="K28" s="340">
        <f>50000+17981</f>
        <v>67981</v>
      </c>
      <c r="L28" s="335"/>
      <c r="M28" s="335">
        <f>50000+17981</f>
        <v>67981</v>
      </c>
      <c r="N28" s="335"/>
      <c r="O28" s="335">
        <f>54000+17981</f>
        <v>71981</v>
      </c>
      <c r="P28" s="335"/>
      <c r="Q28" s="339">
        <f t="shared" si="35"/>
        <v>263943</v>
      </c>
      <c r="R28" s="340">
        <f>75000+17981</f>
        <v>92981</v>
      </c>
      <c r="S28" s="340"/>
      <c r="T28" s="340">
        <f>65000+17981</f>
        <v>82981</v>
      </c>
      <c r="U28" s="340"/>
      <c r="V28" s="340">
        <f>70000+17981</f>
        <v>87981</v>
      </c>
      <c r="W28" s="335"/>
      <c r="X28" s="339">
        <f t="shared" si="36"/>
        <v>273940</v>
      </c>
      <c r="Y28" s="340">
        <f>65000+17980</f>
        <v>82980</v>
      </c>
      <c r="Z28" s="340"/>
      <c r="AA28" s="340">
        <f>85000+17980</f>
        <v>102980</v>
      </c>
      <c r="AB28" s="340"/>
      <c r="AC28" s="340">
        <f>70000+17980</f>
        <v>87980</v>
      </c>
      <c r="AD28" s="335"/>
      <c r="AE28" s="339">
        <f t="shared" si="37"/>
        <v>887507</v>
      </c>
      <c r="AF28" s="31"/>
      <c r="AG28" s="37"/>
      <c r="AH28" s="31"/>
      <c r="AJ28" s="127"/>
    </row>
    <row r="29" spans="1:36" s="45" customFormat="1" ht="15.75" customHeight="1">
      <c r="A29" s="94">
        <v>1148</v>
      </c>
      <c r="B29" s="98" t="s">
        <v>101</v>
      </c>
      <c r="C29" s="339">
        <f t="shared" si="33"/>
        <v>0</v>
      </c>
      <c r="D29" s="340"/>
      <c r="E29" s="335"/>
      <c r="F29" s="335"/>
      <c r="G29" s="335"/>
      <c r="H29" s="335"/>
      <c r="I29" s="335"/>
      <c r="J29" s="339"/>
      <c r="K29" s="340"/>
      <c r="L29" s="335"/>
      <c r="M29" s="335"/>
      <c r="N29" s="335"/>
      <c r="O29" s="335"/>
      <c r="P29" s="335"/>
      <c r="Q29" s="339">
        <f t="shared" si="35"/>
        <v>0</v>
      </c>
      <c r="R29" s="340"/>
      <c r="S29" s="340"/>
      <c r="T29" s="340"/>
      <c r="U29" s="340"/>
      <c r="V29" s="340"/>
      <c r="W29" s="335"/>
      <c r="X29" s="339">
        <f t="shared" si="36"/>
        <v>93784</v>
      </c>
      <c r="Y29" s="340"/>
      <c r="Z29" s="340"/>
      <c r="AA29" s="340">
        <v>5657</v>
      </c>
      <c r="AB29" s="340"/>
      <c r="AC29" s="340">
        <v>88127</v>
      </c>
      <c r="AD29" s="335"/>
      <c r="AE29" s="339">
        <f t="shared" si="37"/>
        <v>93784</v>
      </c>
      <c r="AF29" s="31"/>
      <c r="AG29" s="37"/>
      <c r="AH29" s="31"/>
      <c r="AJ29" s="127"/>
    </row>
    <row r="30" spans="1:36" s="45" customFormat="1" ht="30.75" hidden="1" customHeight="1">
      <c r="A30" s="94">
        <v>1149</v>
      </c>
      <c r="B30" s="98" t="s">
        <v>100</v>
      </c>
      <c r="C30" s="339">
        <f t="shared" si="33"/>
        <v>0</v>
      </c>
      <c r="D30" s="340"/>
      <c r="E30" s="335"/>
      <c r="F30" s="335"/>
      <c r="G30" s="335"/>
      <c r="H30" s="335"/>
      <c r="I30" s="335"/>
      <c r="J30" s="339">
        <f t="shared" si="34"/>
        <v>0</v>
      </c>
      <c r="K30" s="340"/>
      <c r="L30" s="335"/>
      <c r="M30" s="335"/>
      <c r="N30" s="335"/>
      <c r="O30" s="335"/>
      <c r="P30" s="335"/>
      <c r="Q30" s="339">
        <f t="shared" si="35"/>
        <v>0</v>
      </c>
      <c r="R30" s="340"/>
      <c r="S30" s="340"/>
      <c r="T30" s="340"/>
      <c r="U30" s="340"/>
      <c r="V30" s="340"/>
      <c r="W30" s="335"/>
      <c r="X30" s="339">
        <f t="shared" si="36"/>
        <v>0</v>
      </c>
      <c r="Y30" s="340"/>
      <c r="Z30" s="340"/>
      <c r="AA30" s="340"/>
      <c r="AB30" s="340"/>
      <c r="AC30" s="340"/>
      <c r="AD30" s="335"/>
      <c r="AE30" s="340">
        <f t="shared" si="37"/>
        <v>0</v>
      </c>
      <c r="AF30" s="31"/>
      <c r="AG30" s="37"/>
      <c r="AH30" s="31"/>
      <c r="AJ30" s="127"/>
    </row>
    <row r="31" spans="1:36" s="72" customFormat="1" ht="30.75" customHeight="1">
      <c r="A31" s="99">
        <v>1150</v>
      </c>
      <c r="B31" s="100" t="s">
        <v>125</v>
      </c>
      <c r="C31" s="339">
        <f t="shared" si="33"/>
        <v>204200</v>
      </c>
      <c r="D31" s="341">
        <v>63500</v>
      </c>
      <c r="E31" s="342"/>
      <c r="F31" s="341">
        <v>69067</v>
      </c>
      <c r="G31" s="342"/>
      <c r="H31" s="341">
        <v>71633</v>
      </c>
      <c r="I31" s="342"/>
      <c r="J31" s="339">
        <f t="shared" si="34"/>
        <v>222300</v>
      </c>
      <c r="K31" s="341">
        <v>73100</v>
      </c>
      <c r="L31" s="342"/>
      <c r="M31" s="341">
        <v>74100</v>
      </c>
      <c r="N31" s="342"/>
      <c r="O31" s="341">
        <f>75100</f>
        <v>75100</v>
      </c>
      <c r="P31" s="342"/>
      <c r="Q31" s="339">
        <f t="shared" si="35"/>
        <v>209500</v>
      </c>
      <c r="R31" s="341">
        <v>74500</v>
      </c>
      <c r="S31" s="341"/>
      <c r="T31" s="341">
        <f>60000</f>
        <v>60000</v>
      </c>
      <c r="U31" s="341"/>
      <c r="V31" s="341">
        <v>75000</v>
      </c>
      <c r="W31" s="341"/>
      <c r="X31" s="339">
        <f t="shared" si="36"/>
        <v>214540</v>
      </c>
      <c r="Y31" s="341">
        <f>65400</f>
        <v>65400</v>
      </c>
      <c r="Z31" s="341"/>
      <c r="AA31" s="341">
        <v>79140</v>
      </c>
      <c r="AB31" s="341"/>
      <c r="AC31" s="341">
        <f>70000</f>
        <v>70000</v>
      </c>
      <c r="AD31" s="341"/>
      <c r="AE31" s="339">
        <f t="shared" si="37"/>
        <v>850540</v>
      </c>
      <c r="AF31" s="38"/>
      <c r="AG31" s="40"/>
      <c r="AH31" s="38"/>
      <c r="AJ31" s="127"/>
    </row>
    <row r="32" spans="1:36" s="72" customFormat="1" ht="30.75" hidden="1" customHeight="1">
      <c r="A32" s="99">
        <v>1170</v>
      </c>
      <c r="B32" s="101" t="s">
        <v>28</v>
      </c>
      <c r="C32" s="339">
        <f t="shared" si="33"/>
        <v>0</v>
      </c>
      <c r="D32" s="343"/>
      <c r="E32" s="342"/>
      <c r="F32" s="342"/>
      <c r="G32" s="342"/>
      <c r="H32" s="342"/>
      <c r="I32" s="342"/>
      <c r="J32" s="339">
        <f t="shared" si="34"/>
        <v>0</v>
      </c>
      <c r="K32" s="343"/>
      <c r="L32" s="342"/>
      <c r="M32" s="342"/>
      <c r="N32" s="342"/>
      <c r="O32" s="342"/>
      <c r="P32" s="342"/>
      <c r="Q32" s="339">
        <f t="shared" si="35"/>
        <v>0</v>
      </c>
      <c r="R32" s="343"/>
      <c r="S32" s="343"/>
      <c r="T32" s="343"/>
      <c r="U32" s="343"/>
      <c r="V32" s="343"/>
      <c r="W32" s="342"/>
      <c r="X32" s="339">
        <f t="shared" si="36"/>
        <v>0</v>
      </c>
      <c r="Y32" s="343"/>
      <c r="Z32" s="343"/>
      <c r="AA32" s="343"/>
      <c r="AB32" s="343"/>
      <c r="AC32" s="343"/>
      <c r="AD32" s="342"/>
      <c r="AE32" s="340">
        <f t="shared" si="37"/>
        <v>0</v>
      </c>
      <c r="AF32" s="38"/>
      <c r="AG32" s="40"/>
      <c r="AH32" s="38"/>
    </row>
    <row r="33" spans="1:36" s="73" customFormat="1" ht="30.75" customHeight="1">
      <c r="A33" s="102">
        <v>1200</v>
      </c>
      <c r="B33" s="103" t="s">
        <v>102</v>
      </c>
      <c r="C33" s="336">
        <f>C34+C35</f>
        <v>487265</v>
      </c>
      <c r="D33" s="336">
        <f t="shared" ref="D33:I33" si="38">D34+D35</f>
        <v>166400</v>
      </c>
      <c r="E33" s="336">
        <f t="shared" si="38"/>
        <v>0</v>
      </c>
      <c r="F33" s="336">
        <f t="shared" si="38"/>
        <v>149700</v>
      </c>
      <c r="G33" s="336">
        <f t="shared" si="38"/>
        <v>0</v>
      </c>
      <c r="H33" s="336">
        <f t="shared" si="38"/>
        <v>171165</v>
      </c>
      <c r="I33" s="336">
        <f t="shared" si="38"/>
        <v>0</v>
      </c>
      <c r="J33" s="336">
        <f>J34+J35</f>
        <v>538638</v>
      </c>
      <c r="K33" s="336">
        <f t="shared" ref="K33:P33" si="39">K34+K35</f>
        <v>200908</v>
      </c>
      <c r="L33" s="336">
        <f t="shared" si="39"/>
        <v>0</v>
      </c>
      <c r="M33" s="336">
        <f t="shared" si="39"/>
        <v>166514</v>
      </c>
      <c r="N33" s="336">
        <f t="shared" si="39"/>
        <v>0</v>
      </c>
      <c r="O33" s="336">
        <f t="shared" si="39"/>
        <v>171216</v>
      </c>
      <c r="P33" s="336">
        <f t="shared" si="39"/>
        <v>0</v>
      </c>
      <c r="Q33" s="336">
        <f>Q34+Q35</f>
        <v>538759</v>
      </c>
      <c r="R33" s="336">
        <f t="shared" ref="R33:W33" si="40">R34+R35</f>
        <v>205608</v>
      </c>
      <c r="S33" s="336">
        <f t="shared" si="40"/>
        <v>0</v>
      </c>
      <c r="T33" s="336">
        <f t="shared" si="40"/>
        <v>156448</v>
      </c>
      <c r="U33" s="336">
        <f t="shared" si="40"/>
        <v>0</v>
      </c>
      <c r="V33" s="336">
        <f t="shared" si="40"/>
        <v>176703</v>
      </c>
      <c r="W33" s="336">
        <f t="shared" si="40"/>
        <v>0</v>
      </c>
      <c r="X33" s="336">
        <f>X34+X35</f>
        <v>548859</v>
      </c>
      <c r="Y33" s="336">
        <f t="shared" ref="Y33:AD33" si="41">Y34+Y35</f>
        <v>195818</v>
      </c>
      <c r="Z33" s="336">
        <f t="shared" si="41"/>
        <v>0</v>
      </c>
      <c r="AA33" s="336">
        <f>AA34+AA35</f>
        <v>180548</v>
      </c>
      <c r="AB33" s="336">
        <f t="shared" si="41"/>
        <v>0</v>
      </c>
      <c r="AC33" s="336">
        <f t="shared" si="41"/>
        <v>172493</v>
      </c>
      <c r="AD33" s="336">
        <f t="shared" si="41"/>
        <v>0</v>
      </c>
      <c r="AE33" s="344">
        <f t="shared" si="37"/>
        <v>2113521</v>
      </c>
      <c r="AF33" s="71"/>
      <c r="AG33" s="70"/>
      <c r="AH33" s="71"/>
    </row>
    <row r="34" spans="1:36" s="6" customFormat="1" ht="20.25" customHeight="1">
      <c r="A34" s="104">
        <v>1210</v>
      </c>
      <c r="B34" s="98" t="s">
        <v>29</v>
      </c>
      <c r="C34" s="345">
        <f>D34+F34+H34</f>
        <v>417965</v>
      </c>
      <c r="D34" s="346">
        <v>141300</v>
      </c>
      <c r="E34" s="335"/>
      <c r="F34" s="346">
        <v>139400</v>
      </c>
      <c r="G34" s="335"/>
      <c r="H34" s="346">
        <v>137265</v>
      </c>
      <c r="I34" s="335"/>
      <c r="J34" s="345">
        <f>K34+M34+O34</f>
        <v>469738</v>
      </c>
      <c r="K34" s="346">
        <f>140900+12708</f>
        <v>153608</v>
      </c>
      <c r="L34" s="335"/>
      <c r="M34" s="346">
        <f>140500+15448+266</f>
        <v>156214</v>
      </c>
      <c r="N34" s="335"/>
      <c r="O34" s="346">
        <f>144468+15448</f>
        <v>159916</v>
      </c>
      <c r="P34" s="335"/>
      <c r="Q34" s="345">
        <f>R34+T34+V34</f>
        <v>470459</v>
      </c>
      <c r="R34" s="347">
        <f>142460+15448</f>
        <v>157908</v>
      </c>
      <c r="S34" s="346"/>
      <c r="T34" s="347">
        <f>130200+15448</f>
        <v>145648</v>
      </c>
      <c r="U34" s="346"/>
      <c r="V34" s="347">
        <f>151721+15448-266</f>
        <v>166903</v>
      </c>
      <c r="W34" s="335"/>
      <c r="X34" s="345">
        <f>Y34+AA34+AC34</f>
        <v>489059</v>
      </c>
      <c r="Y34" s="347">
        <f>140070+15448</f>
        <v>155518</v>
      </c>
      <c r="Z34" s="346"/>
      <c r="AA34" s="347">
        <f>151800+15448</f>
        <v>167248</v>
      </c>
      <c r="AB34" s="346"/>
      <c r="AC34" s="347">
        <f>150848+15445</f>
        <v>166293</v>
      </c>
      <c r="AD34" s="335"/>
      <c r="AE34" s="339">
        <f t="shared" si="37"/>
        <v>1847221</v>
      </c>
      <c r="AF34" s="31"/>
      <c r="AG34" s="36"/>
      <c r="AH34" s="31"/>
      <c r="AJ34" s="67"/>
    </row>
    <row r="35" spans="1:36" s="45" customFormat="1" ht="22.5" customHeight="1">
      <c r="A35" s="104">
        <v>1220</v>
      </c>
      <c r="B35" s="84" t="s">
        <v>103</v>
      </c>
      <c r="C35" s="301">
        <f>SUM(C36:C38)</f>
        <v>69300</v>
      </c>
      <c r="D35" s="337">
        <f t="shared" ref="D35:I35" si="42">SUM(D36:D38)</f>
        <v>25100</v>
      </c>
      <c r="E35" s="337">
        <f t="shared" si="42"/>
        <v>0</v>
      </c>
      <c r="F35" s="337">
        <f t="shared" si="42"/>
        <v>10300</v>
      </c>
      <c r="G35" s="337">
        <f t="shared" si="42"/>
        <v>0</v>
      </c>
      <c r="H35" s="337">
        <f t="shared" si="42"/>
        <v>33900</v>
      </c>
      <c r="I35" s="337">
        <f t="shared" si="42"/>
        <v>0</v>
      </c>
      <c r="J35" s="301">
        <f>SUM(J36:J38)</f>
        <v>68900</v>
      </c>
      <c r="K35" s="337">
        <f t="shared" ref="K35:P35" si="43">SUM(K36:K38)</f>
        <v>47300</v>
      </c>
      <c r="L35" s="337">
        <f t="shared" si="43"/>
        <v>0</v>
      </c>
      <c r="M35" s="337">
        <f t="shared" si="43"/>
        <v>10300</v>
      </c>
      <c r="N35" s="337">
        <f t="shared" si="43"/>
        <v>0</v>
      </c>
      <c r="O35" s="337">
        <f t="shared" si="43"/>
        <v>11300</v>
      </c>
      <c r="P35" s="337">
        <f t="shared" si="43"/>
        <v>0</v>
      </c>
      <c r="Q35" s="301">
        <f>SUM(Q36:Q38)</f>
        <v>68300</v>
      </c>
      <c r="R35" s="337">
        <f t="shared" ref="R35:W35" si="44">SUM(R36:R38)</f>
        <v>47700</v>
      </c>
      <c r="S35" s="337">
        <f t="shared" si="44"/>
        <v>0</v>
      </c>
      <c r="T35" s="337">
        <f t="shared" si="44"/>
        <v>10800</v>
      </c>
      <c r="U35" s="337">
        <f t="shared" si="44"/>
        <v>0</v>
      </c>
      <c r="V35" s="337">
        <f t="shared" si="44"/>
        <v>9800</v>
      </c>
      <c r="W35" s="337">
        <f t="shared" si="44"/>
        <v>0</v>
      </c>
      <c r="X35" s="301">
        <f>SUM(X36:X38)</f>
        <v>59800</v>
      </c>
      <c r="Y35" s="337">
        <f t="shared" ref="Y35:AD35" si="45">SUM(Y36:Y38)</f>
        <v>40300</v>
      </c>
      <c r="Z35" s="337">
        <f t="shared" si="45"/>
        <v>0</v>
      </c>
      <c r="AA35" s="337">
        <f t="shared" si="45"/>
        <v>13300</v>
      </c>
      <c r="AB35" s="337">
        <f t="shared" si="45"/>
        <v>0</v>
      </c>
      <c r="AC35" s="337">
        <f t="shared" si="45"/>
        <v>6200</v>
      </c>
      <c r="AD35" s="337">
        <f t="shared" si="45"/>
        <v>0</v>
      </c>
      <c r="AE35" s="337">
        <f>SUM(AE36:AE38)</f>
        <v>266300</v>
      </c>
      <c r="AF35" s="31"/>
      <c r="AG35" s="36"/>
      <c r="AH35" s="31"/>
    </row>
    <row r="36" spans="1:36" s="45" customFormat="1" ht="41.25" customHeight="1">
      <c r="A36" s="94">
        <v>1221</v>
      </c>
      <c r="B36" s="84" t="s">
        <v>104</v>
      </c>
      <c r="C36" s="339">
        <f>D36+F36+H36</f>
        <v>23000</v>
      </c>
      <c r="D36" s="340">
        <v>6600</v>
      </c>
      <c r="E36" s="335"/>
      <c r="F36" s="335">
        <v>7800</v>
      </c>
      <c r="G36" s="335"/>
      <c r="H36" s="335">
        <v>8600</v>
      </c>
      <c r="I36" s="335"/>
      <c r="J36" s="339">
        <f>K36+M36+O36</f>
        <v>20000</v>
      </c>
      <c r="K36" s="340">
        <v>7000</v>
      </c>
      <c r="L36" s="335"/>
      <c r="M36" s="335">
        <v>6000</v>
      </c>
      <c r="N36" s="335"/>
      <c r="O36" s="335">
        <v>7000</v>
      </c>
      <c r="P36" s="335"/>
      <c r="Q36" s="339">
        <f>R36+T36+V36</f>
        <v>20000</v>
      </c>
      <c r="R36" s="348">
        <v>6500</v>
      </c>
      <c r="S36" s="340"/>
      <c r="T36" s="340">
        <v>7500</v>
      </c>
      <c r="U36" s="340"/>
      <c r="V36" s="340">
        <v>6000</v>
      </c>
      <c r="W36" s="335"/>
      <c r="X36" s="339">
        <f>Y36+AA36+AC36</f>
        <v>17000</v>
      </c>
      <c r="Y36" s="340">
        <v>5000</v>
      </c>
      <c r="Z36" s="340"/>
      <c r="AA36" s="340">
        <v>7000</v>
      </c>
      <c r="AB36" s="340"/>
      <c r="AC36" s="340">
        <v>5000</v>
      </c>
      <c r="AD36" s="335"/>
      <c r="AE36" s="339">
        <f>C36+J36+Q36+X36</f>
        <v>80000</v>
      </c>
      <c r="AF36" s="31"/>
      <c r="AG36" s="37"/>
      <c r="AH36" s="31"/>
    </row>
    <row r="37" spans="1:36" s="45" customFormat="1" ht="30.75" customHeight="1">
      <c r="A37" s="94">
        <v>1227</v>
      </c>
      <c r="B37" s="84" t="s">
        <v>30</v>
      </c>
      <c r="C37" s="339">
        <f>D37+F37+H37</f>
        <v>45000</v>
      </c>
      <c r="D37" s="340">
        <v>18000</v>
      </c>
      <c r="E37" s="335"/>
      <c r="F37" s="335">
        <v>2000</v>
      </c>
      <c r="G37" s="335"/>
      <c r="H37" s="335">
        <v>25000</v>
      </c>
      <c r="I37" s="335"/>
      <c r="J37" s="339">
        <f>K37+M37+O37</f>
        <v>48000</v>
      </c>
      <c r="K37" s="340">
        <v>40000</v>
      </c>
      <c r="L37" s="335"/>
      <c r="M37" s="335">
        <v>4000</v>
      </c>
      <c r="N37" s="335"/>
      <c r="O37" s="335">
        <v>4000</v>
      </c>
      <c r="P37" s="335"/>
      <c r="Q37" s="339">
        <f>R37+T37+V37</f>
        <v>47500</v>
      </c>
      <c r="R37" s="348">
        <v>41000</v>
      </c>
      <c r="S37" s="340"/>
      <c r="T37" s="340">
        <v>3000</v>
      </c>
      <c r="U37" s="340"/>
      <c r="V37" s="340">
        <v>3500</v>
      </c>
      <c r="W37" s="335"/>
      <c r="X37" s="339">
        <f>Y37+AA37+AC37</f>
        <v>42000</v>
      </c>
      <c r="Y37" s="340">
        <v>35000</v>
      </c>
      <c r="Z37" s="340"/>
      <c r="AA37" s="340">
        <v>6000</v>
      </c>
      <c r="AB37" s="340"/>
      <c r="AC37" s="340">
        <v>1000</v>
      </c>
      <c r="AD37" s="335"/>
      <c r="AE37" s="339">
        <f>C37+J37+Q37+X37</f>
        <v>182500</v>
      </c>
      <c r="AF37" s="31"/>
      <c r="AG37" s="37"/>
      <c r="AH37" s="31"/>
    </row>
    <row r="38" spans="1:36" s="72" customFormat="1" ht="40.5" customHeight="1">
      <c r="A38" s="96">
        <v>1228</v>
      </c>
      <c r="B38" s="105" t="s">
        <v>105</v>
      </c>
      <c r="C38" s="339">
        <f>D38+F38+H38</f>
        <v>1300</v>
      </c>
      <c r="D38" s="341">
        <v>500</v>
      </c>
      <c r="E38" s="342"/>
      <c r="F38" s="342">
        <v>500</v>
      </c>
      <c r="G38" s="342"/>
      <c r="H38" s="342">
        <v>300</v>
      </c>
      <c r="I38" s="342"/>
      <c r="J38" s="339">
        <f>K38+M38+O38</f>
        <v>900</v>
      </c>
      <c r="K38" s="341">
        <v>300</v>
      </c>
      <c r="L38" s="342"/>
      <c r="M38" s="342">
        <v>300</v>
      </c>
      <c r="N38" s="342"/>
      <c r="O38" s="342">
        <v>300</v>
      </c>
      <c r="P38" s="342"/>
      <c r="Q38" s="339">
        <f>R38+T38+V38</f>
        <v>800</v>
      </c>
      <c r="R38" s="341">
        <v>200</v>
      </c>
      <c r="S38" s="341"/>
      <c r="T38" s="341">
        <v>300</v>
      </c>
      <c r="U38" s="341"/>
      <c r="V38" s="341">
        <v>300</v>
      </c>
      <c r="W38" s="342"/>
      <c r="X38" s="339">
        <f>Y38+AA38+AC38</f>
        <v>800</v>
      </c>
      <c r="Y38" s="341">
        <v>300</v>
      </c>
      <c r="Z38" s="341"/>
      <c r="AA38" s="341">
        <v>300</v>
      </c>
      <c r="AB38" s="341"/>
      <c r="AC38" s="341">
        <v>200</v>
      </c>
      <c r="AD38" s="342"/>
      <c r="AE38" s="339">
        <f>C38+J38+Q38+X38</f>
        <v>3800</v>
      </c>
      <c r="AF38" s="38"/>
      <c r="AG38" s="39"/>
      <c r="AH38" s="38"/>
    </row>
    <row r="39" spans="1:36" s="45" customFormat="1">
      <c r="A39" s="106">
        <v>2000</v>
      </c>
      <c r="B39" s="107" t="s">
        <v>31</v>
      </c>
      <c r="C39" s="42">
        <f>C40+C47+C82+C97+C99</f>
        <v>1448538</v>
      </c>
      <c r="D39" s="42">
        <f t="shared" ref="D39:I39" si="46">D40+D47+D82+D97+D99</f>
        <v>555445</v>
      </c>
      <c r="E39" s="42">
        <f t="shared" si="46"/>
        <v>0</v>
      </c>
      <c r="F39" s="42">
        <f t="shared" si="46"/>
        <v>459710</v>
      </c>
      <c r="G39" s="42">
        <f t="shared" si="46"/>
        <v>0</v>
      </c>
      <c r="H39" s="42">
        <f t="shared" si="46"/>
        <v>433383</v>
      </c>
      <c r="I39" s="42">
        <f t="shared" si="46"/>
        <v>0</v>
      </c>
      <c r="J39" s="42">
        <f>J40+J47+J82+J97+J99</f>
        <v>1434393</v>
      </c>
      <c r="K39" s="42">
        <f t="shared" ref="K39:P39" si="47">K40+K47+K82+K97+K99</f>
        <v>484100</v>
      </c>
      <c r="L39" s="42">
        <f t="shared" si="47"/>
        <v>0</v>
      </c>
      <c r="M39" s="42">
        <f t="shared" si="47"/>
        <v>474643</v>
      </c>
      <c r="N39" s="42">
        <f t="shared" si="47"/>
        <v>0</v>
      </c>
      <c r="O39" s="42">
        <f t="shared" si="47"/>
        <v>475650</v>
      </c>
      <c r="P39" s="42">
        <f t="shared" si="47"/>
        <v>0</v>
      </c>
      <c r="Q39" s="349">
        <f>Q40+Q47+Q82+Q97+Q99</f>
        <v>1394903</v>
      </c>
      <c r="R39" s="349">
        <f t="shared" ref="R39:W39" si="48">R40+R47+R82+R97+R99</f>
        <v>447044</v>
      </c>
      <c r="S39" s="349">
        <f t="shared" si="48"/>
        <v>0</v>
      </c>
      <c r="T39" s="349">
        <f t="shared" si="48"/>
        <v>424697</v>
      </c>
      <c r="U39" s="349">
        <f t="shared" si="48"/>
        <v>0</v>
      </c>
      <c r="V39" s="349">
        <f t="shared" si="48"/>
        <v>523162</v>
      </c>
      <c r="W39" s="349">
        <f t="shared" si="48"/>
        <v>0</v>
      </c>
      <c r="X39" s="42">
        <f>X40+X47+X82+X97+X99</f>
        <v>1649083</v>
      </c>
      <c r="Y39" s="42">
        <f t="shared" ref="Y39:AD39" si="49">Y40+Y47+Y82+Y97+Y99</f>
        <v>450774</v>
      </c>
      <c r="Z39" s="42">
        <f t="shared" si="49"/>
        <v>0</v>
      </c>
      <c r="AA39" s="42">
        <f t="shared" si="49"/>
        <v>568959</v>
      </c>
      <c r="AB39" s="42">
        <f t="shared" si="49"/>
        <v>0</v>
      </c>
      <c r="AC39" s="42">
        <f t="shared" si="49"/>
        <v>629350</v>
      </c>
      <c r="AD39" s="42">
        <f t="shared" si="49"/>
        <v>0</v>
      </c>
      <c r="AE39" s="42">
        <f>AE40+AE47+AE82+AE97+AE99</f>
        <v>5926917</v>
      </c>
      <c r="AF39" s="34"/>
      <c r="AG39" s="42"/>
      <c r="AH39" s="34"/>
    </row>
    <row r="40" spans="1:36" s="45" customFormat="1" ht="25.5" customHeight="1">
      <c r="A40" s="95">
        <v>2100</v>
      </c>
      <c r="B40" s="84" t="s">
        <v>106</v>
      </c>
      <c r="C40" s="336">
        <f>C41+C44</f>
        <v>35800</v>
      </c>
      <c r="D40" s="336">
        <f t="shared" ref="D40:I40" si="50">D41+D44</f>
        <v>7600</v>
      </c>
      <c r="E40" s="336">
        <f t="shared" si="50"/>
        <v>0</v>
      </c>
      <c r="F40" s="336">
        <f t="shared" si="50"/>
        <v>13500</v>
      </c>
      <c r="G40" s="336">
        <f t="shared" si="50"/>
        <v>0</v>
      </c>
      <c r="H40" s="336">
        <f t="shared" si="50"/>
        <v>14700</v>
      </c>
      <c r="I40" s="336">
        <f t="shared" si="50"/>
        <v>0</v>
      </c>
      <c r="J40" s="336">
        <f>J41+J44</f>
        <v>40500</v>
      </c>
      <c r="K40" s="336">
        <f t="shared" ref="K40:P40" si="51">K41+K44</f>
        <v>16100</v>
      </c>
      <c r="L40" s="336">
        <f t="shared" si="51"/>
        <v>0</v>
      </c>
      <c r="M40" s="336">
        <f t="shared" si="51"/>
        <v>13200</v>
      </c>
      <c r="N40" s="336">
        <f t="shared" si="51"/>
        <v>0</v>
      </c>
      <c r="O40" s="336">
        <f t="shared" si="51"/>
        <v>11200</v>
      </c>
      <c r="P40" s="336">
        <f t="shared" si="51"/>
        <v>0</v>
      </c>
      <c r="Q40" s="301">
        <f>Q41+Q44</f>
        <v>47300</v>
      </c>
      <c r="R40" s="301">
        <f t="shared" ref="R40:W40" si="52">R41+R44</f>
        <v>17100</v>
      </c>
      <c r="S40" s="301">
        <f t="shared" si="52"/>
        <v>0</v>
      </c>
      <c r="T40" s="301">
        <f t="shared" si="52"/>
        <v>17200</v>
      </c>
      <c r="U40" s="301">
        <f t="shared" si="52"/>
        <v>0</v>
      </c>
      <c r="V40" s="301">
        <f t="shared" si="52"/>
        <v>13000</v>
      </c>
      <c r="W40" s="301">
        <f t="shared" si="52"/>
        <v>0</v>
      </c>
      <c r="X40" s="336">
        <f>X41+X44</f>
        <v>21926</v>
      </c>
      <c r="Y40" s="336">
        <f t="shared" ref="Y40:AD40" si="53">Y41+Y44</f>
        <v>5443</v>
      </c>
      <c r="Z40" s="336">
        <f t="shared" si="53"/>
        <v>0</v>
      </c>
      <c r="AA40" s="336">
        <f t="shared" si="53"/>
        <v>8896</v>
      </c>
      <c r="AB40" s="336">
        <f t="shared" si="53"/>
        <v>0</v>
      </c>
      <c r="AC40" s="336">
        <f t="shared" si="53"/>
        <v>7587</v>
      </c>
      <c r="AD40" s="336">
        <f t="shared" si="53"/>
        <v>0</v>
      </c>
      <c r="AE40" s="336">
        <f>AE41+AE44</f>
        <v>145526</v>
      </c>
      <c r="AF40" s="29"/>
      <c r="AG40" s="35"/>
      <c r="AH40" s="29"/>
    </row>
    <row r="41" spans="1:36" s="45" customFormat="1" ht="12.75" customHeight="1">
      <c r="A41" s="104">
        <v>2110</v>
      </c>
      <c r="B41" s="84" t="s">
        <v>107</v>
      </c>
      <c r="C41" s="301">
        <f>SUM(C42:C43)</f>
        <v>4300</v>
      </c>
      <c r="D41" s="337">
        <f t="shared" ref="D41:I41" si="54">SUM(D42:D43)</f>
        <v>1100</v>
      </c>
      <c r="E41" s="337">
        <f t="shared" si="54"/>
        <v>0</v>
      </c>
      <c r="F41" s="337">
        <f t="shared" si="54"/>
        <v>1400</v>
      </c>
      <c r="G41" s="337">
        <f t="shared" si="54"/>
        <v>0</v>
      </c>
      <c r="H41" s="337">
        <f t="shared" si="54"/>
        <v>1800</v>
      </c>
      <c r="I41" s="337">
        <f t="shared" si="54"/>
        <v>0</v>
      </c>
      <c r="J41" s="301">
        <f>SUM(J42:J43)</f>
        <v>3500</v>
      </c>
      <c r="K41" s="337">
        <f t="shared" ref="K41:P41" si="55">SUM(K42:K43)</f>
        <v>1100</v>
      </c>
      <c r="L41" s="337">
        <f t="shared" si="55"/>
        <v>0</v>
      </c>
      <c r="M41" s="337">
        <f t="shared" si="55"/>
        <v>1200</v>
      </c>
      <c r="N41" s="337">
        <f t="shared" si="55"/>
        <v>0</v>
      </c>
      <c r="O41" s="337">
        <f t="shared" si="55"/>
        <v>1200</v>
      </c>
      <c r="P41" s="337">
        <f t="shared" si="55"/>
        <v>0</v>
      </c>
      <c r="Q41" s="301">
        <f>SUM(Q42:Q43)</f>
        <v>3300</v>
      </c>
      <c r="R41" s="337">
        <f t="shared" ref="R41:W41" si="56">SUM(R42:R43)</f>
        <v>1100</v>
      </c>
      <c r="S41" s="337">
        <f t="shared" si="56"/>
        <v>0</v>
      </c>
      <c r="T41" s="337">
        <f t="shared" si="56"/>
        <v>1200</v>
      </c>
      <c r="U41" s="337">
        <f t="shared" si="56"/>
        <v>0</v>
      </c>
      <c r="V41" s="337">
        <f t="shared" si="56"/>
        <v>1000</v>
      </c>
      <c r="W41" s="337">
        <f t="shared" si="56"/>
        <v>0</v>
      </c>
      <c r="X41" s="301">
        <f>SUM(X42:X43)</f>
        <v>2676</v>
      </c>
      <c r="Y41" s="337">
        <f t="shared" ref="Y41:AD41" si="57">SUM(Y42:Y43)</f>
        <v>943</v>
      </c>
      <c r="Z41" s="337">
        <f t="shared" si="57"/>
        <v>0</v>
      </c>
      <c r="AA41" s="337">
        <f t="shared" si="57"/>
        <v>800</v>
      </c>
      <c r="AB41" s="337">
        <f t="shared" si="57"/>
        <v>0</v>
      </c>
      <c r="AC41" s="337">
        <f t="shared" si="57"/>
        <v>933</v>
      </c>
      <c r="AD41" s="337">
        <f t="shared" si="57"/>
        <v>0</v>
      </c>
      <c r="AE41" s="337">
        <f>SUM(AE42:AE43)</f>
        <v>13776</v>
      </c>
      <c r="AF41" s="31"/>
      <c r="AG41" s="36"/>
      <c r="AH41" s="31"/>
    </row>
    <row r="42" spans="1:36" s="45" customFormat="1" ht="12.75" customHeight="1">
      <c r="A42" s="94">
        <v>2111</v>
      </c>
      <c r="B42" s="84" t="s">
        <v>32</v>
      </c>
      <c r="C42" s="339">
        <f>D42+F42+H42</f>
        <v>1800</v>
      </c>
      <c r="D42" s="340">
        <v>400</v>
      </c>
      <c r="E42" s="335"/>
      <c r="F42" s="335">
        <v>600</v>
      </c>
      <c r="G42" s="335"/>
      <c r="H42" s="335">
        <v>800</v>
      </c>
      <c r="I42" s="335"/>
      <c r="J42" s="339">
        <f>K42+M42+O42</f>
        <v>1500</v>
      </c>
      <c r="K42" s="340">
        <v>500</v>
      </c>
      <c r="L42" s="335"/>
      <c r="M42" s="335">
        <v>500</v>
      </c>
      <c r="N42" s="335"/>
      <c r="O42" s="335">
        <v>500</v>
      </c>
      <c r="P42" s="335"/>
      <c r="Q42" s="339">
        <f>R42+T42+V42</f>
        <v>1400</v>
      </c>
      <c r="R42" s="340">
        <v>500</v>
      </c>
      <c r="S42" s="340"/>
      <c r="T42" s="340">
        <v>500</v>
      </c>
      <c r="U42" s="340"/>
      <c r="V42" s="340">
        <v>400</v>
      </c>
      <c r="W42" s="335"/>
      <c r="X42" s="339">
        <f>Y42+AA42+AC42</f>
        <v>1043</v>
      </c>
      <c r="Y42" s="340">
        <v>443</v>
      </c>
      <c r="Z42" s="340"/>
      <c r="AA42" s="340">
        <v>300</v>
      </c>
      <c r="AB42" s="340"/>
      <c r="AC42" s="340">
        <v>300</v>
      </c>
      <c r="AD42" s="335"/>
      <c r="AE42" s="339">
        <f>C42+J42+Q42+X42</f>
        <v>5743</v>
      </c>
      <c r="AF42" s="31"/>
      <c r="AG42" s="37"/>
      <c r="AH42" s="31"/>
    </row>
    <row r="43" spans="1:36" s="45" customFormat="1" ht="12.75" customHeight="1">
      <c r="A43" s="94">
        <v>2112</v>
      </c>
      <c r="B43" s="84" t="s">
        <v>108</v>
      </c>
      <c r="C43" s="339">
        <f>D43+F43+H43</f>
        <v>2500</v>
      </c>
      <c r="D43" s="340">
        <v>700</v>
      </c>
      <c r="E43" s="335"/>
      <c r="F43" s="335">
        <v>800</v>
      </c>
      <c r="G43" s="335"/>
      <c r="H43" s="335">
        <v>1000</v>
      </c>
      <c r="I43" s="335"/>
      <c r="J43" s="339">
        <f>K43+M43+O43</f>
        <v>2000</v>
      </c>
      <c r="K43" s="340">
        <v>600</v>
      </c>
      <c r="L43" s="335"/>
      <c r="M43" s="335">
        <v>700</v>
      </c>
      <c r="N43" s="335"/>
      <c r="O43" s="335">
        <v>700</v>
      </c>
      <c r="P43" s="335"/>
      <c r="Q43" s="339">
        <f>R43+T43+V43</f>
        <v>1900</v>
      </c>
      <c r="R43" s="340">
        <v>600</v>
      </c>
      <c r="S43" s="340"/>
      <c r="T43" s="340">
        <v>700</v>
      </c>
      <c r="U43" s="340"/>
      <c r="V43" s="340">
        <v>600</v>
      </c>
      <c r="W43" s="335"/>
      <c r="X43" s="339">
        <f>Y43+AA43+AC43</f>
        <v>1633</v>
      </c>
      <c r="Y43" s="340">
        <v>500</v>
      </c>
      <c r="Z43" s="340"/>
      <c r="AA43" s="340">
        <v>500</v>
      </c>
      <c r="AB43" s="340"/>
      <c r="AC43" s="340">
        <v>633</v>
      </c>
      <c r="AD43" s="335"/>
      <c r="AE43" s="339">
        <f>C43+J43+Q43+X43</f>
        <v>8033</v>
      </c>
      <c r="AF43" s="31"/>
      <c r="AG43" s="37"/>
      <c r="AH43" s="31"/>
    </row>
    <row r="44" spans="1:36" s="45" customFormat="1" ht="12.75" customHeight="1">
      <c r="A44" s="104">
        <v>2120</v>
      </c>
      <c r="B44" s="84" t="s">
        <v>109</v>
      </c>
      <c r="C44" s="301">
        <f>SUM(C45:C46)</f>
        <v>31500</v>
      </c>
      <c r="D44" s="337">
        <f t="shared" ref="D44:I44" si="58">SUM(D45:D46)</f>
        <v>6500</v>
      </c>
      <c r="E44" s="337">
        <f t="shared" si="58"/>
        <v>0</v>
      </c>
      <c r="F44" s="337">
        <f t="shared" si="58"/>
        <v>12100</v>
      </c>
      <c r="G44" s="337">
        <f t="shared" si="58"/>
        <v>0</v>
      </c>
      <c r="H44" s="337">
        <f t="shared" si="58"/>
        <v>12900</v>
      </c>
      <c r="I44" s="337">
        <f t="shared" si="58"/>
        <v>0</v>
      </c>
      <c r="J44" s="301">
        <f>SUM(J45:J46)</f>
        <v>37000</v>
      </c>
      <c r="K44" s="337">
        <f t="shared" ref="K44:P44" si="59">SUM(K45:K46)</f>
        <v>15000</v>
      </c>
      <c r="L44" s="337">
        <f t="shared" si="59"/>
        <v>0</v>
      </c>
      <c r="M44" s="337">
        <f t="shared" si="59"/>
        <v>12000</v>
      </c>
      <c r="N44" s="337">
        <f t="shared" si="59"/>
        <v>0</v>
      </c>
      <c r="O44" s="337">
        <f t="shared" si="59"/>
        <v>10000</v>
      </c>
      <c r="P44" s="337">
        <f t="shared" si="59"/>
        <v>0</v>
      </c>
      <c r="Q44" s="301">
        <f>SUM(Q45:Q46)</f>
        <v>44000</v>
      </c>
      <c r="R44" s="337">
        <f t="shared" ref="R44:W44" si="60">SUM(R45:R46)</f>
        <v>16000</v>
      </c>
      <c r="S44" s="337">
        <f t="shared" si="60"/>
        <v>0</v>
      </c>
      <c r="T44" s="337">
        <f t="shared" si="60"/>
        <v>16000</v>
      </c>
      <c r="U44" s="337">
        <f t="shared" si="60"/>
        <v>0</v>
      </c>
      <c r="V44" s="337">
        <f t="shared" si="60"/>
        <v>12000</v>
      </c>
      <c r="W44" s="337">
        <f t="shared" si="60"/>
        <v>0</v>
      </c>
      <c r="X44" s="301">
        <f>SUM(X45:X46)</f>
        <v>19250</v>
      </c>
      <c r="Y44" s="337">
        <f t="shared" ref="Y44:AD44" si="61">SUM(Y45:Y46)</f>
        <v>4500</v>
      </c>
      <c r="Z44" s="337">
        <f t="shared" si="61"/>
        <v>0</v>
      </c>
      <c r="AA44" s="337">
        <f t="shared" si="61"/>
        <v>8096</v>
      </c>
      <c r="AB44" s="337">
        <f t="shared" si="61"/>
        <v>0</v>
      </c>
      <c r="AC44" s="337">
        <f t="shared" si="61"/>
        <v>6654</v>
      </c>
      <c r="AD44" s="337">
        <f t="shared" si="61"/>
        <v>0</v>
      </c>
      <c r="AE44" s="337">
        <f>SUM(AE45:AE46)</f>
        <v>131750</v>
      </c>
      <c r="AF44" s="31"/>
      <c r="AG44" s="36"/>
      <c r="AH44" s="31"/>
    </row>
    <row r="45" spans="1:36" s="6" customFormat="1" ht="12.75" customHeight="1">
      <c r="A45" s="94">
        <v>2121</v>
      </c>
      <c r="B45" s="84" t="s">
        <v>32</v>
      </c>
      <c r="C45" s="339">
        <f>D45+F45+H45</f>
        <v>10500</v>
      </c>
      <c r="D45" s="340">
        <v>2500</v>
      </c>
      <c r="E45" s="335"/>
      <c r="F45" s="335">
        <v>3500</v>
      </c>
      <c r="G45" s="335"/>
      <c r="H45" s="335">
        <v>4500</v>
      </c>
      <c r="I45" s="335"/>
      <c r="J45" s="339">
        <f>K45+M45+O45</f>
        <v>12000</v>
      </c>
      <c r="K45" s="340">
        <v>5000</v>
      </c>
      <c r="L45" s="335"/>
      <c r="M45" s="335">
        <v>4000</v>
      </c>
      <c r="N45" s="335"/>
      <c r="O45" s="335">
        <v>3000</v>
      </c>
      <c r="P45" s="335"/>
      <c r="Q45" s="339">
        <f>R45+T45+V45</f>
        <v>17000</v>
      </c>
      <c r="R45" s="340">
        <v>6000</v>
      </c>
      <c r="S45" s="340"/>
      <c r="T45" s="340">
        <v>6000</v>
      </c>
      <c r="U45" s="340"/>
      <c r="V45" s="340">
        <v>5000</v>
      </c>
      <c r="W45" s="335"/>
      <c r="X45" s="339">
        <f>Y45+AA45+AC45</f>
        <v>10096</v>
      </c>
      <c r="Y45" s="340">
        <v>2500</v>
      </c>
      <c r="Z45" s="340"/>
      <c r="AA45" s="340">
        <v>4096</v>
      </c>
      <c r="AB45" s="340"/>
      <c r="AC45" s="340">
        <v>3500</v>
      </c>
      <c r="AD45" s="335"/>
      <c r="AE45" s="339">
        <f>C45+J45+Q45+X45</f>
        <v>49596</v>
      </c>
      <c r="AF45" s="31"/>
      <c r="AG45" s="37"/>
      <c r="AH45" s="31"/>
    </row>
    <row r="46" spans="1:36" s="45" customFormat="1" ht="17.25" customHeight="1">
      <c r="A46" s="94">
        <v>2122</v>
      </c>
      <c r="B46" s="84" t="s">
        <v>108</v>
      </c>
      <c r="C46" s="339">
        <f>D46+F46+H46</f>
        <v>21000</v>
      </c>
      <c r="D46" s="340">
        <v>4000</v>
      </c>
      <c r="E46" s="335"/>
      <c r="F46" s="335">
        <v>8600</v>
      </c>
      <c r="G46" s="335"/>
      <c r="H46" s="335">
        <v>8400</v>
      </c>
      <c r="I46" s="335"/>
      <c r="J46" s="339">
        <f>K46+M46+O46</f>
        <v>25000</v>
      </c>
      <c r="K46" s="340">
        <v>10000</v>
      </c>
      <c r="L46" s="335"/>
      <c r="M46" s="335">
        <v>8000</v>
      </c>
      <c r="N46" s="335"/>
      <c r="O46" s="335">
        <v>7000</v>
      </c>
      <c r="P46" s="335"/>
      <c r="Q46" s="339">
        <f>R46+T46+V46</f>
        <v>27000</v>
      </c>
      <c r="R46" s="348">
        <v>10000</v>
      </c>
      <c r="S46" s="340"/>
      <c r="T46" s="340">
        <v>10000</v>
      </c>
      <c r="U46" s="340"/>
      <c r="V46" s="340">
        <v>7000</v>
      </c>
      <c r="W46" s="335"/>
      <c r="X46" s="339">
        <f>Y46+AA46+AC46</f>
        <v>9154</v>
      </c>
      <c r="Y46" s="340">
        <v>2000</v>
      </c>
      <c r="Z46" s="340"/>
      <c r="AA46" s="340">
        <v>4000</v>
      </c>
      <c r="AB46" s="340"/>
      <c r="AC46" s="340">
        <v>3154</v>
      </c>
      <c r="AD46" s="335"/>
      <c r="AE46" s="339">
        <f>C46+J46+Q46+X46</f>
        <v>82154</v>
      </c>
      <c r="AF46" s="31"/>
      <c r="AG46" s="37"/>
      <c r="AH46" s="31"/>
    </row>
    <row r="47" spans="1:36" s="45" customFormat="1">
      <c r="A47" s="95">
        <v>2200</v>
      </c>
      <c r="B47" s="84" t="s">
        <v>33</v>
      </c>
      <c r="C47" s="336">
        <f>C48+C49+C55+C64+C71+C74+C80</f>
        <v>1331606</v>
      </c>
      <c r="D47" s="336">
        <f t="shared" ref="D47:I47" si="62">D48+D49+D55+D64+D71+D74+D80</f>
        <v>520570</v>
      </c>
      <c r="E47" s="336">
        <f t="shared" si="62"/>
        <v>0</v>
      </c>
      <c r="F47" s="336">
        <f t="shared" si="62"/>
        <v>414248</v>
      </c>
      <c r="G47" s="336">
        <f t="shared" si="62"/>
        <v>0</v>
      </c>
      <c r="H47" s="336">
        <f t="shared" si="62"/>
        <v>396788</v>
      </c>
      <c r="I47" s="336">
        <f t="shared" si="62"/>
        <v>0</v>
      </c>
      <c r="J47" s="336">
        <f>J48+J49+J55+J64+J71+J74+J80</f>
        <v>1315703</v>
      </c>
      <c r="K47" s="336">
        <f t="shared" ref="K47:P47" si="63">K48+K49+K55+K64+K71+K74+K80</f>
        <v>441030</v>
      </c>
      <c r="L47" s="336">
        <f t="shared" si="63"/>
        <v>0</v>
      </c>
      <c r="M47" s="336">
        <f t="shared" si="63"/>
        <v>438583</v>
      </c>
      <c r="N47" s="336">
        <f t="shared" si="63"/>
        <v>0</v>
      </c>
      <c r="O47" s="336">
        <f t="shared" si="63"/>
        <v>436090</v>
      </c>
      <c r="P47" s="336">
        <f t="shared" si="63"/>
        <v>0</v>
      </c>
      <c r="Q47" s="336">
        <f>Q48+Q49+Q55+Q64+Q71+Q74+Q80</f>
        <v>1276383</v>
      </c>
      <c r="R47" s="336">
        <f t="shared" ref="R47:W47" si="64">R48+R49+R55+R64+R71+R74+R80</f>
        <v>407774</v>
      </c>
      <c r="S47" s="336">
        <f t="shared" si="64"/>
        <v>0</v>
      </c>
      <c r="T47" s="336">
        <f t="shared" si="64"/>
        <v>385667</v>
      </c>
      <c r="U47" s="336">
        <f t="shared" si="64"/>
        <v>0</v>
      </c>
      <c r="V47" s="336">
        <f t="shared" si="64"/>
        <v>482942</v>
      </c>
      <c r="W47" s="336">
        <f t="shared" si="64"/>
        <v>0</v>
      </c>
      <c r="X47" s="336">
        <f>X48+X49+X55+X64+X71+X74+X80</f>
        <v>1556101</v>
      </c>
      <c r="Y47" s="336">
        <f t="shared" ref="Y47:AD47" si="65">Y48+Y49+Y55+Y64+Y71+Y74+Y80</f>
        <v>427223</v>
      </c>
      <c r="Z47" s="336">
        <f t="shared" si="65"/>
        <v>0</v>
      </c>
      <c r="AA47" s="336">
        <f t="shared" si="65"/>
        <v>534771</v>
      </c>
      <c r="AB47" s="336">
        <f t="shared" si="65"/>
        <v>0</v>
      </c>
      <c r="AC47" s="336">
        <f t="shared" si="65"/>
        <v>594107</v>
      </c>
      <c r="AD47" s="336">
        <f t="shared" si="65"/>
        <v>0</v>
      </c>
      <c r="AE47" s="336">
        <f>AE48+AE49+AE55+AE64+AE71+AE74+AE80</f>
        <v>5479793</v>
      </c>
      <c r="AF47" s="30"/>
      <c r="AG47" s="41"/>
      <c r="AH47" s="30"/>
    </row>
    <row r="48" spans="1:36" s="45" customFormat="1" ht="12.75" customHeight="1">
      <c r="A48" s="104">
        <v>2210</v>
      </c>
      <c r="B48" s="98" t="s">
        <v>124</v>
      </c>
      <c r="C48" s="339">
        <f>D48+F48+H48</f>
        <v>671000</v>
      </c>
      <c r="D48" s="340">
        <v>226300</v>
      </c>
      <c r="E48" s="340"/>
      <c r="F48" s="340">
        <v>224200</v>
      </c>
      <c r="G48" s="340"/>
      <c r="H48" s="340">
        <v>220500</v>
      </c>
      <c r="I48" s="340"/>
      <c r="J48" s="339">
        <f>K48+M48+O48</f>
        <v>677000</v>
      </c>
      <c r="K48" s="340">
        <v>226000</v>
      </c>
      <c r="L48" s="340"/>
      <c r="M48" s="340">
        <v>226000</v>
      </c>
      <c r="N48" s="340"/>
      <c r="O48" s="340">
        <v>225000</v>
      </c>
      <c r="P48" s="340"/>
      <c r="Q48" s="339">
        <f>R48+T48+V48</f>
        <v>690580</v>
      </c>
      <c r="R48" s="340">
        <v>225000</v>
      </c>
      <c r="S48" s="340"/>
      <c r="T48" s="340">
        <v>217227</v>
      </c>
      <c r="U48" s="340"/>
      <c r="V48" s="340">
        <v>248353</v>
      </c>
      <c r="W48" s="340"/>
      <c r="X48" s="339">
        <f>Y48+AA48+AC48</f>
        <v>679000</v>
      </c>
      <c r="Y48" s="340">
        <v>217000</v>
      </c>
      <c r="Z48" s="340"/>
      <c r="AA48" s="340">
        <v>236000</v>
      </c>
      <c r="AB48" s="340"/>
      <c r="AC48" s="340">
        <v>226000</v>
      </c>
      <c r="AD48" s="340"/>
      <c r="AE48" s="345">
        <f>C48+J48+Q48+X48</f>
        <v>2717580</v>
      </c>
      <c r="AF48" s="31"/>
      <c r="AG48" s="36"/>
      <c r="AH48" s="31"/>
    </row>
    <row r="49" spans="1:34" s="6" customFormat="1" ht="12.75" customHeight="1">
      <c r="A49" s="104">
        <v>2220</v>
      </c>
      <c r="B49" s="84" t="s">
        <v>34</v>
      </c>
      <c r="C49" s="301">
        <f>SUM(C50:C54)</f>
        <v>50940</v>
      </c>
      <c r="D49" s="337">
        <f t="shared" ref="D49:I49" si="66">SUM(D50:D54)</f>
        <v>19650</v>
      </c>
      <c r="E49" s="337">
        <f t="shared" si="66"/>
        <v>0</v>
      </c>
      <c r="F49" s="337">
        <f t="shared" si="66"/>
        <v>17640</v>
      </c>
      <c r="G49" s="337">
        <f t="shared" si="66"/>
        <v>0</v>
      </c>
      <c r="H49" s="337">
        <f t="shared" si="66"/>
        <v>13650</v>
      </c>
      <c r="I49" s="337">
        <f t="shared" si="66"/>
        <v>0</v>
      </c>
      <c r="J49" s="301">
        <f>SUM(J50:J54)</f>
        <v>32900</v>
      </c>
      <c r="K49" s="337">
        <f t="shared" ref="K49:P49" si="67">SUM(K50:K54)</f>
        <v>13750</v>
      </c>
      <c r="L49" s="337">
        <f t="shared" si="67"/>
        <v>0</v>
      </c>
      <c r="M49" s="337">
        <f t="shared" si="67"/>
        <v>11600</v>
      </c>
      <c r="N49" s="337">
        <f t="shared" si="67"/>
        <v>0</v>
      </c>
      <c r="O49" s="337">
        <f t="shared" si="67"/>
        <v>7550</v>
      </c>
      <c r="P49" s="337">
        <f t="shared" si="67"/>
        <v>0</v>
      </c>
      <c r="Q49" s="301">
        <f>SUM(Q50:Q54)</f>
        <v>22900</v>
      </c>
      <c r="R49" s="337">
        <f t="shared" ref="R49:W49" si="68">SUM(R50:R54)</f>
        <v>7500</v>
      </c>
      <c r="S49" s="337">
        <f t="shared" si="68"/>
        <v>0</v>
      </c>
      <c r="T49" s="337">
        <f t="shared" si="68"/>
        <v>7600</v>
      </c>
      <c r="U49" s="337">
        <f t="shared" si="68"/>
        <v>0</v>
      </c>
      <c r="V49" s="337">
        <f t="shared" si="68"/>
        <v>7800</v>
      </c>
      <c r="W49" s="337">
        <f t="shared" si="68"/>
        <v>0</v>
      </c>
      <c r="X49" s="301">
        <f>SUM(X50:X54)</f>
        <v>32900</v>
      </c>
      <c r="Y49" s="337">
        <f t="shared" ref="Y49:AD49" si="69">SUM(Y50:Y54)</f>
        <v>6900</v>
      </c>
      <c r="Z49" s="337">
        <f t="shared" si="69"/>
        <v>0</v>
      </c>
      <c r="AA49" s="337">
        <f t="shared" si="69"/>
        <v>10900</v>
      </c>
      <c r="AB49" s="337">
        <f t="shared" si="69"/>
        <v>0</v>
      </c>
      <c r="AC49" s="337">
        <f t="shared" si="69"/>
        <v>15100</v>
      </c>
      <c r="AD49" s="337">
        <f t="shared" si="69"/>
        <v>0</v>
      </c>
      <c r="AE49" s="337">
        <f>SUM(AE50:AE54)</f>
        <v>139640</v>
      </c>
      <c r="AF49" s="31"/>
      <c r="AG49" s="36"/>
      <c r="AH49" s="31"/>
    </row>
    <row r="50" spans="1:34" s="45" customFormat="1" ht="19.5" customHeight="1">
      <c r="A50" s="94">
        <v>2221</v>
      </c>
      <c r="B50" s="84" t="s">
        <v>110</v>
      </c>
      <c r="C50" s="333">
        <f>D50+F50+H50</f>
        <v>26800</v>
      </c>
      <c r="D50" s="335">
        <v>10800</v>
      </c>
      <c r="E50" s="335"/>
      <c r="F50" s="335">
        <v>10000</v>
      </c>
      <c r="G50" s="335"/>
      <c r="H50" s="335">
        <v>6000</v>
      </c>
      <c r="I50" s="335"/>
      <c r="J50" s="333">
        <f>K50+M50+O50</f>
        <v>10000</v>
      </c>
      <c r="K50" s="335">
        <v>6000</v>
      </c>
      <c r="L50" s="335"/>
      <c r="M50" s="335">
        <v>4000</v>
      </c>
      <c r="N50" s="335"/>
      <c r="O50" s="335"/>
      <c r="P50" s="335"/>
      <c r="Q50" s="333">
        <f>R50+T50+V50</f>
        <v>0</v>
      </c>
      <c r="R50" s="335"/>
      <c r="S50" s="335"/>
      <c r="T50" s="335"/>
      <c r="U50" s="335"/>
      <c r="V50" s="335"/>
      <c r="W50" s="335"/>
      <c r="X50" s="333">
        <f>Y50+AA50+AC50</f>
        <v>11200</v>
      </c>
      <c r="Y50" s="335">
        <v>1000</v>
      </c>
      <c r="Z50" s="335"/>
      <c r="AA50" s="335">
        <v>3000</v>
      </c>
      <c r="AB50" s="335"/>
      <c r="AC50" s="335">
        <v>7200</v>
      </c>
      <c r="AD50" s="335"/>
      <c r="AE50" s="339">
        <f>C50+J50+Q50+X50</f>
        <v>48000</v>
      </c>
      <c r="AF50" s="31"/>
      <c r="AG50" s="31"/>
      <c r="AH50" s="31"/>
    </row>
    <row r="51" spans="1:34" s="45" customFormat="1" ht="12.75" customHeight="1">
      <c r="A51" s="94">
        <v>2222</v>
      </c>
      <c r="B51" s="84" t="s">
        <v>35</v>
      </c>
      <c r="C51" s="333">
        <f>D51+F51+H51</f>
        <v>1440</v>
      </c>
      <c r="D51" s="335">
        <v>500</v>
      </c>
      <c r="E51" s="335"/>
      <c r="F51" s="335">
        <v>490</v>
      </c>
      <c r="G51" s="335"/>
      <c r="H51" s="335">
        <v>450</v>
      </c>
      <c r="I51" s="335"/>
      <c r="J51" s="333">
        <f>K51+M51+O51</f>
        <v>1400</v>
      </c>
      <c r="K51" s="335">
        <v>450</v>
      </c>
      <c r="L51" s="335"/>
      <c r="M51" s="335">
        <v>500</v>
      </c>
      <c r="N51" s="335"/>
      <c r="O51" s="335">
        <v>450</v>
      </c>
      <c r="P51" s="335"/>
      <c r="Q51" s="333">
        <f>R51+T51+V51</f>
        <v>1400</v>
      </c>
      <c r="R51" s="335">
        <v>400</v>
      </c>
      <c r="S51" s="335"/>
      <c r="T51" s="335">
        <v>500</v>
      </c>
      <c r="U51" s="335"/>
      <c r="V51" s="335">
        <v>500</v>
      </c>
      <c r="W51" s="335"/>
      <c r="X51" s="333">
        <f>Y51+AA51+AC51</f>
        <v>1400</v>
      </c>
      <c r="Y51" s="335">
        <v>500</v>
      </c>
      <c r="Z51" s="335"/>
      <c r="AA51" s="335">
        <v>500</v>
      </c>
      <c r="AB51" s="335"/>
      <c r="AC51" s="335">
        <v>400</v>
      </c>
      <c r="AD51" s="335"/>
      <c r="AE51" s="339">
        <f>C51+J51+Q51+X51</f>
        <v>5640</v>
      </c>
      <c r="AF51" s="31"/>
      <c r="AG51" s="31"/>
      <c r="AH51" s="31"/>
    </row>
    <row r="52" spans="1:34" s="45" customFormat="1" ht="12.75" customHeight="1">
      <c r="A52" s="94">
        <v>2223</v>
      </c>
      <c r="B52" s="84" t="s">
        <v>36</v>
      </c>
      <c r="C52" s="333">
        <f>D52+F52+H52</f>
        <v>21000</v>
      </c>
      <c r="D52" s="335">
        <v>7800</v>
      </c>
      <c r="E52" s="335"/>
      <c r="F52" s="335">
        <v>6600</v>
      </c>
      <c r="G52" s="335"/>
      <c r="H52" s="335">
        <v>6600</v>
      </c>
      <c r="I52" s="335"/>
      <c r="J52" s="333">
        <f>K52+M52+O52</f>
        <v>20000</v>
      </c>
      <c r="K52" s="335">
        <v>6800</v>
      </c>
      <c r="L52" s="335"/>
      <c r="M52" s="335">
        <v>6600</v>
      </c>
      <c r="N52" s="335"/>
      <c r="O52" s="335">
        <v>6600</v>
      </c>
      <c r="P52" s="335"/>
      <c r="Q52" s="333">
        <f>R52+T52+V52</f>
        <v>20000</v>
      </c>
      <c r="R52" s="338">
        <v>6600</v>
      </c>
      <c r="S52" s="335"/>
      <c r="T52" s="338">
        <v>6600</v>
      </c>
      <c r="U52" s="335"/>
      <c r="V52" s="335">
        <v>6800</v>
      </c>
      <c r="W52" s="335"/>
      <c r="X52" s="333">
        <f>Y52+AA52+AC52</f>
        <v>19000</v>
      </c>
      <c r="Y52" s="335">
        <v>5000</v>
      </c>
      <c r="Z52" s="335"/>
      <c r="AA52" s="335">
        <v>7000</v>
      </c>
      <c r="AB52" s="335"/>
      <c r="AC52" s="335">
        <v>7000</v>
      </c>
      <c r="AD52" s="335"/>
      <c r="AE52" s="339">
        <f>C52+J52+Q52+X52</f>
        <v>80000</v>
      </c>
      <c r="AF52" s="31"/>
      <c r="AG52" s="31"/>
      <c r="AH52" s="31"/>
    </row>
    <row r="53" spans="1:34" s="45" customFormat="1" ht="34.5" hidden="1" customHeight="1">
      <c r="A53" s="94">
        <v>2224</v>
      </c>
      <c r="B53" s="84" t="s">
        <v>145</v>
      </c>
      <c r="C53" s="333">
        <f>D53+F53+H53</f>
        <v>0</v>
      </c>
      <c r="D53" s="335"/>
      <c r="E53" s="335"/>
      <c r="F53" s="335"/>
      <c r="G53" s="335"/>
      <c r="H53" s="335"/>
      <c r="I53" s="335"/>
      <c r="J53" s="333">
        <f>K53+M53+O53</f>
        <v>0</v>
      </c>
      <c r="K53" s="335"/>
      <c r="L53" s="335"/>
      <c r="M53" s="335"/>
      <c r="N53" s="335"/>
      <c r="O53" s="335"/>
      <c r="P53" s="335"/>
      <c r="Q53" s="333">
        <f>R53+T53+V53</f>
        <v>0</v>
      </c>
      <c r="R53" s="335"/>
      <c r="S53" s="335"/>
      <c r="T53" s="335"/>
      <c r="U53" s="335"/>
      <c r="V53" s="335"/>
      <c r="W53" s="335"/>
      <c r="X53" s="333">
        <f>Y53+AA53+AC53</f>
        <v>0</v>
      </c>
      <c r="Y53" s="335"/>
      <c r="Z53" s="335"/>
      <c r="AA53" s="335"/>
      <c r="AB53" s="335"/>
      <c r="AC53" s="335"/>
      <c r="AD53" s="335"/>
      <c r="AE53" s="339">
        <f>C53+J53+Q53+X53</f>
        <v>0</v>
      </c>
      <c r="AF53" s="31"/>
      <c r="AG53" s="31"/>
      <c r="AH53" s="31"/>
    </row>
    <row r="54" spans="1:34" s="45" customFormat="1" ht="17.25" customHeight="1">
      <c r="A54" s="94">
        <v>2229</v>
      </c>
      <c r="B54" s="84" t="s">
        <v>37</v>
      </c>
      <c r="C54" s="333">
        <f>D54+F54+H54</f>
        <v>1700</v>
      </c>
      <c r="D54" s="335">
        <v>550</v>
      </c>
      <c r="E54" s="335"/>
      <c r="F54" s="335">
        <v>550</v>
      </c>
      <c r="G54" s="335"/>
      <c r="H54" s="335">
        <v>600</v>
      </c>
      <c r="I54" s="335"/>
      <c r="J54" s="333">
        <f>K54+M54+O54</f>
        <v>1500</v>
      </c>
      <c r="K54" s="335">
        <v>500</v>
      </c>
      <c r="L54" s="335"/>
      <c r="M54" s="335">
        <v>500</v>
      </c>
      <c r="N54" s="335"/>
      <c r="O54" s="335">
        <v>500</v>
      </c>
      <c r="P54" s="335"/>
      <c r="Q54" s="333">
        <f>R54+T54+V54</f>
        <v>1500</v>
      </c>
      <c r="R54" s="335">
        <v>500</v>
      </c>
      <c r="S54" s="335"/>
      <c r="T54" s="335">
        <v>500</v>
      </c>
      <c r="U54" s="335"/>
      <c r="V54" s="335">
        <v>500</v>
      </c>
      <c r="W54" s="335"/>
      <c r="X54" s="333">
        <f>Y54+AA54+AC54</f>
        <v>1300</v>
      </c>
      <c r="Y54" s="335">
        <v>400</v>
      </c>
      <c r="Z54" s="335"/>
      <c r="AA54" s="335">
        <v>400</v>
      </c>
      <c r="AB54" s="335"/>
      <c r="AC54" s="335">
        <v>500</v>
      </c>
      <c r="AD54" s="335"/>
      <c r="AE54" s="339">
        <f>C54+J54+Q54+X54</f>
        <v>6000</v>
      </c>
      <c r="AF54" s="31"/>
      <c r="AG54" s="31"/>
      <c r="AH54" s="31"/>
    </row>
    <row r="55" spans="1:34" s="45" customFormat="1" ht="31.5" customHeight="1">
      <c r="A55" s="104">
        <v>2230</v>
      </c>
      <c r="B55" s="84" t="s">
        <v>38</v>
      </c>
      <c r="C55" s="301">
        <f>SUM(C56:C63)</f>
        <v>379146</v>
      </c>
      <c r="D55" s="337">
        <f t="shared" ref="D55:I55" si="70">SUM(D56:D63)</f>
        <v>144600</v>
      </c>
      <c r="E55" s="337">
        <f t="shared" si="70"/>
        <v>0</v>
      </c>
      <c r="F55" s="337">
        <f t="shared" si="70"/>
        <v>126708</v>
      </c>
      <c r="G55" s="337">
        <f t="shared" si="70"/>
        <v>0</v>
      </c>
      <c r="H55" s="337">
        <f t="shared" si="70"/>
        <v>107838</v>
      </c>
      <c r="I55" s="337">
        <f t="shared" si="70"/>
        <v>0</v>
      </c>
      <c r="J55" s="301">
        <f>SUM(J56:J63)</f>
        <v>457203</v>
      </c>
      <c r="K55" s="337">
        <f t="shared" ref="K55:P55" si="71">SUM(K56:K63)</f>
        <v>153130</v>
      </c>
      <c r="L55" s="337">
        <f t="shared" si="71"/>
        <v>0</v>
      </c>
      <c r="M55" s="337">
        <f t="shared" si="71"/>
        <v>151933</v>
      </c>
      <c r="N55" s="337">
        <f t="shared" si="71"/>
        <v>0</v>
      </c>
      <c r="O55" s="337">
        <f t="shared" si="71"/>
        <v>152140</v>
      </c>
      <c r="P55" s="337">
        <f t="shared" si="71"/>
        <v>0</v>
      </c>
      <c r="Q55" s="301">
        <f>SUM(Q56:Q63)</f>
        <v>412369</v>
      </c>
      <c r="R55" s="337">
        <f t="shared" ref="R55:W55" si="72">SUM(R56:R63)</f>
        <v>116910</v>
      </c>
      <c r="S55" s="337">
        <f t="shared" si="72"/>
        <v>0</v>
      </c>
      <c r="T55" s="337">
        <f t="shared" si="72"/>
        <v>114600</v>
      </c>
      <c r="U55" s="337">
        <f t="shared" si="72"/>
        <v>0</v>
      </c>
      <c r="V55" s="337">
        <f t="shared" si="72"/>
        <v>180859</v>
      </c>
      <c r="W55" s="337">
        <f t="shared" si="72"/>
        <v>0</v>
      </c>
      <c r="X55" s="301">
        <f>SUM(X56:X63)</f>
        <v>587409</v>
      </c>
      <c r="Y55" s="337">
        <f t="shared" ref="Y55:AD55" si="73">SUM(Y56:Y63)</f>
        <v>163103</v>
      </c>
      <c r="Z55" s="337">
        <f t="shared" si="73"/>
        <v>0</v>
      </c>
      <c r="AA55" s="337">
        <f t="shared" si="73"/>
        <v>223650</v>
      </c>
      <c r="AB55" s="337">
        <f t="shared" si="73"/>
        <v>0</v>
      </c>
      <c r="AC55" s="337">
        <f t="shared" si="73"/>
        <v>200656</v>
      </c>
      <c r="AD55" s="337">
        <f t="shared" si="73"/>
        <v>0</v>
      </c>
      <c r="AE55" s="337">
        <f>SUM(AE56:AE63)</f>
        <v>1836127</v>
      </c>
      <c r="AF55" s="31"/>
      <c r="AG55" s="36"/>
      <c r="AH55" s="31"/>
    </row>
    <row r="56" spans="1:34" s="45" customFormat="1" ht="21" customHeight="1">
      <c r="A56" s="94">
        <v>2231</v>
      </c>
      <c r="B56" s="84" t="s">
        <v>111</v>
      </c>
      <c r="C56" s="333">
        <f>D56+F56+H56</f>
        <v>5000</v>
      </c>
      <c r="D56" s="335">
        <v>500</v>
      </c>
      <c r="E56" s="335"/>
      <c r="F56" s="335">
        <v>1500</v>
      </c>
      <c r="G56" s="335"/>
      <c r="H56" s="335">
        <v>3000</v>
      </c>
      <c r="I56" s="335"/>
      <c r="J56" s="333">
        <f>K56+M56+O56</f>
        <v>8000</v>
      </c>
      <c r="K56" s="335">
        <v>3000</v>
      </c>
      <c r="L56" s="335"/>
      <c r="M56" s="335">
        <v>2000</v>
      </c>
      <c r="N56" s="335"/>
      <c r="O56" s="335">
        <v>3000</v>
      </c>
      <c r="P56" s="335"/>
      <c r="Q56" s="333">
        <f>R56+T56+V56</f>
        <v>10000</v>
      </c>
      <c r="R56" s="335">
        <v>3500</v>
      </c>
      <c r="S56" s="335"/>
      <c r="T56" s="335">
        <v>3500</v>
      </c>
      <c r="U56" s="335"/>
      <c r="V56" s="335">
        <v>3000</v>
      </c>
      <c r="W56" s="335"/>
      <c r="X56" s="333">
        <f>Y56+AA56+AC56</f>
        <v>5956</v>
      </c>
      <c r="Y56" s="335">
        <v>1000</v>
      </c>
      <c r="Z56" s="335"/>
      <c r="AA56" s="335">
        <f>13000-12000</f>
        <v>1000</v>
      </c>
      <c r="AB56" s="335"/>
      <c r="AC56" s="335">
        <v>3956</v>
      </c>
      <c r="AD56" s="335"/>
      <c r="AE56" s="339">
        <f>C56+J56+Q56+X56</f>
        <v>28956</v>
      </c>
      <c r="AF56" s="31"/>
      <c r="AG56" s="31"/>
      <c r="AH56" s="31"/>
    </row>
    <row r="57" spans="1:34" s="6" customFormat="1" ht="30" customHeight="1">
      <c r="A57" s="94">
        <v>2232</v>
      </c>
      <c r="B57" s="98" t="s">
        <v>112</v>
      </c>
      <c r="C57" s="333">
        <f t="shared" ref="C57:C63" si="74">D57+F57+H57</f>
        <v>17000</v>
      </c>
      <c r="D57" s="335">
        <v>3000</v>
      </c>
      <c r="E57" s="335"/>
      <c r="F57" s="335">
        <v>7000</v>
      </c>
      <c r="G57" s="335"/>
      <c r="H57" s="335">
        <v>7000</v>
      </c>
      <c r="I57" s="335"/>
      <c r="J57" s="333">
        <f t="shared" ref="J57:J63" si="75">K57+M57+O57</f>
        <v>20000</v>
      </c>
      <c r="K57" s="335">
        <v>7000</v>
      </c>
      <c r="L57" s="335"/>
      <c r="M57" s="335">
        <v>7000</v>
      </c>
      <c r="N57" s="335"/>
      <c r="O57" s="335">
        <v>6000</v>
      </c>
      <c r="P57" s="335"/>
      <c r="Q57" s="333">
        <f t="shared" ref="Q57:Q63" si="76">R57+T57+V57</f>
        <v>25000</v>
      </c>
      <c r="R57" s="338">
        <v>9000</v>
      </c>
      <c r="S57" s="335"/>
      <c r="T57" s="335">
        <v>9000</v>
      </c>
      <c r="U57" s="335"/>
      <c r="V57" s="335">
        <v>7000</v>
      </c>
      <c r="W57" s="335"/>
      <c r="X57" s="333">
        <f t="shared" ref="X57:X63" si="77">Y57+AA57+AC57</f>
        <v>18365</v>
      </c>
      <c r="Y57" s="335">
        <v>4365</v>
      </c>
      <c r="Z57" s="335"/>
      <c r="AA57" s="335">
        <v>9000</v>
      </c>
      <c r="AB57" s="335"/>
      <c r="AC57" s="335">
        <v>5000</v>
      </c>
      <c r="AD57" s="335"/>
      <c r="AE57" s="339">
        <f t="shared" ref="AE57:AE63" si="78">C57+J57+Q57+X57</f>
        <v>80365</v>
      </c>
      <c r="AF57" s="31"/>
      <c r="AG57" s="31"/>
      <c r="AH57" s="31"/>
    </row>
    <row r="58" spans="1:34" s="6" customFormat="1" ht="18.75" hidden="1" customHeight="1">
      <c r="A58" s="94">
        <v>2233</v>
      </c>
      <c r="B58" s="84" t="s">
        <v>39</v>
      </c>
      <c r="C58" s="333">
        <f t="shared" si="74"/>
        <v>0</v>
      </c>
      <c r="D58" s="335"/>
      <c r="E58" s="335"/>
      <c r="F58" s="335"/>
      <c r="G58" s="335"/>
      <c r="H58" s="335"/>
      <c r="I58" s="335"/>
      <c r="J58" s="333">
        <f t="shared" si="75"/>
        <v>0</v>
      </c>
      <c r="K58" s="335"/>
      <c r="L58" s="335"/>
      <c r="M58" s="335"/>
      <c r="N58" s="335"/>
      <c r="O58" s="335"/>
      <c r="P58" s="335"/>
      <c r="Q58" s="333">
        <f t="shared" si="76"/>
        <v>0</v>
      </c>
      <c r="R58" s="335"/>
      <c r="S58" s="335"/>
      <c r="T58" s="335"/>
      <c r="U58" s="335"/>
      <c r="V58" s="335"/>
      <c r="W58" s="335"/>
      <c r="X58" s="333">
        <f t="shared" si="77"/>
        <v>0</v>
      </c>
      <c r="Y58" s="335"/>
      <c r="Z58" s="335"/>
      <c r="AA58" s="335"/>
      <c r="AB58" s="335"/>
      <c r="AC58" s="335"/>
      <c r="AD58" s="335"/>
      <c r="AE58" s="339">
        <f t="shared" si="78"/>
        <v>0</v>
      </c>
      <c r="AF58" s="31"/>
      <c r="AG58" s="31"/>
      <c r="AH58" s="31"/>
    </row>
    <row r="59" spans="1:34" s="45" customFormat="1" ht="30" hidden="1" customHeight="1">
      <c r="A59" s="94">
        <v>2234</v>
      </c>
      <c r="B59" s="84" t="s">
        <v>40</v>
      </c>
      <c r="C59" s="333">
        <f t="shared" si="74"/>
        <v>0</v>
      </c>
      <c r="D59" s="335"/>
      <c r="E59" s="335"/>
      <c r="F59" s="335"/>
      <c r="G59" s="335"/>
      <c r="H59" s="335"/>
      <c r="I59" s="335"/>
      <c r="J59" s="333">
        <f t="shared" si="75"/>
        <v>0</v>
      </c>
      <c r="K59" s="335"/>
      <c r="L59" s="335"/>
      <c r="M59" s="335"/>
      <c r="N59" s="335"/>
      <c r="O59" s="335"/>
      <c r="P59" s="335"/>
      <c r="Q59" s="333">
        <f t="shared" si="76"/>
        <v>0</v>
      </c>
      <c r="R59" s="335"/>
      <c r="S59" s="335"/>
      <c r="T59" s="335"/>
      <c r="U59" s="335"/>
      <c r="V59" s="335"/>
      <c r="W59" s="335"/>
      <c r="X59" s="333">
        <f t="shared" si="77"/>
        <v>0</v>
      </c>
      <c r="Y59" s="335"/>
      <c r="Z59" s="335"/>
      <c r="AA59" s="335"/>
      <c r="AB59" s="335"/>
      <c r="AC59" s="335"/>
      <c r="AD59" s="335"/>
      <c r="AE59" s="339">
        <f t="shared" si="78"/>
        <v>0</v>
      </c>
      <c r="AF59" s="31"/>
      <c r="AG59" s="31"/>
      <c r="AH59" s="31"/>
    </row>
    <row r="60" spans="1:34" s="45" customFormat="1" ht="21" customHeight="1">
      <c r="A60" s="94">
        <v>2235</v>
      </c>
      <c r="B60" s="84" t="s">
        <v>41</v>
      </c>
      <c r="C60" s="333">
        <f t="shared" si="74"/>
        <v>6000</v>
      </c>
      <c r="D60" s="335">
        <v>1000</v>
      </c>
      <c r="E60" s="335"/>
      <c r="F60" s="335">
        <v>2000</v>
      </c>
      <c r="G60" s="335"/>
      <c r="H60" s="335">
        <v>3000</v>
      </c>
      <c r="I60" s="335"/>
      <c r="J60" s="333">
        <f t="shared" si="75"/>
        <v>11000</v>
      </c>
      <c r="K60" s="335">
        <v>5000</v>
      </c>
      <c r="L60" s="335"/>
      <c r="M60" s="335">
        <v>3000</v>
      </c>
      <c r="N60" s="335"/>
      <c r="O60" s="335">
        <v>3000</v>
      </c>
      <c r="P60" s="335"/>
      <c r="Q60" s="333">
        <f t="shared" si="76"/>
        <v>8567</v>
      </c>
      <c r="R60" s="335">
        <v>3567</v>
      </c>
      <c r="S60" s="335"/>
      <c r="T60" s="335">
        <v>2000</v>
      </c>
      <c r="U60" s="335"/>
      <c r="V60" s="335">
        <v>3000</v>
      </c>
      <c r="W60" s="335"/>
      <c r="X60" s="333">
        <f t="shared" si="77"/>
        <v>9000</v>
      </c>
      <c r="Y60" s="335">
        <v>2000</v>
      </c>
      <c r="Z60" s="335"/>
      <c r="AA60" s="335">
        <v>4000</v>
      </c>
      <c r="AB60" s="335"/>
      <c r="AC60" s="335">
        <v>3000</v>
      </c>
      <c r="AD60" s="335"/>
      <c r="AE60" s="339">
        <f t="shared" si="78"/>
        <v>34567</v>
      </c>
      <c r="AF60" s="31"/>
      <c r="AG60" s="31"/>
      <c r="AH60" s="31"/>
    </row>
    <row r="61" spans="1:34" s="45" customFormat="1" ht="19.5" customHeight="1">
      <c r="A61" s="94">
        <v>2236</v>
      </c>
      <c r="B61" s="84" t="s">
        <v>148</v>
      </c>
      <c r="C61" s="333">
        <f t="shared" si="74"/>
        <v>500</v>
      </c>
      <c r="D61" s="335">
        <v>100</v>
      </c>
      <c r="E61" s="335"/>
      <c r="F61" s="335">
        <v>200</v>
      </c>
      <c r="G61" s="335"/>
      <c r="H61" s="335">
        <v>200</v>
      </c>
      <c r="I61" s="335"/>
      <c r="J61" s="333">
        <f t="shared" si="75"/>
        <v>400</v>
      </c>
      <c r="K61" s="335">
        <v>130</v>
      </c>
      <c r="L61" s="335"/>
      <c r="M61" s="335">
        <v>130</v>
      </c>
      <c r="N61" s="335"/>
      <c r="O61" s="335">
        <v>140</v>
      </c>
      <c r="P61" s="335"/>
      <c r="Q61" s="333">
        <f t="shared" si="76"/>
        <v>400</v>
      </c>
      <c r="R61" s="335">
        <v>200</v>
      </c>
      <c r="S61" s="335"/>
      <c r="T61" s="335">
        <v>100</v>
      </c>
      <c r="U61" s="335"/>
      <c r="V61" s="335">
        <v>100</v>
      </c>
      <c r="W61" s="335"/>
      <c r="X61" s="333">
        <f t="shared" si="77"/>
        <v>500</v>
      </c>
      <c r="Y61" s="335">
        <v>150</v>
      </c>
      <c r="Z61" s="335"/>
      <c r="AA61" s="335">
        <v>150</v>
      </c>
      <c r="AB61" s="335"/>
      <c r="AC61" s="335">
        <v>200</v>
      </c>
      <c r="AD61" s="335"/>
      <c r="AE61" s="339">
        <f t="shared" si="78"/>
        <v>1800</v>
      </c>
      <c r="AF61" s="31"/>
      <c r="AG61" s="31"/>
      <c r="AH61" s="31"/>
    </row>
    <row r="62" spans="1:34" s="45" customFormat="1" ht="28.5" hidden="1" customHeight="1">
      <c r="A62" s="94">
        <v>2238</v>
      </c>
      <c r="B62" s="84" t="s">
        <v>113</v>
      </c>
      <c r="C62" s="333">
        <f t="shared" si="74"/>
        <v>0</v>
      </c>
      <c r="D62" s="335"/>
      <c r="E62" s="335"/>
      <c r="F62" s="335"/>
      <c r="G62" s="335"/>
      <c r="H62" s="335"/>
      <c r="I62" s="335"/>
      <c r="J62" s="333">
        <f t="shared" si="75"/>
        <v>0</v>
      </c>
      <c r="K62" s="335"/>
      <c r="L62" s="335"/>
      <c r="M62" s="335"/>
      <c r="N62" s="335"/>
      <c r="O62" s="335"/>
      <c r="P62" s="335"/>
      <c r="Q62" s="333">
        <f t="shared" si="76"/>
        <v>0</v>
      </c>
      <c r="R62" s="335"/>
      <c r="S62" s="335"/>
      <c r="T62" s="335"/>
      <c r="U62" s="335"/>
      <c r="V62" s="335"/>
      <c r="W62" s="335"/>
      <c r="X62" s="333">
        <f t="shared" si="77"/>
        <v>0</v>
      </c>
      <c r="Y62" s="335"/>
      <c r="Z62" s="335"/>
      <c r="AA62" s="335"/>
      <c r="AB62" s="335"/>
      <c r="AC62" s="335"/>
      <c r="AD62" s="335"/>
      <c r="AE62" s="339">
        <f t="shared" si="78"/>
        <v>0</v>
      </c>
      <c r="AF62" s="31"/>
      <c r="AG62" s="31"/>
      <c r="AH62" s="31"/>
    </row>
    <row r="63" spans="1:34" s="45" customFormat="1" ht="19.5" customHeight="1">
      <c r="A63" s="94">
        <v>2239</v>
      </c>
      <c r="B63" s="84" t="s">
        <v>126</v>
      </c>
      <c r="C63" s="333">
        <f t="shared" si="74"/>
        <v>350646</v>
      </c>
      <c r="D63" s="335">
        <f>60000+80000</f>
        <v>140000</v>
      </c>
      <c r="E63" s="335"/>
      <c r="F63" s="335">
        <f>26008+90000</f>
        <v>116008</v>
      </c>
      <c r="G63" s="335"/>
      <c r="H63" s="335">
        <f>14638+80000</f>
        <v>94638</v>
      </c>
      <c r="I63" s="335"/>
      <c r="J63" s="333">
        <f t="shared" si="75"/>
        <v>417803</v>
      </c>
      <c r="K63" s="335">
        <f>38000+100000</f>
        <v>138000</v>
      </c>
      <c r="L63" s="335"/>
      <c r="M63" s="335">
        <f>39000+100000+803</f>
        <v>139803</v>
      </c>
      <c r="N63" s="335"/>
      <c r="O63" s="335">
        <f>40000+100000</f>
        <v>140000</v>
      </c>
      <c r="P63" s="335"/>
      <c r="Q63" s="333">
        <f t="shared" si="76"/>
        <v>368402</v>
      </c>
      <c r="R63" s="338">
        <f>20643+80000</f>
        <v>100643</v>
      </c>
      <c r="S63" s="335"/>
      <c r="T63" s="338">
        <f>40000+60000</f>
        <v>100000</v>
      </c>
      <c r="U63" s="335"/>
      <c r="V63" s="338">
        <f>64357+103402</f>
        <v>167759</v>
      </c>
      <c r="W63" s="335"/>
      <c r="X63" s="333">
        <f t="shared" si="77"/>
        <v>553588</v>
      </c>
      <c r="Y63" s="338">
        <f>20000+135588</f>
        <v>155588</v>
      </c>
      <c r="Z63" s="335"/>
      <c r="AA63" s="338">
        <f>49500+160000</f>
        <v>209500</v>
      </c>
      <c r="AB63" s="335"/>
      <c r="AC63" s="338">
        <f>38500+150000</f>
        <v>188500</v>
      </c>
      <c r="AD63" s="335"/>
      <c r="AE63" s="339">
        <f t="shared" si="78"/>
        <v>1690439</v>
      </c>
      <c r="AF63" s="31"/>
      <c r="AG63" s="31"/>
      <c r="AH63" s="31"/>
    </row>
    <row r="64" spans="1:34" s="45" customFormat="1" ht="26.25" customHeight="1">
      <c r="A64" s="104">
        <v>2240</v>
      </c>
      <c r="B64" s="84" t="s">
        <v>114</v>
      </c>
      <c r="C64" s="301">
        <f>SUM(C65:C70)</f>
        <v>68600</v>
      </c>
      <c r="D64" s="337">
        <f t="shared" ref="D64:I64" si="79">SUM(D65:D70)</f>
        <v>23000</v>
      </c>
      <c r="E64" s="337">
        <f t="shared" si="79"/>
        <v>0</v>
      </c>
      <c r="F64" s="337">
        <f t="shared" si="79"/>
        <v>22200</v>
      </c>
      <c r="G64" s="337">
        <f t="shared" si="79"/>
        <v>0</v>
      </c>
      <c r="H64" s="337">
        <f t="shared" si="79"/>
        <v>23400</v>
      </c>
      <c r="I64" s="337">
        <f t="shared" si="79"/>
        <v>0</v>
      </c>
      <c r="J64" s="301">
        <f>SUM(J65:J70)</f>
        <v>73000</v>
      </c>
      <c r="K64" s="337">
        <f t="shared" ref="K64:P64" si="80">SUM(K65:K70)</f>
        <v>24650</v>
      </c>
      <c r="L64" s="337">
        <f t="shared" si="80"/>
        <v>0</v>
      </c>
      <c r="M64" s="337">
        <f t="shared" si="80"/>
        <v>25400</v>
      </c>
      <c r="N64" s="337">
        <f t="shared" si="80"/>
        <v>0</v>
      </c>
      <c r="O64" s="337">
        <f t="shared" si="80"/>
        <v>22950</v>
      </c>
      <c r="P64" s="337">
        <f t="shared" si="80"/>
        <v>0</v>
      </c>
      <c r="Q64" s="301">
        <f>SUM(Q65:Q70)</f>
        <v>92034</v>
      </c>
      <c r="R64" s="337">
        <f t="shared" ref="R64:W64" si="81">SUM(R65:R70)</f>
        <v>35734</v>
      </c>
      <c r="S64" s="337">
        <f t="shared" si="81"/>
        <v>0</v>
      </c>
      <c r="T64" s="337">
        <f t="shared" si="81"/>
        <v>27800</v>
      </c>
      <c r="U64" s="337">
        <f t="shared" si="81"/>
        <v>0</v>
      </c>
      <c r="V64" s="337">
        <f t="shared" si="81"/>
        <v>28500</v>
      </c>
      <c r="W64" s="337">
        <f t="shared" si="81"/>
        <v>0</v>
      </c>
      <c r="X64" s="301">
        <f>SUM(X65:X70)</f>
        <v>71831</v>
      </c>
      <c r="Y64" s="337">
        <f t="shared" ref="Y64:AD64" si="82">SUM(Y65:Y70)</f>
        <v>21000</v>
      </c>
      <c r="Z64" s="337">
        <f t="shared" si="82"/>
        <v>0</v>
      </c>
      <c r="AA64" s="337">
        <f t="shared" si="82"/>
        <v>27251</v>
      </c>
      <c r="AB64" s="337">
        <f t="shared" si="82"/>
        <v>0</v>
      </c>
      <c r="AC64" s="337">
        <f t="shared" si="82"/>
        <v>23580</v>
      </c>
      <c r="AD64" s="337">
        <f t="shared" si="82"/>
        <v>0</v>
      </c>
      <c r="AE64" s="337">
        <f>SUM(AE65:AE70)</f>
        <v>305465</v>
      </c>
      <c r="AF64" s="31"/>
      <c r="AG64" s="36"/>
      <c r="AH64" s="31"/>
    </row>
    <row r="65" spans="1:34" s="45" customFormat="1" ht="18" customHeight="1">
      <c r="A65" s="94">
        <v>2241</v>
      </c>
      <c r="B65" s="98" t="s">
        <v>115</v>
      </c>
      <c r="C65" s="333">
        <f t="shared" ref="C65:C70" si="83">D65+F65+H65</f>
        <v>2000</v>
      </c>
      <c r="D65" s="335">
        <v>1000</v>
      </c>
      <c r="E65" s="335"/>
      <c r="F65" s="335">
        <v>500</v>
      </c>
      <c r="G65" s="335"/>
      <c r="H65" s="335">
        <v>500</v>
      </c>
      <c r="I65" s="335"/>
      <c r="J65" s="333">
        <f t="shared" ref="J65:J70" si="84">K65+M65+O65</f>
        <v>8000</v>
      </c>
      <c r="K65" s="335">
        <v>2000</v>
      </c>
      <c r="L65" s="335"/>
      <c r="M65" s="335">
        <v>4000</v>
      </c>
      <c r="N65" s="335"/>
      <c r="O65" s="335">
        <v>2000</v>
      </c>
      <c r="P65" s="335"/>
      <c r="Q65" s="333">
        <f t="shared" ref="Q65:Q70" si="85">R65+T65+V65</f>
        <v>23574</v>
      </c>
      <c r="R65" s="335">
        <v>12574</v>
      </c>
      <c r="S65" s="335"/>
      <c r="T65" s="335">
        <v>5000</v>
      </c>
      <c r="U65" s="335"/>
      <c r="V65" s="335">
        <v>6000</v>
      </c>
      <c r="W65" s="335"/>
      <c r="X65" s="333">
        <f t="shared" ref="X65:X70" si="86">Y65+AA65+AC65</f>
        <v>10000</v>
      </c>
      <c r="Y65" s="335">
        <v>2500</v>
      </c>
      <c r="Z65" s="335"/>
      <c r="AA65" s="335">
        <v>5000</v>
      </c>
      <c r="AB65" s="335"/>
      <c r="AC65" s="335">
        <v>2500</v>
      </c>
      <c r="AD65" s="335"/>
      <c r="AE65" s="339">
        <f t="shared" ref="AE65:AE70" si="87">C65+J65+Q65+X65</f>
        <v>43574</v>
      </c>
      <c r="AF65" s="31"/>
      <c r="AG65" s="31"/>
      <c r="AH65" s="31"/>
    </row>
    <row r="66" spans="1:34" s="45" customFormat="1" ht="18" customHeight="1">
      <c r="A66" s="94">
        <v>2242</v>
      </c>
      <c r="B66" s="84" t="s">
        <v>42</v>
      </c>
      <c r="C66" s="333">
        <f t="shared" si="83"/>
        <v>4000</v>
      </c>
      <c r="D66" s="335">
        <v>1000</v>
      </c>
      <c r="E66" s="335"/>
      <c r="F66" s="335">
        <v>1500</v>
      </c>
      <c r="G66" s="335"/>
      <c r="H66" s="335">
        <v>1500</v>
      </c>
      <c r="I66" s="335"/>
      <c r="J66" s="333">
        <f t="shared" si="84"/>
        <v>4000</v>
      </c>
      <c r="K66" s="335">
        <v>1500</v>
      </c>
      <c r="L66" s="335"/>
      <c r="M66" s="335">
        <v>1500</v>
      </c>
      <c r="N66" s="335"/>
      <c r="O66" s="335">
        <v>1000</v>
      </c>
      <c r="P66" s="335"/>
      <c r="Q66" s="333">
        <f t="shared" si="85"/>
        <v>3299</v>
      </c>
      <c r="R66" s="335">
        <v>1299</v>
      </c>
      <c r="S66" s="335"/>
      <c r="T66" s="335">
        <v>1000</v>
      </c>
      <c r="U66" s="335"/>
      <c r="V66" s="335">
        <v>1000</v>
      </c>
      <c r="W66" s="335"/>
      <c r="X66" s="333">
        <f t="shared" si="86"/>
        <v>3000</v>
      </c>
      <c r="Y66" s="335">
        <v>1000</v>
      </c>
      <c r="Z66" s="335"/>
      <c r="AA66" s="335">
        <v>1000</v>
      </c>
      <c r="AB66" s="335"/>
      <c r="AC66" s="335">
        <v>1000</v>
      </c>
      <c r="AD66" s="335"/>
      <c r="AE66" s="339">
        <f t="shared" si="87"/>
        <v>14299</v>
      </c>
      <c r="AF66" s="31"/>
      <c r="AG66" s="31"/>
      <c r="AH66" s="31"/>
    </row>
    <row r="67" spans="1:34" s="45" customFormat="1" ht="15.75" customHeight="1">
      <c r="A67" s="94">
        <v>2243</v>
      </c>
      <c r="B67" s="84" t="s">
        <v>43</v>
      </c>
      <c r="C67" s="333">
        <f t="shared" si="83"/>
        <v>5000</v>
      </c>
      <c r="D67" s="335">
        <v>1000</v>
      </c>
      <c r="E67" s="335"/>
      <c r="F67" s="335">
        <v>1500</v>
      </c>
      <c r="G67" s="335"/>
      <c r="H67" s="335">
        <v>2500</v>
      </c>
      <c r="I67" s="335"/>
      <c r="J67" s="333">
        <f t="shared" si="84"/>
        <v>6000</v>
      </c>
      <c r="K67" s="335">
        <v>2000</v>
      </c>
      <c r="L67" s="335"/>
      <c r="M67" s="335">
        <v>2000</v>
      </c>
      <c r="N67" s="335"/>
      <c r="O67" s="335">
        <v>2000</v>
      </c>
      <c r="P67" s="335"/>
      <c r="Q67" s="333">
        <f t="shared" si="85"/>
        <v>5361</v>
      </c>
      <c r="R67" s="335">
        <v>1361</v>
      </c>
      <c r="S67" s="335"/>
      <c r="T67" s="335">
        <v>2000</v>
      </c>
      <c r="U67" s="335"/>
      <c r="V67" s="335">
        <v>2000</v>
      </c>
      <c r="W67" s="335"/>
      <c r="X67" s="333">
        <f t="shared" si="86"/>
        <v>5000</v>
      </c>
      <c r="Y67" s="335">
        <v>1500</v>
      </c>
      <c r="Z67" s="335"/>
      <c r="AA67" s="335">
        <v>1500</v>
      </c>
      <c r="AB67" s="335"/>
      <c r="AC67" s="335">
        <v>2000</v>
      </c>
      <c r="AD67" s="335"/>
      <c r="AE67" s="339">
        <f t="shared" si="87"/>
        <v>21361</v>
      </c>
      <c r="AF67" s="31"/>
      <c r="AG67" s="31"/>
      <c r="AH67" s="31"/>
    </row>
    <row r="68" spans="1:34" s="45" customFormat="1" ht="18" customHeight="1">
      <c r="A68" s="94">
        <v>2244</v>
      </c>
      <c r="B68" s="98" t="s">
        <v>116</v>
      </c>
      <c r="C68" s="333">
        <f t="shared" si="83"/>
        <v>37000</v>
      </c>
      <c r="D68" s="335">
        <v>12300</v>
      </c>
      <c r="E68" s="335"/>
      <c r="F68" s="335">
        <v>12300</v>
      </c>
      <c r="G68" s="335"/>
      <c r="H68" s="335">
        <v>12400</v>
      </c>
      <c r="I68" s="335"/>
      <c r="J68" s="333">
        <f t="shared" si="84"/>
        <v>34000</v>
      </c>
      <c r="K68" s="335">
        <v>12000</v>
      </c>
      <c r="L68" s="335"/>
      <c r="M68" s="335">
        <v>11000</v>
      </c>
      <c r="N68" s="335"/>
      <c r="O68" s="335">
        <v>11000</v>
      </c>
      <c r="P68" s="335"/>
      <c r="Q68" s="333">
        <f t="shared" si="85"/>
        <v>35000</v>
      </c>
      <c r="R68" s="335">
        <v>12000</v>
      </c>
      <c r="S68" s="335"/>
      <c r="T68" s="335">
        <v>12000</v>
      </c>
      <c r="U68" s="335"/>
      <c r="V68" s="335">
        <v>11000</v>
      </c>
      <c r="W68" s="335"/>
      <c r="X68" s="333">
        <f t="shared" si="86"/>
        <v>32751</v>
      </c>
      <c r="Y68" s="335">
        <v>10000</v>
      </c>
      <c r="Z68" s="335"/>
      <c r="AA68" s="335">
        <v>11751</v>
      </c>
      <c r="AB68" s="335"/>
      <c r="AC68" s="335">
        <v>11000</v>
      </c>
      <c r="AD68" s="335"/>
      <c r="AE68" s="339">
        <f t="shared" si="87"/>
        <v>138751</v>
      </c>
      <c r="AF68" s="31"/>
      <c r="AG68" s="31"/>
      <c r="AH68" s="31"/>
    </row>
    <row r="69" spans="1:34" s="45" customFormat="1" ht="15.75" customHeight="1">
      <c r="A69" s="94">
        <v>2247</v>
      </c>
      <c r="B69" s="84" t="s">
        <v>44</v>
      </c>
      <c r="C69" s="333">
        <f t="shared" si="83"/>
        <v>1800</v>
      </c>
      <c r="D69" s="335">
        <v>1500</v>
      </c>
      <c r="E69" s="335"/>
      <c r="F69" s="335">
        <v>200</v>
      </c>
      <c r="G69" s="335"/>
      <c r="H69" s="335">
        <v>100</v>
      </c>
      <c r="I69" s="335"/>
      <c r="J69" s="333">
        <f t="shared" si="84"/>
        <v>1000</v>
      </c>
      <c r="K69" s="335">
        <v>350</v>
      </c>
      <c r="L69" s="335"/>
      <c r="M69" s="335">
        <v>300</v>
      </c>
      <c r="N69" s="335"/>
      <c r="O69" s="335">
        <v>350</v>
      </c>
      <c r="P69" s="335"/>
      <c r="Q69" s="333">
        <f t="shared" si="85"/>
        <v>2200</v>
      </c>
      <c r="R69" s="335">
        <v>900</v>
      </c>
      <c r="S69" s="335"/>
      <c r="T69" s="335">
        <v>800</v>
      </c>
      <c r="U69" s="335"/>
      <c r="V69" s="335">
        <v>500</v>
      </c>
      <c r="W69" s="335"/>
      <c r="X69" s="333">
        <f t="shared" si="86"/>
        <v>4080</v>
      </c>
      <c r="Y69" s="335">
        <v>1000</v>
      </c>
      <c r="Z69" s="335"/>
      <c r="AA69" s="335">
        <v>1000</v>
      </c>
      <c r="AB69" s="335"/>
      <c r="AC69" s="335">
        <v>2080</v>
      </c>
      <c r="AD69" s="335"/>
      <c r="AE69" s="339">
        <f t="shared" si="87"/>
        <v>9080</v>
      </c>
      <c r="AF69" s="31"/>
      <c r="AG69" s="31"/>
      <c r="AH69" s="31"/>
    </row>
    <row r="70" spans="1:34" s="45" customFormat="1" ht="16.5" customHeight="1">
      <c r="A70" s="94">
        <v>2249</v>
      </c>
      <c r="B70" s="84" t="s">
        <v>45</v>
      </c>
      <c r="C70" s="333">
        <f t="shared" si="83"/>
        <v>18800</v>
      </c>
      <c r="D70" s="335">
        <v>6200</v>
      </c>
      <c r="E70" s="335"/>
      <c r="F70" s="335">
        <v>6200</v>
      </c>
      <c r="G70" s="335"/>
      <c r="H70" s="335">
        <v>6400</v>
      </c>
      <c r="I70" s="335"/>
      <c r="J70" s="333">
        <f t="shared" si="84"/>
        <v>20000</v>
      </c>
      <c r="K70" s="335">
        <v>6800</v>
      </c>
      <c r="L70" s="335"/>
      <c r="M70" s="335">
        <v>6600</v>
      </c>
      <c r="N70" s="335"/>
      <c r="O70" s="335">
        <v>6600</v>
      </c>
      <c r="P70" s="335"/>
      <c r="Q70" s="333">
        <f t="shared" si="85"/>
        <v>22600</v>
      </c>
      <c r="R70" s="335">
        <v>7600</v>
      </c>
      <c r="S70" s="335"/>
      <c r="T70" s="335">
        <v>7000</v>
      </c>
      <c r="U70" s="335"/>
      <c r="V70" s="335">
        <v>8000</v>
      </c>
      <c r="W70" s="335"/>
      <c r="X70" s="333">
        <f t="shared" si="86"/>
        <v>17000</v>
      </c>
      <c r="Y70" s="335">
        <v>5000</v>
      </c>
      <c r="Z70" s="335"/>
      <c r="AA70" s="335">
        <v>7000</v>
      </c>
      <c r="AB70" s="335"/>
      <c r="AC70" s="335">
        <v>5000</v>
      </c>
      <c r="AD70" s="335"/>
      <c r="AE70" s="339">
        <f t="shared" si="87"/>
        <v>78400</v>
      </c>
      <c r="AF70" s="31"/>
      <c r="AG70" s="31"/>
      <c r="AH70" s="31"/>
    </row>
    <row r="71" spans="1:34" s="6" customFormat="1" ht="14.25" customHeight="1">
      <c r="A71" s="104">
        <v>2250</v>
      </c>
      <c r="B71" s="84" t="s">
        <v>46</v>
      </c>
      <c r="C71" s="301">
        <f>SUM(C72:C73)</f>
        <v>55000</v>
      </c>
      <c r="D71" s="337">
        <f t="shared" ref="D71:I71" si="88">SUM(D72:D73)</f>
        <v>15000</v>
      </c>
      <c r="E71" s="337">
        <f t="shared" si="88"/>
        <v>0</v>
      </c>
      <c r="F71" s="337">
        <f t="shared" si="88"/>
        <v>15000</v>
      </c>
      <c r="G71" s="337">
        <f t="shared" si="88"/>
        <v>0</v>
      </c>
      <c r="H71" s="337">
        <f t="shared" si="88"/>
        <v>25000</v>
      </c>
      <c r="I71" s="337">
        <f t="shared" si="88"/>
        <v>0</v>
      </c>
      <c r="J71" s="301">
        <f>SUM(J72:J73)</f>
        <v>56000</v>
      </c>
      <c r="K71" s="337">
        <f t="shared" ref="K71:P71" si="89">SUM(K72:K73)</f>
        <v>18000</v>
      </c>
      <c r="L71" s="337">
        <f t="shared" si="89"/>
        <v>0</v>
      </c>
      <c r="M71" s="337">
        <f t="shared" si="89"/>
        <v>18000</v>
      </c>
      <c r="N71" s="337">
        <f t="shared" si="89"/>
        <v>0</v>
      </c>
      <c r="O71" s="337">
        <f t="shared" si="89"/>
        <v>20000</v>
      </c>
      <c r="P71" s="337">
        <f t="shared" si="89"/>
        <v>0</v>
      </c>
      <c r="Q71" s="301">
        <f>SUM(Q72:Q73)</f>
        <v>39000</v>
      </c>
      <c r="R71" s="337">
        <f t="shared" ref="R71:W71" si="90">SUM(R72:R73)</f>
        <v>13000</v>
      </c>
      <c r="S71" s="337">
        <f t="shared" si="90"/>
        <v>0</v>
      </c>
      <c r="T71" s="337">
        <f t="shared" si="90"/>
        <v>13000</v>
      </c>
      <c r="U71" s="337">
        <f t="shared" si="90"/>
        <v>0</v>
      </c>
      <c r="V71" s="337">
        <f t="shared" si="90"/>
        <v>13000</v>
      </c>
      <c r="W71" s="337">
        <f t="shared" si="90"/>
        <v>0</v>
      </c>
      <c r="X71" s="301">
        <f>SUM(X72:X73)</f>
        <v>48720</v>
      </c>
      <c r="Y71" s="337">
        <f t="shared" ref="Y71:AD71" si="91">SUM(Y72:Y73)</f>
        <v>12000</v>
      </c>
      <c r="Z71" s="337">
        <f t="shared" si="91"/>
        <v>0</v>
      </c>
      <c r="AA71" s="337">
        <f t="shared" si="91"/>
        <v>18720</v>
      </c>
      <c r="AB71" s="337">
        <f t="shared" si="91"/>
        <v>0</v>
      </c>
      <c r="AC71" s="337">
        <f t="shared" si="91"/>
        <v>18000</v>
      </c>
      <c r="AD71" s="337">
        <f t="shared" si="91"/>
        <v>0</v>
      </c>
      <c r="AE71" s="337">
        <f>SUM(AE72:AE73)</f>
        <v>198720</v>
      </c>
      <c r="AF71" s="31"/>
      <c r="AG71" s="36"/>
      <c r="AH71" s="31"/>
    </row>
    <row r="72" spans="1:34" s="6" customFormat="1" ht="14.25" customHeight="1">
      <c r="A72" s="94">
        <v>2250</v>
      </c>
      <c r="B72" s="84" t="s">
        <v>47</v>
      </c>
      <c r="C72" s="333">
        <f>D72+F72+H72</f>
        <v>55000</v>
      </c>
      <c r="D72" s="335">
        <v>15000</v>
      </c>
      <c r="E72" s="335"/>
      <c r="F72" s="335">
        <v>15000</v>
      </c>
      <c r="G72" s="335"/>
      <c r="H72" s="335">
        <v>25000</v>
      </c>
      <c r="I72" s="335"/>
      <c r="J72" s="333">
        <f>K72+M72+O72</f>
        <v>56000</v>
      </c>
      <c r="K72" s="335">
        <v>18000</v>
      </c>
      <c r="L72" s="335"/>
      <c r="M72" s="335">
        <v>18000</v>
      </c>
      <c r="N72" s="335"/>
      <c r="O72" s="335">
        <v>20000</v>
      </c>
      <c r="P72" s="335"/>
      <c r="Q72" s="333">
        <f t="shared" ref="Q72:Q79" si="92">R72+T72+V72</f>
        <v>39000</v>
      </c>
      <c r="R72" s="335">
        <v>13000</v>
      </c>
      <c r="S72" s="335"/>
      <c r="T72" s="335">
        <v>13000</v>
      </c>
      <c r="U72" s="335"/>
      <c r="V72" s="335">
        <v>13000</v>
      </c>
      <c r="W72" s="335"/>
      <c r="X72" s="333">
        <f>Y72+AA72+AC72</f>
        <v>48720</v>
      </c>
      <c r="Y72" s="335">
        <v>12000</v>
      </c>
      <c r="Z72" s="335"/>
      <c r="AA72" s="335">
        <v>18720</v>
      </c>
      <c r="AB72" s="335"/>
      <c r="AC72" s="335">
        <v>18000</v>
      </c>
      <c r="AD72" s="335"/>
      <c r="AE72" s="339">
        <f>C72+J72+Q72+X72</f>
        <v>198720</v>
      </c>
      <c r="AF72" s="31"/>
      <c r="AG72" s="31"/>
      <c r="AH72" s="31"/>
    </row>
    <row r="73" spans="1:34" s="6" customFormat="1" ht="14.25" customHeight="1">
      <c r="A73" s="94">
        <v>2259</v>
      </c>
      <c r="B73" s="98" t="s">
        <v>48</v>
      </c>
      <c r="C73" s="333">
        <f>D73+F73+H73</f>
        <v>0</v>
      </c>
      <c r="D73" s="335"/>
      <c r="E73" s="335"/>
      <c r="F73" s="335"/>
      <c r="G73" s="335"/>
      <c r="H73" s="335"/>
      <c r="I73" s="335"/>
      <c r="J73" s="333">
        <f>K73+M73+O73</f>
        <v>0</v>
      </c>
      <c r="K73" s="335"/>
      <c r="L73" s="335"/>
      <c r="M73" s="335"/>
      <c r="N73" s="335"/>
      <c r="O73" s="335"/>
      <c r="P73" s="335"/>
      <c r="Q73" s="333">
        <f t="shared" si="92"/>
        <v>0</v>
      </c>
      <c r="R73" s="335"/>
      <c r="S73" s="335"/>
      <c r="T73" s="335"/>
      <c r="U73" s="335"/>
      <c r="V73" s="335"/>
      <c r="W73" s="335"/>
      <c r="X73" s="333">
        <f>Y73+AA73+AC73</f>
        <v>0</v>
      </c>
      <c r="Y73" s="335"/>
      <c r="Z73" s="335"/>
      <c r="AA73" s="335"/>
      <c r="AB73" s="335"/>
      <c r="AC73" s="335"/>
      <c r="AD73" s="335"/>
      <c r="AE73" s="340">
        <f>C73+J73+Q73+X73</f>
        <v>0</v>
      </c>
      <c r="AF73" s="31"/>
      <c r="AG73" s="31"/>
      <c r="AH73" s="31"/>
    </row>
    <row r="74" spans="1:34" s="45" customFormat="1" ht="14.25" customHeight="1">
      <c r="A74" s="104">
        <v>2260</v>
      </c>
      <c r="B74" s="84" t="s">
        <v>49</v>
      </c>
      <c r="C74" s="301">
        <f>SUM(C75:C79)</f>
        <v>106920</v>
      </c>
      <c r="D74" s="337">
        <f t="shared" ref="D74:I74" si="93">SUM(D75:D79)</f>
        <v>92020</v>
      </c>
      <c r="E74" s="337">
        <f t="shared" si="93"/>
        <v>0</v>
      </c>
      <c r="F74" s="337">
        <f t="shared" si="93"/>
        <v>8500</v>
      </c>
      <c r="G74" s="337">
        <f t="shared" si="93"/>
        <v>0</v>
      </c>
      <c r="H74" s="337">
        <f t="shared" si="93"/>
        <v>6400</v>
      </c>
      <c r="I74" s="337">
        <f t="shared" si="93"/>
        <v>0</v>
      </c>
      <c r="J74" s="301">
        <f>SUM(J75:J79)</f>
        <v>19600</v>
      </c>
      <c r="K74" s="337">
        <f t="shared" ref="K74:P74" si="94">SUM(K75:K79)</f>
        <v>5500</v>
      </c>
      <c r="L74" s="337">
        <f t="shared" si="94"/>
        <v>0</v>
      </c>
      <c r="M74" s="337">
        <f t="shared" si="94"/>
        <v>5650</v>
      </c>
      <c r="N74" s="337">
        <f t="shared" si="94"/>
        <v>0</v>
      </c>
      <c r="O74" s="337">
        <f t="shared" si="94"/>
        <v>8450</v>
      </c>
      <c r="P74" s="337">
        <f t="shared" si="94"/>
        <v>0</v>
      </c>
      <c r="Q74" s="301">
        <f t="shared" si="92"/>
        <v>19500</v>
      </c>
      <c r="R74" s="337">
        <f t="shared" ref="R74:W74" si="95">SUM(R75:R79)</f>
        <v>9630</v>
      </c>
      <c r="S74" s="337">
        <f t="shared" si="95"/>
        <v>0</v>
      </c>
      <c r="T74" s="337">
        <f t="shared" si="95"/>
        <v>5440</v>
      </c>
      <c r="U74" s="337">
        <f t="shared" si="95"/>
        <v>0</v>
      </c>
      <c r="V74" s="337">
        <f t="shared" si="95"/>
        <v>4430</v>
      </c>
      <c r="W74" s="337">
        <f t="shared" si="95"/>
        <v>0</v>
      </c>
      <c r="X74" s="301">
        <f>SUM(X75:X79)</f>
        <v>136241</v>
      </c>
      <c r="Y74" s="337">
        <f t="shared" ref="Y74:AD74" si="96">SUM(Y75:Y79)</f>
        <v>7220</v>
      </c>
      <c r="Z74" s="337">
        <f t="shared" si="96"/>
        <v>0</v>
      </c>
      <c r="AA74" s="337">
        <f t="shared" si="96"/>
        <v>18250</v>
      </c>
      <c r="AB74" s="337">
        <f t="shared" si="96"/>
        <v>0</v>
      </c>
      <c r="AC74" s="337">
        <f t="shared" si="96"/>
        <v>110771</v>
      </c>
      <c r="AD74" s="337">
        <f t="shared" si="96"/>
        <v>0</v>
      </c>
      <c r="AE74" s="337">
        <f>SUM(AE75:AE79)</f>
        <v>282261</v>
      </c>
      <c r="AF74" s="31"/>
      <c r="AG74" s="36"/>
      <c r="AH74" s="31"/>
    </row>
    <row r="75" spans="1:34" s="45" customFormat="1" ht="14.25" customHeight="1">
      <c r="A75" s="94">
        <v>2261</v>
      </c>
      <c r="B75" s="84" t="s">
        <v>50</v>
      </c>
      <c r="C75" s="333">
        <f>D75+F75+H75</f>
        <v>21920</v>
      </c>
      <c r="D75" s="335">
        <v>18920</v>
      </c>
      <c r="E75" s="335"/>
      <c r="F75" s="335">
        <v>2000</v>
      </c>
      <c r="G75" s="335"/>
      <c r="H75" s="335">
        <v>1000</v>
      </c>
      <c r="I75" s="335"/>
      <c r="J75" s="333">
        <f>K75+M75+O75</f>
        <v>18000</v>
      </c>
      <c r="K75" s="335">
        <v>5000</v>
      </c>
      <c r="L75" s="335"/>
      <c r="M75" s="335">
        <v>5000</v>
      </c>
      <c r="N75" s="335"/>
      <c r="O75" s="335">
        <v>8000</v>
      </c>
      <c r="P75" s="335"/>
      <c r="Q75" s="333">
        <f t="shared" si="92"/>
        <v>18000</v>
      </c>
      <c r="R75" s="335">
        <v>9000</v>
      </c>
      <c r="S75" s="335"/>
      <c r="T75" s="335">
        <v>5000</v>
      </c>
      <c r="U75" s="335"/>
      <c r="V75" s="335">
        <v>4000</v>
      </c>
      <c r="W75" s="335"/>
      <c r="X75" s="333">
        <f>Y75+AA75+AC75</f>
        <v>25000</v>
      </c>
      <c r="Y75" s="335">
        <v>2000</v>
      </c>
      <c r="Z75" s="335"/>
      <c r="AA75" s="335">
        <v>3000</v>
      </c>
      <c r="AB75" s="335"/>
      <c r="AC75" s="335">
        <v>20000</v>
      </c>
      <c r="AD75" s="335"/>
      <c r="AE75" s="339">
        <f>C75+J75+Q75+X75</f>
        <v>82920</v>
      </c>
      <c r="AF75" s="31"/>
      <c r="AG75" s="31"/>
      <c r="AH75" s="31"/>
    </row>
    <row r="76" spans="1:34" s="45" customFormat="1" ht="14.25" customHeight="1">
      <c r="A76" s="94">
        <v>2262</v>
      </c>
      <c r="B76" s="84" t="s">
        <v>51</v>
      </c>
      <c r="C76" s="333">
        <f>D76+F76+H76</f>
        <v>1000</v>
      </c>
      <c r="D76" s="335">
        <v>400</v>
      </c>
      <c r="E76" s="335"/>
      <c r="F76" s="335">
        <v>300</v>
      </c>
      <c r="G76" s="335"/>
      <c r="H76" s="335">
        <v>300</v>
      </c>
      <c r="I76" s="335"/>
      <c r="J76" s="333">
        <f>K76+M76+O76</f>
        <v>200</v>
      </c>
      <c r="K76" s="335">
        <v>100</v>
      </c>
      <c r="L76" s="335"/>
      <c r="M76" s="335">
        <v>50</v>
      </c>
      <c r="N76" s="335"/>
      <c r="O76" s="335">
        <v>50</v>
      </c>
      <c r="P76" s="335"/>
      <c r="Q76" s="333">
        <f t="shared" si="92"/>
        <v>100</v>
      </c>
      <c r="R76" s="335">
        <v>30</v>
      </c>
      <c r="S76" s="335"/>
      <c r="T76" s="335">
        <v>40</v>
      </c>
      <c r="U76" s="335"/>
      <c r="V76" s="335">
        <v>30</v>
      </c>
      <c r="W76" s="335"/>
      <c r="X76" s="333">
        <f>Y76+AA76+AC76</f>
        <v>100</v>
      </c>
      <c r="Y76" s="335">
        <v>20</v>
      </c>
      <c r="Z76" s="335"/>
      <c r="AA76" s="335">
        <v>50</v>
      </c>
      <c r="AB76" s="335"/>
      <c r="AC76" s="335">
        <v>30</v>
      </c>
      <c r="AD76" s="335"/>
      <c r="AE76" s="339">
        <f>C76+J76+Q76+X76</f>
        <v>1400</v>
      </c>
      <c r="AF76" s="31"/>
      <c r="AG76" s="31"/>
      <c r="AH76" s="31"/>
    </row>
    <row r="77" spans="1:34" s="45" customFormat="1" ht="14.25" hidden="1" customHeight="1">
      <c r="A77" s="94">
        <v>2263</v>
      </c>
      <c r="B77" s="84" t="s">
        <v>52</v>
      </c>
      <c r="C77" s="333">
        <f>D77+F77+H77</f>
        <v>0</v>
      </c>
      <c r="D77" s="335"/>
      <c r="E77" s="335"/>
      <c r="F77" s="335"/>
      <c r="G77" s="335"/>
      <c r="H77" s="335"/>
      <c r="I77" s="335"/>
      <c r="J77" s="333">
        <f>K77+M77+O77</f>
        <v>0</v>
      </c>
      <c r="K77" s="335"/>
      <c r="L77" s="335"/>
      <c r="M77" s="335"/>
      <c r="N77" s="335"/>
      <c r="O77" s="335"/>
      <c r="P77" s="335"/>
      <c r="Q77" s="333">
        <f t="shared" si="92"/>
        <v>0</v>
      </c>
      <c r="R77" s="335"/>
      <c r="S77" s="335"/>
      <c r="T77" s="335"/>
      <c r="U77" s="335"/>
      <c r="V77" s="335"/>
      <c r="W77" s="335"/>
      <c r="X77" s="333">
        <f>Y77+AA77+AC77</f>
        <v>0</v>
      </c>
      <c r="Y77" s="335"/>
      <c r="Z77" s="335"/>
      <c r="AA77" s="335"/>
      <c r="AB77" s="335"/>
      <c r="AC77" s="335"/>
      <c r="AD77" s="335"/>
      <c r="AE77" s="339">
        <f>C77+J77+Q77+X77</f>
        <v>0</v>
      </c>
      <c r="AF77" s="31"/>
      <c r="AG77" s="31"/>
      <c r="AH77" s="31"/>
    </row>
    <row r="78" spans="1:34" s="45" customFormat="1" ht="14.25" customHeight="1">
      <c r="A78" s="94">
        <v>2264</v>
      </c>
      <c r="B78" s="84" t="s">
        <v>117</v>
      </c>
      <c r="C78" s="333">
        <f>D78+F78+H78</f>
        <v>83000</v>
      </c>
      <c r="D78" s="335">
        <v>72000</v>
      </c>
      <c r="E78" s="335"/>
      <c r="F78" s="335">
        <v>6000</v>
      </c>
      <c r="G78" s="335"/>
      <c r="H78" s="335">
        <v>5000</v>
      </c>
      <c r="I78" s="335"/>
      <c r="J78" s="333">
        <f>K78+M78+O78</f>
        <v>1000</v>
      </c>
      <c r="K78" s="335">
        <v>300</v>
      </c>
      <c r="L78" s="335"/>
      <c r="M78" s="335">
        <v>400</v>
      </c>
      <c r="N78" s="335"/>
      <c r="O78" s="335">
        <v>300</v>
      </c>
      <c r="P78" s="335"/>
      <c r="Q78" s="333">
        <f t="shared" si="92"/>
        <v>1000</v>
      </c>
      <c r="R78" s="335">
        <v>400</v>
      </c>
      <c r="S78" s="335"/>
      <c r="T78" s="335">
        <v>300</v>
      </c>
      <c r="U78" s="335"/>
      <c r="V78" s="335">
        <v>300</v>
      </c>
      <c r="W78" s="335"/>
      <c r="X78" s="333">
        <f>Y78+AA78+AC78</f>
        <v>109141</v>
      </c>
      <c r="Y78" s="335">
        <v>5000</v>
      </c>
      <c r="Z78" s="335"/>
      <c r="AA78" s="335">
        <v>15000</v>
      </c>
      <c r="AB78" s="335"/>
      <c r="AC78" s="335">
        <v>89141</v>
      </c>
      <c r="AD78" s="335"/>
      <c r="AE78" s="339">
        <f>C78+J78+Q78+X78</f>
        <v>194141</v>
      </c>
      <c r="AF78" s="31"/>
      <c r="AG78" s="31"/>
      <c r="AH78" s="31"/>
    </row>
    <row r="79" spans="1:34" s="45" customFormat="1" ht="14.25" customHeight="1">
      <c r="A79" s="94">
        <v>2269</v>
      </c>
      <c r="B79" s="84" t="s">
        <v>53</v>
      </c>
      <c r="C79" s="333">
        <f>D79+F79+H79</f>
        <v>1000</v>
      </c>
      <c r="D79" s="335">
        <v>700</v>
      </c>
      <c r="E79" s="335"/>
      <c r="F79" s="335">
        <v>200</v>
      </c>
      <c r="G79" s="335"/>
      <c r="H79" s="335">
        <v>100</v>
      </c>
      <c r="I79" s="335"/>
      <c r="J79" s="333">
        <f>K79+M79+O79</f>
        <v>400</v>
      </c>
      <c r="K79" s="335">
        <v>100</v>
      </c>
      <c r="L79" s="335"/>
      <c r="M79" s="335">
        <v>200</v>
      </c>
      <c r="N79" s="335"/>
      <c r="O79" s="335">
        <v>100</v>
      </c>
      <c r="P79" s="335"/>
      <c r="Q79" s="333">
        <f t="shared" si="92"/>
        <v>400</v>
      </c>
      <c r="R79" s="335">
        <v>200</v>
      </c>
      <c r="S79" s="335"/>
      <c r="T79" s="335">
        <v>100</v>
      </c>
      <c r="U79" s="335"/>
      <c r="V79" s="335">
        <v>100</v>
      </c>
      <c r="W79" s="335"/>
      <c r="X79" s="333">
        <f>Y79+AA79+AC79</f>
        <v>2000</v>
      </c>
      <c r="Y79" s="335">
        <v>200</v>
      </c>
      <c r="Z79" s="335"/>
      <c r="AA79" s="335">
        <v>200</v>
      </c>
      <c r="AB79" s="335"/>
      <c r="AC79" s="335">
        <v>1600</v>
      </c>
      <c r="AD79" s="335"/>
      <c r="AE79" s="339">
        <f>C79+J79+Q79+X79</f>
        <v>3800</v>
      </c>
      <c r="AF79" s="31"/>
      <c r="AG79" s="31"/>
      <c r="AH79" s="31"/>
    </row>
    <row r="80" spans="1:34" s="6" customFormat="1" ht="14.25" customHeight="1">
      <c r="A80" s="104">
        <v>2270</v>
      </c>
      <c r="B80" s="84" t="s">
        <v>54</v>
      </c>
      <c r="C80" s="301">
        <f>C81</f>
        <v>0</v>
      </c>
      <c r="D80" s="337">
        <f t="shared" ref="D80:I80" si="97">D81</f>
        <v>0</v>
      </c>
      <c r="E80" s="337">
        <f t="shared" si="97"/>
        <v>0</v>
      </c>
      <c r="F80" s="337">
        <f t="shared" si="97"/>
        <v>0</v>
      </c>
      <c r="G80" s="337">
        <f t="shared" si="97"/>
        <v>0</v>
      </c>
      <c r="H80" s="337">
        <f t="shared" si="97"/>
        <v>0</v>
      </c>
      <c r="I80" s="337">
        <f t="shared" si="97"/>
        <v>0</v>
      </c>
      <c r="J80" s="301">
        <f>J81</f>
        <v>0</v>
      </c>
      <c r="K80" s="337">
        <f t="shared" ref="K80:P80" si="98">K81</f>
        <v>0</v>
      </c>
      <c r="L80" s="337">
        <f t="shared" si="98"/>
        <v>0</v>
      </c>
      <c r="M80" s="337">
        <f>M81</f>
        <v>0</v>
      </c>
      <c r="N80" s="337">
        <f t="shared" si="98"/>
        <v>0</v>
      </c>
      <c r="O80" s="337">
        <f t="shared" si="98"/>
        <v>0</v>
      </c>
      <c r="P80" s="337">
        <f t="shared" si="98"/>
        <v>0</v>
      </c>
      <c r="Q80" s="301">
        <f>Q81</f>
        <v>0</v>
      </c>
      <c r="R80" s="337">
        <f t="shared" ref="R80:W80" si="99">R81</f>
        <v>0</v>
      </c>
      <c r="S80" s="337">
        <f t="shared" si="99"/>
        <v>0</v>
      </c>
      <c r="T80" s="337">
        <f t="shared" si="99"/>
        <v>0</v>
      </c>
      <c r="U80" s="337">
        <f t="shared" si="99"/>
        <v>0</v>
      </c>
      <c r="V80" s="337">
        <f>V81</f>
        <v>0</v>
      </c>
      <c r="W80" s="337">
        <f t="shared" si="99"/>
        <v>0</v>
      </c>
      <c r="X80" s="301">
        <f>X81</f>
        <v>0</v>
      </c>
      <c r="Y80" s="337">
        <f t="shared" ref="Y80:AD80" si="100">Y81</f>
        <v>0</v>
      </c>
      <c r="Z80" s="337">
        <f t="shared" si="100"/>
        <v>0</v>
      </c>
      <c r="AA80" s="337">
        <f t="shared" si="100"/>
        <v>0</v>
      </c>
      <c r="AB80" s="337">
        <f t="shared" si="100"/>
        <v>0</v>
      </c>
      <c r="AC80" s="337">
        <f t="shared" si="100"/>
        <v>0</v>
      </c>
      <c r="AD80" s="337">
        <f t="shared" si="100"/>
        <v>0</v>
      </c>
      <c r="AE80" s="337">
        <f>AE81</f>
        <v>0</v>
      </c>
      <c r="AF80" s="31"/>
      <c r="AG80" s="36"/>
      <c r="AH80" s="31"/>
    </row>
    <row r="81" spans="1:34" s="6" customFormat="1" ht="14.25" customHeight="1">
      <c r="A81" s="94">
        <v>2270</v>
      </c>
      <c r="B81" s="98" t="s">
        <v>55</v>
      </c>
      <c r="C81" s="333">
        <f>D81+F81+H81</f>
        <v>0</v>
      </c>
      <c r="D81" s="335"/>
      <c r="E81" s="335"/>
      <c r="F81" s="335"/>
      <c r="G81" s="335"/>
      <c r="H81" s="335"/>
      <c r="I81" s="335"/>
      <c r="J81" s="333">
        <f>K81+M81+O81</f>
        <v>0</v>
      </c>
      <c r="K81" s="335"/>
      <c r="L81" s="335"/>
      <c r="M81" s="335"/>
      <c r="N81" s="335"/>
      <c r="O81" s="335"/>
      <c r="P81" s="335"/>
      <c r="Q81" s="333">
        <f>R81+T81+V81</f>
        <v>0</v>
      </c>
      <c r="R81" s="335"/>
      <c r="S81" s="335"/>
      <c r="T81" s="335"/>
      <c r="U81" s="335"/>
      <c r="V81" s="335"/>
      <c r="W81" s="335"/>
      <c r="X81" s="333">
        <f>Y81+AA81+AC81</f>
        <v>0</v>
      </c>
      <c r="Y81" s="338"/>
      <c r="Z81" s="335"/>
      <c r="AA81" s="335"/>
      <c r="AB81" s="335"/>
      <c r="AC81" s="335"/>
      <c r="AD81" s="335"/>
      <c r="AE81" s="339">
        <f>C80+J80+Q80+X80</f>
        <v>0</v>
      </c>
      <c r="AF81" s="31"/>
      <c r="AG81" s="31"/>
      <c r="AH81" s="31"/>
    </row>
    <row r="82" spans="1:34" s="6" customFormat="1" ht="28.5" customHeight="1">
      <c r="A82" s="95">
        <v>2300</v>
      </c>
      <c r="B82" s="84" t="s">
        <v>56</v>
      </c>
      <c r="C82" s="336">
        <f>C83+C88+C92+C93+C95+C96</f>
        <v>50200</v>
      </c>
      <c r="D82" s="336">
        <f t="shared" ref="D82:I82" si="101">D83+D88+D92+D93+D95+D96</f>
        <v>18200</v>
      </c>
      <c r="E82" s="336">
        <f t="shared" si="101"/>
        <v>0</v>
      </c>
      <c r="F82" s="336">
        <f t="shared" si="101"/>
        <v>15200</v>
      </c>
      <c r="G82" s="336">
        <f t="shared" si="101"/>
        <v>0</v>
      </c>
      <c r="H82" s="336">
        <f t="shared" si="101"/>
        <v>16800</v>
      </c>
      <c r="I82" s="336">
        <f t="shared" si="101"/>
        <v>0</v>
      </c>
      <c r="J82" s="336">
        <f t="shared" ref="J82:Q82" si="102">J83+J88+J92+J93+J95+J96</f>
        <v>57700</v>
      </c>
      <c r="K82" s="336">
        <f t="shared" si="102"/>
        <v>20800</v>
      </c>
      <c r="L82" s="336">
        <f t="shared" si="102"/>
        <v>0</v>
      </c>
      <c r="M82" s="336">
        <f t="shared" si="102"/>
        <v>17700</v>
      </c>
      <c r="N82" s="336">
        <f t="shared" si="102"/>
        <v>0</v>
      </c>
      <c r="O82" s="336">
        <f t="shared" si="102"/>
        <v>19200</v>
      </c>
      <c r="P82" s="336">
        <f t="shared" si="102"/>
        <v>0</v>
      </c>
      <c r="Q82" s="336">
        <f t="shared" si="102"/>
        <v>50840</v>
      </c>
      <c r="R82" s="336">
        <f t="shared" ref="R82:W82" si="103">R83+R88+R92+R93+R95+R96</f>
        <v>17040</v>
      </c>
      <c r="S82" s="336">
        <f t="shared" si="103"/>
        <v>0</v>
      </c>
      <c r="T82" s="336">
        <f t="shared" si="103"/>
        <v>16700</v>
      </c>
      <c r="U82" s="336">
        <f t="shared" si="103"/>
        <v>0</v>
      </c>
      <c r="V82" s="336">
        <f t="shared" si="103"/>
        <v>17100</v>
      </c>
      <c r="W82" s="336">
        <f t="shared" si="103"/>
        <v>0</v>
      </c>
      <c r="X82" s="336">
        <f>X83+X88+X92+X93+X95+X96</f>
        <v>50576</v>
      </c>
      <c r="Y82" s="336">
        <f t="shared" ref="Y82:AD82" si="104">Y83+Y88+Y92+Y93+Y95+Y96</f>
        <v>13100</v>
      </c>
      <c r="Z82" s="336">
        <f t="shared" si="104"/>
        <v>0</v>
      </c>
      <c r="AA82" s="336">
        <f t="shared" si="104"/>
        <v>18000</v>
      </c>
      <c r="AB82" s="336">
        <f t="shared" si="104"/>
        <v>0</v>
      </c>
      <c r="AC82" s="336">
        <f t="shared" si="104"/>
        <v>19476</v>
      </c>
      <c r="AD82" s="336">
        <f t="shared" si="104"/>
        <v>0</v>
      </c>
      <c r="AE82" s="336">
        <f>AE83+AE88+AE92+AE93+AE95+AE96</f>
        <v>209316</v>
      </c>
      <c r="AF82" s="30"/>
      <c r="AG82" s="41"/>
      <c r="AH82" s="30"/>
    </row>
    <row r="83" spans="1:34" s="6" customFormat="1" ht="12.75" customHeight="1">
      <c r="A83" s="104">
        <v>2310</v>
      </c>
      <c r="B83" s="84" t="s">
        <v>118</v>
      </c>
      <c r="C83" s="301">
        <f>SUM(C84:C87)</f>
        <v>17200</v>
      </c>
      <c r="D83" s="337">
        <f t="shared" ref="D83:I83" si="105">SUM(D84:D87)</f>
        <v>8200</v>
      </c>
      <c r="E83" s="337">
        <f t="shared" si="105"/>
        <v>0</v>
      </c>
      <c r="F83" s="337">
        <f t="shared" si="105"/>
        <v>4700</v>
      </c>
      <c r="G83" s="337">
        <f t="shared" si="105"/>
        <v>0</v>
      </c>
      <c r="H83" s="337">
        <f t="shared" si="105"/>
        <v>4300</v>
      </c>
      <c r="I83" s="337">
        <f t="shared" si="105"/>
        <v>0</v>
      </c>
      <c r="J83" s="301">
        <f>SUM(J84:J87)</f>
        <v>17700</v>
      </c>
      <c r="K83" s="337">
        <f t="shared" ref="K83:P83" si="106">SUM(K84:K87)</f>
        <v>7300</v>
      </c>
      <c r="L83" s="337">
        <f t="shared" si="106"/>
        <v>0</v>
      </c>
      <c r="M83" s="337">
        <f t="shared" si="106"/>
        <v>5200</v>
      </c>
      <c r="N83" s="337">
        <f t="shared" si="106"/>
        <v>0</v>
      </c>
      <c r="O83" s="337">
        <f t="shared" si="106"/>
        <v>5200</v>
      </c>
      <c r="P83" s="337">
        <f t="shared" si="106"/>
        <v>0</v>
      </c>
      <c r="Q83" s="301">
        <f>SUM(Q84:Q87)</f>
        <v>11500</v>
      </c>
      <c r="R83" s="337">
        <f t="shared" ref="R83:W83" si="107">SUM(R84:R87)</f>
        <v>4200</v>
      </c>
      <c r="S83" s="337">
        <f t="shared" si="107"/>
        <v>0</v>
      </c>
      <c r="T83" s="337">
        <f t="shared" si="107"/>
        <v>3200</v>
      </c>
      <c r="U83" s="337">
        <f t="shared" si="107"/>
        <v>0</v>
      </c>
      <c r="V83" s="337">
        <f t="shared" si="107"/>
        <v>4100</v>
      </c>
      <c r="W83" s="337">
        <f t="shared" si="107"/>
        <v>0</v>
      </c>
      <c r="X83" s="301">
        <f>SUM(X84:X87)</f>
        <v>12555</v>
      </c>
      <c r="Y83" s="337">
        <f t="shared" ref="Y83:AD83" si="108">SUM(Y84:Y87)</f>
        <v>3100</v>
      </c>
      <c r="Z83" s="337">
        <f t="shared" si="108"/>
        <v>0</v>
      </c>
      <c r="AA83" s="337">
        <f t="shared" si="108"/>
        <v>4000</v>
      </c>
      <c r="AB83" s="337">
        <f t="shared" si="108"/>
        <v>0</v>
      </c>
      <c r="AC83" s="337">
        <f t="shared" si="108"/>
        <v>5455</v>
      </c>
      <c r="AD83" s="337">
        <f t="shared" si="108"/>
        <v>0</v>
      </c>
      <c r="AE83" s="337">
        <f>SUM(AE84:AE87)</f>
        <v>58955</v>
      </c>
      <c r="AF83" s="31"/>
      <c r="AG83" s="36"/>
      <c r="AH83" s="31"/>
    </row>
    <row r="84" spans="1:34" s="6" customFormat="1" ht="12.75" customHeight="1">
      <c r="A84" s="94">
        <v>2311</v>
      </c>
      <c r="B84" s="84" t="s">
        <v>57</v>
      </c>
      <c r="C84" s="333">
        <f>D84+F84+H84</f>
        <v>700</v>
      </c>
      <c r="D84" s="335">
        <v>200</v>
      </c>
      <c r="E84" s="335"/>
      <c r="F84" s="335">
        <v>200</v>
      </c>
      <c r="G84" s="335"/>
      <c r="H84" s="335">
        <v>300</v>
      </c>
      <c r="I84" s="335"/>
      <c r="J84" s="333">
        <f>K84+M84+O84</f>
        <v>700</v>
      </c>
      <c r="K84" s="335">
        <v>300</v>
      </c>
      <c r="L84" s="335"/>
      <c r="M84" s="335">
        <v>200</v>
      </c>
      <c r="N84" s="335"/>
      <c r="O84" s="335">
        <v>200</v>
      </c>
      <c r="P84" s="335"/>
      <c r="Q84" s="333">
        <f>R84+T84+V84</f>
        <v>700</v>
      </c>
      <c r="R84" s="335">
        <v>200</v>
      </c>
      <c r="S84" s="335"/>
      <c r="T84" s="335">
        <v>200</v>
      </c>
      <c r="U84" s="335"/>
      <c r="V84" s="335">
        <v>300</v>
      </c>
      <c r="W84" s="335"/>
      <c r="X84" s="333">
        <f>Y84+AA84+AC84</f>
        <v>1900</v>
      </c>
      <c r="Y84" s="335">
        <v>400</v>
      </c>
      <c r="Z84" s="335"/>
      <c r="AA84" s="335">
        <v>500</v>
      </c>
      <c r="AB84" s="335"/>
      <c r="AC84" s="335">
        <v>1000</v>
      </c>
      <c r="AD84" s="335"/>
      <c r="AE84" s="339">
        <f>C84+J84+Q84+X84</f>
        <v>4000</v>
      </c>
      <c r="AF84" s="31"/>
      <c r="AG84" s="31"/>
      <c r="AH84" s="31"/>
    </row>
    <row r="85" spans="1:34" s="6" customFormat="1" ht="12.75" customHeight="1">
      <c r="A85" s="94">
        <v>2312</v>
      </c>
      <c r="B85" s="84" t="s">
        <v>58</v>
      </c>
      <c r="C85" s="333">
        <f>D85+F85+H85</f>
        <v>8000</v>
      </c>
      <c r="D85" s="335">
        <v>2000</v>
      </c>
      <c r="E85" s="335"/>
      <c r="F85" s="335">
        <v>3000</v>
      </c>
      <c r="G85" s="335"/>
      <c r="H85" s="335">
        <v>3000</v>
      </c>
      <c r="I85" s="335"/>
      <c r="J85" s="333">
        <f>K85+M85+O85</f>
        <v>12000</v>
      </c>
      <c r="K85" s="335">
        <v>5000</v>
      </c>
      <c r="L85" s="335"/>
      <c r="M85" s="335">
        <v>3000</v>
      </c>
      <c r="N85" s="335"/>
      <c r="O85" s="335">
        <v>4000</v>
      </c>
      <c r="P85" s="335"/>
      <c r="Q85" s="333">
        <f>R85+T85+V85</f>
        <v>5000</v>
      </c>
      <c r="R85" s="335">
        <v>2000</v>
      </c>
      <c r="S85" s="335"/>
      <c r="T85" s="335">
        <v>1000</v>
      </c>
      <c r="U85" s="335"/>
      <c r="V85" s="335">
        <v>2000</v>
      </c>
      <c r="W85" s="335"/>
      <c r="X85" s="333">
        <f>Y85+AA85+AC85</f>
        <v>6600</v>
      </c>
      <c r="Y85" s="335">
        <v>2000</v>
      </c>
      <c r="Z85" s="335"/>
      <c r="AA85" s="335">
        <v>2200</v>
      </c>
      <c r="AB85" s="335"/>
      <c r="AC85" s="335">
        <v>2400</v>
      </c>
      <c r="AD85" s="335"/>
      <c r="AE85" s="339">
        <f>C85+J85+Q85+X85</f>
        <v>31600</v>
      </c>
      <c r="AF85" s="31"/>
      <c r="AG85" s="31"/>
      <c r="AH85" s="31"/>
    </row>
    <row r="86" spans="1:34" s="45" customFormat="1" ht="12.75" hidden="1" customHeight="1">
      <c r="A86" s="94">
        <v>2313</v>
      </c>
      <c r="B86" s="84" t="s">
        <v>59</v>
      </c>
      <c r="C86" s="333">
        <f>D86+F86+H86</f>
        <v>0</v>
      </c>
      <c r="D86" s="335"/>
      <c r="E86" s="335"/>
      <c r="F86" s="335"/>
      <c r="G86" s="335"/>
      <c r="H86" s="335"/>
      <c r="I86" s="335"/>
      <c r="J86" s="333">
        <f>K86+M86+O86</f>
        <v>0</v>
      </c>
      <c r="K86" s="335"/>
      <c r="L86" s="335"/>
      <c r="M86" s="335"/>
      <c r="N86" s="335"/>
      <c r="O86" s="335"/>
      <c r="P86" s="335"/>
      <c r="Q86" s="333">
        <f>R86+T86+V86</f>
        <v>0</v>
      </c>
      <c r="R86" s="335"/>
      <c r="S86" s="335"/>
      <c r="T86" s="335"/>
      <c r="U86" s="335"/>
      <c r="V86" s="335"/>
      <c r="W86" s="335"/>
      <c r="X86" s="333">
        <f>Y86+AA86+AC86</f>
        <v>0</v>
      </c>
      <c r="Y86" s="335"/>
      <c r="Z86" s="335"/>
      <c r="AA86" s="335"/>
      <c r="AB86" s="335"/>
      <c r="AC86" s="335"/>
      <c r="AD86" s="335"/>
      <c r="AE86" s="339">
        <f>C86+J86+Q86+X86</f>
        <v>0</v>
      </c>
      <c r="AF86" s="31"/>
      <c r="AG86" s="31"/>
      <c r="AH86" s="31"/>
    </row>
    <row r="87" spans="1:34" s="45" customFormat="1" ht="31.5" customHeight="1">
      <c r="A87" s="94">
        <v>2314</v>
      </c>
      <c r="B87" s="84" t="s">
        <v>119</v>
      </c>
      <c r="C87" s="333">
        <f>D87+F87+H87</f>
        <v>8500</v>
      </c>
      <c r="D87" s="335">
        <v>6000</v>
      </c>
      <c r="E87" s="335"/>
      <c r="F87" s="335">
        <v>1500</v>
      </c>
      <c r="G87" s="335"/>
      <c r="H87" s="335">
        <v>1000</v>
      </c>
      <c r="I87" s="335"/>
      <c r="J87" s="333">
        <f>K87+M87+O87</f>
        <v>5000</v>
      </c>
      <c r="K87" s="335">
        <v>2000</v>
      </c>
      <c r="L87" s="335"/>
      <c r="M87" s="335">
        <v>2000</v>
      </c>
      <c r="N87" s="335"/>
      <c r="O87" s="335">
        <v>1000</v>
      </c>
      <c r="P87" s="335"/>
      <c r="Q87" s="333">
        <f>R87+T87+V87</f>
        <v>5800</v>
      </c>
      <c r="R87" s="335">
        <v>2000</v>
      </c>
      <c r="S87" s="335"/>
      <c r="T87" s="335">
        <v>2000</v>
      </c>
      <c r="U87" s="335"/>
      <c r="V87" s="335">
        <v>1800</v>
      </c>
      <c r="W87" s="335"/>
      <c r="X87" s="333">
        <f>Y87+AA87+AC87</f>
        <v>4055</v>
      </c>
      <c r="Y87" s="338">
        <v>700</v>
      </c>
      <c r="Z87" s="335"/>
      <c r="AA87" s="335">
        <v>1300</v>
      </c>
      <c r="AB87" s="335"/>
      <c r="AC87" s="335">
        <v>2055</v>
      </c>
      <c r="AD87" s="335"/>
      <c r="AE87" s="339">
        <f>C87+J87+Q87+X87</f>
        <v>23355</v>
      </c>
      <c r="AF87" s="31"/>
      <c r="AG87" s="31"/>
      <c r="AH87" s="31"/>
    </row>
    <row r="88" spans="1:34" s="45" customFormat="1" ht="12.75" customHeight="1">
      <c r="A88" s="104">
        <v>2320</v>
      </c>
      <c r="B88" s="84" t="s">
        <v>60</v>
      </c>
      <c r="C88" s="301">
        <f>SUM(C89:C91)</f>
        <v>10000</v>
      </c>
      <c r="D88" s="337">
        <f t="shared" ref="D88:I88" si="109">SUM(D89:D91)</f>
        <v>4000</v>
      </c>
      <c r="E88" s="337">
        <f t="shared" si="109"/>
        <v>0</v>
      </c>
      <c r="F88" s="337">
        <f t="shared" si="109"/>
        <v>3000</v>
      </c>
      <c r="G88" s="337">
        <f t="shared" si="109"/>
        <v>0</v>
      </c>
      <c r="H88" s="337">
        <f t="shared" si="109"/>
        <v>3000</v>
      </c>
      <c r="I88" s="337">
        <f t="shared" si="109"/>
        <v>0</v>
      </c>
      <c r="J88" s="301">
        <f>SUM(J89:J91)</f>
        <v>8000</v>
      </c>
      <c r="K88" s="337">
        <f t="shared" ref="K88:P88" si="110">SUM(K89:K91)</f>
        <v>2500</v>
      </c>
      <c r="L88" s="337">
        <f t="shared" si="110"/>
        <v>0</v>
      </c>
      <c r="M88" s="337">
        <f t="shared" si="110"/>
        <v>2500</v>
      </c>
      <c r="N88" s="337">
        <f t="shared" si="110"/>
        <v>0</v>
      </c>
      <c r="O88" s="337">
        <f t="shared" si="110"/>
        <v>3000</v>
      </c>
      <c r="P88" s="337">
        <f t="shared" si="110"/>
        <v>0</v>
      </c>
      <c r="Q88" s="301">
        <f>SUM(Q89:Q91)</f>
        <v>7000</v>
      </c>
      <c r="R88" s="337">
        <f t="shared" ref="R88:W88" si="111">SUM(R89:R91)</f>
        <v>2500</v>
      </c>
      <c r="S88" s="337">
        <f t="shared" si="111"/>
        <v>0</v>
      </c>
      <c r="T88" s="337">
        <f t="shared" si="111"/>
        <v>2500</v>
      </c>
      <c r="U88" s="337">
        <f t="shared" si="111"/>
        <v>0</v>
      </c>
      <c r="V88" s="337">
        <f t="shared" si="111"/>
        <v>2000</v>
      </c>
      <c r="W88" s="337">
        <f t="shared" si="111"/>
        <v>0</v>
      </c>
      <c r="X88" s="301">
        <f>SUM(X89:X91)</f>
        <v>7400</v>
      </c>
      <c r="Y88" s="337">
        <f t="shared" ref="Y88:AD88" si="112">SUM(Y89:Y91)</f>
        <v>2000</v>
      </c>
      <c r="Z88" s="337">
        <f t="shared" si="112"/>
        <v>0</v>
      </c>
      <c r="AA88" s="337">
        <f t="shared" si="112"/>
        <v>3000</v>
      </c>
      <c r="AB88" s="337">
        <f t="shared" si="112"/>
        <v>0</v>
      </c>
      <c r="AC88" s="337">
        <f t="shared" si="112"/>
        <v>2400</v>
      </c>
      <c r="AD88" s="337">
        <f t="shared" si="112"/>
        <v>0</v>
      </c>
      <c r="AE88" s="337">
        <f>SUM(AE89:AE91)</f>
        <v>32400</v>
      </c>
      <c r="AF88" s="31"/>
      <c r="AG88" s="36"/>
      <c r="AH88" s="31"/>
    </row>
    <row r="89" spans="1:34" s="45" customFormat="1" ht="12.75" customHeight="1">
      <c r="A89" s="94">
        <v>2321</v>
      </c>
      <c r="B89" s="84" t="s">
        <v>61</v>
      </c>
      <c r="C89" s="333">
        <f>D89+F89+H89</f>
        <v>0</v>
      </c>
      <c r="D89" s="335"/>
      <c r="E89" s="335"/>
      <c r="F89" s="335"/>
      <c r="G89" s="335"/>
      <c r="H89" s="335"/>
      <c r="I89" s="335"/>
      <c r="J89" s="333"/>
      <c r="K89" s="335"/>
      <c r="L89" s="335"/>
      <c r="M89" s="335"/>
      <c r="N89" s="335"/>
      <c r="O89" s="335"/>
      <c r="P89" s="335"/>
      <c r="Q89" s="333">
        <f>R89+T89+V89</f>
        <v>0</v>
      </c>
      <c r="R89" s="335"/>
      <c r="S89" s="335"/>
      <c r="T89" s="335"/>
      <c r="U89" s="335"/>
      <c r="V89" s="335"/>
      <c r="W89" s="335"/>
      <c r="X89" s="333">
        <f>Y89+AA89+AC89</f>
        <v>0</v>
      </c>
      <c r="Y89" s="335"/>
      <c r="Z89" s="335"/>
      <c r="AA89" s="335"/>
      <c r="AB89" s="335"/>
      <c r="AC89" s="335"/>
      <c r="AD89" s="335"/>
      <c r="AE89" s="340">
        <f>C89+J89+Q89+X89</f>
        <v>0</v>
      </c>
      <c r="AF89" s="31"/>
      <c r="AG89" s="31"/>
      <c r="AH89" s="31"/>
    </row>
    <row r="90" spans="1:34" s="45" customFormat="1" ht="12.75" customHeight="1">
      <c r="A90" s="94">
        <v>2322</v>
      </c>
      <c r="B90" s="84" t="s">
        <v>62</v>
      </c>
      <c r="C90" s="333">
        <f>D90+F90+H90</f>
        <v>10000</v>
      </c>
      <c r="D90" s="335">
        <v>4000</v>
      </c>
      <c r="E90" s="335"/>
      <c r="F90" s="335">
        <v>3000</v>
      </c>
      <c r="G90" s="335"/>
      <c r="H90" s="335">
        <v>3000</v>
      </c>
      <c r="I90" s="335"/>
      <c r="J90" s="333">
        <f>K90+M90+O90</f>
        <v>8000</v>
      </c>
      <c r="K90" s="335">
        <v>2500</v>
      </c>
      <c r="L90" s="335"/>
      <c r="M90" s="335">
        <v>2500</v>
      </c>
      <c r="N90" s="335"/>
      <c r="O90" s="335">
        <v>3000</v>
      </c>
      <c r="P90" s="335"/>
      <c r="Q90" s="333">
        <f>R90+T90+V90</f>
        <v>7000</v>
      </c>
      <c r="R90" s="335">
        <v>2500</v>
      </c>
      <c r="S90" s="335"/>
      <c r="T90" s="335">
        <v>2500</v>
      </c>
      <c r="U90" s="335"/>
      <c r="V90" s="335">
        <f>3000-1000</f>
        <v>2000</v>
      </c>
      <c r="W90" s="335"/>
      <c r="X90" s="333">
        <f>Y90+AA90+AC90</f>
        <v>7400</v>
      </c>
      <c r="Y90" s="335">
        <v>2000</v>
      </c>
      <c r="Z90" s="335"/>
      <c r="AA90" s="335">
        <v>3000</v>
      </c>
      <c r="AB90" s="335"/>
      <c r="AC90" s="335">
        <v>2400</v>
      </c>
      <c r="AD90" s="335"/>
      <c r="AE90" s="339">
        <f t="shared" ref="AE90:AE98" si="113">C90+J90+Q90+X90</f>
        <v>32400</v>
      </c>
      <c r="AF90" s="31"/>
      <c r="AG90" s="31"/>
      <c r="AH90" s="31"/>
    </row>
    <row r="91" spans="1:34" s="45" customFormat="1" ht="12.75" hidden="1" customHeight="1">
      <c r="A91" s="94">
        <v>2329</v>
      </c>
      <c r="B91" s="84" t="s">
        <v>63</v>
      </c>
      <c r="C91" s="333">
        <f>D91+F91+H91</f>
        <v>0</v>
      </c>
      <c r="D91" s="335"/>
      <c r="E91" s="335"/>
      <c r="F91" s="335"/>
      <c r="G91" s="335"/>
      <c r="H91" s="335"/>
      <c r="I91" s="335"/>
      <c r="J91" s="333">
        <f>K91+M91+O91</f>
        <v>0</v>
      </c>
      <c r="K91" s="335"/>
      <c r="L91" s="335"/>
      <c r="M91" s="335"/>
      <c r="N91" s="335"/>
      <c r="O91" s="335"/>
      <c r="P91" s="335"/>
      <c r="Q91" s="333">
        <f>R91+T91+V91</f>
        <v>0</v>
      </c>
      <c r="R91" s="335"/>
      <c r="S91" s="335"/>
      <c r="T91" s="335"/>
      <c r="U91" s="335"/>
      <c r="V91" s="335"/>
      <c r="W91" s="335"/>
      <c r="X91" s="333">
        <f>Y91+AA91+AC91</f>
        <v>0</v>
      </c>
      <c r="Y91" s="335"/>
      <c r="Z91" s="335"/>
      <c r="AA91" s="335"/>
      <c r="AB91" s="335"/>
      <c r="AC91" s="335"/>
      <c r="AD91" s="335"/>
      <c r="AE91" s="340">
        <f t="shared" si="113"/>
        <v>0</v>
      </c>
      <c r="AF91" s="31"/>
      <c r="AG91" s="31"/>
      <c r="AH91" s="31"/>
    </row>
    <row r="92" spans="1:34" s="45" customFormat="1" ht="21" hidden="1" customHeight="1">
      <c r="A92" s="104">
        <v>2330</v>
      </c>
      <c r="B92" s="84" t="s">
        <v>64</v>
      </c>
      <c r="C92" s="333">
        <f>D92+F92+H92</f>
        <v>0</v>
      </c>
      <c r="D92" s="335"/>
      <c r="E92" s="335"/>
      <c r="F92" s="335"/>
      <c r="G92" s="335"/>
      <c r="H92" s="335"/>
      <c r="I92" s="335"/>
      <c r="J92" s="333">
        <f>K92+M92+O92</f>
        <v>0</v>
      </c>
      <c r="K92" s="335"/>
      <c r="L92" s="335"/>
      <c r="M92" s="335"/>
      <c r="N92" s="335"/>
      <c r="O92" s="335"/>
      <c r="P92" s="335"/>
      <c r="Q92" s="333">
        <f>R92+T92+V92</f>
        <v>0</v>
      </c>
      <c r="R92" s="335"/>
      <c r="S92" s="335"/>
      <c r="T92" s="335"/>
      <c r="U92" s="335"/>
      <c r="V92" s="335"/>
      <c r="W92" s="335"/>
      <c r="X92" s="333">
        <f>Y92+AA92+AC92</f>
        <v>0</v>
      </c>
      <c r="Y92" s="335"/>
      <c r="Z92" s="335"/>
      <c r="AA92" s="335"/>
      <c r="AB92" s="335"/>
      <c r="AC92" s="335"/>
      <c r="AD92" s="335"/>
      <c r="AE92" s="340">
        <f t="shared" si="113"/>
        <v>0</v>
      </c>
      <c r="AF92" s="31"/>
      <c r="AG92" s="31"/>
      <c r="AH92" s="31"/>
    </row>
    <row r="93" spans="1:34" s="6" customFormat="1" ht="48" hidden="1" customHeight="1">
      <c r="A93" s="104">
        <v>2340</v>
      </c>
      <c r="B93" s="84" t="s">
        <v>65</v>
      </c>
      <c r="C93" s="301">
        <f>C94</f>
        <v>0</v>
      </c>
      <c r="D93" s="337"/>
      <c r="E93" s="337"/>
      <c r="F93" s="337"/>
      <c r="G93" s="337"/>
      <c r="H93" s="337"/>
      <c r="I93" s="337">
        <f>I94</f>
        <v>0</v>
      </c>
      <c r="J93" s="301">
        <f>J94</f>
        <v>0</v>
      </c>
      <c r="K93" s="337"/>
      <c r="L93" s="337"/>
      <c r="M93" s="337"/>
      <c r="N93" s="337"/>
      <c r="O93" s="337"/>
      <c r="P93" s="337">
        <f>P94</f>
        <v>0</v>
      </c>
      <c r="Q93" s="301">
        <f>Q94</f>
        <v>0</v>
      </c>
      <c r="R93" s="337"/>
      <c r="S93" s="337"/>
      <c r="T93" s="337"/>
      <c r="U93" s="337"/>
      <c r="V93" s="337"/>
      <c r="W93" s="337">
        <f>W94</f>
        <v>0</v>
      </c>
      <c r="X93" s="301">
        <f>X94</f>
        <v>0</v>
      </c>
      <c r="Y93" s="337"/>
      <c r="Z93" s="337"/>
      <c r="AA93" s="337"/>
      <c r="AB93" s="337"/>
      <c r="AC93" s="337"/>
      <c r="AD93" s="337">
        <f>AD94</f>
        <v>0</v>
      </c>
      <c r="AE93" s="340">
        <f t="shared" si="113"/>
        <v>0</v>
      </c>
      <c r="AF93" s="31"/>
      <c r="AG93" s="36"/>
      <c r="AH93" s="31"/>
    </row>
    <row r="94" spans="1:34" s="45" customFormat="1" ht="12.75" hidden="1" customHeight="1">
      <c r="A94" s="94">
        <v>2341</v>
      </c>
      <c r="B94" s="84" t="s">
        <v>66</v>
      </c>
      <c r="C94" s="339">
        <f>D94+F94+H94</f>
        <v>0</v>
      </c>
      <c r="D94" s="340"/>
      <c r="E94" s="335"/>
      <c r="F94" s="335"/>
      <c r="G94" s="335"/>
      <c r="H94" s="335"/>
      <c r="I94" s="335"/>
      <c r="J94" s="339"/>
      <c r="K94" s="340"/>
      <c r="L94" s="335"/>
      <c r="M94" s="335"/>
      <c r="N94" s="335"/>
      <c r="O94" s="335"/>
      <c r="P94" s="335"/>
      <c r="Q94" s="339"/>
      <c r="R94" s="340"/>
      <c r="S94" s="340"/>
      <c r="T94" s="340"/>
      <c r="U94" s="340"/>
      <c r="V94" s="340"/>
      <c r="W94" s="335"/>
      <c r="X94" s="339">
        <f>Y94+AA94+AC94</f>
        <v>0</v>
      </c>
      <c r="Y94" s="340"/>
      <c r="Z94" s="340"/>
      <c r="AA94" s="340"/>
      <c r="AB94" s="340"/>
      <c r="AC94" s="340"/>
      <c r="AD94" s="335"/>
      <c r="AE94" s="340">
        <f t="shared" si="113"/>
        <v>0</v>
      </c>
      <c r="AF94" s="31"/>
      <c r="AG94" s="31"/>
      <c r="AH94" s="31"/>
    </row>
    <row r="95" spans="1:34" s="6" customFormat="1" ht="12.75" customHeight="1">
      <c r="A95" s="104">
        <v>2350</v>
      </c>
      <c r="B95" s="84" t="s">
        <v>67</v>
      </c>
      <c r="C95" s="339">
        <f>D95+F95+H95</f>
        <v>13000</v>
      </c>
      <c r="D95" s="346">
        <v>3000</v>
      </c>
      <c r="E95" s="335"/>
      <c r="F95" s="335">
        <v>4500</v>
      </c>
      <c r="G95" s="335"/>
      <c r="H95" s="335">
        <v>5500</v>
      </c>
      <c r="I95" s="335"/>
      <c r="J95" s="345">
        <f>K95+M95+O95</f>
        <v>18000</v>
      </c>
      <c r="K95" s="346">
        <v>6000</v>
      </c>
      <c r="L95" s="335"/>
      <c r="M95" s="335">
        <v>6000</v>
      </c>
      <c r="N95" s="335"/>
      <c r="O95" s="335">
        <v>6000</v>
      </c>
      <c r="P95" s="335"/>
      <c r="Q95" s="345">
        <f>R95+T95+V95</f>
        <v>20340</v>
      </c>
      <c r="R95" s="346">
        <v>6340</v>
      </c>
      <c r="S95" s="346"/>
      <c r="T95" s="346">
        <v>7000</v>
      </c>
      <c r="U95" s="346"/>
      <c r="V95" s="346">
        <v>7000</v>
      </c>
      <c r="W95" s="335"/>
      <c r="X95" s="339">
        <f>Y95+AA95+AC95</f>
        <v>16000</v>
      </c>
      <c r="Y95" s="346">
        <v>4000</v>
      </c>
      <c r="Z95" s="346"/>
      <c r="AA95" s="346">
        <v>6000</v>
      </c>
      <c r="AB95" s="346"/>
      <c r="AC95" s="346">
        <v>6000</v>
      </c>
      <c r="AD95" s="335"/>
      <c r="AE95" s="339">
        <f t="shared" si="113"/>
        <v>67340</v>
      </c>
      <c r="AF95" s="31"/>
      <c r="AG95" s="31"/>
      <c r="AH95" s="31"/>
    </row>
    <row r="96" spans="1:34" s="6" customFormat="1" ht="12.75" customHeight="1">
      <c r="A96" s="104">
        <v>2390</v>
      </c>
      <c r="B96" s="84" t="s">
        <v>68</v>
      </c>
      <c r="C96" s="339">
        <f>D96+F96+H96</f>
        <v>10000</v>
      </c>
      <c r="D96" s="346">
        <v>3000</v>
      </c>
      <c r="E96" s="335"/>
      <c r="F96" s="335">
        <v>3000</v>
      </c>
      <c r="G96" s="335"/>
      <c r="H96" s="335">
        <v>4000</v>
      </c>
      <c r="I96" s="335"/>
      <c r="J96" s="345">
        <f>K96+M96+O96</f>
        <v>14000</v>
      </c>
      <c r="K96" s="346">
        <v>5000</v>
      </c>
      <c r="L96" s="335"/>
      <c r="M96" s="335">
        <v>4000</v>
      </c>
      <c r="N96" s="335"/>
      <c r="O96" s="335">
        <v>5000</v>
      </c>
      <c r="P96" s="335"/>
      <c r="Q96" s="345">
        <f>R96+T96+V96</f>
        <v>12000</v>
      </c>
      <c r="R96" s="346">
        <v>4000</v>
      </c>
      <c r="S96" s="346"/>
      <c r="T96" s="346">
        <v>4000</v>
      </c>
      <c r="U96" s="346"/>
      <c r="V96" s="346">
        <v>4000</v>
      </c>
      <c r="W96" s="335"/>
      <c r="X96" s="339">
        <f>Y96+AA96+AC96</f>
        <v>14621</v>
      </c>
      <c r="Y96" s="347">
        <v>4000</v>
      </c>
      <c r="Z96" s="346"/>
      <c r="AA96" s="347">
        <v>5000</v>
      </c>
      <c r="AB96" s="346"/>
      <c r="AC96" s="347">
        <v>5621</v>
      </c>
      <c r="AD96" s="335"/>
      <c r="AE96" s="339">
        <f t="shared" si="113"/>
        <v>50621</v>
      </c>
      <c r="AF96" s="31"/>
      <c r="AG96" s="31"/>
      <c r="AH96" s="31"/>
    </row>
    <row r="97" spans="1:36" s="6" customFormat="1" ht="16.5" hidden="1" customHeight="1">
      <c r="A97" s="95">
        <v>2400</v>
      </c>
      <c r="B97" s="95" t="s">
        <v>69</v>
      </c>
      <c r="C97" s="339">
        <f>D97+F97+H97</f>
        <v>0</v>
      </c>
      <c r="D97" s="350"/>
      <c r="E97" s="333"/>
      <c r="F97" s="333"/>
      <c r="G97" s="333"/>
      <c r="H97" s="333"/>
      <c r="I97" s="333"/>
      <c r="J97" s="345">
        <f>K97+M97+O97</f>
        <v>0</v>
      </c>
      <c r="K97" s="350"/>
      <c r="L97" s="333"/>
      <c r="M97" s="333"/>
      <c r="N97" s="333"/>
      <c r="O97" s="333"/>
      <c r="P97" s="333"/>
      <c r="Q97" s="350"/>
      <c r="R97" s="350"/>
      <c r="S97" s="350"/>
      <c r="T97" s="350"/>
      <c r="U97" s="350"/>
      <c r="V97" s="350"/>
      <c r="W97" s="333"/>
      <c r="X97" s="339">
        <f>Y97+AA97+AC97</f>
        <v>0</v>
      </c>
      <c r="Y97" s="350"/>
      <c r="Z97" s="350"/>
      <c r="AA97" s="350"/>
      <c r="AB97" s="350"/>
      <c r="AC97" s="350"/>
      <c r="AD97" s="333"/>
      <c r="AE97" s="340">
        <f t="shared" si="113"/>
        <v>0</v>
      </c>
      <c r="AF97" s="30"/>
      <c r="AG97" s="30"/>
      <c r="AH97" s="30"/>
    </row>
    <row r="98" spans="1:36" s="6" customFormat="1" ht="12.75" hidden="1" customHeight="1">
      <c r="A98" s="94"/>
      <c r="B98" s="95"/>
      <c r="C98" s="47"/>
      <c r="D98" s="49"/>
      <c r="E98" s="49"/>
      <c r="F98" s="49"/>
      <c r="G98" s="49"/>
      <c r="H98" s="49"/>
      <c r="I98" s="49"/>
      <c r="J98" s="345">
        <f>K98+M98+O98</f>
        <v>0</v>
      </c>
      <c r="K98" s="49"/>
      <c r="L98" s="49"/>
      <c r="M98" s="49"/>
      <c r="N98" s="49"/>
      <c r="O98" s="49"/>
      <c r="P98" s="49"/>
      <c r="Q98" s="47"/>
      <c r="R98" s="49"/>
      <c r="S98" s="49"/>
      <c r="T98" s="49"/>
      <c r="U98" s="49"/>
      <c r="V98" s="49"/>
      <c r="W98" s="49"/>
      <c r="X98" s="47"/>
      <c r="Y98" s="49"/>
      <c r="Z98" s="49"/>
      <c r="AA98" s="49"/>
      <c r="AB98" s="49"/>
      <c r="AC98" s="49"/>
      <c r="AD98" s="49"/>
      <c r="AE98" s="340">
        <f t="shared" si="113"/>
        <v>0</v>
      </c>
      <c r="AF98" s="31"/>
      <c r="AG98" s="31"/>
      <c r="AH98" s="31"/>
    </row>
    <row r="99" spans="1:36" s="45" customFormat="1" ht="18" customHeight="1">
      <c r="A99" s="95">
        <v>2500</v>
      </c>
      <c r="B99" s="95" t="s">
        <v>127</v>
      </c>
      <c r="C99" s="336">
        <f>C100+C105</f>
        <v>30932</v>
      </c>
      <c r="D99" s="336">
        <f t="shared" ref="D99:I99" si="114">D100+D105</f>
        <v>9075</v>
      </c>
      <c r="E99" s="336">
        <f t="shared" si="114"/>
        <v>0</v>
      </c>
      <c r="F99" s="336">
        <f t="shared" si="114"/>
        <v>16762</v>
      </c>
      <c r="G99" s="336">
        <f t="shared" si="114"/>
        <v>0</v>
      </c>
      <c r="H99" s="336">
        <f t="shared" si="114"/>
        <v>5095</v>
      </c>
      <c r="I99" s="336">
        <f t="shared" si="114"/>
        <v>0</v>
      </c>
      <c r="J99" s="336">
        <f>J100+J105</f>
        <v>20490</v>
      </c>
      <c r="K99" s="336">
        <f t="shared" ref="K99:P99" si="115">K100+K105</f>
        <v>6170</v>
      </c>
      <c r="L99" s="336">
        <f t="shared" si="115"/>
        <v>0</v>
      </c>
      <c r="M99" s="336">
        <f t="shared" si="115"/>
        <v>5160</v>
      </c>
      <c r="N99" s="336">
        <f t="shared" si="115"/>
        <v>0</v>
      </c>
      <c r="O99" s="336">
        <f t="shared" si="115"/>
        <v>9160</v>
      </c>
      <c r="P99" s="336">
        <f t="shared" si="115"/>
        <v>0</v>
      </c>
      <c r="Q99" s="336">
        <f>Q100+Q105</f>
        <v>20380</v>
      </c>
      <c r="R99" s="336">
        <f t="shared" ref="R99:W99" si="116">R100+R105</f>
        <v>5130</v>
      </c>
      <c r="S99" s="336">
        <f t="shared" si="116"/>
        <v>0</v>
      </c>
      <c r="T99" s="336">
        <f t="shared" si="116"/>
        <v>5130</v>
      </c>
      <c r="U99" s="336">
        <f t="shared" si="116"/>
        <v>0</v>
      </c>
      <c r="V99" s="336">
        <f t="shared" si="116"/>
        <v>10120</v>
      </c>
      <c r="W99" s="336">
        <f t="shared" si="116"/>
        <v>0</v>
      </c>
      <c r="X99" s="336">
        <f>X100+X105</f>
        <v>20480</v>
      </c>
      <c r="Y99" s="336">
        <f t="shared" ref="Y99:AD99" si="117">Y100+Y105</f>
        <v>5008</v>
      </c>
      <c r="Z99" s="336">
        <f t="shared" si="117"/>
        <v>0</v>
      </c>
      <c r="AA99" s="336">
        <f t="shared" si="117"/>
        <v>7292</v>
      </c>
      <c r="AB99" s="336">
        <f t="shared" si="117"/>
        <v>0</v>
      </c>
      <c r="AC99" s="336">
        <f t="shared" si="117"/>
        <v>8180</v>
      </c>
      <c r="AD99" s="336">
        <f t="shared" si="117"/>
        <v>0</v>
      </c>
      <c r="AE99" s="336">
        <f>AE100+AE105</f>
        <v>92282</v>
      </c>
      <c r="AF99" s="30"/>
      <c r="AG99" s="30"/>
      <c r="AH99" s="30"/>
    </row>
    <row r="100" spans="1:36" s="6" customFormat="1" ht="12.75" customHeight="1">
      <c r="A100" s="104">
        <v>2510</v>
      </c>
      <c r="B100" s="84" t="s">
        <v>128</v>
      </c>
      <c r="C100" s="301">
        <f>SUM(C101:C104)</f>
        <v>30932</v>
      </c>
      <c r="D100" s="337">
        <f t="shared" ref="D100:I100" si="118">SUM(D101:D104)</f>
        <v>9075</v>
      </c>
      <c r="E100" s="337">
        <f t="shared" si="118"/>
        <v>0</v>
      </c>
      <c r="F100" s="337">
        <f t="shared" si="118"/>
        <v>16762</v>
      </c>
      <c r="G100" s="337">
        <f t="shared" si="118"/>
        <v>0</v>
      </c>
      <c r="H100" s="337">
        <f t="shared" si="118"/>
        <v>5095</v>
      </c>
      <c r="I100" s="337">
        <f t="shared" si="118"/>
        <v>0</v>
      </c>
      <c r="J100" s="301">
        <f>SUM(J101:J104)</f>
        <v>20490</v>
      </c>
      <c r="K100" s="337">
        <f t="shared" ref="K100:P100" si="119">SUM(K101:K104)</f>
        <v>6170</v>
      </c>
      <c r="L100" s="337">
        <f t="shared" si="119"/>
        <v>0</v>
      </c>
      <c r="M100" s="337">
        <f t="shared" si="119"/>
        <v>5160</v>
      </c>
      <c r="N100" s="337">
        <f t="shared" si="119"/>
        <v>0</v>
      </c>
      <c r="O100" s="337">
        <f t="shared" si="119"/>
        <v>9160</v>
      </c>
      <c r="P100" s="337">
        <f t="shared" si="119"/>
        <v>0</v>
      </c>
      <c r="Q100" s="301">
        <f>SUM(Q101:Q104)</f>
        <v>20380</v>
      </c>
      <c r="R100" s="337">
        <f t="shared" ref="R100:W100" si="120">SUM(R101:R104)</f>
        <v>5130</v>
      </c>
      <c r="S100" s="337">
        <f t="shared" si="120"/>
        <v>0</v>
      </c>
      <c r="T100" s="337">
        <f t="shared" si="120"/>
        <v>5130</v>
      </c>
      <c r="U100" s="337">
        <f t="shared" si="120"/>
        <v>0</v>
      </c>
      <c r="V100" s="337">
        <f t="shared" si="120"/>
        <v>10120</v>
      </c>
      <c r="W100" s="337">
        <f t="shared" si="120"/>
        <v>0</v>
      </c>
      <c r="X100" s="301">
        <f>SUM(X101:X104)</f>
        <v>20480</v>
      </c>
      <c r="Y100" s="337">
        <f t="shared" ref="Y100:AD100" si="121">SUM(Y101:Y104)</f>
        <v>5008</v>
      </c>
      <c r="Z100" s="337">
        <f t="shared" si="121"/>
        <v>0</v>
      </c>
      <c r="AA100" s="337">
        <f t="shared" si="121"/>
        <v>7292</v>
      </c>
      <c r="AB100" s="337">
        <f t="shared" si="121"/>
        <v>0</v>
      </c>
      <c r="AC100" s="337">
        <f t="shared" si="121"/>
        <v>8180</v>
      </c>
      <c r="AD100" s="337">
        <f t="shared" si="121"/>
        <v>0</v>
      </c>
      <c r="AE100" s="337">
        <f>SUM(AE101:AE104)</f>
        <v>92282</v>
      </c>
      <c r="AF100" s="31"/>
      <c r="AG100" s="36"/>
      <c r="AH100" s="31"/>
    </row>
    <row r="101" spans="1:36" s="6" customFormat="1" ht="16.5" customHeight="1">
      <c r="A101" s="94">
        <v>2512</v>
      </c>
      <c r="B101" s="98" t="s">
        <v>70</v>
      </c>
      <c r="C101" s="333">
        <f>D101+F101+H101</f>
        <v>20000</v>
      </c>
      <c r="D101" s="335">
        <v>9000</v>
      </c>
      <c r="E101" s="335"/>
      <c r="F101" s="335">
        <v>6000</v>
      </c>
      <c r="G101" s="335"/>
      <c r="H101" s="335">
        <v>5000</v>
      </c>
      <c r="I101" s="335"/>
      <c r="J101" s="333">
        <f>K101+M101+O101</f>
        <v>20000</v>
      </c>
      <c r="K101" s="335">
        <v>6000</v>
      </c>
      <c r="L101" s="335"/>
      <c r="M101" s="335">
        <v>5000</v>
      </c>
      <c r="N101" s="335"/>
      <c r="O101" s="335">
        <v>9000</v>
      </c>
      <c r="P101" s="335"/>
      <c r="Q101" s="333">
        <f>R101+T101+V101</f>
        <v>20000</v>
      </c>
      <c r="R101" s="338">
        <v>5000</v>
      </c>
      <c r="S101" s="335"/>
      <c r="T101" s="338">
        <v>5000</v>
      </c>
      <c r="U101" s="335"/>
      <c r="V101" s="338">
        <v>10000</v>
      </c>
      <c r="W101" s="335"/>
      <c r="X101" s="333">
        <f>Y101+AA101+AC101</f>
        <v>20000</v>
      </c>
      <c r="Y101" s="338">
        <v>4898</v>
      </c>
      <c r="Z101" s="335"/>
      <c r="AA101" s="338">
        <v>7102</v>
      </c>
      <c r="AB101" s="335"/>
      <c r="AC101" s="338">
        <v>8000</v>
      </c>
      <c r="AD101" s="335"/>
      <c r="AE101" s="339">
        <f>C101+J101+Q101+X101</f>
        <v>80000</v>
      </c>
      <c r="AF101" s="31"/>
      <c r="AG101" s="31"/>
      <c r="AH101" s="31"/>
    </row>
    <row r="102" spans="1:36" s="6" customFormat="1" ht="26.25" customHeight="1">
      <c r="A102" s="94">
        <v>2513</v>
      </c>
      <c r="B102" s="84" t="s">
        <v>129</v>
      </c>
      <c r="C102" s="333">
        <f>D102+F102+H102</f>
        <v>10662</v>
      </c>
      <c r="D102" s="335"/>
      <c r="E102" s="335"/>
      <c r="F102" s="335">
        <v>10662</v>
      </c>
      <c r="G102" s="335"/>
      <c r="H102" s="335"/>
      <c r="I102" s="335"/>
      <c r="J102" s="333">
        <f>K102+M102+O102</f>
        <v>0</v>
      </c>
      <c r="K102" s="335"/>
      <c r="L102" s="335"/>
      <c r="M102" s="335"/>
      <c r="N102" s="335"/>
      <c r="O102" s="335"/>
      <c r="P102" s="335"/>
      <c r="Q102" s="333">
        <f>R102+T102+V102</f>
        <v>0</v>
      </c>
      <c r="R102" s="335"/>
      <c r="S102" s="335"/>
      <c r="T102" s="335"/>
      <c r="U102" s="335"/>
      <c r="V102" s="335"/>
      <c r="W102" s="335"/>
      <c r="X102" s="333">
        <f>Y102+AA102+AC102</f>
        <v>0</v>
      </c>
      <c r="Y102" s="335"/>
      <c r="Z102" s="335"/>
      <c r="AA102" s="335"/>
      <c r="AB102" s="335"/>
      <c r="AC102" s="335"/>
      <c r="AD102" s="335"/>
      <c r="AE102" s="339">
        <f>C102+J102+Q102+X102</f>
        <v>10662</v>
      </c>
      <c r="AF102" s="31"/>
      <c r="AG102" s="31"/>
      <c r="AH102" s="31"/>
    </row>
    <row r="103" spans="1:36" s="6" customFormat="1" ht="13.5" customHeight="1">
      <c r="A103" s="94">
        <v>2516</v>
      </c>
      <c r="B103" s="84" t="s">
        <v>149</v>
      </c>
      <c r="C103" s="333">
        <f>D103+F103+H103</f>
        <v>20</v>
      </c>
      <c r="D103" s="335">
        <v>5</v>
      </c>
      <c r="E103" s="335"/>
      <c r="F103" s="335">
        <v>10</v>
      </c>
      <c r="G103" s="335"/>
      <c r="H103" s="335">
        <v>5</v>
      </c>
      <c r="I103" s="335"/>
      <c r="J103" s="333">
        <f>K103+M103+O103</f>
        <v>40</v>
      </c>
      <c r="K103" s="335">
        <v>10</v>
      </c>
      <c r="L103" s="335"/>
      <c r="M103" s="335">
        <v>10</v>
      </c>
      <c r="N103" s="335"/>
      <c r="O103" s="335">
        <v>20</v>
      </c>
      <c r="P103" s="335"/>
      <c r="Q103" s="333">
        <f>R103+T103+V103</f>
        <v>30</v>
      </c>
      <c r="R103" s="335">
        <v>10</v>
      </c>
      <c r="S103" s="335"/>
      <c r="T103" s="335">
        <v>10</v>
      </c>
      <c r="U103" s="335"/>
      <c r="V103" s="335">
        <v>10</v>
      </c>
      <c r="W103" s="335"/>
      <c r="X103" s="333">
        <f>Y103+AA103+AC103</f>
        <v>30</v>
      </c>
      <c r="Y103" s="335">
        <v>10</v>
      </c>
      <c r="Z103" s="335"/>
      <c r="AA103" s="335">
        <v>10</v>
      </c>
      <c r="AB103" s="335"/>
      <c r="AC103" s="335">
        <v>10</v>
      </c>
      <c r="AD103" s="335"/>
      <c r="AE103" s="339">
        <f>C103+J103+Q103+X103</f>
        <v>120</v>
      </c>
      <c r="AF103" s="31"/>
      <c r="AG103" s="31"/>
      <c r="AH103" s="31"/>
    </row>
    <row r="104" spans="1:36" s="6" customFormat="1" ht="13.5" customHeight="1">
      <c r="A104" s="94">
        <v>2519</v>
      </c>
      <c r="B104" s="84" t="s">
        <v>71</v>
      </c>
      <c r="C104" s="333">
        <f>D104+F104+H104</f>
        <v>250</v>
      </c>
      <c r="D104" s="335">
        <v>70</v>
      </c>
      <c r="E104" s="335"/>
      <c r="F104" s="335">
        <v>90</v>
      </c>
      <c r="G104" s="335"/>
      <c r="H104" s="335">
        <v>90</v>
      </c>
      <c r="I104" s="335"/>
      <c r="J104" s="333">
        <f>K104+M104+O104</f>
        <v>450</v>
      </c>
      <c r="K104" s="335">
        <v>160</v>
      </c>
      <c r="L104" s="335"/>
      <c r="M104" s="335">
        <v>150</v>
      </c>
      <c r="N104" s="335"/>
      <c r="O104" s="335">
        <v>140</v>
      </c>
      <c r="P104" s="335"/>
      <c r="Q104" s="333">
        <f>R104+T104+V104</f>
        <v>350</v>
      </c>
      <c r="R104" s="335">
        <v>120</v>
      </c>
      <c r="S104" s="335"/>
      <c r="T104" s="335">
        <v>120</v>
      </c>
      <c r="U104" s="335"/>
      <c r="V104" s="335">
        <v>110</v>
      </c>
      <c r="W104" s="335"/>
      <c r="X104" s="333">
        <f>Y104+AA104+AC104</f>
        <v>450</v>
      </c>
      <c r="Y104" s="335">
        <v>100</v>
      </c>
      <c r="Z104" s="335"/>
      <c r="AA104" s="335">
        <v>180</v>
      </c>
      <c r="AB104" s="335"/>
      <c r="AC104" s="335">
        <v>170</v>
      </c>
      <c r="AD104" s="335"/>
      <c r="AE104" s="339">
        <f>C104+J104+Q104+X104</f>
        <v>1500</v>
      </c>
      <c r="AF104" s="74"/>
      <c r="AG104" s="74"/>
      <c r="AH104" s="74"/>
    </row>
    <row r="105" spans="1:36" s="6" customFormat="1" ht="12.75" hidden="1" customHeight="1">
      <c r="A105" s="104">
        <v>2520</v>
      </c>
      <c r="B105" s="84" t="s">
        <v>130</v>
      </c>
      <c r="C105" s="333"/>
      <c r="D105" s="335"/>
      <c r="E105" s="335"/>
      <c r="F105" s="335"/>
      <c r="G105" s="335"/>
      <c r="H105" s="335"/>
      <c r="I105" s="335"/>
      <c r="J105" s="333">
        <f>K105+M105+O105</f>
        <v>0</v>
      </c>
      <c r="K105" s="335"/>
      <c r="L105" s="335"/>
      <c r="M105" s="335"/>
      <c r="N105" s="335"/>
      <c r="O105" s="335"/>
      <c r="P105" s="335"/>
      <c r="Q105" s="333">
        <f>R105+T105+V105</f>
        <v>0</v>
      </c>
      <c r="R105" s="335"/>
      <c r="S105" s="335"/>
      <c r="T105" s="335"/>
      <c r="U105" s="335"/>
      <c r="V105" s="335"/>
      <c r="W105" s="335"/>
      <c r="X105" s="333">
        <f>Y105+AA105+AC105</f>
        <v>0</v>
      </c>
      <c r="Y105" s="335"/>
      <c r="Z105" s="335"/>
      <c r="AA105" s="335"/>
      <c r="AB105" s="335"/>
      <c r="AC105" s="335"/>
      <c r="AD105" s="335"/>
      <c r="AE105" s="340">
        <f>C105+J105+Q105+X105</f>
        <v>0</v>
      </c>
      <c r="AF105" s="43"/>
      <c r="AG105" s="43"/>
      <c r="AH105" s="43"/>
    </row>
    <row r="106" spans="1:36" s="45" customFormat="1" ht="17.5" customHeight="1">
      <c r="A106" s="106">
        <v>4000</v>
      </c>
      <c r="B106" s="107" t="s">
        <v>72</v>
      </c>
      <c r="C106" s="42">
        <f>C107</f>
        <v>0</v>
      </c>
      <c r="D106" s="42">
        <f t="shared" ref="D106:I107" si="122">D107</f>
        <v>0</v>
      </c>
      <c r="E106" s="42">
        <f t="shared" si="122"/>
        <v>0</v>
      </c>
      <c r="F106" s="42">
        <f t="shared" si="122"/>
        <v>0</v>
      </c>
      <c r="G106" s="42">
        <f t="shared" si="122"/>
        <v>0</v>
      </c>
      <c r="H106" s="42">
        <f t="shared" si="122"/>
        <v>0</v>
      </c>
      <c r="I106" s="42">
        <f t="shared" si="122"/>
        <v>0</v>
      </c>
      <c r="J106" s="42">
        <f>J107</f>
        <v>0</v>
      </c>
      <c r="K106" s="42"/>
      <c r="L106" s="34"/>
      <c r="M106" s="34"/>
      <c r="N106" s="34"/>
      <c r="O106" s="34"/>
      <c r="P106" s="34"/>
      <c r="Q106" s="42">
        <f>Q107</f>
        <v>0</v>
      </c>
      <c r="R106" s="42"/>
      <c r="S106" s="42"/>
      <c r="T106" s="42"/>
      <c r="U106" s="42"/>
      <c r="V106" s="42"/>
      <c r="W106" s="34"/>
      <c r="X106" s="42">
        <f>X107</f>
        <v>0</v>
      </c>
      <c r="Y106" s="42">
        <f t="shared" ref="Y106:AD107" si="123">Y107</f>
        <v>0</v>
      </c>
      <c r="Z106" s="42">
        <f t="shared" si="123"/>
        <v>0</v>
      </c>
      <c r="AA106" s="42">
        <f t="shared" si="123"/>
        <v>0</v>
      </c>
      <c r="AB106" s="42">
        <f t="shared" si="123"/>
        <v>0</v>
      </c>
      <c r="AC106" s="42">
        <f t="shared" si="123"/>
        <v>0</v>
      </c>
      <c r="AD106" s="42">
        <f t="shared" si="123"/>
        <v>0</v>
      </c>
      <c r="AE106" s="42">
        <f>AE107</f>
        <v>0</v>
      </c>
      <c r="AF106" s="34"/>
      <c r="AG106" s="42"/>
      <c r="AH106" s="34"/>
    </row>
    <row r="107" spans="1:36" s="6" customFormat="1" hidden="1">
      <c r="A107" s="95">
        <v>4200</v>
      </c>
      <c r="B107" s="84" t="s">
        <v>73</v>
      </c>
      <c r="C107" s="336">
        <f>C108</f>
        <v>0</v>
      </c>
      <c r="D107" s="336">
        <f t="shared" si="122"/>
        <v>0</v>
      </c>
      <c r="E107" s="336">
        <f t="shared" si="122"/>
        <v>0</v>
      </c>
      <c r="F107" s="336">
        <f t="shared" si="122"/>
        <v>0</v>
      </c>
      <c r="G107" s="336">
        <f t="shared" si="122"/>
        <v>0</v>
      </c>
      <c r="H107" s="336">
        <f t="shared" si="122"/>
        <v>0</v>
      </c>
      <c r="I107" s="336">
        <f t="shared" si="122"/>
        <v>0</v>
      </c>
      <c r="J107" s="336">
        <f>J108</f>
        <v>0</v>
      </c>
      <c r="K107" s="336"/>
      <c r="L107" s="47"/>
      <c r="M107" s="47"/>
      <c r="N107" s="47"/>
      <c r="O107" s="47"/>
      <c r="P107" s="47"/>
      <c r="Q107" s="336">
        <f>Q108</f>
        <v>0</v>
      </c>
      <c r="R107" s="336"/>
      <c r="S107" s="336"/>
      <c r="T107" s="336"/>
      <c r="U107" s="336"/>
      <c r="V107" s="336"/>
      <c r="W107" s="47"/>
      <c r="X107" s="336">
        <f>X108</f>
        <v>0</v>
      </c>
      <c r="Y107" s="336">
        <f t="shared" si="123"/>
        <v>0</v>
      </c>
      <c r="Z107" s="336">
        <f t="shared" si="123"/>
        <v>0</v>
      </c>
      <c r="AA107" s="336">
        <f t="shared" si="123"/>
        <v>0</v>
      </c>
      <c r="AB107" s="336">
        <f t="shared" si="123"/>
        <v>0</v>
      </c>
      <c r="AC107" s="336">
        <f t="shared" si="123"/>
        <v>0</v>
      </c>
      <c r="AD107" s="336">
        <f t="shared" si="123"/>
        <v>0</v>
      </c>
      <c r="AE107" s="336">
        <f>AE108</f>
        <v>0</v>
      </c>
      <c r="AF107" s="29"/>
      <c r="AG107" s="35"/>
      <c r="AH107" s="29"/>
    </row>
    <row r="108" spans="1:36" s="6" customFormat="1" hidden="1">
      <c r="A108" s="104">
        <v>4250</v>
      </c>
      <c r="B108" s="84" t="s">
        <v>120</v>
      </c>
      <c r="C108" s="345"/>
      <c r="D108" s="346"/>
      <c r="E108" s="335"/>
      <c r="F108" s="335"/>
      <c r="G108" s="335"/>
      <c r="H108" s="335"/>
      <c r="I108" s="335"/>
      <c r="J108" s="345"/>
      <c r="K108" s="346"/>
      <c r="L108" s="335"/>
      <c r="M108" s="335"/>
      <c r="N108" s="335"/>
      <c r="O108" s="335"/>
      <c r="P108" s="335"/>
      <c r="Q108" s="345"/>
      <c r="R108" s="346"/>
      <c r="S108" s="346"/>
      <c r="T108" s="346"/>
      <c r="U108" s="346"/>
      <c r="V108" s="346"/>
      <c r="W108" s="335"/>
      <c r="X108" s="345"/>
      <c r="Y108" s="346"/>
      <c r="Z108" s="346"/>
      <c r="AA108" s="346"/>
      <c r="AB108" s="346"/>
      <c r="AC108" s="346"/>
      <c r="AD108" s="335"/>
      <c r="AE108" s="346">
        <f>C108+J108+Q108+X108</f>
        <v>0</v>
      </c>
      <c r="AF108" s="31"/>
      <c r="AG108" s="36"/>
      <c r="AH108" s="31"/>
    </row>
    <row r="109" spans="1:36" s="75" customFormat="1" ht="17.149999999999999" customHeight="1">
      <c r="A109" s="106">
        <v>5000</v>
      </c>
      <c r="B109" s="107" t="s">
        <v>131</v>
      </c>
      <c r="C109" s="42">
        <f>C110+C112</f>
        <v>147000</v>
      </c>
      <c r="D109" s="42">
        <f t="shared" ref="D109:I109" si="124">D110+D112</f>
        <v>8050</v>
      </c>
      <c r="E109" s="42">
        <f t="shared" si="124"/>
        <v>0</v>
      </c>
      <c r="F109" s="42">
        <f t="shared" si="124"/>
        <v>43800</v>
      </c>
      <c r="G109" s="42">
        <f t="shared" si="124"/>
        <v>0</v>
      </c>
      <c r="H109" s="42">
        <f t="shared" si="124"/>
        <v>95150</v>
      </c>
      <c r="I109" s="42">
        <f t="shared" si="124"/>
        <v>0</v>
      </c>
      <c r="J109" s="42">
        <f>J110+J112</f>
        <v>32000</v>
      </c>
      <c r="K109" s="42">
        <f t="shared" ref="K109:P109" si="125">K110+K112</f>
        <v>10500</v>
      </c>
      <c r="L109" s="42">
        <f t="shared" si="125"/>
        <v>0</v>
      </c>
      <c r="M109" s="42">
        <f t="shared" si="125"/>
        <v>11000</v>
      </c>
      <c r="N109" s="42">
        <f t="shared" si="125"/>
        <v>0</v>
      </c>
      <c r="O109" s="42">
        <f t="shared" si="125"/>
        <v>10500</v>
      </c>
      <c r="P109" s="42">
        <f t="shared" si="125"/>
        <v>0</v>
      </c>
      <c r="Q109" s="42">
        <f>Q110+Q112</f>
        <v>35000</v>
      </c>
      <c r="R109" s="42">
        <f t="shared" ref="R109:W109" si="126">R110+R112</f>
        <v>15000</v>
      </c>
      <c r="S109" s="42">
        <f t="shared" si="126"/>
        <v>0</v>
      </c>
      <c r="T109" s="42">
        <f t="shared" si="126"/>
        <v>14000</v>
      </c>
      <c r="U109" s="42">
        <f t="shared" si="126"/>
        <v>0</v>
      </c>
      <c r="V109" s="42">
        <f t="shared" si="126"/>
        <v>6000</v>
      </c>
      <c r="W109" s="42">
        <f t="shared" si="126"/>
        <v>0</v>
      </c>
      <c r="X109" s="42">
        <f>X110+X112</f>
        <v>30000</v>
      </c>
      <c r="Y109" s="42">
        <f t="shared" ref="Y109:AD109" si="127">Y110+Y112</f>
        <v>12000</v>
      </c>
      <c r="Z109" s="42">
        <f t="shared" si="127"/>
        <v>0</v>
      </c>
      <c r="AA109" s="42">
        <f t="shared" si="127"/>
        <v>16000</v>
      </c>
      <c r="AB109" s="42">
        <f t="shared" si="127"/>
        <v>0</v>
      </c>
      <c r="AC109" s="42">
        <f>AC110+AC112</f>
        <v>2000</v>
      </c>
      <c r="AD109" s="42">
        <f t="shared" si="127"/>
        <v>0</v>
      </c>
      <c r="AE109" s="42">
        <f>AE110+AE112</f>
        <v>244000</v>
      </c>
      <c r="AF109" s="34"/>
      <c r="AG109" s="42"/>
      <c r="AH109" s="34"/>
      <c r="AI109" s="75">
        <v>747000</v>
      </c>
      <c r="AJ109" s="123">
        <f>AI109-AE109</f>
        <v>503000</v>
      </c>
    </row>
    <row r="110" spans="1:36" s="6" customFormat="1" ht="15" customHeight="1">
      <c r="A110" s="95">
        <v>5100</v>
      </c>
      <c r="B110" s="84" t="s">
        <v>74</v>
      </c>
      <c r="C110" s="336">
        <f>C111</f>
        <v>2000</v>
      </c>
      <c r="D110" s="336">
        <f t="shared" ref="D110:I110" si="128">D111</f>
        <v>50</v>
      </c>
      <c r="E110" s="336">
        <f t="shared" si="128"/>
        <v>0</v>
      </c>
      <c r="F110" s="336">
        <f t="shared" si="128"/>
        <v>1800</v>
      </c>
      <c r="G110" s="336">
        <f t="shared" si="128"/>
        <v>0</v>
      </c>
      <c r="H110" s="336">
        <f t="shared" si="128"/>
        <v>150</v>
      </c>
      <c r="I110" s="336">
        <f t="shared" si="128"/>
        <v>0</v>
      </c>
      <c r="J110" s="336">
        <f>J111</f>
        <v>3000</v>
      </c>
      <c r="K110" s="336">
        <f t="shared" ref="K110:P110" si="129">K111</f>
        <v>1500</v>
      </c>
      <c r="L110" s="336">
        <f t="shared" si="129"/>
        <v>0</v>
      </c>
      <c r="M110" s="336">
        <f t="shared" si="129"/>
        <v>1000</v>
      </c>
      <c r="N110" s="336">
        <f t="shared" si="129"/>
        <v>0</v>
      </c>
      <c r="O110" s="336">
        <f t="shared" si="129"/>
        <v>500</v>
      </c>
      <c r="P110" s="336">
        <f t="shared" si="129"/>
        <v>0</v>
      </c>
      <c r="Q110" s="336">
        <f t="shared" ref="Q110:X110" si="130">Q111</f>
        <v>15000</v>
      </c>
      <c r="R110" s="336">
        <f t="shared" si="130"/>
        <v>5000</v>
      </c>
      <c r="S110" s="336">
        <f t="shared" si="130"/>
        <v>0</v>
      </c>
      <c r="T110" s="336">
        <f t="shared" si="130"/>
        <v>4000</v>
      </c>
      <c r="U110" s="336">
        <f t="shared" si="130"/>
        <v>0</v>
      </c>
      <c r="V110" s="336">
        <f t="shared" si="130"/>
        <v>6000</v>
      </c>
      <c r="W110" s="336">
        <f t="shared" si="130"/>
        <v>0</v>
      </c>
      <c r="X110" s="336">
        <f t="shared" si="130"/>
        <v>10000</v>
      </c>
      <c r="Y110" s="336">
        <f t="shared" ref="Y110:AD110" si="131">Y111</f>
        <v>2000</v>
      </c>
      <c r="Z110" s="336">
        <f t="shared" si="131"/>
        <v>0</v>
      </c>
      <c r="AA110" s="336">
        <f t="shared" si="131"/>
        <v>6000</v>
      </c>
      <c r="AB110" s="336">
        <f t="shared" si="131"/>
        <v>0</v>
      </c>
      <c r="AC110" s="336">
        <f>AC111</f>
        <v>2000</v>
      </c>
      <c r="AD110" s="336">
        <f t="shared" si="131"/>
        <v>0</v>
      </c>
      <c r="AE110" s="336">
        <f>AE111</f>
        <v>30000</v>
      </c>
      <c r="AF110" s="29"/>
      <c r="AG110" s="35"/>
      <c r="AH110" s="29"/>
    </row>
    <row r="111" spans="1:36" s="6" customFormat="1" ht="15" customHeight="1">
      <c r="A111" s="104">
        <v>5120</v>
      </c>
      <c r="B111" s="98" t="s">
        <v>75</v>
      </c>
      <c r="C111" s="345">
        <f>D111+F111+H111</f>
        <v>2000</v>
      </c>
      <c r="D111" s="346">
        <v>50</v>
      </c>
      <c r="E111" s="335"/>
      <c r="F111" s="335">
        <v>1800</v>
      </c>
      <c r="G111" s="335"/>
      <c r="H111" s="335">
        <v>150</v>
      </c>
      <c r="I111" s="335"/>
      <c r="J111" s="345">
        <f>K111+M111+O111</f>
        <v>3000</v>
      </c>
      <c r="K111" s="346">
        <v>1500</v>
      </c>
      <c r="L111" s="335"/>
      <c r="M111" s="335">
        <v>1000</v>
      </c>
      <c r="N111" s="335"/>
      <c r="O111" s="335">
        <v>500</v>
      </c>
      <c r="P111" s="335"/>
      <c r="Q111" s="345">
        <f>R111+T111+V111</f>
        <v>15000</v>
      </c>
      <c r="R111" s="347">
        <v>5000</v>
      </c>
      <c r="S111" s="346"/>
      <c r="T111" s="346">
        <v>4000</v>
      </c>
      <c r="U111" s="346"/>
      <c r="V111" s="346">
        <v>6000</v>
      </c>
      <c r="W111" s="335"/>
      <c r="X111" s="345">
        <f>Y111+AA111+AC111</f>
        <v>10000</v>
      </c>
      <c r="Y111" s="346">
        <v>2000</v>
      </c>
      <c r="Z111" s="346"/>
      <c r="AA111" s="346">
        <v>6000</v>
      </c>
      <c r="AB111" s="346"/>
      <c r="AC111" s="347">
        <v>2000</v>
      </c>
      <c r="AD111" s="335"/>
      <c r="AE111" s="333">
        <f>C111+J111+Q111+X111</f>
        <v>30000</v>
      </c>
      <c r="AF111" s="31"/>
      <c r="AG111" s="36"/>
      <c r="AH111" s="31"/>
    </row>
    <row r="112" spans="1:36" s="6" customFormat="1" ht="15" customHeight="1">
      <c r="A112" s="95">
        <v>5200</v>
      </c>
      <c r="B112" s="84" t="s">
        <v>76</v>
      </c>
      <c r="C112" s="336">
        <f>C113+C114+C118+C119+C120</f>
        <v>145000</v>
      </c>
      <c r="D112" s="336">
        <f t="shared" ref="D112:I112" si="132">D113+D114+D118+D119+D120</f>
        <v>8000</v>
      </c>
      <c r="E112" s="336">
        <f t="shared" si="132"/>
        <v>0</v>
      </c>
      <c r="F112" s="336">
        <f t="shared" si="132"/>
        <v>42000</v>
      </c>
      <c r="G112" s="336">
        <f t="shared" si="132"/>
        <v>0</v>
      </c>
      <c r="H112" s="336">
        <f t="shared" si="132"/>
        <v>95000</v>
      </c>
      <c r="I112" s="336">
        <f t="shared" si="132"/>
        <v>0</v>
      </c>
      <c r="J112" s="336">
        <f>J113+J114+J118+J119+J120</f>
        <v>29000</v>
      </c>
      <c r="K112" s="336">
        <f t="shared" ref="K112:P112" si="133">K113+K114+K118+K119+K120</f>
        <v>9000</v>
      </c>
      <c r="L112" s="336">
        <f t="shared" si="133"/>
        <v>0</v>
      </c>
      <c r="M112" s="336">
        <f t="shared" si="133"/>
        <v>10000</v>
      </c>
      <c r="N112" s="336">
        <f t="shared" si="133"/>
        <v>0</v>
      </c>
      <c r="O112" s="336">
        <f t="shared" si="133"/>
        <v>10000</v>
      </c>
      <c r="P112" s="336">
        <f t="shared" si="133"/>
        <v>0</v>
      </c>
      <c r="Q112" s="336">
        <f>Q113+Q114+Q118+Q119+Q120</f>
        <v>20000</v>
      </c>
      <c r="R112" s="336">
        <f t="shared" ref="R112:W112" si="134">R113+R114+R118+R119+R120</f>
        <v>10000</v>
      </c>
      <c r="S112" s="336">
        <f t="shared" si="134"/>
        <v>0</v>
      </c>
      <c r="T112" s="336">
        <f t="shared" si="134"/>
        <v>10000</v>
      </c>
      <c r="U112" s="336">
        <f t="shared" si="134"/>
        <v>0</v>
      </c>
      <c r="V112" s="336">
        <f t="shared" si="134"/>
        <v>0</v>
      </c>
      <c r="W112" s="336">
        <f t="shared" si="134"/>
        <v>0</v>
      </c>
      <c r="X112" s="336">
        <f>X113+X114+X118+X119+X120</f>
        <v>20000</v>
      </c>
      <c r="Y112" s="336">
        <f t="shared" ref="Y112:AD112" si="135">Y113+Y114+Y118+Y119+Y120</f>
        <v>10000</v>
      </c>
      <c r="Z112" s="336">
        <f t="shared" si="135"/>
        <v>0</v>
      </c>
      <c r="AA112" s="336">
        <f t="shared" si="135"/>
        <v>10000</v>
      </c>
      <c r="AB112" s="336">
        <f t="shared" si="135"/>
        <v>0</v>
      </c>
      <c r="AC112" s="336">
        <f t="shared" si="135"/>
        <v>0</v>
      </c>
      <c r="AD112" s="336">
        <f t="shared" si="135"/>
        <v>0</v>
      </c>
      <c r="AE112" s="336">
        <f>AE113+AE114+AE118+AE119+AE120</f>
        <v>214000</v>
      </c>
      <c r="AF112" s="30"/>
      <c r="AG112" s="41"/>
      <c r="AH112" s="30"/>
    </row>
    <row r="113" spans="1:36" s="6" customFormat="1" ht="15" customHeight="1">
      <c r="A113" s="104">
        <v>5220</v>
      </c>
      <c r="B113" s="84" t="s">
        <v>77</v>
      </c>
      <c r="C113" s="345"/>
      <c r="D113" s="345"/>
      <c r="E113" s="333"/>
      <c r="F113" s="333"/>
      <c r="G113" s="333"/>
      <c r="H113" s="333"/>
      <c r="I113" s="333"/>
      <c r="J113" s="345"/>
      <c r="K113" s="345"/>
      <c r="L113" s="333"/>
      <c r="M113" s="333"/>
      <c r="N113" s="333"/>
      <c r="O113" s="333"/>
      <c r="P113" s="333"/>
      <c r="Q113" s="345"/>
      <c r="R113" s="345"/>
      <c r="S113" s="345"/>
      <c r="T113" s="345"/>
      <c r="U113" s="345"/>
      <c r="V113" s="345"/>
      <c r="W113" s="333"/>
      <c r="X113" s="345"/>
      <c r="Y113" s="345"/>
      <c r="Z113" s="345"/>
      <c r="AA113" s="345"/>
      <c r="AB113" s="345"/>
      <c r="AC113" s="345"/>
      <c r="AD113" s="333"/>
      <c r="AE113" s="335">
        <f>C113+J113+Q113+X113</f>
        <v>0</v>
      </c>
      <c r="AF113" s="30"/>
      <c r="AG113" s="44"/>
      <c r="AH113" s="30"/>
    </row>
    <row r="114" spans="1:36" s="6" customFormat="1" ht="15" customHeight="1">
      <c r="A114" s="104">
        <v>5230</v>
      </c>
      <c r="B114" s="84" t="s">
        <v>78</v>
      </c>
      <c r="C114" s="301">
        <f>SUM(C115:C117)</f>
        <v>110000</v>
      </c>
      <c r="D114" s="337">
        <f t="shared" ref="D114:I114" si="136">SUM(D115:D117)</f>
        <v>3000</v>
      </c>
      <c r="E114" s="337">
        <f t="shared" si="136"/>
        <v>0</v>
      </c>
      <c r="F114" s="337">
        <f t="shared" si="136"/>
        <v>32000</v>
      </c>
      <c r="G114" s="337">
        <f t="shared" si="136"/>
        <v>0</v>
      </c>
      <c r="H114" s="337">
        <f t="shared" si="136"/>
        <v>75000</v>
      </c>
      <c r="I114" s="337">
        <f t="shared" si="136"/>
        <v>0</v>
      </c>
      <c r="J114" s="301">
        <f>SUM(J115:J117)</f>
        <v>29000</v>
      </c>
      <c r="K114" s="337">
        <f t="shared" ref="K114:P114" si="137">SUM(K115:K117)</f>
        <v>9000</v>
      </c>
      <c r="L114" s="337">
        <f t="shared" si="137"/>
        <v>0</v>
      </c>
      <c r="M114" s="337">
        <f t="shared" si="137"/>
        <v>10000</v>
      </c>
      <c r="N114" s="337">
        <f t="shared" si="137"/>
        <v>0</v>
      </c>
      <c r="O114" s="337">
        <f t="shared" si="137"/>
        <v>10000</v>
      </c>
      <c r="P114" s="337">
        <f t="shared" si="137"/>
        <v>0</v>
      </c>
      <c r="Q114" s="301">
        <f>SUM(Q115:Q117)</f>
        <v>20000</v>
      </c>
      <c r="R114" s="337">
        <f t="shared" ref="R114:W114" si="138">SUM(R115:R117)</f>
        <v>10000</v>
      </c>
      <c r="S114" s="337">
        <f t="shared" si="138"/>
        <v>0</v>
      </c>
      <c r="T114" s="337">
        <f t="shared" si="138"/>
        <v>10000</v>
      </c>
      <c r="U114" s="337">
        <f t="shared" si="138"/>
        <v>0</v>
      </c>
      <c r="V114" s="337">
        <f t="shared" si="138"/>
        <v>0</v>
      </c>
      <c r="W114" s="337">
        <f t="shared" si="138"/>
        <v>0</v>
      </c>
      <c r="X114" s="301">
        <f>SUM(X115:X117)</f>
        <v>20000</v>
      </c>
      <c r="Y114" s="337">
        <f t="shared" ref="Y114:AD114" si="139">SUM(Y115:Y117)</f>
        <v>10000</v>
      </c>
      <c r="Z114" s="337">
        <f t="shared" si="139"/>
        <v>0</v>
      </c>
      <c r="AA114" s="337">
        <f t="shared" si="139"/>
        <v>10000</v>
      </c>
      <c r="AB114" s="337">
        <f t="shared" si="139"/>
        <v>0</v>
      </c>
      <c r="AC114" s="337">
        <f t="shared" si="139"/>
        <v>0</v>
      </c>
      <c r="AD114" s="337">
        <f t="shared" si="139"/>
        <v>0</v>
      </c>
      <c r="AE114" s="337">
        <f>SUM(AE115:AE117)</f>
        <v>179000</v>
      </c>
      <c r="AF114" s="31"/>
      <c r="AG114" s="36"/>
      <c r="AH114" s="31"/>
    </row>
    <row r="115" spans="1:36" s="45" customFormat="1" ht="15" customHeight="1">
      <c r="A115" s="94">
        <v>5231</v>
      </c>
      <c r="B115" s="84" t="s">
        <v>79</v>
      </c>
      <c r="C115" s="333">
        <f t="shared" ref="C115:C120" si="140">D115+F115+H115</f>
        <v>0</v>
      </c>
      <c r="D115" s="335"/>
      <c r="E115" s="335"/>
      <c r="F115" s="335"/>
      <c r="G115" s="335"/>
      <c r="H115" s="335"/>
      <c r="I115" s="335"/>
      <c r="J115" s="333">
        <f t="shared" ref="J115:J120" si="141">K115+M115+O115</f>
        <v>0</v>
      </c>
      <c r="K115" s="335"/>
      <c r="L115" s="335"/>
      <c r="M115" s="335"/>
      <c r="N115" s="335"/>
      <c r="O115" s="335"/>
      <c r="P115" s="335"/>
      <c r="Q115" s="333">
        <f t="shared" ref="Q115:Q120" si="142">R115+T115+V115</f>
        <v>0</v>
      </c>
      <c r="R115" s="335"/>
      <c r="S115" s="335"/>
      <c r="T115" s="335"/>
      <c r="U115" s="335"/>
      <c r="V115" s="335"/>
      <c r="W115" s="335"/>
      <c r="X115" s="333">
        <f t="shared" ref="X115:X120" si="143">Y115+AA115+AC115</f>
        <v>0</v>
      </c>
      <c r="Y115" s="335"/>
      <c r="Z115" s="335"/>
      <c r="AA115" s="335"/>
      <c r="AB115" s="335"/>
      <c r="AC115" s="335"/>
      <c r="AD115" s="335"/>
      <c r="AE115" s="333">
        <f t="shared" ref="AE115:AE120" si="144">C115+J115+Q115+X115</f>
        <v>0</v>
      </c>
      <c r="AF115" s="31"/>
      <c r="AG115" s="31"/>
      <c r="AH115" s="31"/>
    </row>
    <row r="116" spans="1:36" s="45" customFormat="1" ht="15" customHeight="1">
      <c r="A116" s="94">
        <v>5238</v>
      </c>
      <c r="B116" s="84" t="s">
        <v>80</v>
      </c>
      <c r="C116" s="333">
        <f t="shared" si="140"/>
        <v>100000</v>
      </c>
      <c r="D116" s="335">
        <v>1000</v>
      </c>
      <c r="E116" s="335"/>
      <c r="F116" s="335">
        <v>30000</v>
      </c>
      <c r="G116" s="335"/>
      <c r="H116" s="335">
        <v>69000</v>
      </c>
      <c r="I116" s="335"/>
      <c r="J116" s="333">
        <f t="shared" si="141"/>
        <v>29000</v>
      </c>
      <c r="K116" s="335">
        <v>9000</v>
      </c>
      <c r="L116" s="335"/>
      <c r="M116" s="335">
        <v>10000</v>
      </c>
      <c r="N116" s="335"/>
      <c r="O116" s="335">
        <v>10000</v>
      </c>
      <c r="P116" s="335"/>
      <c r="Q116" s="333">
        <f t="shared" si="142"/>
        <v>20000</v>
      </c>
      <c r="R116" s="338">
        <v>10000</v>
      </c>
      <c r="S116" s="335"/>
      <c r="T116" s="335">
        <v>10000</v>
      </c>
      <c r="U116" s="335"/>
      <c r="V116" s="335"/>
      <c r="W116" s="335"/>
      <c r="X116" s="333">
        <f t="shared" si="143"/>
        <v>20000</v>
      </c>
      <c r="Y116" s="335">
        <v>10000</v>
      </c>
      <c r="Z116" s="335"/>
      <c r="AA116" s="335">
        <v>10000</v>
      </c>
      <c r="AB116" s="335"/>
      <c r="AC116" s="335"/>
      <c r="AD116" s="335"/>
      <c r="AE116" s="333">
        <f t="shared" si="144"/>
        <v>169000</v>
      </c>
      <c r="AF116" s="31"/>
      <c r="AG116" s="31"/>
      <c r="AH116" s="31"/>
    </row>
    <row r="117" spans="1:36" s="45" customFormat="1" ht="15" customHeight="1">
      <c r="A117" s="94">
        <v>5239</v>
      </c>
      <c r="B117" s="98" t="s">
        <v>81</v>
      </c>
      <c r="C117" s="333">
        <f t="shared" si="140"/>
        <v>10000</v>
      </c>
      <c r="D117" s="335">
        <v>2000</v>
      </c>
      <c r="E117" s="335"/>
      <c r="F117" s="335">
        <v>2000</v>
      </c>
      <c r="G117" s="335"/>
      <c r="H117" s="335">
        <v>6000</v>
      </c>
      <c r="I117" s="335"/>
      <c r="J117" s="333">
        <f t="shared" si="141"/>
        <v>0</v>
      </c>
      <c r="K117" s="335"/>
      <c r="L117" s="335"/>
      <c r="M117" s="335"/>
      <c r="N117" s="335"/>
      <c r="O117" s="335"/>
      <c r="P117" s="335"/>
      <c r="Q117" s="333">
        <f t="shared" si="142"/>
        <v>0</v>
      </c>
      <c r="R117" s="335"/>
      <c r="S117" s="335"/>
      <c r="T117" s="335"/>
      <c r="U117" s="335"/>
      <c r="V117" s="335"/>
      <c r="W117" s="335"/>
      <c r="X117" s="333">
        <f t="shared" si="143"/>
        <v>0</v>
      </c>
      <c r="Y117" s="335"/>
      <c r="Z117" s="335"/>
      <c r="AA117" s="335"/>
      <c r="AB117" s="335"/>
      <c r="AC117" s="335"/>
      <c r="AD117" s="335"/>
      <c r="AE117" s="335">
        <f t="shared" si="144"/>
        <v>10000</v>
      </c>
      <c r="AF117" s="32"/>
      <c r="AG117" s="32"/>
      <c r="AH117" s="32"/>
    </row>
    <row r="118" spans="1:36" s="45" customFormat="1" ht="15" customHeight="1">
      <c r="A118" s="108">
        <v>5240</v>
      </c>
      <c r="B118" s="84" t="s">
        <v>82</v>
      </c>
      <c r="C118" s="333">
        <f t="shared" si="140"/>
        <v>0</v>
      </c>
      <c r="D118" s="335"/>
      <c r="E118" s="335"/>
      <c r="F118" s="335"/>
      <c r="G118" s="335"/>
      <c r="H118" s="335"/>
      <c r="I118" s="335"/>
      <c r="J118" s="333">
        <f t="shared" si="141"/>
        <v>0</v>
      </c>
      <c r="K118" s="335"/>
      <c r="L118" s="335"/>
      <c r="M118" s="335"/>
      <c r="N118" s="335"/>
      <c r="O118" s="335"/>
      <c r="P118" s="335"/>
      <c r="Q118" s="333">
        <f t="shared" si="142"/>
        <v>0</v>
      </c>
      <c r="R118" s="335"/>
      <c r="S118" s="335"/>
      <c r="T118" s="335"/>
      <c r="U118" s="335"/>
      <c r="V118" s="335"/>
      <c r="W118" s="335"/>
      <c r="X118" s="333">
        <f t="shared" si="143"/>
        <v>0</v>
      </c>
      <c r="Y118" s="335"/>
      <c r="Z118" s="335"/>
      <c r="AA118" s="335"/>
      <c r="AB118" s="335"/>
      <c r="AC118" s="335"/>
      <c r="AD118" s="335"/>
      <c r="AE118" s="333">
        <f t="shared" si="144"/>
        <v>0</v>
      </c>
      <c r="AF118" s="46"/>
      <c r="AG118" s="46"/>
      <c r="AH118" s="46"/>
    </row>
    <row r="119" spans="1:36" s="45" customFormat="1" ht="15" customHeight="1">
      <c r="A119" s="104">
        <v>5250</v>
      </c>
      <c r="B119" s="98" t="s">
        <v>83</v>
      </c>
      <c r="C119" s="333">
        <f t="shared" si="140"/>
        <v>35000</v>
      </c>
      <c r="D119" s="335">
        <v>5000</v>
      </c>
      <c r="E119" s="335"/>
      <c r="F119" s="335">
        <v>10000</v>
      </c>
      <c r="G119" s="335"/>
      <c r="H119" s="335">
        <v>20000</v>
      </c>
      <c r="I119" s="335"/>
      <c r="J119" s="333">
        <f t="shared" si="141"/>
        <v>0</v>
      </c>
      <c r="K119" s="335"/>
      <c r="L119" s="335"/>
      <c r="M119" s="335"/>
      <c r="N119" s="335"/>
      <c r="O119" s="335"/>
      <c r="P119" s="335"/>
      <c r="Q119" s="333">
        <f t="shared" si="142"/>
        <v>0</v>
      </c>
      <c r="R119" s="338"/>
      <c r="S119" s="335"/>
      <c r="T119" s="338"/>
      <c r="U119" s="335"/>
      <c r="V119" s="335"/>
      <c r="W119" s="335"/>
      <c r="X119" s="333">
        <f t="shared" si="143"/>
        <v>0</v>
      </c>
      <c r="Y119" s="335"/>
      <c r="Z119" s="335"/>
      <c r="AA119" s="335"/>
      <c r="AB119" s="335"/>
      <c r="AC119" s="335"/>
      <c r="AD119" s="335"/>
      <c r="AE119" s="333">
        <f t="shared" si="144"/>
        <v>35000</v>
      </c>
      <c r="AF119" s="46"/>
      <c r="AG119" s="46"/>
      <c r="AH119" s="46"/>
    </row>
    <row r="120" spans="1:36" s="45" customFormat="1" ht="15" customHeight="1">
      <c r="A120" s="104">
        <v>5270</v>
      </c>
      <c r="B120" s="84" t="s">
        <v>121</v>
      </c>
      <c r="C120" s="333">
        <f t="shared" si="140"/>
        <v>0</v>
      </c>
      <c r="D120" s="335"/>
      <c r="E120" s="335"/>
      <c r="F120" s="335"/>
      <c r="G120" s="335"/>
      <c r="H120" s="335"/>
      <c r="I120" s="335"/>
      <c r="J120" s="333">
        <f t="shared" si="141"/>
        <v>0</v>
      </c>
      <c r="K120" s="335"/>
      <c r="L120" s="335"/>
      <c r="M120" s="335"/>
      <c r="N120" s="335"/>
      <c r="O120" s="335"/>
      <c r="P120" s="335"/>
      <c r="Q120" s="333">
        <f t="shared" si="142"/>
        <v>0</v>
      </c>
      <c r="R120" s="335"/>
      <c r="S120" s="335"/>
      <c r="T120" s="335"/>
      <c r="U120" s="335"/>
      <c r="V120" s="335"/>
      <c r="W120" s="335"/>
      <c r="X120" s="333">
        <f t="shared" si="143"/>
        <v>0</v>
      </c>
      <c r="Y120" s="335"/>
      <c r="Z120" s="335"/>
      <c r="AA120" s="335"/>
      <c r="AB120" s="335"/>
      <c r="AC120" s="335"/>
      <c r="AD120" s="335"/>
      <c r="AE120" s="335">
        <f t="shared" si="144"/>
        <v>0</v>
      </c>
      <c r="AF120" s="46"/>
      <c r="AG120" s="46"/>
      <c r="AH120" s="46"/>
    </row>
    <row r="121" spans="1:36" s="45" customFormat="1" ht="19" customHeight="1">
      <c r="A121" s="85"/>
      <c r="B121" s="84" t="s">
        <v>84</v>
      </c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351"/>
      <c r="AF121" s="47"/>
      <c r="AG121" s="47"/>
      <c r="AH121" s="47"/>
    </row>
    <row r="122" spans="1:36" s="45" customFormat="1" ht="13.5" customHeight="1">
      <c r="A122" s="85"/>
      <c r="B122" s="109" t="s">
        <v>85</v>
      </c>
      <c r="C122" s="302">
        <f t="shared" ref="C122:J122" si="145">C9-C16</f>
        <v>150000</v>
      </c>
      <c r="D122" s="48">
        <f t="shared" si="145"/>
        <v>83543</v>
      </c>
      <c r="E122" s="48">
        <f t="shared" si="145"/>
        <v>0</v>
      </c>
      <c r="F122" s="48">
        <f t="shared" si="145"/>
        <v>66457</v>
      </c>
      <c r="G122" s="48">
        <f t="shared" si="145"/>
        <v>0</v>
      </c>
      <c r="H122" s="48">
        <f t="shared" si="145"/>
        <v>0</v>
      </c>
      <c r="I122" s="48">
        <f t="shared" si="145"/>
        <v>0</v>
      </c>
      <c r="J122" s="302">
        <f t="shared" si="145"/>
        <v>388320</v>
      </c>
      <c r="K122" s="48"/>
      <c r="L122" s="48"/>
      <c r="M122" s="48"/>
      <c r="N122" s="48"/>
      <c r="O122" s="48"/>
      <c r="P122" s="48"/>
      <c r="Q122" s="302">
        <f>Q9-Q16</f>
        <v>24068</v>
      </c>
      <c r="R122" s="48"/>
      <c r="S122" s="48"/>
      <c r="T122" s="48"/>
      <c r="U122" s="48"/>
      <c r="V122" s="48"/>
      <c r="W122" s="48"/>
      <c r="X122" s="302">
        <f>X9-X16</f>
        <v>-59388</v>
      </c>
      <c r="Y122" s="48"/>
      <c r="Z122" s="48"/>
      <c r="AA122" s="48"/>
      <c r="AB122" s="48"/>
      <c r="AC122" s="48"/>
      <c r="AD122" s="48"/>
      <c r="AE122" s="352">
        <f>AE9-AE16</f>
        <v>503000</v>
      </c>
      <c r="AF122" s="48"/>
      <c r="AG122" s="48"/>
      <c r="AH122" s="48"/>
    </row>
    <row r="123" spans="1:36" s="45" customFormat="1" ht="13.5" customHeight="1">
      <c r="A123" s="85"/>
      <c r="B123" s="109" t="s">
        <v>86</v>
      </c>
      <c r="C123" s="302">
        <v>463586.83</v>
      </c>
      <c r="D123" s="48"/>
      <c r="E123" s="48"/>
      <c r="F123" s="48"/>
      <c r="G123" s="48"/>
      <c r="H123" s="48"/>
      <c r="I123" s="48"/>
      <c r="J123" s="302">
        <f>C124</f>
        <v>300000</v>
      </c>
      <c r="K123" s="48"/>
      <c r="L123" s="48"/>
      <c r="M123" s="48"/>
      <c r="N123" s="48"/>
      <c r="O123" s="48"/>
      <c r="P123" s="48"/>
      <c r="Q123" s="302">
        <f>J124</f>
        <v>300000</v>
      </c>
      <c r="R123" s="48"/>
      <c r="S123" s="48"/>
      <c r="T123" s="48"/>
      <c r="U123" s="48"/>
      <c r="V123" s="48"/>
      <c r="W123" s="48"/>
      <c r="X123" s="302">
        <f>Q123</f>
        <v>300000</v>
      </c>
      <c r="Y123" s="48"/>
      <c r="Z123" s="48"/>
      <c r="AA123" s="48"/>
      <c r="AB123" s="48"/>
      <c r="AC123" s="48"/>
      <c r="AD123" s="48"/>
      <c r="AE123" s="352">
        <f>X124</f>
        <v>240612</v>
      </c>
      <c r="AF123" s="48"/>
      <c r="AG123" s="48"/>
      <c r="AH123" s="48"/>
    </row>
    <row r="124" spans="1:36" s="45" customFormat="1" ht="13.5" customHeight="1">
      <c r="A124" s="85"/>
      <c r="B124" s="109" t="s">
        <v>87</v>
      </c>
      <c r="C124" s="302">
        <v>300000</v>
      </c>
      <c r="D124" s="48"/>
      <c r="E124" s="48"/>
      <c r="F124" s="48"/>
      <c r="G124" s="48"/>
      <c r="H124" s="48"/>
      <c r="I124" s="48"/>
      <c r="J124" s="302">
        <v>300000</v>
      </c>
      <c r="K124" s="48"/>
      <c r="L124" s="48"/>
      <c r="M124" s="48"/>
      <c r="N124" s="48"/>
      <c r="O124" s="48"/>
      <c r="P124" s="49"/>
      <c r="Q124" s="302">
        <v>300000</v>
      </c>
      <c r="R124" s="48"/>
      <c r="S124" s="48"/>
      <c r="T124" s="48"/>
      <c r="U124" s="48"/>
      <c r="V124" s="48"/>
      <c r="W124" s="49"/>
      <c r="X124" s="302">
        <f>X123+X122</f>
        <v>240612</v>
      </c>
      <c r="Y124" s="48"/>
      <c r="Z124" s="48"/>
      <c r="AA124" s="48"/>
      <c r="AB124" s="48"/>
      <c r="AC124" s="48"/>
      <c r="AD124" s="49"/>
      <c r="AE124" s="352">
        <v>300000</v>
      </c>
      <c r="AF124" s="49"/>
      <c r="AG124" s="48"/>
      <c r="AH124" s="49"/>
    </row>
    <row r="125" spans="1:36" ht="12.75" customHeight="1">
      <c r="A125" s="117"/>
      <c r="B125" s="118" t="s">
        <v>88</v>
      </c>
      <c r="C125" s="66"/>
      <c r="D125" s="51"/>
      <c r="E125" s="51"/>
      <c r="F125" s="51"/>
      <c r="G125" s="51"/>
      <c r="H125" s="51"/>
      <c r="I125" s="51"/>
      <c r="J125" s="66"/>
      <c r="K125" s="51"/>
      <c r="L125" s="51"/>
      <c r="M125" s="51"/>
      <c r="N125" s="51"/>
      <c r="O125" s="51"/>
      <c r="P125" s="51"/>
      <c r="Q125" s="66"/>
      <c r="R125" s="51"/>
      <c r="S125" s="51"/>
      <c r="T125" s="51"/>
      <c r="U125" s="51"/>
      <c r="V125" s="51"/>
      <c r="W125" s="51"/>
      <c r="X125" s="66"/>
      <c r="Y125" s="51"/>
      <c r="Z125" s="51"/>
      <c r="AA125" s="51"/>
      <c r="AB125" s="51"/>
      <c r="AC125" s="51"/>
      <c r="AD125" s="51"/>
      <c r="AE125" s="51"/>
      <c r="AF125" s="50"/>
      <c r="AG125" s="50"/>
      <c r="AH125" s="50"/>
    </row>
    <row r="126" spans="1:36" ht="12.75" customHeight="1">
      <c r="A126" s="119"/>
      <c r="B126" s="120" t="s">
        <v>89</v>
      </c>
      <c r="C126" s="34">
        <f>SUM(C127:C129)</f>
        <v>4086681</v>
      </c>
      <c r="D126" s="353"/>
      <c r="E126" s="353"/>
      <c r="F126" s="353"/>
      <c r="G126" s="353"/>
      <c r="H126" s="353"/>
      <c r="I126" s="353"/>
      <c r="J126" s="34">
        <f>SUM(J127:J129)</f>
        <v>4476886</v>
      </c>
      <c r="K126" s="353"/>
      <c r="L126" s="353"/>
      <c r="M126" s="353"/>
      <c r="N126" s="353"/>
      <c r="O126" s="353"/>
      <c r="P126" s="353"/>
      <c r="Q126" s="34">
        <f>SUM(Q127:Q129)</f>
        <v>4112879</v>
      </c>
      <c r="R126" s="353"/>
      <c r="S126" s="353"/>
      <c r="T126" s="353"/>
      <c r="U126" s="353"/>
      <c r="V126" s="353"/>
      <c r="W126" s="353"/>
      <c r="X126" s="34">
        <f>SUM(X127:X129)</f>
        <v>4407604</v>
      </c>
      <c r="Y126" s="353"/>
      <c r="Z126" s="353"/>
      <c r="AA126" s="353"/>
      <c r="AB126" s="353"/>
      <c r="AC126" s="353"/>
      <c r="AD126" s="353"/>
      <c r="AE126" s="353">
        <f>SUM(AE127:AE129)</f>
        <v>17084050</v>
      </c>
      <c r="AF126" s="52"/>
      <c r="AG126" s="52"/>
      <c r="AH126" s="52"/>
      <c r="AI126" s="354"/>
      <c r="AJ126" s="354"/>
    </row>
    <row r="127" spans="1:36" ht="12.75" customHeight="1">
      <c r="A127" s="254"/>
      <c r="B127" s="121" t="s">
        <v>90</v>
      </c>
      <c r="C127" s="49">
        <f>C10</f>
        <v>3722681</v>
      </c>
      <c r="D127" s="49"/>
      <c r="E127" s="49"/>
      <c r="F127" s="49"/>
      <c r="G127" s="49"/>
      <c r="H127" s="49"/>
      <c r="I127" s="49"/>
      <c r="J127" s="49">
        <f>J10</f>
        <v>4401886</v>
      </c>
      <c r="K127" s="49"/>
      <c r="L127" s="49"/>
      <c r="M127" s="49"/>
      <c r="N127" s="49"/>
      <c r="O127" s="49"/>
      <c r="P127" s="49"/>
      <c r="Q127" s="49">
        <f>Q10</f>
        <v>4032879</v>
      </c>
      <c r="R127" s="49"/>
      <c r="S127" s="49"/>
      <c r="T127" s="49"/>
      <c r="U127" s="49"/>
      <c r="V127" s="49"/>
      <c r="W127" s="49"/>
      <c r="X127" s="49">
        <f>X10</f>
        <v>4299244</v>
      </c>
      <c r="Y127" s="49"/>
      <c r="Z127" s="49"/>
      <c r="AA127" s="49"/>
      <c r="AB127" s="49"/>
      <c r="AC127" s="49"/>
      <c r="AD127" s="49"/>
      <c r="AE127" s="49">
        <f>AE10</f>
        <v>16456690</v>
      </c>
      <c r="AF127" s="31"/>
      <c r="AG127" s="31"/>
      <c r="AH127" s="31"/>
      <c r="AI127" s="354"/>
      <c r="AJ127" s="354"/>
    </row>
    <row r="128" spans="1:36" ht="12.75" hidden="1" customHeight="1">
      <c r="A128" s="254"/>
      <c r="B128" s="122" t="s">
        <v>122</v>
      </c>
      <c r="C128" s="49">
        <f>C11</f>
        <v>0</v>
      </c>
      <c r="D128" s="49"/>
      <c r="E128" s="49"/>
      <c r="F128" s="49"/>
      <c r="G128" s="49"/>
      <c r="H128" s="49"/>
      <c r="I128" s="49"/>
      <c r="J128" s="49">
        <f>J11</f>
        <v>0</v>
      </c>
      <c r="K128" s="49"/>
      <c r="L128" s="49"/>
      <c r="M128" s="49"/>
      <c r="N128" s="49"/>
      <c r="O128" s="49"/>
      <c r="P128" s="49"/>
      <c r="Q128" s="49">
        <f>Q11</f>
        <v>0</v>
      </c>
      <c r="R128" s="49"/>
      <c r="S128" s="49"/>
      <c r="T128" s="49"/>
      <c r="U128" s="49"/>
      <c r="V128" s="49"/>
      <c r="W128" s="49"/>
      <c r="X128" s="49">
        <f>X11</f>
        <v>0</v>
      </c>
      <c r="Y128" s="49"/>
      <c r="Z128" s="49"/>
      <c r="AA128" s="49"/>
      <c r="AB128" s="49"/>
      <c r="AC128" s="49"/>
      <c r="AD128" s="49"/>
      <c r="AE128" s="49">
        <f>AE11</f>
        <v>0</v>
      </c>
      <c r="AF128" s="31"/>
      <c r="AG128" s="31"/>
      <c r="AH128" s="31"/>
      <c r="AI128" s="354"/>
      <c r="AJ128" s="354"/>
    </row>
    <row r="129" spans="1:36" ht="12.75" customHeight="1">
      <c r="A129" s="254"/>
      <c r="B129" s="121" t="s">
        <v>91</v>
      </c>
      <c r="C129" s="49">
        <f>C12</f>
        <v>364000</v>
      </c>
      <c r="D129" s="49"/>
      <c r="E129" s="49"/>
      <c r="F129" s="49"/>
      <c r="G129" s="49"/>
      <c r="H129" s="49"/>
      <c r="I129" s="49"/>
      <c r="J129" s="49">
        <f>J12</f>
        <v>75000</v>
      </c>
      <c r="K129" s="49"/>
      <c r="L129" s="49"/>
      <c r="M129" s="49"/>
      <c r="N129" s="49"/>
      <c r="O129" s="49"/>
      <c r="P129" s="49"/>
      <c r="Q129" s="49">
        <f>Q12</f>
        <v>80000</v>
      </c>
      <c r="R129" s="49"/>
      <c r="S129" s="49"/>
      <c r="T129" s="49"/>
      <c r="U129" s="49"/>
      <c r="V129" s="49"/>
      <c r="W129" s="49"/>
      <c r="X129" s="49">
        <f>X12</f>
        <v>108360</v>
      </c>
      <c r="Y129" s="49"/>
      <c r="Z129" s="49"/>
      <c r="AA129" s="49"/>
      <c r="AB129" s="49"/>
      <c r="AC129" s="49"/>
      <c r="AD129" s="49"/>
      <c r="AE129" s="49">
        <f>AE12</f>
        <v>627360</v>
      </c>
      <c r="AF129" s="31"/>
      <c r="AG129" s="31"/>
      <c r="AH129" s="31"/>
      <c r="AI129" s="354"/>
      <c r="AJ129" s="354"/>
    </row>
    <row r="130" spans="1:36" ht="12.75" customHeight="1">
      <c r="A130" s="119"/>
      <c r="B130" s="120" t="s">
        <v>92</v>
      </c>
      <c r="C130" s="34">
        <f>C16</f>
        <v>3936681</v>
      </c>
      <c r="D130" s="353"/>
      <c r="E130" s="353"/>
      <c r="F130" s="353"/>
      <c r="G130" s="353"/>
      <c r="H130" s="353"/>
      <c r="I130" s="353"/>
      <c r="J130" s="34">
        <f>J16</f>
        <v>4088566</v>
      </c>
      <c r="K130" s="353"/>
      <c r="L130" s="353"/>
      <c r="M130" s="353"/>
      <c r="N130" s="353"/>
      <c r="O130" s="353"/>
      <c r="P130" s="353"/>
      <c r="Q130" s="34">
        <f>Q16</f>
        <v>4088811</v>
      </c>
      <c r="R130" s="353"/>
      <c r="S130" s="353"/>
      <c r="T130" s="353"/>
      <c r="U130" s="353"/>
      <c r="V130" s="353"/>
      <c r="W130" s="353"/>
      <c r="X130" s="34">
        <f>X16</f>
        <v>4466992</v>
      </c>
      <c r="Y130" s="353"/>
      <c r="Z130" s="353"/>
      <c r="AA130" s="353"/>
      <c r="AB130" s="353"/>
      <c r="AC130" s="353"/>
      <c r="AD130" s="353"/>
      <c r="AE130" s="353">
        <f>AE16</f>
        <v>16581050</v>
      </c>
      <c r="AF130" s="53"/>
      <c r="AG130" s="53"/>
      <c r="AH130" s="53"/>
      <c r="AI130" s="354"/>
      <c r="AJ130" s="354"/>
    </row>
    <row r="131" spans="1:36" ht="12.75" customHeight="1">
      <c r="A131" s="254"/>
      <c r="B131" s="255" t="s">
        <v>93</v>
      </c>
      <c r="C131" s="49">
        <v>300</v>
      </c>
      <c r="D131" s="49"/>
      <c r="E131" s="49"/>
      <c r="F131" s="49"/>
      <c r="G131" s="49"/>
      <c r="H131" s="49"/>
      <c r="I131" s="49"/>
      <c r="J131" s="49">
        <v>300</v>
      </c>
      <c r="K131" s="49"/>
      <c r="L131" s="49"/>
      <c r="M131" s="49"/>
      <c r="N131" s="49"/>
      <c r="O131" s="49"/>
      <c r="P131" s="49"/>
      <c r="Q131" s="49">
        <v>302</v>
      </c>
      <c r="R131" s="49"/>
      <c r="S131" s="49"/>
      <c r="T131" s="49"/>
      <c r="U131" s="49"/>
      <c r="V131" s="49"/>
      <c r="W131" s="49"/>
      <c r="X131" s="49">
        <v>302</v>
      </c>
      <c r="Y131" s="49"/>
      <c r="Z131" s="49"/>
      <c r="AA131" s="49"/>
      <c r="AB131" s="49"/>
      <c r="AC131" s="49"/>
      <c r="AD131" s="49"/>
      <c r="AE131" s="49">
        <v>302</v>
      </c>
      <c r="AF131" s="46"/>
      <c r="AG131" s="46"/>
      <c r="AH131" s="46"/>
      <c r="AI131" s="354"/>
      <c r="AJ131" s="354"/>
    </row>
    <row r="132" spans="1:36" ht="12.75" customHeight="1">
      <c r="A132" s="254"/>
      <c r="B132" s="255" t="s">
        <v>152</v>
      </c>
      <c r="C132" s="49">
        <v>299</v>
      </c>
      <c r="D132" s="49"/>
      <c r="E132" s="49"/>
      <c r="F132" s="49"/>
      <c r="G132" s="49"/>
      <c r="H132" s="49"/>
      <c r="I132" s="49"/>
      <c r="J132" s="49">
        <v>302</v>
      </c>
      <c r="K132" s="49"/>
      <c r="L132" s="49"/>
      <c r="M132" s="49"/>
      <c r="N132" s="49"/>
      <c r="O132" s="49"/>
      <c r="P132" s="49"/>
      <c r="Q132" s="49">
        <v>301</v>
      </c>
      <c r="R132" s="49"/>
      <c r="S132" s="49"/>
      <c r="T132" s="49"/>
      <c r="U132" s="49"/>
      <c r="V132" s="49"/>
      <c r="W132" s="49"/>
      <c r="X132" s="49">
        <v>301</v>
      </c>
      <c r="Y132" s="49"/>
      <c r="Z132" s="49"/>
      <c r="AA132" s="49"/>
      <c r="AB132" s="49"/>
      <c r="AC132" s="49"/>
      <c r="AD132" s="49"/>
      <c r="AE132" s="49">
        <v>300</v>
      </c>
      <c r="AF132" s="49"/>
      <c r="AG132" s="49"/>
      <c r="AH132" s="49"/>
      <c r="AI132" s="354"/>
      <c r="AJ132" s="354"/>
    </row>
    <row r="133" spans="1:36" ht="12.75" customHeight="1">
      <c r="A133" s="254"/>
      <c r="B133" s="256" t="s">
        <v>153</v>
      </c>
      <c r="C133" s="49">
        <v>20</v>
      </c>
      <c r="D133" s="49"/>
      <c r="E133" s="49"/>
      <c r="F133" s="49"/>
      <c r="G133" s="49"/>
      <c r="H133" s="49"/>
      <c r="I133" s="49"/>
      <c r="J133" s="49">
        <v>20</v>
      </c>
      <c r="K133" s="49"/>
      <c r="L133" s="49"/>
      <c r="M133" s="49"/>
      <c r="N133" s="49"/>
      <c r="O133" s="49"/>
      <c r="P133" s="49"/>
      <c r="Q133" s="49">
        <v>20</v>
      </c>
      <c r="R133" s="49"/>
      <c r="S133" s="49"/>
      <c r="T133" s="49"/>
      <c r="U133" s="49"/>
      <c r="V133" s="49"/>
      <c r="W133" s="49"/>
      <c r="X133" s="49">
        <v>20</v>
      </c>
      <c r="Y133" s="49"/>
      <c r="Z133" s="49"/>
      <c r="AA133" s="49"/>
      <c r="AB133" s="49"/>
      <c r="AC133" s="49"/>
      <c r="AD133" s="49"/>
      <c r="AE133" s="49">
        <v>20</v>
      </c>
      <c r="AF133" s="49"/>
      <c r="AG133" s="49"/>
      <c r="AH133" s="49"/>
      <c r="AI133" s="354"/>
      <c r="AJ133" s="354"/>
    </row>
    <row r="134" spans="1:36">
      <c r="K134" s="7"/>
      <c r="M134" s="7"/>
      <c r="O134" s="7"/>
      <c r="AE134" s="9"/>
      <c r="AH134" s="354"/>
      <c r="AI134" s="354"/>
      <c r="AJ134" s="354"/>
    </row>
    <row r="135" spans="1:36" s="6" customFormat="1">
      <c r="A135" s="10" t="s">
        <v>94</v>
      </c>
      <c r="C135" s="9"/>
      <c r="D135" s="9"/>
      <c r="E135" s="9"/>
      <c r="F135" s="9"/>
      <c r="G135" s="9"/>
      <c r="H135" s="9"/>
      <c r="I135" s="9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9"/>
      <c r="AF135" s="9"/>
      <c r="AG135" s="9"/>
      <c r="AH135" s="9"/>
      <c r="AI135" s="9"/>
      <c r="AJ135" s="9"/>
    </row>
    <row r="136" spans="1:36">
      <c r="A136" s="10" t="s">
        <v>95</v>
      </c>
      <c r="B136" s="10" t="s">
        <v>123</v>
      </c>
      <c r="K136" s="7"/>
      <c r="M136" s="7"/>
      <c r="O136" s="7"/>
      <c r="AE136" s="9"/>
      <c r="AH136" s="354"/>
      <c r="AI136" s="354"/>
      <c r="AJ136" s="354"/>
    </row>
    <row r="137" spans="1:36" s="6" customFormat="1">
      <c r="C137" s="9"/>
      <c r="D137" s="9"/>
      <c r="E137" s="9"/>
      <c r="F137" s="9"/>
      <c r="G137" s="9"/>
      <c r="H137" s="9"/>
      <c r="I137" s="9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9"/>
      <c r="AF137" s="9"/>
      <c r="AG137" s="9"/>
      <c r="AH137" s="9"/>
      <c r="AI137" s="9"/>
      <c r="AJ137" s="9"/>
    </row>
    <row r="138" spans="1:36" s="55" customFormat="1">
      <c r="A138" s="54"/>
      <c r="C138" s="9"/>
      <c r="D138" s="56"/>
      <c r="E138" s="56"/>
      <c r="F138" s="56"/>
      <c r="G138" s="56"/>
      <c r="H138" s="56"/>
      <c r="I138" s="56"/>
      <c r="J138" s="28"/>
      <c r="K138" s="57"/>
      <c r="L138" s="57"/>
      <c r="M138" s="57"/>
      <c r="N138" s="57"/>
      <c r="O138" s="57"/>
      <c r="P138" s="57"/>
      <c r="Q138" s="28"/>
      <c r="R138" s="57"/>
      <c r="S138" s="57"/>
      <c r="T138" s="57"/>
      <c r="U138" s="57"/>
      <c r="V138" s="57"/>
      <c r="W138" s="57"/>
      <c r="X138" s="28"/>
      <c r="Y138" s="57"/>
      <c r="Z138" s="57"/>
      <c r="AA138" s="57"/>
      <c r="AB138" s="57"/>
      <c r="AC138" s="57"/>
      <c r="AD138" s="57"/>
      <c r="AE138" s="59"/>
      <c r="AF138" s="59"/>
      <c r="AG138" s="59"/>
      <c r="AH138" s="56"/>
      <c r="AI138" s="56"/>
      <c r="AJ138" s="56"/>
    </row>
    <row r="139" spans="1:36" s="55" customFormat="1">
      <c r="C139" s="9"/>
      <c r="D139" s="56"/>
      <c r="E139" s="56"/>
      <c r="F139" s="56"/>
      <c r="G139" s="56"/>
      <c r="H139" s="56"/>
      <c r="I139" s="56"/>
      <c r="J139" s="124"/>
      <c r="K139" s="61"/>
      <c r="L139" s="60"/>
      <c r="M139" s="61"/>
      <c r="N139" s="60"/>
      <c r="O139" s="61"/>
      <c r="P139" s="60"/>
      <c r="Q139" s="124"/>
      <c r="R139" s="60"/>
      <c r="S139" s="60"/>
      <c r="T139" s="60"/>
      <c r="U139" s="60"/>
      <c r="V139" s="60"/>
      <c r="W139" s="60"/>
      <c r="X139" s="124"/>
      <c r="Y139" s="60"/>
      <c r="Z139" s="60"/>
      <c r="AA139" s="60"/>
      <c r="AB139" s="60"/>
      <c r="AC139" s="60"/>
      <c r="AD139" s="60"/>
      <c r="AE139" s="69"/>
      <c r="AF139" s="62"/>
      <c r="AG139" s="62"/>
    </row>
    <row r="140" spans="1:36" s="55" customFormat="1">
      <c r="C140" s="9"/>
      <c r="D140" s="56"/>
      <c r="E140" s="56"/>
      <c r="F140" s="56"/>
      <c r="G140" s="56"/>
      <c r="H140" s="56"/>
      <c r="I140" s="56"/>
      <c r="J140" s="124"/>
      <c r="K140" s="61"/>
      <c r="L140" s="60"/>
      <c r="M140" s="61"/>
      <c r="N140" s="60"/>
      <c r="O140" s="61"/>
      <c r="P140" s="60"/>
      <c r="Q140" s="124"/>
      <c r="R140" s="60"/>
      <c r="S140" s="60"/>
      <c r="T140" s="60"/>
      <c r="U140" s="60"/>
      <c r="V140" s="60"/>
      <c r="W140" s="60"/>
      <c r="X140" s="124"/>
      <c r="Y140" s="60"/>
      <c r="Z140" s="60"/>
      <c r="AA140" s="60"/>
      <c r="AB140" s="60"/>
      <c r="AC140" s="60"/>
      <c r="AD140" s="60"/>
      <c r="AE140" s="69"/>
      <c r="AF140" s="62"/>
      <c r="AG140" s="62"/>
    </row>
    <row r="141" spans="1:36" s="55" customFormat="1">
      <c r="C141" s="9"/>
      <c r="D141" s="56"/>
      <c r="E141" s="56"/>
      <c r="F141" s="56"/>
      <c r="G141" s="56"/>
      <c r="H141" s="56"/>
      <c r="I141" s="56"/>
      <c r="J141" s="124"/>
      <c r="K141" s="61"/>
      <c r="L141" s="60"/>
      <c r="M141" s="61"/>
      <c r="N141" s="60"/>
      <c r="O141" s="61"/>
      <c r="P141" s="60"/>
      <c r="Q141" s="124"/>
      <c r="R141" s="60"/>
      <c r="S141" s="60"/>
      <c r="T141" s="60"/>
      <c r="U141" s="60"/>
      <c r="V141" s="60"/>
      <c r="W141" s="60"/>
      <c r="X141" s="124"/>
      <c r="Y141" s="60"/>
      <c r="Z141" s="60"/>
      <c r="AA141" s="60"/>
      <c r="AB141" s="60"/>
      <c r="AC141" s="60"/>
      <c r="AD141" s="60"/>
      <c r="AE141" s="69"/>
      <c r="AF141" s="62"/>
      <c r="AG141" s="62"/>
    </row>
    <row r="142" spans="1:36" s="55" customFormat="1">
      <c r="C142" s="9"/>
      <c r="D142" s="56"/>
      <c r="E142" s="56"/>
      <c r="F142" s="56"/>
      <c r="G142" s="56"/>
      <c r="H142" s="56"/>
      <c r="I142" s="56"/>
      <c r="J142" s="28"/>
      <c r="K142" s="58"/>
      <c r="L142" s="57"/>
      <c r="M142" s="58"/>
      <c r="N142" s="57"/>
      <c r="O142" s="58"/>
      <c r="P142" s="57"/>
      <c r="Q142" s="28"/>
      <c r="R142" s="57"/>
      <c r="S142" s="57"/>
      <c r="T142" s="57"/>
      <c r="U142" s="57"/>
      <c r="V142" s="57"/>
      <c r="W142" s="57"/>
      <c r="X142" s="28"/>
      <c r="Y142" s="57"/>
      <c r="Z142" s="57"/>
      <c r="AA142" s="57"/>
      <c r="AB142" s="57"/>
      <c r="AC142" s="57"/>
      <c r="AD142" s="57"/>
      <c r="AE142" s="68"/>
      <c r="AF142" s="59"/>
      <c r="AG142" s="59"/>
    </row>
    <row r="143" spans="1:36" s="55" customFormat="1">
      <c r="A143" s="63"/>
      <c r="C143" s="9"/>
      <c r="D143" s="56"/>
      <c r="E143" s="56"/>
      <c r="F143" s="56"/>
      <c r="G143" s="56"/>
      <c r="H143" s="56"/>
      <c r="I143" s="56"/>
      <c r="J143" s="28"/>
      <c r="K143" s="58"/>
      <c r="L143" s="57"/>
      <c r="M143" s="58"/>
      <c r="N143" s="57"/>
      <c r="O143" s="58"/>
      <c r="P143" s="57"/>
      <c r="Q143" s="28"/>
      <c r="R143" s="57"/>
      <c r="S143" s="57"/>
      <c r="T143" s="57"/>
      <c r="U143" s="57"/>
      <c r="V143" s="57"/>
      <c r="W143" s="57"/>
      <c r="X143" s="28"/>
      <c r="Y143" s="57"/>
      <c r="Z143" s="57"/>
      <c r="AA143" s="57"/>
      <c r="AB143" s="57"/>
      <c r="AC143" s="57"/>
      <c r="AD143" s="57"/>
      <c r="AE143" s="68"/>
      <c r="AF143" s="59"/>
      <c r="AG143" s="59"/>
    </row>
  </sheetData>
  <mergeCells count="11">
    <mergeCell ref="AG5:AH5"/>
    <mergeCell ref="AE1:AF1"/>
    <mergeCell ref="A2:AF2"/>
    <mergeCell ref="A3:AF3"/>
    <mergeCell ref="A5:A6"/>
    <mergeCell ref="B5:B6"/>
    <mergeCell ref="C5:I5"/>
    <mergeCell ref="J5:P5"/>
    <mergeCell ref="Q5:W5"/>
    <mergeCell ref="X5:AD5"/>
    <mergeCell ref="AE5:AF5"/>
  </mergeCells>
  <pageMargins left="0.25" right="0.25" top="0.75" bottom="0.75" header="0.3" footer="0.3"/>
  <pageSetup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A8917-D6C1-476E-9BD7-50705F85DBB9}">
  <sheetPr>
    <tabColor theme="7" tint="0.79998168889431442"/>
  </sheetPr>
  <dimension ref="A3:T31"/>
  <sheetViews>
    <sheetView workbookViewId="0">
      <selection activeCell="E27" sqref="E27"/>
    </sheetView>
  </sheetViews>
  <sheetFormatPr defaultColWidth="9.26953125" defaultRowHeight="14"/>
  <cols>
    <col min="1" max="1" width="9.7265625" style="258" customWidth="1"/>
    <col min="2" max="2" width="38.1796875" style="258" customWidth="1"/>
    <col min="3" max="3" width="12.1796875" style="258" customWidth="1"/>
    <col min="4" max="4" width="7.1796875" style="258" customWidth="1"/>
    <col min="5" max="5" width="10.26953125" style="258" customWidth="1"/>
    <col min="6" max="17" width="10.7265625" style="258" customWidth="1"/>
    <col min="18" max="18" width="10.81640625" style="258" customWidth="1"/>
    <col min="19" max="16384" width="9.26953125" style="258"/>
  </cols>
  <sheetData>
    <row r="3" spans="1:17">
      <c r="A3" s="257" t="s">
        <v>164</v>
      </c>
      <c r="B3" s="257"/>
      <c r="C3" s="262"/>
    </row>
    <row r="4" spans="1:17">
      <c r="A4" s="257"/>
      <c r="B4" s="259"/>
    </row>
    <row r="5" spans="1:17">
      <c r="A5" s="708"/>
      <c r="B5" s="708"/>
      <c r="C5" s="708"/>
      <c r="D5" s="708"/>
      <c r="E5" s="708"/>
      <c r="F5" s="708"/>
      <c r="G5" s="260"/>
      <c r="H5" s="260"/>
      <c r="I5" s="260"/>
      <c r="J5" s="260"/>
      <c r="K5" s="261"/>
      <c r="L5" s="260"/>
      <c r="M5" s="260"/>
      <c r="N5" s="261"/>
      <c r="O5" s="260"/>
      <c r="P5" s="260"/>
      <c r="Q5" s="261"/>
    </row>
    <row r="6" spans="1:17" ht="14.5" thickBot="1">
      <c r="K6" s="262"/>
      <c r="N6" s="262"/>
      <c r="Q6" s="262"/>
    </row>
    <row r="7" spans="1:17" ht="14.5" thickBot="1">
      <c r="A7" s="709" t="s">
        <v>165</v>
      </c>
      <c r="B7" s="711" t="s">
        <v>166</v>
      </c>
      <c r="C7" s="713" t="s">
        <v>167</v>
      </c>
      <c r="D7" s="713" t="s">
        <v>168</v>
      </c>
      <c r="E7" s="715" t="s">
        <v>169</v>
      </c>
      <c r="F7" s="717" t="s">
        <v>170</v>
      </c>
      <c r="G7" s="718"/>
      <c r="H7" s="718"/>
      <c r="I7" s="718"/>
      <c r="J7" s="718"/>
      <c r="K7" s="718"/>
      <c r="L7" s="718"/>
      <c r="M7" s="718"/>
      <c r="N7" s="718"/>
      <c r="O7" s="718"/>
      <c r="P7" s="718"/>
      <c r="Q7" s="719"/>
    </row>
    <row r="8" spans="1:17" ht="25.5" customHeight="1" thickBot="1">
      <c r="A8" s="710"/>
      <c r="B8" s="712"/>
      <c r="C8" s="714"/>
      <c r="D8" s="714"/>
      <c r="E8" s="716"/>
      <c r="F8" s="263" t="s">
        <v>171</v>
      </c>
      <c r="G8" s="264" t="s">
        <v>172</v>
      </c>
      <c r="H8" s="265" t="s">
        <v>173</v>
      </c>
      <c r="I8" s="263" t="s">
        <v>174</v>
      </c>
      <c r="J8" s="264" t="s">
        <v>175</v>
      </c>
      <c r="K8" s="265" t="s">
        <v>176</v>
      </c>
      <c r="L8" s="263" t="s">
        <v>177</v>
      </c>
      <c r="M8" s="264" t="s">
        <v>178</v>
      </c>
      <c r="N8" s="265" t="s">
        <v>179</v>
      </c>
      <c r="O8" s="263" t="s">
        <v>180</v>
      </c>
      <c r="P8" s="264" t="s">
        <v>181</v>
      </c>
      <c r="Q8" s="265" t="s">
        <v>182</v>
      </c>
    </row>
    <row r="9" spans="1:17" ht="14.5" thickBot="1">
      <c r="A9" s="266"/>
      <c r="B9" s="267"/>
      <c r="C9" s="267"/>
      <c r="D9" s="267"/>
      <c r="E9" s="268"/>
      <c r="F9" s="704" t="s">
        <v>183</v>
      </c>
      <c r="G9" s="705"/>
      <c r="H9" s="706"/>
      <c r="I9" s="704" t="s">
        <v>184</v>
      </c>
      <c r="J9" s="705"/>
      <c r="K9" s="706"/>
      <c r="L9" s="704" t="s">
        <v>185</v>
      </c>
      <c r="M9" s="705"/>
      <c r="N9" s="706"/>
      <c r="O9" s="704" t="s">
        <v>186</v>
      </c>
      <c r="P9" s="705"/>
      <c r="Q9" s="706"/>
    </row>
    <row r="10" spans="1:17">
      <c r="A10" s="269" t="s">
        <v>187</v>
      </c>
      <c r="B10" s="270" t="s">
        <v>188</v>
      </c>
      <c r="C10" s="271">
        <f>SUM(F10:Q10)</f>
        <v>16456690</v>
      </c>
      <c r="D10" s="271"/>
      <c r="E10" s="272"/>
      <c r="F10" s="273">
        <v>1305285</v>
      </c>
      <c r="G10" s="271">
        <v>1283600</v>
      </c>
      <c r="H10" s="272">
        <v>1133796</v>
      </c>
      <c r="I10" s="272">
        <v>1489931</v>
      </c>
      <c r="J10" s="272">
        <v>1486220</v>
      </c>
      <c r="K10" s="272">
        <v>1425735</v>
      </c>
      <c r="L10" s="272">
        <v>1360930</v>
      </c>
      <c r="M10" s="272">
        <v>1280215</v>
      </c>
      <c r="N10" s="272">
        <v>1391734</v>
      </c>
      <c r="O10" s="272">
        <v>1269792</v>
      </c>
      <c r="P10" s="272">
        <v>1507702</v>
      </c>
      <c r="Q10" s="272">
        <v>1521750</v>
      </c>
    </row>
    <row r="11" spans="1:17">
      <c r="A11" s="274"/>
      <c r="B11" s="275" t="s">
        <v>132</v>
      </c>
      <c r="C11" s="276">
        <f>C12</f>
        <v>0</v>
      </c>
      <c r="D11" s="276"/>
      <c r="E11" s="277"/>
      <c r="F11" s="278">
        <f t="shared" ref="F11:Q14" si="0">F12</f>
        <v>0</v>
      </c>
      <c r="G11" s="276">
        <f t="shared" si="0"/>
        <v>0</v>
      </c>
      <c r="H11" s="277">
        <f t="shared" si="0"/>
        <v>0</v>
      </c>
      <c r="I11" s="278">
        <f t="shared" si="0"/>
        <v>0</v>
      </c>
      <c r="J11" s="276">
        <f t="shared" si="0"/>
        <v>0</v>
      </c>
      <c r="K11" s="277">
        <f t="shared" si="0"/>
        <v>0</v>
      </c>
      <c r="L11" s="278">
        <f t="shared" si="0"/>
        <v>0</v>
      </c>
      <c r="M11" s="276">
        <f t="shared" si="0"/>
        <v>0</v>
      </c>
      <c r="N11" s="277">
        <f t="shared" si="0"/>
        <v>0</v>
      </c>
      <c r="O11" s="278">
        <f t="shared" si="0"/>
        <v>0</v>
      </c>
      <c r="P11" s="276">
        <f t="shared" si="0"/>
        <v>0</v>
      </c>
      <c r="Q11" s="279">
        <f t="shared" si="0"/>
        <v>0</v>
      </c>
    </row>
    <row r="12" spans="1:17">
      <c r="A12" s="274"/>
      <c r="B12" s="275" t="s">
        <v>189</v>
      </c>
      <c r="C12" s="276">
        <f>C13</f>
        <v>0</v>
      </c>
      <c r="D12" s="276"/>
      <c r="E12" s="277"/>
      <c r="F12" s="278">
        <f t="shared" si="0"/>
        <v>0</v>
      </c>
      <c r="G12" s="276">
        <f t="shared" si="0"/>
        <v>0</v>
      </c>
      <c r="H12" s="277">
        <f t="shared" si="0"/>
        <v>0</v>
      </c>
      <c r="I12" s="278">
        <f t="shared" si="0"/>
        <v>0</v>
      </c>
      <c r="J12" s="276">
        <f t="shared" si="0"/>
        <v>0</v>
      </c>
      <c r="K12" s="277">
        <f t="shared" si="0"/>
        <v>0</v>
      </c>
      <c r="L12" s="278">
        <f t="shared" si="0"/>
        <v>0</v>
      </c>
      <c r="M12" s="276">
        <f t="shared" si="0"/>
        <v>0</v>
      </c>
      <c r="N12" s="277">
        <f t="shared" si="0"/>
        <v>0</v>
      </c>
      <c r="O12" s="278">
        <f t="shared" si="0"/>
        <v>0</v>
      </c>
      <c r="P12" s="276">
        <f t="shared" si="0"/>
        <v>0</v>
      </c>
      <c r="Q12" s="279">
        <f t="shared" si="0"/>
        <v>0</v>
      </c>
    </row>
    <row r="13" spans="1:17">
      <c r="A13" s="274"/>
      <c r="B13" s="275" t="s">
        <v>190</v>
      </c>
      <c r="C13" s="276">
        <f>C14</f>
        <v>0</v>
      </c>
      <c r="D13" s="276"/>
      <c r="E13" s="277"/>
      <c r="F13" s="278">
        <f t="shared" si="0"/>
        <v>0</v>
      </c>
      <c r="G13" s="276">
        <f t="shared" si="0"/>
        <v>0</v>
      </c>
      <c r="H13" s="277">
        <f t="shared" si="0"/>
        <v>0</v>
      </c>
      <c r="I13" s="278">
        <f t="shared" si="0"/>
        <v>0</v>
      </c>
      <c r="J13" s="276">
        <f t="shared" si="0"/>
        <v>0</v>
      </c>
      <c r="K13" s="277">
        <f t="shared" si="0"/>
        <v>0</v>
      </c>
      <c r="L13" s="278">
        <f t="shared" si="0"/>
        <v>0</v>
      </c>
      <c r="M13" s="276">
        <f t="shared" si="0"/>
        <v>0</v>
      </c>
      <c r="N13" s="277">
        <f t="shared" si="0"/>
        <v>0</v>
      </c>
      <c r="O13" s="278">
        <f t="shared" si="0"/>
        <v>0</v>
      </c>
      <c r="P13" s="276">
        <f t="shared" si="0"/>
        <v>0</v>
      </c>
      <c r="Q13" s="279">
        <f t="shared" si="0"/>
        <v>0</v>
      </c>
    </row>
    <row r="14" spans="1:17" ht="25">
      <c r="A14" s="274"/>
      <c r="B14" s="275" t="s">
        <v>191</v>
      </c>
      <c r="C14" s="276">
        <f>C15</f>
        <v>0</v>
      </c>
      <c r="D14" s="276"/>
      <c r="E14" s="277"/>
      <c r="F14" s="278">
        <f t="shared" si="0"/>
        <v>0</v>
      </c>
      <c r="G14" s="276">
        <f t="shared" si="0"/>
        <v>0</v>
      </c>
      <c r="H14" s="277">
        <f t="shared" si="0"/>
        <v>0</v>
      </c>
      <c r="I14" s="278">
        <f t="shared" si="0"/>
        <v>0</v>
      </c>
      <c r="J14" s="276">
        <f t="shared" si="0"/>
        <v>0</v>
      </c>
      <c r="K14" s="277">
        <f t="shared" si="0"/>
        <v>0</v>
      </c>
      <c r="L14" s="278">
        <f t="shared" si="0"/>
        <v>0</v>
      </c>
      <c r="M14" s="276">
        <f t="shared" si="0"/>
        <v>0</v>
      </c>
      <c r="N14" s="277">
        <f t="shared" si="0"/>
        <v>0</v>
      </c>
      <c r="O14" s="278">
        <f t="shared" si="0"/>
        <v>0</v>
      </c>
      <c r="P14" s="276">
        <f t="shared" si="0"/>
        <v>0</v>
      </c>
      <c r="Q14" s="279">
        <f t="shared" si="0"/>
        <v>0</v>
      </c>
    </row>
    <row r="15" spans="1:17" ht="37.5">
      <c r="A15" s="280"/>
      <c r="B15" s="281" t="s">
        <v>192</v>
      </c>
      <c r="C15" s="282">
        <f>SUM(F15:Q15)</f>
        <v>0</v>
      </c>
      <c r="D15" s="282"/>
      <c r="E15" s="283"/>
      <c r="F15" s="284"/>
      <c r="G15" s="282"/>
      <c r="H15" s="283"/>
      <c r="I15" s="285"/>
      <c r="J15" s="282"/>
      <c r="K15" s="283"/>
      <c r="L15" s="285"/>
      <c r="M15" s="282"/>
      <c r="N15" s="283"/>
      <c r="O15" s="285"/>
      <c r="P15" s="282"/>
      <c r="Q15" s="286"/>
    </row>
    <row r="16" spans="1:17">
      <c r="A16" s="280"/>
      <c r="B16" s="287" t="s">
        <v>193</v>
      </c>
      <c r="C16" s="276">
        <f>C17</f>
        <v>16456690</v>
      </c>
      <c r="D16" s="276"/>
      <c r="E16" s="277"/>
      <c r="F16" s="278">
        <f>F17</f>
        <v>1305285</v>
      </c>
      <c r="G16" s="276">
        <f t="shared" ref="G16:Q16" si="1">G17</f>
        <v>1283600</v>
      </c>
      <c r="H16" s="277">
        <f t="shared" si="1"/>
        <v>1133796</v>
      </c>
      <c r="I16" s="278">
        <f t="shared" si="1"/>
        <v>1489931</v>
      </c>
      <c r="J16" s="276">
        <f t="shared" si="1"/>
        <v>1486220</v>
      </c>
      <c r="K16" s="277">
        <f t="shared" si="1"/>
        <v>1425735</v>
      </c>
      <c r="L16" s="278">
        <f t="shared" si="1"/>
        <v>1360930</v>
      </c>
      <c r="M16" s="276">
        <f t="shared" si="1"/>
        <v>1280215</v>
      </c>
      <c r="N16" s="277">
        <f t="shared" si="1"/>
        <v>1391734</v>
      </c>
      <c r="O16" s="278">
        <f t="shared" si="1"/>
        <v>1269792</v>
      </c>
      <c r="P16" s="276">
        <f t="shared" si="1"/>
        <v>1507702</v>
      </c>
      <c r="Q16" s="277">
        <f t="shared" si="1"/>
        <v>1521750</v>
      </c>
    </row>
    <row r="17" spans="1:20" ht="25">
      <c r="A17" s="280"/>
      <c r="B17" s="281" t="s">
        <v>194</v>
      </c>
      <c r="C17" s="282">
        <f>SUM(F17:Q17)</f>
        <v>16456690</v>
      </c>
      <c r="D17" s="282"/>
      <c r="E17" s="283"/>
      <c r="F17" s="285">
        <v>1305285</v>
      </c>
      <c r="G17" s="282">
        <v>1283600</v>
      </c>
      <c r="H17" s="283">
        <v>1133796</v>
      </c>
      <c r="I17" s="285">
        <v>1489931</v>
      </c>
      <c r="J17" s="282">
        <v>1486220</v>
      </c>
      <c r="K17" s="283">
        <v>1425735</v>
      </c>
      <c r="L17" s="285">
        <v>1360930</v>
      </c>
      <c r="M17" s="282">
        <v>1280215</v>
      </c>
      <c r="N17" s="283">
        <v>1391734</v>
      </c>
      <c r="O17" s="285">
        <v>1269792</v>
      </c>
      <c r="P17" s="282">
        <v>1507702</v>
      </c>
      <c r="Q17" s="283">
        <v>1521750</v>
      </c>
    </row>
    <row r="18" spans="1:20">
      <c r="A18" s="274" t="s">
        <v>195</v>
      </c>
      <c r="B18" s="288" t="s">
        <v>196</v>
      </c>
      <c r="C18" s="289">
        <f>C19</f>
        <v>16456690</v>
      </c>
      <c r="D18" s="289"/>
      <c r="E18" s="290"/>
      <c r="F18" s="291">
        <f t="shared" ref="F18:Q20" si="2">F19</f>
        <v>1305285</v>
      </c>
      <c r="G18" s="289">
        <f t="shared" si="2"/>
        <v>1283600</v>
      </c>
      <c r="H18" s="290">
        <f t="shared" si="2"/>
        <v>1133796</v>
      </c>
      <c r="I18" s="291">
        <f t="shared" si="2"/>
        <v>1489931</v>
      </c>
      <c r="J18" s="289">
        <f t="shared" si="2"/>
        <v>1486220</v>
      </c>
      <c r="K18" s="290">
        <f t="shared" si="2"/>
        <v>1425735</v>
      </c>
      <c r="L18" s="291">
        <f t="shared" si="2"/>
        <v>1360930</v>
      </c>
      <c r="M18" s="289">
        <f t="shared" si="2"/>
        <v>1280215</v>
      </c>
      <c r="N18" s="290">
        <f t="shared" si="2"/>
        <v>1391734</v>
      </c>
      <c r="O18" s="291">
        <f t="shared" si="2"/>
        <v>1269792</v>
      </c>
      <c r="P18" s="289">
        <f t="shared" si="2"/>
        <v>1507702</v>
      </c>
      <c r="Q18" s="290">
        <f t="shared" si="2"/>
        <v>1521750</v>
      </c>
      <c r="T18" s="262"/>
    </row>
    <row r="19" spans="1:20">
      <c r="A19" s="274"/>
      <c r="B19" s="275" t="s">
        <v>19</v>
      </c>
      <c r="C19" s="276">
        <f>C20</f>
        <v>16456690</v>
      </c>
      <c r="D19" s="276"/>
      <c r="E19" s="277"/>
      <c r="F19" s="278">
        <f t="shared" si="2"/>
        <v>1305285</v>
      </c>
      <c r="G19" s="276">
        <f t="shared" si="2"/>
        <v>1283600</v>
      </c>
      <c r="H19" s="277">
        <f t="shared" si="2"/>
        <v>1133796</v>
      </c>
      <c r="I19" s="278">
        <f t="shared" si="2"/>
        <v>1489931</v>
      </c>
      <c r="J19" s="276">
        <f t="shared" si="2"/>
        <v>1486220</v>
      </c>
      <c r="K19" s="277">
        <f t="shared" si="2"/>
        <v>1425735</v>
      </c>
      <c r="L19" s="278">
        <f t="shared" si="2"/>
        <v>1360930</v>
      </c>
      <c r="M19" s="276">
        <f t="shared" si="2"/>
        <v>1280215</v>
      </c>
      <c r="N19" s="277">
        <f t="shared" si="2"/>
        <v>1391734</v>
      </c>
      <c r="O19" s="278">
        <f t="shared" si="2"/>
        <v>1269792</v>
      </c>
      <c r="P19" s="276">
        <f t="shared" si="2"/>
        <v>1507702</v>
      </c>
      <c r="Q19" s="277">
        <f t="shared" si="2"/>
        <v>1521750</v>
      </c>
    </row>
    <row r="20" spans="1:20">
      <c r="A20" s="274"/>
      <c r="B20" s="292" t="s">
        <v>197</v>
      </c>
      <c r="C20" s="276">
        <f>C21</f>
        <v>16456690</v>
      </c>
      <c r="D20" s="276"/>
      <c r="E20" s="277"/>
      <c r="F20" s="278">
        <f t="shared" si="2"/>
        <v>1305285</v>
      </c>
      <c r="G20" s="276">
        <f t="shared" si="2"/>
        <v>1283600</v>
      </c>
      <c r="H20" s="277">
        <f t="shared" si="2"/>
        <v>1133796</v>
      </c>
      <c r="I20" s="278">
        <f t="shared" si="2"/>
        <v>1489931</v>
      </c>
      <c r="J20" s="276">
        <f t="shared" si="2"/>
        <v>1486220</v>
      </c>
      <c r="K20" s="277">
        <f t="shared" si="2"/>
        <v>1425735</v>
      </c>
      <c r="L20" s="278">
        <f t="shared" si="2"/>
        <v>1360930</v>
      </c>
      <c r="M20" s="276">
        <f t="shared" si="2"/>
        <v>1280215</v>
      </c>
      <c r="N20" s="277">
        <f t="shared" si="2"/>
        <v>1391734</v>
      </c>
      <c r="O20" s="278">
        <f t="shared" si="2"/>
        <v>1269792</v>
      </c>
      <c r="P20" s="276">
        <f t="shared" si="2"/>
        <v>1507702</v>
      </c>
      <c r="Q20" s="277">
        <f t="shared" si="2"/>
        <v>1521750</v>
      </c>
    </row>
    <row r="21" spans="1:20">
      <c r="A21" s="274"/>
      <c r="B21" s="293" t="s">
        <v>198</v>
      </c>
      <c r="C21" s="282">
        <f>SUM(F21:Q21)</f>
        <v>16456690</v>
      </c>
      <c r="D21" s="282"/>
      <c r="E21" s="283"/>
      <c r="F21" s="285">
        <f>F17</f>
        <v>1305285</v>
      </c>
      <c r="G21" s="285">
        <f>G17</f>
        <v>1283600</v>
      </c>
      <c r="H21" s="285">
        <f>H17</f>
        <v>1133796</v>
      </c>
      <c r="I21" s="285">
        <f t="shared" ref="I21:Q21" si="3">I17</f>
        <v>1489931</v>
      </c>
      <c r="J21" s="285">
        <f t="shared" si="3"/>
        <v>1486220</v>
      </c>
      <c r="K21" s="285">
        <f t="shared" si="3"/>
        <v>1425735</v>
      </c>
      <c r="L21" s="285">
        <f t="shared" si="3"/>
        <v>1360930</v>
      </c>
      <c r="M21" s="285">
        <f t="shared" si="3"/>
        <v>1280215</v>
      </c>
      <c r="N21" s="285">
        <f t="shared" si="3"/>
        <v>1391734</v>
      </c>
      <c r="O21" s="285">
        <f t="shared" si="3"/>
        <v>1269792</v>
      </c>
      <c r="P21" s="285">
        <f t="shared" si="3"/>
        <v>1507702</v>
      </c>
      <c r="Q21" s="285">
        <f t="shared" si="3"/>
        <v>1521750</v>
      </c>
    </row>
    <row r="22" spans="1:20" ht="14.5" thickBot="1">
      <c r="A22" s="294" t="s">
        <v>199</v>
      </c>
      <c r="B22" s="295" t="s">
        <v>200</v>
      </c>
      <c r="C22" s="296">
        <f>C10-C18</f>
        <v>0</v>
      </c>
      <c r="D22" s="296"/>
      <c r="E22" s="297"/>
      <c r="F22" s="298">
        <f>F10-F18</f>
        <v>0</v>
      </c>
      <c r="G22" s="296">
        <f t="shared" ref="G22:Q22" si="4">G10-G18</f>
        <v>0</v>
      </c>
      <c r="H22" s="297">
        <f t="shared" si="4"/>
        <v>0</v>
      </c>
      <c r="I22" s="298">
        <f t="shared" si="4"/>
        <v>0</v>
      </c>
      <c r="J22" s="296">
        <f t="shared" si="4"/>
        <v>0</v>
      </c>
      <c r="K22" s="297">
        <f t="shared" si="4"/>
        <v>0</v>
      </c>
      <c r="L22" s="298">
        <f t="shared" si="4"/>
        <v>0</v>
      </c>
      <c r="M22" s="296">
        <f t="shared" si="4"/>
        <v>0</v>
      </c>
      <c r="N22" s="297">
        <f t="shared" si="4"/>
        <v>0</v>
      </c>
      <c r="O22" s="298">
        <f t="shared" si="4"/>
        <v>0</v>
      </c>
      <c r="P22" s="296">
        <f t="shared" si="4"/>
        <v>0</v>
      </c>
      <c r="Q22" s="297">
        <f t="shared" si="4"/>
        <v>0</v>
      </c>
    </row>
    <row r="23" spans="1:20" s="299" customFormat="1" ht="14.5" customHeight="1">
      <c r="C23" s="300">
        <f>SUM(F23:P23)</f>
        <v>16456690</v>
      </c>
      <c r="F23" s="707">
        <f>SUM(F21:H21)</f>
        <v>3722681</v>
      </c>
      <c r="G23" s="707"/>
      <c r="H23" s="707"/>
      <c r="I23" s="707">
        <f>SUM(I21:K21)</f>
        <v>4401886</v>
      </c>
      <c r="J23" s="707"/>
      <c r="K23" s="707"/>
      <c r="L23" s="707">
        <f>SUM(L21:N21)</f>
        <v>4032879</v>
      </c>
      <c r="M23" s="707"/>
      <c r="N23" s="707"/>
      <c r="O23" s="707">
        <f>SUM(O21:Q21)</f>
        <v>4299244</v>
      </c>
      <c r="P23" s="707"/>
      <c r="Q23" s="707"/>
    </row>
    <row r="24" spans="1:20">
      <c r="K24" s="261"/>
      <c r="N24" s="261"/>
      <c r="Q24" s="261"/>
    </row>
    <row r="25" spans="1:20"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</row>
    <row r="26" spans="1:20"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</row>
    <row r="27" spans="1:20">
      <c r="R27" s="262"/>
    </row>
    <row r="28" spans="1:20">
      <c r="M28" s="262"/>
    </row>
    <row r="29" spans="1:20">
      <c r="G29" s="262"/>
      <c r="J29" s="262"/>
      <c r="M29" s="262"/>
    </row>
    <row r="30" spans="1:20">
      <c r="J30" s="262"/>
    </row>
    <row r="31" spans="1:20">
      <c r="G31" s="262"/>
      <c r="J31" s="262"/>
      <c r="M31" s="262"/>
    </row>
  </sheetData>
  <mergeCells count="15">
    <mergeCell ref="A5:F5"/>
    <mergeCell ref="A7:A8"/>
    <mergeCell ref="B7:B8"/>
    <mergeCell ref="C7:C8"/>
    <mergeCell ref="D7:D8"/>
    <mergeCell ref="E7:E8"/>
    <mergeCell ref="F7:Q7"/>
    <mergeCell ref="F9:H9"/>
    <mergeCell ref="I9:K9"/>
    <mergeCell ref="L9:N9"/>
    <mergeCell ref="O9:Q9"/>
    <mergeCell ref="F23:H23"/>
    <mergeCell ref="I23:K23"/>
    <mergeCell ref="L23:N23"/>
    <mergeCell ref="O23:Q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B8002-BF59-4AA7-A3B1-8A85B95679CE}">
  <sheetPr>
    <tabColor theme="7" tint="0.79998168889431442"/>
  </sheetPr>
  <dimension ref="A1:H50"/>
  <sheetViews>
    <sheetView topLeftCell="A37" workbookViewId="0">
      <selection activeCell="E63" sqref="E63"/>
    </sheetView>
  </sheetViews>
  <sheetFormatPr defaultColWidth="8.7265625" defaultRowHeight="13" outlineLevelCol="1"/>
  <cols>
    <col min="1" max="1" width="3.7265625" style="526" customWidth="1"/>
    <col min="2" max="2" width="80" style="526" customWidth="1"/>
    <col min="3" max="3" width="14.81640625" style="526" customWidth="1"/>
    <col min="4" max="4" width="16.453125" style="526" hidden="1" customWidth="1" outlineLevel="1"/>
    <col min="5" max="5" width="18.26953125" style="526" customWidth="1" collapsed="1"/>
    <col min="6" max="6" width="10.81640625" style="526" hidden="1" customWidth="1" outlineLevel="1"/>
    <col min="7" max="7" width="18.26953125" style="526" customWidth="1" collapsed="1"/>
    <col min="8" max="8" width="18.26953125" style="526" customWidth="1"/>
    <col min="9" max="16384" width="8.7265625" style="526"/>
  </cols>
  <sheetData>
    <row r="1" spans="1:8">
      <c r="A1" s="526" t="s">
        <v>154</v>
      </c>
    </row>
    <row r="2" spans="1:8">
      <c r="A2" s="526" t="s">
        <v>354</v>
      </c>
    </row>
    <row r="4" spans="1:8" ht="15.5">
      <c r="A4" s="741" t="s">
        <v>355</v>
      </c>
      <c r="B4" s="741"/>
      <c r="C4" s="741"/>
      <c r="D4" s="741"/>
      <c r="E4" s="741"/>
      <c r="F4" s="741"/>
      <c r="G4" s="575"/>
      <c r="H4" s="575"/>
    </row>
    <row r="6" spans="1:8" ht="33.5">
      <c r="A6" s="576" t="s">
        <v>257</v>
      </c>
      <c r="B6" s="577" t="s">
        <v>356</v>
      </c>
      <c r="C6" s="576" t="s">
        <v>259</v>
      </c>
      <c r="D6" s="576" t="s">
        <v>260</v>
      </c>
      <c r="E6" s="576" t="s">
        <v>261</v>
      </c>
      <c r="F6" s="576" t="s">
        <v>262</v>
      </c>
    </row>
    <row r="7" spans="1:8">
      <c r="A7" s="727" t="s">
        <v>357</v>
      </c>
      <c r="B7" s="728"/>
      <c r="C7" s="728"/>
      <c r="D7" s="728"/>
      <c r="E7" s="728"/>
      <c r="F7" s="729"/>
    </row>
    <row r="8" spans="1:8" ht="14">
      <c r="A8" s="578" t="s">
        <v>358</v>
      </c>
      <c r="B8" s="109" t="s">
        <v>348</v>
      </c>
      <c r="C8" s="595">
        <v>77</v>
      </c>
      <c r="D8" s="551"/>
      <c r="E8" s="742" t="s">
        <v>359</v>
      </c>
      <c r="F8" s="551"/>
    </row>
    <row r="9" spans="1:8" ht="14">
      <c r="A9" s="578" t="s">
        <v>360</v>
      </c>
      <c r="B9" s="109" t="s">
        <v>349</v>
      </c>
      <c r="C9" s="559">
        <v>30</v>
      </c>
      <c r="D9" s="551"/>
      <c r="E9" s="742"/>
      <c r="F9" s="551"/>
    </row>
    <row r="10" spans="1:8" ht="14">
      <c r="A10" s="578" t="s">
        <v>361</v>
      </c>
      <c r="B10" s="109" t="s">
        <v>362</v>
      </c>
      <c r="C10" s="559">
        <v>83</v>
      </c>
      <c r="D10" s="551"/>
      <c r="E10" s="742" t="s">
        <v>363</v>
      </c>
      <c r="F10" s="551"/>
    </row>
    <row r="11" spans="1:8" ht="14">
      <c r="A11" s="578" t="s">
        <v>364</v>
      </c>
      <c r="B11" s="558" t="s">
        <v>365</v>
      </c>
      <c r="C11" s="559">
        <v>25</v>
      </c>
      <c r="D11" s="551"/>
      <c r="E11" s="742"/>
      <c r="F11" s="551"/>
    </row>
    <row r="12" spans="1:8" ht="14">
      <c r="A12" s="578" t="s">
        <v>366</v>
      </c>
      <c r="B12" s="109" t="s">
        <v>367</v>
      </c>
      <c r="C12" s="559">
        <v>20</v>
      </c>
      <c r="D12" s="551"/>
      <c r="E12" s="742"/>
      <c r="F12" s="551"/>
    </row>
    <row r="13" spans="1:8" ht="14">
      <c r="A13" s="578" t="s">
        <v>368</v>
      </c>
      <c r="B13" s="558" t="s">
        <v>369</v>
      </c>
      <c r="C13" s="559">
        <v>10</v>
      </c>
      <c r="D13" s="551"/>
      <c r="E13" s="742"/>
      <c r="F13" s="551"/>
    </row>
    <row r="14" spans="1:8" ht="14">
      <c r="A14" s="578" t="s">
        <v>370</v>
      </c>
      <c r="B14" s="109" t="s">
        <v>350</v>
      </c>
      <c r="C14" s="596">
        <v>50</v>
      </c>
      <c r="D14" s="551"/>
      <c r="E14" s="743" t="s">
        <v>359</v>
      </c>
      <c r="F14" s="551"/>
    </row>
    <row r="15" spans="1:8" ht="14">
      <c r="A15" s="578" t="s">
        <v>371</v>
      </c>
      <c r="B15" s="558" t="s">
        <v>351</v>
      </c>
      <c r="C15" s="596">
        <v>50</v>
      </c>
      <c r="D15" s="551"/>
      <c r="E15" s="744"/>
      <c r="F15" s="551"/>
    </row>
    <row r="16" spans="1:8" ht="14">
      <c r="A16" s="578" t="s">
        <v>372</v>
      </c>
      <c r="B16" s="109" t="s">
        <v>352</v>
      </c>
      <c r="C16" s="596">
        <v>30</v>
      </c>
      <c r="D16" s="551"/>
      <c r="E16" s="745"/>
      <c r="F16" s="551"/>
    </row>
    <row r="17" spans="1:6">
      <c r="A17" s="551"/>
      <c r="B17" s="579" t="s">
        <v>309</v>
      </c>
      <c r="C17" s="573">
        <f>SUM(C8:C16)</f>
        <v>375</v>
      </c>
      <c r="D17" s="551" t="e">
        <f>D8+D9+#REF!</f>
        <v>#REF!</v>
      </c>
      <c r="E17" s="551"/>
      <c r="F17" s="551"/>
    </row>
    <row r="18" spans="1:6">
      <c r="A18" s="738" t="s">
        <v>373</v>
      </c>
      <c r="B18" s="739"/>
      <c r="C18" s="739"/>
      <c r="D18" s="739"/>
      <c r="E18" s="739"/>
      <c r="F18" s="740"/>
    </row>
    <row r="19" spans="1:6">
      <c r="A19" s="551"/>
      <c r="B19" s="551"/>
      <c r="C19" s="551"/>
      <c r="D19" s="551"/>
      <c r="E19" s="551"/>
      <c r="F19" s="551"/>
    </row>
    <row r="20" spans="1:6">
      <c r="A20" s="551"/>
      <c r="B20" s="579" t="s">
        <v>309</v>
      </c>
      <c r="C20" s="551">
        <f>SUM(C19)</f>
        <v>0</v>
      </c>
      <c r="D20" s="551">
        <f>SUM(D19)</f>
        <v>0</v>
      </c>
      <c r="E20" s="551"/>
      <c r="F20" s="551"/>
    </row>
    <row r="21" spans="1:6">
      <c r="A21" s="724"/>
      <c r="B21" s="725"/>
      <c r="C21" s="725"/>
      <c r="D21" s="725"/>
      <c r="E21" s="725"/>
      <c r="F21" s="726"/>
    </row>
    <row r="22" spans="1:6">
      <c r="A22" s="727" t="s">
        <v>374</v>
      </c>
      <c r="B22" s="728"/>
      <c r="C22" s="728"/>
      <c r="D22" s="728"/>
      <c r="E22" s="728"/>
      <c r="F22" s="729"/>
    </row>
    <row r="23" spans="1:6" s="258" customFormat="1" ht="14">
      <c r="A23" s="580">
        <v>10</v>
      </c>
      <c r="B23" s="560" t="s">
        <v>375</v>
      </c>
      <c r="C23" s="581">
        <v>50</v>
      </c>
      <c r="D23" s="582"/>
      <c r="E23" s="730" t="s">
        <v>363</v>
      </c>
      <c r="F23" s="583"/>
    </row>
    <row r="24" spans="1:6" s="258" customFormat="1" ht="14">
      <c r="A24" s="580">
        <v>11</v>
      </c>
      <c r="B24" s="560" t="s">
        <v>376</v>
      </c>
      <c r="C24" s="581">
        <v>50</v>
      </c>
      <c r="D24" s="582"/>
      <c r="E24" s="731"/>
      <c r="F24" s="583"/>
    </row>
    <row r="25" spans="1:6" s="258" customFormat="1" ht="14">
      <c r="A25" s="580">
        <v>12</v>
      </c>
      <c r="B25" s="560" t="s">
        <v>329</v>
      </c>
      <c r="C25" s="581">
        <v>250</v>
      </c>
      <c r="D25" s="582"/>
      <c r="E25" s="731"/>
      <c r="F25" s="583"/>
    </row>
    <row r="26" spans="1:6" s="258" customFormat="1" ht="14">
      <c r="A26" s="580">
        <v>13</v>
      </c>
      <c r="B26" s="560" t="s">
        <v>377</v>
      </c>
      <c r="C26" s="581">
        <v>15</v>
      </c>
      <c r="D26" s="582"/>
      <c r="E26" s="732"/>
      <c r="F26" s="583"/>
    </row>
    <row r="27" spans="1:6" s="258" customFormat="1" ht="14">
      <c r="A27" s="580">
        <v>14</v>
      </c>
      <c r="B27" s="560" t="s">
        <v>352</v>
      </c>
      <c r="C27" s="597">
        <v>5</v>
      </c>
      <c r="D27" s="582"/>
      <c r="E27" s="584" t="s">
        <v>359</v>
      </c>
      <c r="F27" s="583"/>
    </row>
    <row r="28" spans="1:6" s="258" customFormat="1" ht="14">
      <c r="A28" s="585"/>
      <c r="B28" s="586" t="s">
        <v>309</v>
      </c>
      <c r="C28" s="587">
        <f>SUM(C23:C27)</f>
        <v>370</v>
      </c>
      <c r="D28" s="585">
        <f>SUM(D23:D27)</f>
        <v>0</v>
      </c>
      <c r="E28" s="585"/>
      <c r="F28" s="585"/>
    </row>
    <row r="29" spans="1:6" s="258" customFormat="1" ht="14">
      <c r="A29" s="733" t="s">
        <v>373</v>
      </c>
      <c r="B29" s="721"/>
      <c r="C29" s="721"/>
      <c r="D29" s="721"/>
      <c r="E29" s="721"/>
      <c r="F29" s="734"/>
    </row>
    <row r="30" spans="1:6" s="258" customFormat="1" ht="14">
      <c r="A30" s="585"/>
      <c r="B30" s="585"/>
      <c r="C30" s="585"/>
      <c r="D30" s="585"/>
      <c r="E30" s="585"/>
      <c r="F30" s="585"/>
    </row>
    <row r="31" spans="1:6" s="258" customFormat="1" ht="14">
      <c r="A31" s="585"/>
      <c r="B31" s="586" t="s">
        <v>309</v>
      </c>
      <c r="C31" s="585">
        <f>SUM(C30)</f>
        <v>0</v>
      </c>
      <c r="D31" s="585">
        <f>SUM(D30)</f>
        <v>0</v>
      </c>
      <c r="E31" s="585"/>
      <c r="F31" s="585"/>
    </row>
    <row r="32" spans="1:6" s="258" customFormat="1" ht="14">
      <c r="A32" s="735"/>
      <c r="B32" s="736"/>
      <c r="C32" s="736"/>
      <c r="D32" s="736"/>
      <c r="E32" s="736"/>
      <c r="F32" s="737"/>
    </row>
    <row r="33" spans="1:6" s="258" customFormat="1" ht="14">
      <c r="A33" s="733" t="s">
        <v>378</v>
      </c>
      <c r="B33" s="721"/>
      <c r="C33" s="721"/>
      <c r="D33" s="721"/>
      <c r="E33" s="721"/>
      <c r="F33" s="734"/>
    </row>
    <row r="34" spans="1:6" s="258" customFormat="1" ht="14">
      <c r="A34" s="585" t="s">
        <v>379</v>
      </c>
      <c r="B34" s="561" t="s">
        <v>353</v>
      </c>
      <c r="C34" s="598">
        <v>2</v>
      </c>
      <c r="D34" s="585"/>
      <c r="E34" s="584" t="s">
        <v>359</v>
      </c>
      <c r="F34" s="585"/>
    </row>
    <row r="35" spans="1:6" s="258" customFormat="1" ht="14">
      <c r="A35" s="586"/>
      <c r="B35" s="586" t="s">
        <v>309</v>
      </c>
      <c r="C35" s="587">
        <f>C34</f>
        <v>2</v>
      </c>
      <c r="D35" s="585" t="e">
        <f>SUM(D34+#REF!)</f>
        <v>#REF!</v>
      </c>
      <c r="E35" s="585"/>
      <c r="F35" s="585"/>
    </row>
    <row r="36" spans="1:6" s="258" customFormat="1" ht="14">
      <c r="A36" s="720" t="s">
        <v>373</v>
      </c>
      <c r="B36" s="721"/>
      <c r="C36" s="721"/>
      <c r="D36" s="721"/>
      <c r="E36" s="721"/>
      <c r="F36" s="722"/>
    </row>
    <row r="37" spans="1:6" s="258" customFormat="1" ht="14">
      <c r="A37" s="588"/>
      <c r="B37" s="586"/>
      <c r="C37" s="585"/>
      <c r="D37" s="585"/>
      <c r="E37" s="585"/>
      <c r="F37" s="589"/>
    </row>
    <row r="38" spans="1:6" s="258" customFormat="1" ht="14.5" thickBot="1">
      <c r="A38" s="586"/>
      <c r="B38" s="586" t="s">
        <v>309</v>
      </c>
      <c r="C38" s="585">
        <f>SUM(C37)</f>
        <v>0</v>
      </c>
      <c r="D38" s="585">
        <f>SUM(D37)</f>
        <v>0</v>
      </c>
      <c r="E38" s="585"/>
      <c r="F38" s="590"/>
    </row>
    <row r="39" spans="1:6" ht="16" thickTop="1" thickBot="1">
      <c r="A39" s="591"/>
      <c r="B39" s="592" t="s">
        <v>380</v>
      </c>
      <c r="C39" s="574">
        <f>C17+C20+C28+C31+C35+C38</f>
        <v>747</v>
      </c>
      <c r="D39" s="551" t="e">
        <f>D17+D20+D28+D31+D35+D38</f>
        <v>#REF!</v>
      </c>
      <c r="E39" s="551"/>
      <c r="F39" s="593"/>
    </row>
    <row r="40" spans="1:6" ht="16.5" thickTop="1" thickBot="1">
      <c r="A40" s="551"/>
      <c r="B40" s="591" t="s">
        <v>343</v>
      </c>
      <c r="C40" s="574">
        <f>C10+C11+C12+C23+C24+C25+C26+C13</f>
        <v>503</v>
      </c>
      <c r="D40" s="551"/>
      <c r="E40" s="551"/>
      <c r="F40" s="551"/>
    </row>
    <row r="41" spans="1:6" ht="16" thickTop="1" thickBot="1">
      <c r="A41" s="551"/>
      <c r="B41" s="592" t="s">
        <v>344</v>
      </c>
      <c r="C41" s="600">
        <v>4.54</v>
      </c>
      <c r="D41" s="551"/>
      <c r="E41" s="551"/>
      <c r="F41" s="594"/>
    </row>
    <row r="42" spans="1:6" ht="13.5" thickTop="1"/>
    <row r="43" spans="1:6">
      <c r="B43" s="526" t="s">
        <v>381</v>
      </c>
    </row>
    <row r="44" spans="1:6">
      <c r="B44" s="526" t="s">
        <v>382</v>
      </c>
    </row>
    <row r="46" spans="1:6">
      <c r="A46" s="556"/>
      <c r="B46" s="556"/>
      <c r="C46" s="556"/>
      <c r="D46" s="556"/>
      <c r="E46" s="556"/>
      <c r="F46" s="556"/>
    </row>
    <row r="47" spans="1:6">
      <c r="A47" s="723" t="s">
        <v>383</v>
      </c>
      <c r="B47" s="723"/>
      <c r="C47" s="723"/>
      <c r="D47" s="723"/>
      <c r="E47" s="723"/>
      <c r="F47" s="723"/>
    </row>
    <row r="48" spans="1:6" ht="12.75" customHeight="1">
      <c r="A48" s="723" t="s">
        <v>384</v>
      </c>
      <c r="B48" s="723"/>
      <c r="C48" s="723"/>
      <c r="D48" s="723"/>
      <c r="E48" s="723"/>
      <c r="F48" s="723"/>
    </row>
    <row r="49" spans="1:2">
      <c r="B49" s="557"/>
    </row>
    <row r="50" spans="1:2">
      <c r="A50" s="557"/>
    </row>
  </sheetData>
  <mergeCells count="15">
    <mergeCell ref="A18:F18"/>
    <mergeCell ref="A4:F4"/>
    <mergeCell ref="A7:F7"/>
    <mergeCell ref="E8:E9"/>
    <mergeCell ref="E10:E13"/>
    <mergeCell ref="E14:E16"/>
    <mergeCell ref="A36:F36"/>
    <mergeCell ref="A47:F47"/>
    <mergeCell ref="A48:F48"/>
    <mergeCell ref="A21:F21"/>
    <mergeCell ref="A22:F22"/>
    <mergeCell ref="E23:E26"/>
    <mergeCell ref="A29:F29"/>
    <mergeCell ref="A32:F32"/>
    <mergeCell ref="A33:F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2D5AA-E144-4D1B-AF16-4167FF3F31BA}">
  <sheetPr>
    <tabColor theme="9" tint="0.79998168889431442"/>
  </sheetPr>
  <dimension ref="B2:E13"/>
  <sheetViews>
    <sheetView workbookViewId="0">
      <selection activeCell="C30" sqref="C30"/>
    </sheetView>
  </sheetViews>
  <sheetFormatPr defaultRowHeight="14.5"/>
  <cols>
    <col min="3" max="3" width="11.81640625" customWidth="1"/>
    <col min="4" max="4" width="12.7265625" customWidth="1"/>
    <col min="5" max="5" width="14" customWidth="1"/>
  </cols>
  <sheetData>
    <row r="2" spans="2:5">
      <c r="C2" s="746" t="s">
        <v>390</v>
      </c>
      <c r="D2" s="746"/>
      <c r="E2" s="746"/>
    </row>
    <row r="3" spans="2:5">
      <c r="C3" s="637">
        <v>475000</v>
      </c>
      <c r="D3" s="637">
        <v>150000</v>
      </c>
      <c r="E3" s="637">
        <f>SUM(C3:D3)</f>
        <v>625000</v>
      </c>
    </row>
    <row r="4" spans="2:5">
      <c r="C4" s="506" t="s">
        <v>255</v>
      </c>
      <c r="D4" s="506" t="s">
        <v>391</v>
      </c>
      <c r="E4" s="638" t="s">
        <v>392</v>
      </c>
    </row>
    <row r="5" spans="2:5">
      <c r="B5" s="634">
        <v>1119</v>
      </c>
      <c r="C5" s="635">
        <v>183169.69</v>
      </c>
      <c r="D5" s="508"/>
      <c r="E5" s="507">
        <f>SUM(C5:D5)</f>
        <v>183169.69</v>
      </c>
    </row>
    <row r="6" spans="2:5">
      <c r="B6" s="634">
        <v>1147</v>
      </c>
      <c r="C6" s="635"/>
      <c r="D6" s="508">
        <v>53005</v>
      </c>
      <c r="E6" s="507">
        <f t="shared" ref="E6:E11" si="0">SUM(C6:D6)</f>
        <v>53005</v>
      </c>
    </row>
    <row r="7" spans="2:5">
      <c r="B7" s="634">
        <v>1150</v>
      </c>
      <c r="C7" s="635"/>
      <c r="D7" s="508">
        <v>6400</v>
      </c>
      <c r="E7" s="507">
        <f t="shared" si="0"/>
        <v>6400</v>
      </c>
    </row>
    <row r="8" spans="2:5">
      <c r="B8" s="634">
        <v>1210</v>
      </c>
      <c r="C8" s="635">
        <v>25830.31</v>
      </c>
      <c r="D8" s="508">
        <v>12657</v>
      </c>
      <c r="E8" s="507">
        <f t="shared" si="0"/>
        <v>38487.31</v>
      </c>
    </row>
    <row r="9" spans="2:5">
      <c r="B9" s="634">
        <v>2111</v>
      </c>
      <c r="C9" s="635"/>
      <c r="D9" s="508">
        <v>565</v>
      </c>
      <c r="E9" s="507">
        <f t="shared" si="0"/>
        <v>565</v>
      </c>
    </row>
    <row r="10" spans="2:5">
      <c r="B10" s="634">
        <v>2264</v>
      </c>
      <c r="C10" s="635">
        <v>266000</v>
      </c>
      <c r="D10" s="508">
        <f>60942+4350+11581</f>
        <v>76873</v>
      </c>
      <c r="E10" s="507">
        <f t="shared" si="0"/>
        <v>342873</v>
      </c>
    </row>
    <row r="11" spans="2:5">
      <c r="B11" s="634">
        <v>2322</v>
      </c>
      <c r="C11" s="635"/>
      <c r="D11" s="508">
        <v>500</v>
      </c>
      <c r="E11" s="507">
        <f t="shared" si="0"/>
        <v>500</v>
      </c>
    </row>
    <row r="12" spans="2:5">
      <c r="C12" s="502">
        <f>SUM(C5:C10)</f>
        <v>475000</v>
      </c>
      <c r="D12" s="502">
        <f>SUM(D5:D11)</f>
        <v>150000</v>
      </c>
      <c r="E12" s="502">
        <f>SUM(E5:E11)</f>
        <v>625000</v>
      </c>
    </row>
    <row r="13" spans="2:5">
      <c r="D13" s="436"/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LSM_10F_CET</vt:lpstr>
      <vt:lpstr>LSM_Investīcijas</vt:lpstr>
      <vt:lpstr>LSM_Finansēšanas plāns</vt:lpstr>
      <vt:lpstr>LTV</vt:lpstr>
      <vt:lpstr>LR_10F_MĒN</vt:lpstr>
      <vt:lpstr>LR_Finansēšanas plāns</vt:lpstr>
      <vt:lpstr>LR_Investīcijas</vt:lpstr>
      <vt:lpstr>Transferts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Gavars</dc:creator>
  <cp:lastModifiedBy>Inese Tanne</cp:lastModifiedBy>
  <cp:lastPrinted>2025-03-19T15:08:57Z</cp:lastPrinted>
  <dcterms:created xsi:type="dcterms:W3CDTF">2017-04-18T10:27:31Z</dcterms:created>
  <dcterms:modified xsi:type="dcterms:W3CDTF">2025-06-20T07:05:05Z</dcterms:modified>
</cp:coreProperties>
</file>