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ina_poriete_seplp_lv/Documents/SEPLP_lemumprojekti/2024/"/>
    </mc:Choice>
  </mc:AlternateContent>
  <xr:revisionPtr revIDLastSave="0" documentId="8_{7B3FCFD4-850B-4B6C-BC7F-868BBE674EC4}" xr6:coauthVersionLast="47" xr6:coauthVersionMax="47" xr10:uidLastSave="{00000000-0000-0000-0000-000000000000}"/>
  <bookViews>
    <workbookView xWindow="-120" yWindow="-120" windowWidth="38640" windowHeight="21240" tabRatio="696" activeTab="1" xr2:uid="{B3760F38-5A59-48FB-AADF-1DD25B1C2A4D}"/>
  </bookViews>
  <sheets>
    <sheet name="2024_gada_plāns" sheetId="3" r:id="rId1"/>
    <sheet name="Grozījumi" sheetId="4" r:id="rId2"/>
    <sheet name="2024_ar_grozījumiem" sheetId="5" r:id="rId3"/>
  </sheets>
  <externalReferences>
    <externalReference r:id="rId4"/>
  </externalReferences>
  <definedNames>
    <definedName name="_xlnm._FilterDatabase" localSheetId="0" hidden="1">'2024_gada_plāns'!$A$12:$EI$12</definedName>
    <definedName name="_xlnm.Print_Titles" localSheetId="0">'2024_gada_plāns'!$6:$11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98" i="4" l="1"/>
  <c r="CJ97" i="4" l="1"/>
  <c r="CJ91" i="4"/>
  <c r="CH25" i="3"/>
  <c r="CP118" i="4"/>
  <c r="DJ118" i="4" s="1"/>
  <c r="CP112" i="4"/>
  <c r="DJ112" i="4" s="1"/>
  <c r="BV121" i="4"/>
  <c r="BV118" i="4"/>
  <c r="BV115" i="4"/>
  <c r="BV112" i="4"/>
  <c r="BV109" i="4"/>
  <c r="BV106" i="4"/>
  <c r="BV103" i="4"/>
  <c r="BB121" i="4"/>
  <c r="BB118" i="4"/>
  <c r="BB115" i="4"/>
  <c r="BB112" i="4"/>
  <c r="BB109" i="4"/>
  <c r="BB106" i="4"/>
  <c r="BB103" i="4"/>
  <c r="AH121" i="4"/>
  <c r="AH118" i="4"/>
  <c r="AH115" i="4"/>
  <c r="AH112" i="4"/>
  <c r="AH109" i="4"/>
  <c r="AH106" i="4"/>
  <c r="AD106" i="4"/>
  <c r="AH103" i="4"/>
  <c r="V120" i="4"/>
  <c r="V117" i="4"/>
  <c r="V114" i="4"/>
  <c r="V111" i="4"/>
  <c r="V108" i="4"/>
  <c r="V105" i="4"/>
  <c r="V10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F120" i="4"/>
  <c r="D120" i="4"/>
  <c r="F117" i="4"/>
  <c r="D117" i="4"/>
  <c r="F114" i="4"/>
  <c r="D114" i="4"/>
  <c r="F111" i="4"/>
  <c r="D111" i="4"/>
  <c r="F108" i="4"/>
  <c r="D108" i="4"/>
  <c r="F105" i="4"/>
  <c r="D105" i="4"/>
  <c r="F102" i="4"/>
  <c r="D102" i="4"/>
  <c r="BR121" i="3"/>
  <c r="BV120" i="3"/>
  <c r="BV119" i="3" s="1"/>
  <c r="BR119" i="3" s="1"/>
  <c r="BR120" i="3"/>
  <c r="BR118" i="3"/>
  <c r="BV117" i="3"/>
  <c r="BR117" i="3" s="1"/>
  <c r="BV116" i="3"/>
  <c r="BR116" i="3"/>
  <c r="BR115" i="3"/>
  <c r="BZ114" i="3"/>
  <c r="BZ113" i="3" s="1"/>
  <c r="BV114" i="3"/>
  <c r="BR114" i="3" s="1"/>
  <c r="BR112" i="3"/>
  <c r="BV111" i="3"/>
  <c r="BV110" i="3" s="1"/>
  <c r="BR110" i="3" s="1"/>
  <c r="BR111" i="3"/>
  <c r="BR109" i="3"/>
  <c r="BV108" i="3"/>
  <c r="BR108" i="3" s="1"/>
  <c r="BR106" i="3"/>
  <c r="BV105" i="3"/>
  <c r="BV104" i="3" s="1"/>
  <c r="BR104" i="3" s="1"/>
  <c r="BR103" i="3"/>
  <c r="BZ102" i="3"/>
  <c r="BR102" i="3" s="1"/>
  <c r="BV102" i="3"/>
  <c r="BV101" i="3"/>
  <c r="AX121" i="3"/>
  <c r="BB120" i="3"/>
  <c r="AX120" i="3"/>
  <c r="BJ120" i="3" s="1"/>
  <c r="BB119" i="3"/>
  <c r="AX119" i="3" s="1"/>
  <c r="AX118" i="3"/>
  <c r="BB117" i="3"/>
  <c r="AX117" i="3" s="1"/>
  <c r="AX115" i="3"/>
  <c r="BF114" i="3"/>
  <c r="BF113" i="3" s="1"/>
  <c r="BB114" i="3"/>
  <c r="AX112" i="3"/>
  <c r="BB111" i="3"/>
  <c r="BB110" i="3" s="1"/>
  <c r="AX110" i="3" s="1"/>
  <c r="AX111" i="3"/>
  <c r="BJ111" i="3" s="1"/>
  <c r="AX109" i="3"/>
  <c r="BB108" i="3"/>
  <c r="AX108" i="3" s="1"/>
  <c r="AX106" i="3"/>
  <c r="BB105" i="3"/>
  <c r="AX105" i="3" s="1"/>
  <c r="BJ105" i="3" s="1"/>
  <c r="AX103" i="3"/>
  <c r="BF102" i="3"/>
  <c r="AX102" i="3" s="1"/>
  <c r="BB102" i="3"/>
  <c r="BB101" i="3"/>
  <c r="CP121" i="3"/>
  <c r="CL121" i="3" s="1"/>
  <c r="AD121" i="3"/>
  <c r="BL120" i="3"/>
  <c r="BN120" i="3" s="1"/>
  <c r="AR120" i="3"/>
  <c r="AT120" i="3" s="1"/>
  <c r="AH120" i="3"/>
  <c r="AD120" i="3" s="1"/>
  <c r="X120" i="3"/>
  <c r="Z120" i="3" s="1"/>
  <c r="CP118" i="3"/>
  <c r="CL118" i="3" s="1"/>
  <c r="AD118" i="3"/>
  <c r="BL117" i="3"/>
  <c r="AR117" i="3"/>
  <c r="AT117" i="3" s="1"/>
  <c r="AH117" i="3"/>
  <c r="AH116" i="3" s="1"/>
  <c r="AD116" i="3" s="1"/>
  <c r="AD117" i="3"/>
  <c r="AP117" i="3" s="1"/>
  <c r="X117" i="3"/>
  <c r="Z117" i="3" s="1"/>
  <c r="CP115" i="3"/>
  <c r="CL115" i="3" s="1"/>
  <c r="AD115" i="3"/>
  <c r="BL114" i="3"/>
  <c r="BN114" i="3" s="1"/>
  <c r="AT114" i="3"/>
  <c r="AR114" i="3"/>
  <c r="AL114" i="3"/>
  <c r="AL113" i="3" s="1"/>
  <c r="AH114" i="3"/>
  <c r="AD114" i="3" s="1"/>
  <c r="X114" i="3"/>
  <c r="Z114" i="3" s="1"/>
  <c r="CP112" i="3"/>
  <c r="CL112" i="3" s="1"/>
  <c r="AD112" i="3"/>
  <c r="BL111" i="3"/>
  <c r="BN111" i="3" s="1"/>
  <c r="AR111" i="3"/>
  <c r="AT111" i="3" s="1"/>
  <c r="AH111" i="3"/>
  <c r="AD111" i="3" s="1"/>
  <c r="X111" i="3"/>
  <c r="Z111" i="3" s="1"/>
  <c r="AH110" i="3"/>
  <c r="AD110" i="3" s="1"/>
  <c r="CP109" i="3"/>
  <c r="CL109" i="3" s="1"/>
  <c r="AD109" i="3"/>
  <c r="BL108" i="3"/>
  <c r="BN108" i="3" s="1"/>
  <c r="AR108" i="3"/>
  <c r="AT108" i="3" s="1"/>
  <c r="AH108" i="3"/>
  <c r="AD108" i="3"/>
  <c r="AP108" i="3" s="1"/>
  <c r="Z108" i="3"/>
  <c r="X108" i="3"/>
  <c r="AH107" i="3"/>
  <c r="AD107" i="3" s="1"/>
  <c r="CP106" i="3"/>
  <c r="CL106" i="3" s="1"/>
  <c r="AD106" i="3"/>
  <c r="BL105" i="3"/>
  <c r="BN105" i="3" s="1"/>
  <c r="AR105" i="3"/>
  <c r="AT105" i="3" s="1"/>
  <c r="AH105" i="3"/>
  <c r="AH104" i="3" s="1"/>
  <c r="AD104" i="3" s="1"/>
  <c r="X105" i="3"/>
  <c r="Z105" i="3" s="1"/>
  <c r="CP103" i="3"/>
  <c r="CL103" i="3" s="1"/>
  <c r="AD103" i="3"/>
  <c r="BL102" i="3"/>
  <c r="BN102" i="3" s="1"/>
  <c r="AR102" i="3"/>
  <c r="AT102" i="3" s="1"/>
  <c r="AL102" i="3"/>
  <c r="AL101" i="3" s="1"/>
  <c r="AH102" i="3"/>
  <c r="X102" i="3"/>
  <c r="Z102" i="3" s="1"/>
  <c r="CP121" i="5"/>
  <c r="CP121" i="4" s="1"/>
  <c r="DJ121" i="4" s="1"/>
  <c r="CP118" i="5"/>
  <c r="CL118" i="5" s="1"/>
  <c r="CL118" i="4" s="1"/>
  <c r="DF118" i="4" s="1"/>
  <c r="CP115" i="5"/>
  <c r="CP112" i="5"/>
  <c r="CP109" i="5"/>
  <c r="CL109" i="5" s="1"/>
  <c r="CL109" i="4" s="1"/>
  <c r="DF109" i="4" s="1"/>
  <c r="CP106" i="5"/>
  <c r="CL106" i="5" s="1"/>
  <c r="CL106" i="4" s="1"/>
  <c r="CP103" i="5"/>
  <c r="CL112" i="5"/>
  <c r="CL112" i="4" s="1"/>
  <c r="DF112" i="4" s="1"/>
  <c r="CL121" i="5"/>
  <c r="CL121" i="4" s="1"/>
  <c r="DF121" i="4" s="1"/>
  <c r="BR121" i="5"/>
  <c r="BR121" i="4" s="1"/>
  <c r="BV120" i="5"/>
  <c r="BV120" i="4" s="1"/>
  <c r="BR120" i="5"/>
  <c r="BL120" i="5"/>
  <c r="BL120" i="4" s="1"/>
  <c r="BR118" i="5"/>
  <c r="BR118" i="4" s="1"/>
  <c r="BR115" i="5"/>
  <c r="BR115" i="4" s="1"/>
  <c r="BZ114" i="5"/>
  <c r="BZ114" i="4" s="1"/>
  <c r="BR112" i="5"/>
  <c r="BR112" i="4" s="1"/>
  <c r="BL111" i="5"/>
  <c r="BL111" i="4" s="1"/>
  <c r="BR109" i="5"/>
  <c r="BR109" i="4" s="1"/>
  <c r="BV108" i="5"/>
  <c r="BR106" i="5"/>
  <c r="BR106" i="4" s="1"/>
  <c r="BV105" i="5"/>
  <c r="BR105" i="5" s="1"/>
  <c r="BL105" i="5"/>
  <c r="BL105" i="4" s="1"/>
  <c r="BR103" i="5"/>
  <c r="BR103" i="4" s="1"/>
  <c r="AD121" i="5"/>
  <c r="AD121" i="4" s="1"/>
  <c r="AR120" i="5"/>
  <c r="AR120" i="4" s="1"/>
  <c r="AH120" i="5"/>
  <c r="AH120" i="4" s="1"/>
  <c r="AD120" i="5"/>
  <c r="AH119" i="5"/>
  <c r="AH119" i="4" s="1"/>
  <c r="AD118" i="5"/>
  <c r="AD118" i="4" s="1"/>
  <c r="AH117" i="5"/>
  <c r="AD117" i="5" s="1"/>
  <c r="AD115" i="5"/>
  <c r="AD115" i="4" s="1"/>
  <c r="AL114" i="5"/>
  <c r="AL114" i="4" s="1"/>
  <c r="AH114" i="5"/>
  <c r="AH114" i="4" s="1"/>
  <c r="AD112" i="5"/>
  <c r="AD112" i="4" s="1"/>
  <c r="AR111" i="5"/>
  <c r="AR111" i="4" s="1"/>
  <c r="AH111" i="5"/>
  <c r="AH111" i="4" s="1"/>
  <c r="AD111" i="5"/>
  <c r="AH110" i="5"/>
  <c r="AD110" i="5" s="1"/>
  <c r="AD110" i="4" s="1"/>
  <c r="AD109" i="5"/>
  <c r="AD109" i="4" s="1"/>
  <c r="AX121" i="5"/>
  <c r="AX121" i="4" s="1"/>
  <c r="BB120" i="5"/>
  <c r="BB119" i="5" s="1"/>
  <c r="AX120" i="5"/>
  <c r="AX118" i="5"/>
  <c r="AX118" i="4" s="1"/>
  <c r="BB117" i="5"/>
  <c r="BB117" i="4" s="1"/>
  <c r="AX117" i="5"/>
  <c r="AX115" i="5"/>
  <c r="AX115" i="4" s="1"/>
  <c r="AX112" i="5"/>
  <c r="AX112" i="4" s="1"/>
  <c r="AX109" i="5"/>
  <c r="AX109" i="4" s="1"/>
  <c r="BB108" i="5"/>
  <c r="BB108" i="4" s="1"/>
  <c r="AX108" i="5"/>
  <c r="AX108" i="4" s="1"/>
  <c r="AR108" i="5"/>
  <c r="AX106" i="5"/>
  <c r="AX106" i="4" s="1"/>
  <c r="BB105" i="5"/>
  <c r="BB105" i="4" s="1"/>
  <c r="AX105" i="5"/>
  <c r="AX105" i="4" s="1"/>
  <c r="AR105" i="5"/>
  <c r="AX103" i="5"/>
  <c r="AX103" i="4" s="1"/>
  <c r="X120" i="5"/>
  <c r="X120" i="4" s="1"/>
  <c r="X117" i="5"/>
  <c r="X114" i="5"/>
  <c r="X111" i="5"/>
  <c r="AH108" i="5"/>
  <c r="AH107" i="5" s="1"/>
  <c r="X108" i="5"/>
  <c r="X108" i="4" s="1"/>
  <c r="AD106" i="5"/>
  <c r="AH105" i="5"/>
  <c r="X105" i="5"/>
  <c r="X105" i="4" s="1"/>
  <c r="AD103" i="5"/>
  <c r="AD103" i="4" s="1"/>
  <c r="AL102" i="5"/>
  <c r="AL102" i="4" s="1"/>
  <c r="AH102" i="5"/>
  <c r="AD102" i="5" s="1"/>
  <c r="AD102" i="4" s="1"/>
  <c r="X102" i="5"/>
  <c r="X102" i="4" s="1"/>
  <c r="AP120" i="5" l="1"/>
  <c r="AP120" i="4" s="1"/>
  <c r="AD114" i="5"/>
  <c r="BB107" i="5"/>
  <c r="AX107" i="5" s="1"/>
  <c r="AX107" i="4" s="1"/>
  <c r="AD120" i="4"/>
  <c r="AX119" i="5"/>
  <c r="AX119" i="4" s="1"/>
  <c r="BB119" i="4"/>
  <c r="BJ105" i="5"/>
  <c r="BJ105" i="4" s="1"/>
  <c r="AR105" i="4"/>
  <c r="AX117" i="4"/>
  <c r="BR108" i="5"/>
  <c r="BV108" i="4"/>
  <c r="CD120" i="5"/>
  <c r="CD120" i="4" s="1"/>
  <c r="BR120" i="4"/>
  <c r="Z117" i="5"/>
  <c r="Z117" i="4" s="1"/>
  <c r="X117" i="4"/>
  <c r="AH102" i="4"/>
  <c r="AH110" i="4"/>
  <c r="AH117" i="4"/>
  <c r="BV105" i="4"/>
  <c r="Z114" i="5"/>
  <c r="Z114" i="4" s="1"/>
  <c r="X114" i="4"/>
  <c r="BB107" i="4"/>
  <c r="BJ120" i="5"/>
  <c r="BJ120" i="4" s="1"/>
  <c r="AX120" i="4"/>
  <c r="AP117" i="5"/>
  <c r="AP117" i="4" s="1"/>
  <c r="AD117" i="4"/>
  <c r="CD105" i="5"/>
  <c r="CD105" i="4" s="1"/>
  <c r="BR105" i="4"/>
  <c r="Z105" i="5"/>
  <c r="Z105" i="4" s="1"/>
  <c r="Z108" i="5"/>
  <c r="Z108" i="4" s="1"/>
  <c r="AD105" i="5"/>
  <c r="AH105" i="4"/>
  <c r="AP111" i="5"/>
  <c r="AP111" i="4" s="1"/>
  <c r="AD111" i="4"/>
  <c r="AH113" i="5"/>
  <c r="AH113" i="4" s="1"/>
  <c r="BV104" i="5"/>
  <c r="BV107" i="5"/>
  <c r="BZ113" i="5"/>
  <c r="BZ113" i="4" s="1"/>
  <c r="BV119" i="5"/>
  <c r="AT120" i="5"/>
  <c r="AT120" i="4" s="1"/>
  <c r="BN120" i="5"/>
  <c r="BN120" i="4" s="1"/>
  <c r="CP103" i="4"/>
  <c r="DJ103" i="4" s="1"/>
  <c r="CP115" i="4"/>
  <c r="DJ115" i="4" s="1"/>
  <c r="CL115" i="5"/>
  <c r="CL115" i="4" s="1"/>
  <c r="DF115" i="4" s="1"/>
  <c r="BB120" i="4"/>
  <c r="AD107" i="5"/>
  <c r="AD107" i="4" s="1"/>
  <c r="AH107" i="4"/>
  <c r="AD113" i="5"/>
  <c r="AD113" i="4" s="1"/>
  <c r="AD114" i="4"/>
  <c r="AL101" i="5"/>
  <c r="AL101" i="4" s="1"/>
  <c r="BJ108" i="5"/>
  <c r="BJ108" i="4" s="1"/>
  <c r="AR108" i="4"/>
  <c r="AD108" i="5"/>
  <c r="AH108" i="4"/>
  <c r="Z102" i="5"/>
  <c r="Z102" i="4" s="1"/>
  <c r="AH104" i="5"/>
  <c r="Z111" i="5"/>
  <c r="Z111" i="4" s="1"/>
  <c r="X111" i="4"/>
  <c r="Z120" i="5"/>
  <c r="Z120" i="4" s="1"/>
  <c r="BB104" i="5"/>
  <c r="BB116" i="5"/>
  <c r="AL113" i="5"/>
  <c r="AL113" i="4" s="1"/>
  <c r="AP114" i="5"/>
  <c r="AP114" i="4" s="1"/>
  <c r="AH116" i="5"/>
  <c r="AD119" i="5"/>
  <c r="AD119" i="4" s="1"/>
  <c r="AT111" i="5"/>
  <c r="AT111" i="4" s="1"/>
  <c r="AT108" i="5"/>
  <c r="AT108" i="4" s="1"/>
  <c r="BN111" i="5"/>
  <c r="BN111" i="4" s="1"/>
  <c r="BN105" i="5"/>
  <c r="BN105" i="4" s="1"/>
  <c r="CP106" i="4"/>
  <c r="CP109" i="4"/>
  <c r="DJ109" i="4" s="1"/>
  <c r="BR101" i="3"/>
  <c r="CD102" i="3"/>
  <c r="CD108" i="3"/>
  <c r="CD120" i="3"/>
  <c r="BZ101" i="3"/>
  <c r="AP111" i="3"/>
  <c r="AP120" i="3"/>
  <c r="BF101" i="3"/>
  <c r="BB104" i="3"/>
  <c r="AX104" i="3" s="1"/>
  <c r="BJ108" i="3"/>
  <c r="BJ117" i="3"/>
  <c r="CD111" i="3"/>
  <c r="CD117" i="3"/>
  <c r="AD102" i="3"/>
  <c r="AD105" i="3"/>
  <c r="AP105" i="3" s="1"/>
  <c r="AH119" i="3"/>
  <c r="AD119" i="3" s="1"/>
  <c r="AX114" i="3"/>
  <c r="BJ114" i="3" s="1"/>
  <c r="BR105" i="3"/>
  <c r="CD105" i="3" s="1"/>
  <c r="BV107" i="3"/>
  <c r="BR107" i="3" s="1"/>
  <c r="CD114" i="3"/>
  <c r="BR113" i="3"/>
  <c r="BV113" i="3"/>
  <c r="AX101" i="3"/>
  <c r="BJ102" i="3"/>
  <c r="AX113" i="3"/>
  <c r="BB107" i="3"/>
  <c r="AX107" i="3" s="1"/>
  <c r="BB113" i="3"/>
  <c r="BB116" i="3"/>
  <c r="AX116" i="3" s="1"/>
  <c r="AP114" i="3"/>
  <c r="AD113" i="3"/>
  <c r="AP102" i="3"/>
  <c r="AD101" i="3"/>
  <c r="BN117" i="3"/>
  <c r="AH101" i="3"/>
  <c r="AH113" i="3"/>
  <c r="CL103" i="5"/>
  <c r="AT105" i="5"/>
  <c r="AT105" i="4" s="1"/>
  <c r="AP102" i="5"/>
  <c r="AP102" i="4" s="1"/>
  <c r="AD101" i="5"/>
  <c r="AD101" i="4" s="1"/>
  <c r="AH101" i="5"/>
  <c r="AH101" i="4" s="1"/>
  <c r="AD116" i="5" l="1"/>
  <c r="AD116" i="4" s="1"/>
  <c r="AH116" i="4"/>
  <c r="AD104" i="5"/>
  <c r="AD104" i="4" s="1"/>
  <c r="AH104" i="4"/>
  <c r="BR107" i="5"/>
  <c r="BR107" i="4" s="1"/>
  <c r="BV107" i="4"/>
  <c r="BR108" i="4"/>
  <c r="BR104" i="5"/>
  <c r="BR104" i="4" s="1"/>
  <c r="BV104" i="4"/>
  <c r="BB116" i="4"/>
  <c r="AX116" i="5"/>
  <c r="AX116" i="4" s="1"/>
  <c r="AP108" i="5"/>
  <c r="AP108" i="4" s="1"/>
  <c r="AD108" i="4"/>
  <c r="BB104" i="4"/>
  <c r="AX104" i="5"/>
  <c r="AX104" i="4" s="1"/>
  <c r="CL103" i="4"/>
  <c r="DF103" i="4" s="1"/>
  <c r="BV119" i="4"/>
  <c r="BR119" i="5"/>
  <c r="BR119" i="4" s="1"/>
  <c r="AP105" i="5"/>
  <c r="AP105" i="4" s="1"/>
  <c r="AD105" i="4"/>
  <c r="BF43" i="5"/>
  <c r="BF114" i="5" s="1"/>
  <c r="BF40" i="5"/>
  <c r="BZ14" i="5"/>
  <c r="BZ102" i="5" s="1"/>
  <c r="BF14" i="5"/>
  <c r="BR84" i="5"/>
  <c r="AX73" i="5"/>
  <c r="BL44" i="5"/>
  <c r="BL38" i="5"/>
  <c r="BL55" i="5"/>
  <c r="BL61" i="5"/>
  <c r="BV14" i="5"/>
  <c r="BF114" i="4" l="1"/>
  <c r="BF113" i="5"/>
  <c r="BF113" i="4" s="1"/>
  <c r="BL117" i="5"/>
  <c r="BF102" i="5"/>
  <c r="BZ101" i="5"/>
  <c r="BZ101" i="4" s="1"/>
  <c r="BZ102" i="4"/>
  <c r="BB29" i="5"/>
  <c r="BL117" i="4" l="1"/>
  <c r="BN117" i="5"/>
  <c r="BN117" i="4" s="1"/>
  <c r="BF102" i="4"/>
  <c r="BF101" i="5"/>
  <c r="BF101" i="4" s="1"/>
  <c r="BB17" i="5"/>
  <c r="BB14" i="5"/>
  <c r="CX98" i="4" l="1"/>
  <c r="CX68" i="4"/>
  <c r="CH98" i="4"/>
  <c r="CF98" i="4"/>
  <c r="BV40" i="5" l="1"/>
  <c r="BB40" i="5"/>
  <c r="BV20" i="5" l="1"/>
  <c r="BB20" i="5" l="1"/>
  <c r="BL58" i="5" l="1"/>
  <c r="BL108" i="5" s="1"/>
  <c r="BL20" i="5"/>
  <c r="BL102" i="5" s="1"/>
  <c r="AR61" i="5"/>
  <c r="AR117" i="5" s="1"/>
  <c r="AR43" i="5"/>
  <c r="AR117" i="4" l="1"/>
  <c r="AT117" i="5"/>
  <c r="AT117" i="4" s="1"/>
  <c r="BJ117" i="5"/>
  <c r="BJ117" i="4" s="1"/>
  <c r="BL102" i="4"/>
  <c r="BN102" i="5"/>
  <c r="BN102" i="4" s="1"/>
  <c r="BL108" i="4"/>
  <c r="BN108" i="5"/>
  <c r="BN108" i="4" s="1"/>
  <c r="CD108" i="5"/>
  <c r="CD108" i="4" s="1"/>
  <c r="AR20" i="5"/>
  <c r="AR102" i="5" s="1"/>
  <c r="CD98" i="4"/>
  <c r="BN98" i="4"/>
  <c r="BL98" i="4"/>
  <c r="BJ98" i="4"/>
  <c r="AT98" i="4"/>
  <c r="AR98" i="4"/>
  <c r="BZ89" i="4"/>
  <c r="BV89" i="4"/>
  <c r="BF89" i="4"/>
  <c r="BB89" i="4"/>
  <c r="BZ88" i="4"/>
  <c r="BV88" i="4"/>
  <c r="BL88" i="4"/>
  <c r="BF88" i="4"/>
  <c r="BB88" i="4"/>
  <c r="AR88" i="4"/>
  <c r="BZ87" i="4"/>
  <c r="BV87" i="4"/>
  <c r="BL87" i="4"/>
  <c r="BF87" i="4"/>
  <c r="BB87" i="4"/>
  <c r="AR87" i="4"/>
  <c r="BZ86" i="4"/>
  <c r="BV86" i="4"/>
  <c r="BL86" i="4"/>
  <c r="BF86" i="4"/>
  <c r="BB86" i="4"/>
  <c r="AR86" i="4"/>
  <c r="BZ85" i="4"/>
  <c r="BV85" i="4"/>
  <c r="BL85" i="4"/>
  <c r="BF85" i="4"/>
  <c r="BB85" i="4"/>
  <c r="AR85" i="4"/>
  <c r="BZ84" i="4"/>
  <c r="BV84" i="4"/>
  <c r="BL84" i="4"/>
  <c r="BF84" i="4"/>
  <c r="BB84" i="4"/>
  <c r="AR84" i="4"/>
  <c r="BZ83" i="4"/>
  <c r="BF83" i="4"/>
  <c r="BZ82" i="4"/>
  <c r="BV82" i="4"/>
  <c r="BL82" i="4"/>
  <c r="BF82" i="4"/>
  <c r="BB82" i="4"/>
  <c r="AR82" i="4"/>
  <c r="BZ81" i="4"/>
  <c r="BV81" i="4"/>
  <c r="BL81" i="4"/>
  <c r="BF81" i="4"/>
  <c r="BB81" i="4"/>
  <c r="AR81" i="4"/>
  <c r="BZ80" i="4"/>
  <c r="BV80" i="4"/>
  <c r="BL80" i="4"/>
  <c r="BF80" i="4"/>
  <c r="BB80" i="4"/>
  <c r="AR80" i="4"/>
  <c r="BZ79" i="4"/>
  <c r="BV79" i="4"/>
  <c r="BL79" i="4"/>
  <c r="BF79" i="4"/>
  <c r="BB79" i="4"/>
  <c r="AR79" i="4"/>
  <c r="BZ78" i="4"/>
  <c r="BV78" i="4"/>
  <c r="BL78" i="4"/>
  <c r="BF78" i="4"/>
  <c r="BB78" i="4"/>
  <c r="AR78" i="4"/>
  <c r="BZ77" i="4"/>
  <c r="BF77" i="4"/>
  <c r="BZ76" i="4"/>
  <c r="BV76" i="4"/>
  <c r="BL76" i="4"/>
  <c r="BF76" i="4"/>
  <c r="BB76" i="4"/>
  <c r="AR76" i="4"/>
  <c r="BZ75" i="4"/>
  <c r="BV75" i="4"/>
  <c r="BL75" i="4"/>
  <c r="BF75" i="4"/>
  <c r="BB75" i="4"/>
  <c r="AR75" i="4"/>
  <c r="BZ74" i="4"/>
  <c r="BV74" i="4"/>
  <c r="BL74" i="4"/>
  <c r="BF74" i="4"/>
  <c r="BB74" i="4"/>
  <c r="AR74" i="4"/>
  <c r="BZ73" i="4"/>
  <c r="BV73" i="4"/>
  <c r="BL73" i="4"/>
  <c r="BF73" i="4"/>
  <c r="BB73" i="4"/>
  <c r="AR73" i="4"/>
  <c r="BZ72" i="4"/>
  <c r="BV72" i="4"/>
  <c r="BL72" i="4"/>
  <c r="BF72" i="4"/>
  <c r="BB72" i="4"/>
  <c r="AR72" i="4"/>
  <c r="BZ71" i="4"/>
  <c r="BF71" i="4"/>
  <c r="BZ70" i="4"/>
  <c r="BL70" i="4"/>
  <c r="BF70" i="4"/>
  <c r="AR70" i="4"/>
  <c r="BZ69" i="4"/>
  <c r="BL69" i="4"/>
  <c r="BF69" i="4"/>
  <c r="AR69" i="4"/>
  <c r="BZ68" i="4"/>
  <c r="BV68" i="4"/>
  <c r="BL68" i="4"/>
  <c r="BF68" i="4"/>
  <c r="BB68" i="4"/>
  <c r="AR68" i="4"/>
  <c r="BZ67" i="4"/>
  <c r="BL67" i="4"/>
  <c r="BF67" i="4"/>
  <c r="AR67" i="4"/>
  <c r="BZ66" i="4"/>
  <c r="BZ64" i="4"/>
  <c r="BV64" i="4"/>
  <c r="BL64" i="4"/>
  <c r="BF64" i="4"/>
  <c r="BB64" i="4"/>
  <c r="AR64" i="4"/>
  <c r="BZ61" i="4"/>
  <c r="BV61" i="4"/>
  <c r="BL61" i="4"/>
  <c r="BF61" i="4"/>
  <c r="BB61" i="4"/>
  <c r="AR61" i="4"/>
  <c r="BZ60" i="4"/>
  <c r="BV60" i="4"/>
  <c r="BL60" i="4"/>
  <c r="BF60" i="4"/>
  <c r="BB60" i="4"/>
  <c r="AR60" i="4"/>
  <c r="BZ59" i="4"/>
  <c r="BV59" i="4"/>
  <c r="BL59" i="4"/>
  <c r="BF59" i="4"/>
  <c r="BB59" i="4"/>
  <c r="AR59" i="4"/>
  <c r="BZ58" i="4"/>
  <c r="BV58" i="4"/>
  <c r="BL58" i="4"/>
  <c r="BF58" i="4"/>
  <c r="BB58" i="4"/>
  <c r="AR58" i="4"/>
  <c r="BZ57" i="4"/>
  <c r="BL57" i="4"/>
  <c r="BF57" i="4"/>
  <c r="AR57" i="4"/>
  <c r="BZ56" i="4"/>
  <c r="BF56" i="4"/>
  <c r="BZ55" i="4"/>
  <c r="BV55" i="4"/>
  <c r="BL55" i="4"/>
  <c r="BF55" i="4"/>
  <c r="BB55" i="4"/>
  <c r="AR55" i="4"/>
  <c r="BZ54" i="4"/>
  <c r="BV54" i="4"/>
  <c r="BF54" i="4"/>
  <c r="BB54" i="4"/>
  <c r="BZ53" i="4"/>
  <c r="BV53" i="4"/>
  <c r="BL53" i="4"/>
  <c r="BF53" i="4"/>
  <c r="BB53" i="4"/>
  <c r="AR53" i="4"/>
  <c r="BZ52" i="4"/>
  <c r="BV52" i="4"/>
  <c r="BL52" i="4"/>
  <c r="BF52" i="4"/>
  <c r="BB52" i="4"/>
  <c r="AR52" i="4"/>
  <c r="BZ51" i="4"/>
  <c r="BV51" i="4"/>
  <c r="BL51" i="4"/>
  <c r="BF51" i="4"/>
  <c r="BB51" i="4"/>
  <c r="AR51" i="4"/>
  <c r="BZ50" i="4"/>
  <c r="BF50" i="4"/>
  <c r="BZ49" i="4"/>
  <c r="BV49" i="4"/>
  <c r="BL49" i="4"/>
  <c r="BF49" i="4"/>
  <c r="BB49" i="4"/>
  <c r="AR49" i="4"/>
  <c r="BZ48" i="4"/>
  <c r="BV48" i="4"/>
  <c r="BL48" i="4"/>
  <c r="BF48" i="4"/>
  <c r="BB48" i="4"/>
  <c r="AR48" i="4"/>
  <c r="BZ47" i="4"/>
  <c r="BV47" i="4"/>
  <c r="BL47" i="4"/>
  <c r="BF47" i="4"/>
  <c r="BB47" i="4"/>
  <c r="AR47" i="4"/>
  <c r="BZ46" i="4"/>
  <c r="BV46" i="4"/>
  <c r="BL46" i="4"/>
  <c r="BF46" i="4"/>
  <c r="BB46" i="4"/>
  <c r="AR46" i="4"/>
  <c r="BZ45" i="4"/>
  <c r="BF45" i="4"/>
  <c r="BZ44" i="4"/>
  <c r="BV44" i="4"/>
  <c r="BL44" i="4"/>
  <c r="BF44" i="4"/>
  <c r="BB44" i="4"/>
  <c r="AR44" i="4"/>
  <c r="BZ43" i="4"/>
  <c r="BV43" i="4"/>
  <c r="BL43" i="4"/>
  <c r="BF43" i="4"/>
  <c r="BB43" i="4"/>
  <c r="AR43" i="4"/>
  <c r="BZ42" i="4"/>
  <c r="BV42" i="4"/>
  <c r="BL42" i="4"/>
  <c r="BF42" i="4"/>
  <c r="BB42" i="4"/>
  <c r="AR42" i="4"/>
  <c r="BZ41" i="4"/>
  <c r="BV41" i="4"/>
  <c r="BL41" i="4"/>
  <c r="BF41" i="4"/>
  <c r="BB41" i="4"/>
  <c r="AR41" i="4"/>
  <c r="BZ40" i="4"/>
  <c r="BL40" i="4"/>
  <c r="BF40" i="4"/>
  <c r="AR40" i="4"/>
  <c r="BZ38" i="4"/>
  <c r="BV38" i="4"/>
  <c r="BL38" i="4"/>
  <c r="BF38" i="4"/>
  <c r="BB38" i="4"/>
  <c r="AR38" i="4"/>
  <c r="BZ37" i="4"/>
  <c r="BV37" i="4"/>
  <c r="BL37" i="4"/>
  <c r="BF37" i="4"/>
  <c r="BB37" i="4"/>
  <c r="AR37" i="4"/>
  <c r="BZ36" i="4"/>
  <c r="BV36" i="4"/>
  <c r="BL36" i="4"/>
  <c r="BF36" i="4"/>
  <c r="BB36" i="4"/>
  <c r="AR36" i="4"/>
  <c r="BZ35" i="4"/>
  <c r="BV35" i="4"/>
  <c r="BL35" i="4"/>
  <c r="BF35" i="4"/>
  <c r="BB35" i="4"/>
  <c r="AR35" i="4"/>
  <c r="BZ34" i="4"/>
  <c r="BV34" i="4"/>
  <c r="BL34" i="4"/>
  <c r="BF34" i="4"/>
  <c r="BB34" i="4"/>
  <c r="AR34" i="4"/>
  <c r="BZ33" i="4"/>
  <c r="BF33" i="4"/>
  <c r="BZ32" i="4"/>
  <c r="BV32" i="4"/>
  <c r="BL32" i="4"/>
  <c r="BF32" i="4"/>
  <c r="BB32" i="4"/>
  <c r="AR32" i="4"/>
  <c r="BZ31" i="4"/>
  <c r="BV31" i="4"/>
  <c r="BL31" i="4"/>
  <c r="BF31" i="4"/>
  <c r="BB31" i="4"/>
  <c r="AR31" i="4"/>
  <c r="BZ30" i="4"/>
  <c r="BL30" i="4"/>
  <c r="BF30" i="4"/>
  <c r="AR30" i="4"/>
  <c r="BZ29" i="4"/>
  <c r="BL29" i="4"/>
  <c r="BF29" i="4"/>
  <c r="AR29" i="4"/>
  <c r="BZ28" i="4"/>
  <c r="BF28" i="4"/>
  <c r="BZ27" i="4"/>
  <c r="BV27" i="4"/>
  <c r="BL27" i="4"/>
  <c r="BF27" i="4"/>
  <c r="BB27" i="4"/>
  <c r="AR27" i="4"/>
  <c r="BZ26" i="4"/>
  <c r="BF26" i="4"/>
  <c r="BZ25" i="4"/>
  <c r="BV25" i="4"/>
  <c r="BL25" i="4"/>
  <c r="BF25" i="4"/>
  <c r="BB25" i="4"/>
  <c r="AR25" i="4"/>
  <c r="BZ24" i="4"/>
  <c r="BV24" i="4"/>
  <c r="BL24" i="4"/>
  <c r="BF24" i="4"/>
  <c r="BB24" i="4"/>
  <c r="AR24" i="4"/>
  <c r="BZ23" i="4"/>
  <c r="BV23" i="4"/>
  <c r="BL23" i="4"/>
  <c r="BF23" i="4"/>
  <c r="BB23" i="4"/>
  <c r="AR23" i="4"/>
  <c r="BZ22" i="4"/>
  <c r="BV22" i="4"/>
  <c r="BL22" i="4"/>
  <c r="BF22" i="4"/>
  <c r="BB22" i="4"/>
  <c r="AR22" i="4"/>
  <c r="BZ21" i="4"/>
  <c r="BL21" i="4"/>
  <c r="BF21" i="4"/>
  <c r="AR21" i="4"/>
  <c r="BZ20" i="4"/>
  <c r="BL20" i="4"/>
  <c r="BF20" i="4"/>
  <c r="AR20" i="4"/>
  <c r="BZ18" i="4"/>
  <c r="BL18" i="4"/>
  <c r="BF18" i="4"/>
  <c r="AR18" i="4"/>
  <c r="BZ17" i="4"/>
  <c r="BL17" i="4"/>
  <c r="BF17" i="4"/>
  <c r="BB17" i="4"/>
  <c r="AR17" i="4"/>
  <c r="BZ16" i="4"/>
  <c r="BV16" i="4"/>
  <c r="BL16" i="4"/>
  <c r="BF16" i="4"/>
  <c r="BB16" i="4"/>
  <c r="AR16" i="4"/>
  <c r="BZ15" i="4"/>
  <c r="BV15" i="4"/>
  <c r="BL15" i="4"/>
  <c r="BF15" i="4"/>
  <c r="BB15" i="4"/>
  <c r="AR15" i="4"/>
  <c r="BZ14" i="4"/>
  <c r="BV14" i="4"/>
  <c r="BL14" i="4"/>
  <c r="BF14" i="4"/>
  <c r="BB14" i="4"/>
  <c r="AR14" i="4"/>
  <c r="AO98" i="4"/>
  <c r="AN98" i="4"/>
  <c r="AL98" i="4"/>
  <c r="AJ98" i="4"/>
  <c r="AH98" i="4"/>
  <c r="U98" i="4"/>
  <c r="T98" i="4"/>
  <c r="R98" i="4"/>
  <c r="P98" i="4"/>
  <c r="N98" i="4"/>
  <c r="AR102" i="4" l="1"/>
  <c r="AT102" i="5"/>
  <c r="AT102" i="4" s="1"/>
  <c r="J98" i="4"/>
  <c r="L98" i="4"/>
  <c r="AD98" i="4"/>
  <c r="AF98" i="4"/>
  <c r="H98" i="4" l="1"/>
  <c r="AB98" i="4"/>
  <c r="BX97" i="4"/>
  <c r="BH97" i="4"/>
  <c r="BZ92" i="5"/>
  <c r="BZ92" i="4" s="1"/>
  <c r="BV92" i="5"/>
  <c r="BF92" i="5"/>
  <c r="BB92" i="5"/>
  <c r="CB91" i="4"/>
  <c r="BZ91" i="5"/>
  <c r="BZ91" i="4" s="1"/>
  <c r="BX91" i="4"/>
  <c r="BV91" i="5"/>
  <c r="BV91" i="4" s="1"/>
  <c r="BF91" i="5"/>
  <c r="BF91" i="4" s="1"/>
  <c r="BD91" i="4"/>
  <c r="BB91" i="5"/>
  <c r="BB91" i="4" s="1"/>
  <c r="CB90" i="4"/>
  <c r="BH90" i="4"/>
  <c r="BR89" i="5"/>
  <c r="BR89" i="4" s="1"/>
  <c r="AX89" i="5"/>
  <c r="AX89" i="4" s="1"/>
  <c r="BR88" i="5"/>
  <c r="BN88" i="5"/>
  <c r="BN88" i="4" s="1"/>
  <c r="AX88" i="5"/>
  <c r="AX88" i="4" s="1"/>
  <c r="AT88" i="5"/>
  <c r="AT88" i="4" s="1"/>
  <c r="BR87" i="5"/>
  <c r="BN87" i="5"/>
  <c r="BN87" i="4" s="1"/>
  <c r="AX87" i="5"/>
  <c r="AT87" i="5"/>
  <c r="AT87" i="4" s="1"/>
  <c r="BR86" i="5"/>
  <c r="BN86" i="5"/>
  <c r="BN86" i="4" s="1"/>
  <c r="AX86" i="5"/>
  <c r="AX86" i="4" s="1"/>
  <c r="AT86" i="5"/>
  <c r="AT86" i="4" s="1"/>
  <c r="BR85" i="5"/>
  <c r="BN85" i="5"/>
  <c r="BN85" i="4" s="1"/>
  <c r="AX85" i="5"/>
  <c r="AX85" i="4" s="1"/>
  <c r="AT85" i="5"/>
  <c r="AT85" i="4" s="1"/>
  <c r="BN84" i="5"/>
  <c r="AX84" i="5"/>
  <c r="AX84" i="4" s="1"/>
  <c r="AT84" i="5"/>
  <c r="AT84" i="4" s="1"/>
  <c r="BV83" i="5"/>
  <c r="BL83" i="5"/>
  <c r="BB83" i="5"/>
  <c r="BB83" i="4" s="1"/>
  <c r="AR83" i="5"/>
  <c r="AR83" i="4" s="1"/>
  <c r="BR82" i="5"/>
  <c r="BN82" i="5"/>
  <c r="BN82" i="4" s="1"/>
  <c r="AX82" i="5"/>
  <c r="AT82" i="5"/>
  <c r="AT82" i="4" s="1"/>
  <c r="BR81" i="5"/>
  <c r="BN81" i="5"/>
  <c r="BN81" i="4" s="1"/>
  <c r="BJ81" i="5"/>
  <c r="BJ81" i="4" s="1"/>
  <c r="AX81" i="5"/>
  <c r="AX81" i="4" s="1"/>
  <c r="AT81" i="5"/>
  <c r="AT81" i="4" s="1"/>
  <c r="BR80" i="5"/>
  <c r="BN80" i="5"/>
  <c r="BN80" i="4" s="1"/>
  <c r="AX80" i="5"/>
  <c r="AX80" i="4" s="1"/>
  <c r="AT80" i="5"/>
  <c r="AT80" i="4" s="1"/>
  <c r="BR79" i="5"/>
  <c r="BN79" i="5"/>
  <c r="BN79" i="4" s="1"/>
  <c r="AX79" i="5"/>
  <c r="AX79" i="4" s="1"/>
  <c r="AT79" i="5"/>
  <c r="AT79" i="4" s="1"/>
  <c r="BR78" i="5"/>
  <c r="BR78" i="4" s="1"/>
  <c r="BN78" i="5"/>
  <c r="BN78" i="4" s="1"/>
  <c r="AX78" i="5"/>
  <c r="AX78" i="4" s="1"/>
  <c r="AT78" i="5"/>
  <c r="AT78" i="4" s="1"/>
  <c r="BV77" i="5"/>
  <c r="BV77" i="4" s="1"/>
  <c r="BL77" i="5"/>
  <c r="BB77" i="5"/>
  <c r="AR77" i="5"/>
  <c r="BR76" i="5"/>
  <c r="BN76" i="5"/>
  <c r="BN76" i="4" s="1"/>
  <c r="BJ76" i="5"/>
  <c r="BJ76" i="4" s="1"/>
  <c r="AX76" i="5"/>
  <c r="AX76" i="4" s="1"/>
  <c r="AT76" i="5"/>
  <c r="AT76" i="4" s="1"/>
  <c r="BR75" i="5"/>
  <c r="BN75" i="5"/>
  <c r="BN75" i="4" s="1"/>
  <c r="AX75" i="5"/>
  <c r="AX75" i="4" s="1"/>
  <c r="AT75" i="5"/>
  <c r="AT75" i="4" s="1"/>
  <c r="BR74" i="5"/>
  <c r="BN74" i="5"/>
  <c r="BN74" i="4" s="1"/>
  <c r="AX74" i="5"/>
  <c r="AX74" i="4" s="1"/>
  <c r="AT74" i="5"/>
  <c r="AT74" i="4" s="1"/>
  <c r="BR73" i="5"/>
  <c r="BR73" i="4" s="1"/>
  <c r="BN73" i="5"/>
  <c r="BN73" i="4" s="1"/>
  <c r="BJ73" i="5"/>
  <c r="BJ73" i="4" s="1"/>
  <c r="AX73" i="4"/>
  <c r="AT73" i="5"/>
  <c r="AT73" i="4" s="1"/>
  <c r="BR72" i="5"/>
  <c r="BN72" i="5"/>
  <c r="BN72" i="4" s="1"/>
  <c r="BJ72" i="5"/>
  <c r="BJ72" i="4" s="1"/>
  <c r="AX72" i="5"/>
  <c r="AX72" i="4" s="1"/>
  <c r="AT72" i="5"/>
  <c r="AT72" i="4" s="1"/>
  <c r="BV71" i="5"/>
  <c r="BL71" i="5"/>
  <c r="BB71" i="5"/>
  <c r="AR71" i="5"/>
  <c r="AR71" i="4" s="1"/>
  <c r="BV70" i="5"/>
  <c r="BN70" i="5"/>
  <c r="BN70" i="4" s="1"/>
  <c r="AT70" i="5"/>
  <c r="AT70" i="4" s="1"/>
  <c r="BV69" i="5"/>
  <c r="BN69" i="5"/>
  <c r="BN69" i="4" s="1"/>
  <c r="BB69" i="5"/>
  <c r="BB111" i="5" s="1"/>
  <c r="AT69" i="5"/>
  <c r="AT69" i="4" s="1"/>
  <c r="BR68" i="5"/>
  <c r="BN68" i="5"/>
  <c r="AX68" i="5"/>
  <c r="AX68" i="4" s="1"/>
  <c r="AT68" i="5"/>
  <c r="BV67" i="5"/>
  <c r="BV67" i="4" s="1"/>
  <c r="BN67" i="5"/>
  <c r="BN67" i="4" s="1"/>
  <c r="BB67" i="5"/>
  <c r="BB102" i="5" s="1"/>
  <c r="AT67" i="5"/>
  <c r="AT67" i="4" s="1"/>
  <c r="BL66" i="5"/>
  <c r="BF66" i="5"/>
  <c r="BF66" i="4" s="1"/>
  <c r="BR64" i="5"/>
  <c r="BR64" i="4" s="1"/>
  <c r="BN64" i="5"/>
  <c r="BN64" i="4" s="1"/>
  <c r="AX64" i="5"/>
  <c r="AT64" i="5"/>
  <c r="AT64" i="4" s="1"/>
  <c r="BR61" i="5"/>
  <c r="BN61" i="5"/>
  <c r="BN61" i="4" s="1"/>
  <c r="AX61" i="5"/>
  <c r="AT61" i="5"/>
  <c r="AT61" i="4" s="1"/>
  <c r="BR60" i="5"/>
  <c r="BR60" i="4" s="1"/>
  <c r="BN60" i="5"/>
  <c r="BN60" i="4" s="1"/>
  <c r="AX60" i="5"/>
  <c r="AT60" i="5"/>
  <c r="AT60" i="4" s="1"/>
  <c r="BR59" i="5"/>
  <c r="BR59" i="4" s="1"/>
  <c r="BN59" i="5"/>
  <c r="BN59" i="4" s="1"/>
  <c r="AX59" i="5"/>
  <c r="AX59" i="4" s="1"/>
  <c r="AT59" i="5"/>
  <c r="AT59" i="4" s="1"/>
  <c r="BR58" i="5"/>
  <c r="BR58" i="4" s="1"/>
  <c r="BN58" i="5"/>
  <c r="BN58" i="4" s="1"/>
  <c r="AX58" i="5"/>
  <c r="AT58" i="5"/>
  <c r="AT58" i="4" s="1"/>
  <c r="BV57" i="4"/>
  <c r="BN57" i="5"/>
  <c r="BN57" i="4" s="1"/>
  <c r="BB57" i="4"/>
  <c r="AT57" i="5"/>
  <c r="AT57" i="4" s="1"/>
  <c r="BL56" i="5"/>
  <c r="BL56" i="4" s="1"/>
  <c r="AR56" i="5"/>
  <c r="AR56" i="4" s="1"/>
  <c r="BR55" i="5"/>
  <c r="BR55" i="4" s="1"/>
  <c r="BN55" i="5"/>
  <c r="BN55" i="4" s="1"/>
  <c r="AX55" i="5"/>
  <c r="AT55" i="5"/>
  <c r="AT55" i="4" s="1"/>
  <c r="BR54" i="5"/>
  <c r="BL54" i="5"/>
  <c r="BN54" i="5" s="1"/>
  <c r="BN54" i="4" s="1"/>
  <c r="AX54" i="5"/>
  <c r="AR54" i="5"/>
  <c r="AR114" i="5" s="1"/>
  <c r="BR53" i="5"/>
  <c r="BN53" i="5"/>
  <c r="BN53" i="4" s="1"/>
  <c r="AX53" i="5"/>
  <c r="AT53" i="5"/>
  <c r="AT53" i="4" s="1"/>
  <c r="BR52" i="5"/>
  <c r="BN52" i="5"/>
  <c r="BN52" i="4" s="1"/>
  <c r="AX52" i="5"/>
  <c r="AT52" i="5"/>
  <c r="AT52" i="4" s="1"/>
  <c r="BR51" i="5"/>
  <c r="BR51" i="4" s="1"/>
  <c r="AX51" i="5"/>
  <c r="AX51" i="4" s="1"/>
  <c r="AT51" i="5"/>
  <c r="AT51" i="4" s="1"/>
  <c r="BV50" i="5"/>
  <c r="BV50" i="4" s="1"/>
  <c r="BB50" i="5"/>
  <c r="BB50" i="4" s="1"/>
  <c r="BR49" i="5"/>
  <c r="BR49" i="4" s="1"/>
  <c r="BN49" i="5"/>
  <c r="BN49" i="4" s="1"/>
  <c r="AX49" i="5"/>
  <c r="AT49" i="5"/>
  <c r="AT49" i="4" s="1"/>
  <c r="BR48" i="5"/>
  <c r="BN48" i="5"/>
  <c r="BN48" i="4" s="1"/>
  <c r="AX48" i="5"/>
  <c r="AT48" i="5"/>
  <c r="AT48" i="4" s="1"/>
  <c r="BR47" i="5"/>
  <c r="BN47" i="5"/>
  <c r="BN47" i="4" s="1"/>
  <c r="AX47" i="5"/>
  <c r="AT47" i="5"/>
  <c r="AT47" i="4" s="1"/>
  <c r="BR46" i="5"/>
  <c r="BR46" i="4" s="1"/>
  <c r="BN46" i="5"/>
  <c r="BN46" i="4" s="1"/>
  <c r="AX46" i="5"/>
  <c r="AT46" i="5"/>
  <c r="AT46" i="4" s="1"/>
  <c r="BV45" i="5"/>
  <c r="BV45" i="4" s="1"/>
  <c r="BL45" i="5"/>
  <c r="BB45" i="5"/>
  <c r="BB45" i="4" s="1"/>
  <c r="AR45" i="5"/>
  <c r="AR45" i="4" s="1"/>
  <c r="BR44" i="5"/>
  <c r="BR44" i="4" s="1"/>
  <c r="BN44" i="5"/>
  <c r="BN44" i="4" s="1"/>
  <c r="AX44" i="5"/>
  <c r="AT44" i="5"/>
  <c r="AT44" i="4" s="1"/>
  <c r="BR43" i="5"/>
  <c r="BR43" i="4" s="1"/>
  <c r="BN43" i="5"/>
  <c r="BN43" i="4" s="1"/>
  <c r="AX43" i="5"/>
  <c r="AX43" i="4" s="1"/>
  <c r="AT43" i="5"/>
  <c r="AT43" i="4" s="1"/>
  <c r="BR42" i="5"/>
  <c r="BN42" i="5"/>
  <c r="BN42" i="4" s="1"/>
  <c r="AX42" i="5"/>
  <c r="AT42" i="5"/>
  <c r="AT42" i="4" s="1"/>
  <c r="BR41" i="5"/>
  <c r="BN41" i="5"/>
  <c r="BN41" i="4" s="1"/>
  <c r="AX41" i="5"/>
  <c r="AT41" i="5"/>
  <c r="AT41" i="4" s="1"/>
  <c r="BV40" i="4"/>
  <c r="BR40" i="5"/>
  <c r="BR40" i="4" s="1"/>
  <c r="BB40" i="4"/>
  <c r="AX40" i="5"/>
  <c r="AT40" i="5"/>
  <c r="AT40" i="4" s="1"/>
  <c r="BZ39" i="5"/>
  <c r="BZ39" i="4" s="1"/>
  <c r="BF39" i="5"/>
  <c r="BF39" i="4" s="1"/>
  <c r="BB39" i="5"/>
  <c r="AR39" i="5"/>
  <c r="BR38" i="5"/>
  <c r="BR38" i="4" s="1"/>
  <c r="BN38" i="5"/>
  <c r="BN38" i="4" s="1"/>
  <c r="AX38" i="5"/>
  <c r="AT38" i="5"/>
  <c r="AT38" i="4" s="1"/>
  <c r="BR37" i="5"/>
  <c r="BN37" i="5"/>
  <c r="BN37" i="4" s="1"/>
  <c r="AX37" i="5"/>
  <c r="AT37" i="5"/>
  <c r="AT37" i="4" s="1"/>
  <c r="BR36" i="5"/>
  <c r="BR36" i="4" s="1"/>
  <c r="BN36" i="5"/>
  <c r="BN36" i="4" s="1"/>
  <c r="AX36" i="5"/>
  <c r="AT36" i="5"/>
  <c r="AT36" i="4" s="1"/>
  <c r="BR35" i="5"/>
  <c r="BN35" i="5"/>
  <c r="BN35" i="4" s="1"/>
  <c r="AX35" i="5"/>
  <c r="AT35" i="5"/>
  <c r="AT35" i="4" s="1"/>
  <c r="BR34" i="5"/>
  <c r="BR34" i="4" s="1"/>
  <c r="BN34" i="5"/>
  <c r="BN34" i="4" s="1"/>
  <c r="AX34" i="5"/>
  <c r="AT34" i="5"/>
  <c r="AT34" i="4" s="1"/>
  <c r="BV33" i="5"/>
  <c r="BV33" i="4" s="1"/>
  <c r="BL33" i="5"/>
  <c r="BB33" i="5"/>
  <c r="BB33" i="4" s="1"/>
  <c r="AR33" i="5"/>
  <c r="AR33" i="4" s="1"/>
  <c r="BR32" i="5"/>
  <c r="BN32" i="5"/>
  <c r="BN32" i="4" s="1"/>
  <c r="AX32" i="5"/>
  <c r="AT32" i="5"/>
  <c r="AT32" i="4" s="1"/>
  <c r="BR31" i="5"/>
  <c r="BR31" i="4" s="1"/>
  <c r="BN31" i="5"/>
  <c r="BN31" i="4" s="1"/>
  <c r="AX31" i="5"/>
  <c r="AT31" i="5"/>
  <c r="AT31" i="4" s="1"/>
  <c r="BV30" i="4"/>
  <c r="BN30" i="5"/>
  <c r="BN30" i="4" s="1"/>
  <c r="BB30" i="4"/>
  <c r="AT30" i="5"/>
  <c r="AT30" i="4" s="1"/>
  <c r="BV29" i="5"/>
  <c r="BR29" i="5"/>
  <c r="BN29" i="5"/>
  <c r="BN29" i="4" s="1"/>
  <c r="AX29" i="5"/>
  <c r="AT29" i="5"/>
  <c r="AT29" i="4" s="1"/>
  <c r="BL28" i="5"/>
  <c r="AT28" i="5"/>
  <c r="AT28" i="4" s="1"/>
  <c r="AR28" i="5"/>
  <c r="AR28" i="4" s="1"/>
  <c r="BR27" i="5"/>
  <c r="BR27" i="4" s="1"/>
  <c r="BN27" i="5"/>
  <c r="BN27" i="4" s="1"/>
  <c r="AX27" i="5"/>
  <c r="AT27" i="5"/>
  <c r="AT27" i="4" s="1"/>
  <c r="BV26" i="5"/>
  <c r="BV26" i="4" s="1"/>
  <c r="BL26" i="5"/>
  <c r="BL26" i="4" s="1"/>
  <c r="BB26" i="5"/>
  <c r="AR26" i="5"/>
  <c r="BR25" i="5"/>
  <c r="BR25" i="4" s="1"/>
  <c r="BN25" i="5"/>
  <c r="BN25" i="4" s="1"/>
  <c r="AX25" i="5"/>
  <c r="AX25" i="4" s="1"/>
  <c r="AT25" i="5"/>
  <c r="AT25" i="4" s="1"/>
  <c r="BR24" i="5"/>
  <c r="BN24" i="5"/>
  <c r="BN24" i="4" s="1"/>
  <c r="AX24" i="5"/>
  <c r="AX24" i="4" s="1"/>
  <c r="AT24" i="5"/>
  <c r="AT24" i="4" s="1"/>
  <c r="BR23" i="5"/>
  <c r="BN23" i="5"/>
  <c r="BN23" i="4" s="1"/>
  <c r="AX23" i="5"/>
  <c r="AX23" i="4" s="1"/>
  <c r="BR22" i="5"/>
  <c r="BN22" i="5"/>
  <c r="BN22" i="4" s="1"/>
  <c r="AX22" i="5"/>
  <c r="AX22" i="4" s="1"/>
  <c r="AT22" i="5"/>
  <c r="AT22" i="4" s="1"/>
  <c r="BN21" i="5"/>
  <c r="BN21" i="4" s="1"/>
  <c r="AX21" i="5"/>
  <c r="AT21" i="5"/>
  <c r="AT21" i="4" s="1"/>
  <c r="BV20" i="4"/>
  <c r="BR20" i="5"/>
  <c r="BN20" i="5"/>
  <c r="BN20" i="4" s="1"/>
  <c r="BB20" i="4"/>
  <c r="BZ19" i="5"/>
  <c r="BZ19" i="4" s="1"/>
  <c r="BL19" i="5"/>
  <c r="BL19" i="4" s="1"/>
  <c r="BF19" i="5"/>
  <c r="BF19" i="4" s="1"/>
  <c r="BV18" i="5"/>
  <c r="BN18" i="5"/>
  <c r="BB18" i="4"/>
  <c r="AT18" i="5"/>
  <c r="AT18" i="4" s="1"/>
  <c r="BV17" i="5"/>
  <c r="BN17" i="5"/>
  <c r="AX17" i="5"/>
  <c r="AT17" i="5"/>
  <c r="AT17" i="4" s="1"/>
  <c r="BR16" i="5"/>
  <c r="CD16" i="5" s="1"/>
  <c r="BN16" i="5"/>
  <c r="AX16" i="5"/>
  <c r="AX16" i="4" s="1"/>
  <c r="AT16" i="5"/>
  <c r="AT16" i="4" s="1"/>
  <c r="BR15" i="5"/>
  <c r="CD15" i="5" s="1"/>
  <c r="BN15" i="5"/>
  <c r="AX15" i="5"/>
  <c r="AX15" i="4" s="1"/>
  <c r="AT15" i="5"/>
  <c r="AT15" i="4" s="1"/>
  <c r="BR14" i="5"/>
  <c r="BN14" i="5"/>
  <c r="BN14" i="4" s="1"/>
  <c r="AX14" i="5"/>
  <c r="AX14" i="4" s="1"/>
  <c r="AT14" i="5"/>
  <c r="AT14" i="4" s="1"/>
  <c r="BZ13" i="5"/>
  <c r="BZ13" i="4" s="1"/>
  <c r="BL13" i="5"/>
  <c r="BL13" i="4" s="1"/>
  <c r="BF13" i="5"/>
  <c r="BF13" i="4" s="1"/>
  <c r="AR13" i="5"/>
  <c r="CD51" i="5" l="1"/>
  <c r="CD51" i="4" s="1"/>
  <c r="BV18" i="4"/>
  <c r="BV117" i="5"/>
  <c r="CD36" i="5"/>
  <c r="CD36" i="4" s="1"/>
  <c r="AR114" i="4"/>
  <c r="AT114" i="5"/>
  <c r="AT114" i="4" s="1"/>
  <c r="BV69" i="4"/>
  <c r="BV111" i="5"/>
  <c r="BJ75" i="5"/>
  <c r="BJ75" i="4" s="1"/>
  <c r="BL50" i="5"/>
  <c r="BL50" i="4" s="1"/>
  <c r="BL114" i="5"/>
  <c r="AX102" i="5"/>
  <c r="BB102" i="4"/>
  <c r="BB101" i="5"/>
  <c r="BB101" i="4" s="1"/>
  <c r="BB111" i="4"/>
  <c r="AX111" i="5"/>
  <c r="BB110" i="5"/>
  <c r="BJ88" i="5"/>
  <c r="BJ88" i="4" s="1"/>
  <c r="BV17" i="4"/>
  <c r="BV114" i="5"/>
  <c r="BV29" i="4"/>
  <c r="BV102" i="5"/>
  <c r="CD55" i="5"/>
  <c r="CD55" i="4" s="1"/>
  <c r="CD60" i="5"/>
  <c r="CD60" i="4" s="1"/>
  <c r="CD43" i="5"/>
  <c r="CD43" i="4" s="1"/>
  <c r="CD73" i="5"/>
  <c r="CD73" i="4" s="1"/>
  <c r="CD58" i="5"/>
  <c r="CD58" i="4" s="1"/>
  <c r="CD78" i="5"/>
  <c r="CD78" i="4" s="1"/>
  <c r="BR77" i="5"/>
  <c r="CD77" i="5" s="1"/>
  <c r="CD77" i="4" s="1"/>
  <c r="BR50" i="5"/>
  <c r="BR50" i="4" s="1"/>
  <c r="CD40" i="5"/>
  <c r="CD40" i="4" s="1"/>
  <c r="CD27" i="5"/>
  <c r="CD27" i="4" s="1"/>
  <c r="BR26" i="5"/>
  <c r="AX17" i="4"/>
  <c r="BJ86" i="5"/>
  <c r="BJ86" i="4" s="1"/>
  <c r="BJ80" i="5"/>
  <c r="BJ80" i="4" s="1"/>
  <c r="BJ59" i="5"/>
  <c r="BJ59" i="4" s="1"/>
  <c r="BR91" i="5"/>
  <c r="BR91" i="4" s="1"/>
  <c r="BT91" i="5"/>
  <c r="BT91" i="4" s="1"/>
  <c r="BJ78" i="5"/>
  <c r="BJ78" i="4" s="1"/>
  <c r="BJ51" i="5"/>
  <c r="BJ51" i="4" s="1"/>
  <c r="BJ14" i="5"/>
  <c r="BJ14" i="4" s="1"/>
  <c r="BJ29" i="5"/>
  <c r="BJ29" i="4" s="1"/>
  <c r="AX29" i="4"/>
  <c r="CD14" i="5"/>
  <c r="CD14" i="4" s="1"/>
  <c r="BR14" i="4"/>
  <c r="BN18" i="4"/>
  <c r="BJ37" i="5"/>
  <c r="BJ37" i="4" s="1"/>
  <c r="AX37" i="4"/>
  <c r="BJ38" i="5"/>
  <c r="BJ38" i="4" s="1"/>
  <c r="AX38" i="4"/>
  <c r="CD42" i="5"/>
  <c r="CD42" i="4" s="1"/>
  <c r="BR42" i="4"/>
  <c r="AR54" i="4"/>
  <c r="BJ60" i="5"/>
  <c r="BJ60" i="4" s="1"/>
  <c r="AX60" i="4"/>
  <c r="CD79" i="5"/>
  <c r="CD79" i="4" s="1"/>
  <c r="BR79" i="4"/>
  <c r="BJ82" i="5"/>
  <c r="BJ82" i="4" s="1"/>
  <c r="AX82" i="4"/>
  <c r="CD85" i="5"/>
  <c r="CD85" i="4" s="1"/>
  <c r="BR85" i="4"/>
  <c r="CD16" i="4"/>
  <c r="BR16" i="4"/>
  <c r="BR18" i="5"/>
  <c r="BN26" i="5"/>
  <c r="BN26" i="4" s="1"/>
  <c r="BJ27" i="5"/>
  <c r="BJ27" i="4" s="1"/>
  <c r="AX27" i="4"/>
  <c r="AX32" i="4"/>
  <c r="CD34" i="5"/>
  <c r="CD34" i="4" s="1"/>
  <c r="BR35" i="4"/>
  <c r="BV39" i="5"/>
  <c r="CD46" i="5"/>
  <c r="CD46" i="4" s="1"/>
  <c r="CD47" i="5"/>
  <c r="CD47" i="4" s="1"/>
  <c r="BR47" i="4"/>
  <c r="CD48" i="5"/>
  <c r="CD48" i="4" s="1"/>
  <c r="BR48" i="4"/>
  <c r="AX50" i="5"/>
  <c r="AX50" i="4" s="1"/>
  <c r="BJ52" i="5"/>
  <c r="BJ52" i="4" s="1"/>
  <c r="AX52" i="4"/>
  <c r="BJ53" i="5"/>
  <c r="BJ53" i="4" s="1"/>
  <c r="AX53" i="4"/>
  <c r="AT54" i="5"/>
  <c r="AT54" i="4" s="1"/>
  <c r="CD54" i="5"/>
  <c r="CD54" i="4" s="1"/>
  <c r="BR54" i="4"/>
  <c r="BB56" i="5"/>
  <c r="BB56" i="4" s="1"/>
  <c r="BV56" i="5"/>
  <c r="BJ58" i="5"/>
  <c r="BJ58" i="4" s="1"/>
  <c r="AX58" i="4"/>
  <c r="BJ61" i="5"/>
  <c r="BJ61" i="4" s="1"/>
  <c r="AX61" i="4"/>
  <c r="BV66" i="5"/>
  <c r="BV66" i="4" s="1"/>
  <c r="BN68" i="4"/>
  <c r="AX71" i="5"/>
  <c r="AX71" i="4" s="1"/>
  <c r="BB71" i="4"/>
  <c r="CD72" i="5"/>
  <c r="CD72" i="4" s="1"/>
  <c r="BR72" i="4"/>
  <c r="CD75" i="5"/>
  <c r="CD75" i="4" s="1"/>
  <c r="BR75" i="4"/>
  <c r="AX77" i="5"/>
  <c r="AX77" i="4" s="1"/>
  <c r="BB77" i="4"/>
  <c r="CD80" i="5"/>
  <c r="CD80" i="4" s="1"/>
  <c r="BR80" i="4"/>
  <c r="AT83" i="5"/>
  <c r="AT83" i="4" s="1"/>
  <c r="BJ84" i="5"/>
  <c r="BJ84" i="4" s="1"/>
  <c r="CD86" i="5"/>
  <c r="CD86" i="4" s="1"/>
  <c r="BR86" i="4"/>
  <c r="CD87" i="5"/>
  <c r="CD87" i="4" s="1"/>
  <c r="BR87" i="4"/>
  <c r="AZ90" i="5"/>
  <c r="AZ90" i="4" s="1"/>
  <c r="BD90" i="4"/>
  <c r="AX91" i="5"/>
  <c r="BB97" i="5"/>
  <c r="BB97" i="4" s="1"/>
  <c r="BB92" i="4"/>
  <c r="AZ97" i="5"/>
  <c r="AZ97" i="4" s="1"/>
  <c r="BD97" i="4"/>
  <c r="BZ97" i="5"/>
  <c r="BZ97" i="4" s="1"/>
  <c r="CD15" i="4"/>
  <c r="BR15" i="4"/>
  <c r="AT26" i="5"/>
  <c r="AT26" i="4" s="1"/>
  <c r="AR26" i="4"/>
  <c r="BJ31" i="5"/>
  <c r="BJ31" i="4" s="1"/>
  <c r="AX31" i="4"/>
  <c r="BJ44" i="5"/>
  <c r="BJ44" i="4" s="1"/>
  <c r="AX44" i="4"/>
  <c r="BR71" i="5"/>
  <c r="BR71" i="4" s="1"/>
  <c r="BV71" i="4"/>
  <c r="CD74" i="5"/>
  <c r="CD74" i="4" s="1"/>
  <c r="BR74" i="4"/>
  <c r="CD20" i="5"/>
  <c r="CD20" i="4" s="1"/>
  <c r="BR20" i="4"/>
  <c r="BR24" i="4"/>
  <c r="AT33" i="5"/>
  <c r="AT33" i="4" s="1"/>
  <c r="BJ34" i="5"/>
  <c r="BJ34" i="4" s="1"/>
  <c r="AX34" i="4"/>
  <c r="CD37" i="5"/>
  <c r="CD37" i="4" s="1"/>
  <c r="BR37" i="4"/>
  <c r="AX39" i="5"/>
  <c r="AX39" i="4" s="1"/>
  <c r="BB39" i="4"/>
  <c r="BJ41" i="5"/>
  <c r="BJ41" i="4" s="1"/>
  <c r="AX41" i="4"/>
  <c r="BJ42" i="5"/>
  <c r="BJ42" i="4" s="1"/>
  <c r="AX42" i="4"/>
  <c r="AT45" i="5"/>
  <c r="AT45" i="4" s="1"/>
  <c r="BJ46" i="5"/>
  <c r="BJ46" i="4" s="1"/>
  <c r="AX46" i="4"/>
  <c r="BJ54" i="5"/>
  <c r="BJ54" i="4" s="1"/>
  <c r="AX54" i="4"/>
  <c r="BR57" i="5"/>
  <c r="CD59" i="5"/>
  <c r="CD59" i="4" s="1"/>
  <c r="CD64" i="5"/>
  <c r="CD64" i="4" s="1"/>
  <c r="BR68" i="4"/>
  <c r="BR69" i="5"/>
  <c r="BJ74" i="5"/>
  <c r="BJ74" i="4" s="1"/>
  <c r="CD76" i="5"/>
  <c r="CD76" i="4" s="1"/>
  <c r="BR76" i="4"/>
  <c r="BJ79" i="5"/>
  <c r="BJ79" i="4" s="1"/>
  <c r="CD81" i="5"/>
  <c r="CD81" i="4" s="1"/>
  <c r="BR81" i="4"/>
  <c r="CD82" i="5"/>
  <c r="CD82" i="4" s="1"/>
  <c r="BR82" i="4"/>
  <c r="AX83" i="5"/>
  <c r="BR83" i="5"/>
  <c r="BR83" i="4" s="1"/>
  <c r="BV83" i="4"/>
  <c r="BN84" i="4"/>
  <c r="BJ85" i="5"/>
  <c r="BJ85" i="4" s="1"/>
  <c r="CD88" i="5"/>
  <c r="CD88" i="4" s="1"/>
  <c r="BR88" i="4"/>
  <c r="AZ91" i="5"/>
  <c r="AZ91" i="4" s="1"/>
  <c r="BH98" i="5"/>
  <c r="BH91" i="4"/>
  <c r="AX92" i="5"/>
  <c r="AX92" i="4" s="1"/>
  <c r="BF92" i="4"/>
  <c r="CB98" i="5"/>
  <c r="CB97" i="4"/>
  <c r="CD29" i="5"/>
  <c r="CD29" i="4" s="1"/>
  <c r="BR29" i="4"/>
  <c r="BJ40" i="5"/>
  <c r="BJ40" i="4" s="1"/>
  <c r="AX40" i="4"/>
  <c r="CD41" i="5"/>
  <c r="CD41" i="4" s="1"/>
  <c r="BR41" i="4"/>
  <c r="CD23" i="5"/>
  <c r="CD23" i="4" s="1"/>
  <c r="BR23" i="4"/>
  <c r="AX26" i="5"/>
  <c r="BB26" i="4"/>
  <c r="CD26" i="5"/>
  <c r="CD26" i="4" s="1"/>
  <c r="BR26" i="4"/>
  <c r="BB28" i="5"/>
  <c r="BB29" i="4"/>
  <c r="BJ16" i="5"/>
  <c r="BJ16" i="4" s="1"/>
  <c r="CD22" i="5"/>
  <c r="CD22" i="4" s="1"/>
  <c r="BR22" i="4"/>
  <c r="CD25" i="5"/>
  <c r="CD25" i="4" s="1"/>
  <c r="BV28" i="5"/>
  <c r="BV28" i="4" s="1"/>
  <c r="AX30" i="5"/>
  <c r="CD31" i="5"/>
  <c r="CD31" i="4" s="1"/>
  <c r="BR32" i="4"/>
  <c r="AX33" i="5"/>
  <c r="AX33" i="4" s="1"/>
  <c r="BR33" i="5"/>
  <c r="BR33" i="4" s="1"/>
  <c r="AX35" i="4"/>
  <c r="AX36" i="4"/>
  <c r="CD38" i="5"/>
  <c r="CD38" i="4" s="1"/>
  <c r="BJ43" i="5"/>
  <c r="BJ43" i="4" s="1"/>
  <c r="CD44" i="5"/>
  <c r="CD44" i="4" s="1"/>
  <c r="AX45" i="5"/>
  <c r="BR45" i="5"/>
  <c r="BR45" i="4" s="1"/>
  <c r="BJ47" i="5"/>
  <c r="BJ47" i="4" s="1"/>
  <c r="AX47" i="4"/>
  <c r="BJ48" i="5"/>
  <c r="BJ48" i="4" s="1"/>
  <c r="AX48" i="4"/>
  <c r="AX49" i="4"/>
  <c r="AR50" i="5"/>
  <c r="AR50" i="4" s="1"/>
  <c r="CD52" i="5"/>
  <c r="CD52" i="4" s="1"/>
  <c r="BR52" i="4"/>
  <c r="CD53" i="5"/>
  <c r="CD53" i="4" s="1"/>
  <c r="BR53" i="4"/>
  <c r="BL54" i="4"/>
  <c r="BJ55" i="5"/>
  <c r="BJ55" i="4" s="1"/>
  <c r="AX55" i="4"/>
  <c r="AX57" i="5"/>
  <c r="CD61" i="5"/>
  <c r="CD61" i="4" s="1"/>
  <c r="BR61" i="4"/>
  <c r="BJ64" i="5"/>
  <c r="BJ64" i="4" s="1"/>
  <c r="AX64" i="4"/>
  <c r="CD84" i="5"/>
  <c r="CD84" i="4" s="1"/>
  <c r="BR84" i="4"/>
  <c r="BJ87" i="5"/>
  <c r="BJ87" i="4" s="1"/>
  <c r="AX87" i="4"/>
  <c r="BX98" i="5"/>
  <c r="BX90" i="4"/>
  <c r="BR92" i="5"/>
  <c r="BR92" i="4" s="1"/>
  <c r="BV92" i="4"/>
  <c r="BV97" i="5"/>
  <c r="BR70" i="5"/>
  <c r="BV70" i="4"/>
  <c r="BN17" i="4"/>
  <c r="BL83" i="4"/>
  <c r="BN83" i="5"/>
  <c r="BN83" i="4" s="1"/>
  <c r="BN19" i="5"/>
  <c r="BN19" i="4" s="1"/>
  <c r="BN16" i="4"/>
  <c r="BN56" i="5"/>
  <c r="BN56" i="4" s="1"/>
  <c r="BR30" i="5"/>
  <c r="BN28" i="5"/>
  <c r="BN28" i="4" s="1"/>
  <c r="BL28" i="4"/>
  <c r="BV21" i="4"/>
  <c r="BN15" i="4"/>
  <c r="BN13" i="5"/>
  <c r="BN13" i="4" s="1"/>
  <c r="BN66" i="5"/>
  <c r="BN66" i="4" s="1"/>
  <c r="BL66" i="4"/>
  <c r="BN77" i="5"/>
  <c r="BN77" i="4" s="1"/>
  <c r="BL77" i="4"/>
  <c r="BN71" i="5"/>
  <c r="BN71" i="4" s="1"/>
  <c r="BL71" i="4"/>
  <c r="BN50" i="5"/>
  <c r="BN50" i="4" s="1"/>
  <c r="BN45" i="5"/>
  <c r="BN45" i="4" s="1"/>
  <c r="BL45" i="4"/>
  <c r="BN33" i="5"/>
  <c r="BN33" i="4" s="1"/>
  <c r="BL33" i="4"/>
  <c r="BB69" i="4"/>
  <c r="AT71" i="5"/>
  <c r="AT71" i="4" s="1"/>
  <c r="BJ21" i="5"/>
  <c r="BJ21" i="4" s="1"/>
  <c r="AX21" i="4"/>
  <c r="BB21" i="4"/>
  <c r="AT13" i="5"/>
  <c r="AT13" i="4" s="1"/>
  <c r="AR13" i="4"/>
  <c r="AT77" i="5"/>
  <c r="AT77" i="4" s="1"/>
  <c r="AR77" i="4"/>
  <c r="AX67" i="5"/>
  <c r="BB67" i="4"/>
  <c r="AT50" i="5"/>
  <c r="AT50" i="4" s="1"/>
  <c r="AT39" i="5"/>
  <c r="AT39" i="4" s="1"/>
  <c r="AR39" i="4"/>
  <c r="BV13" i="5"/>
  <c r="BJ17" i="5"/>
  <c r="BJ17" i="4" s="1"/>
  <c r="AR19" i="5"/>
  <c r="AT20" i="5"/>
  <c r="AT20" i="4" s="1"/>
  <c r="AT23" i="5"/>
  <c r="AT23" i="4" s="1"/>
  <c r="BF62" i="5"/>
  <c r="BZ62" i="5"/>
  <c r="BB13" i="5"/>
  <c r="BB13" i="4" s="1"/>
  <c r="AX18" i="5"/>
  <c r="AX18" i="4" s="1"/>
  <c r="AX20" i="5"/>
  <c r="BB19" i="5"/>
  <c r="BV19" i="5"/>
  <c r="BJ23" i="5"/>
  <c r="BJ23" i="4" s="1"/>
  <c r="BL39" i="5"/>
  <c r="BN40" i="5"/>
  <c r="BN40" i="4" s="1"/>
  <c r="BJ15" i="5"/>
  <c r="BJ15" i="4" s="1"/>
  <c r="BR17" i="5"/>
  <c r="BR21" i="5"/>
  <c r="BJ25" i="5"/>
  <c r="BJ25" i="4" s="1"/>
  <c r="BT97" i="5"/>
  <c r="BD98" i="5"/>
  <c r="AT56" i="5"/>
  <c r="AT56" i="4" s="1"/>
  <c r="BF97" i="5"/>
  <c r="BR67" i="5"/>
  <c r="AX69" i="5"/>
  <c r="BT90" i="5"/>
  <c r="BT90" i="4" s="1"/>
  <c r="BN51" i="5"/>
  <c r="BN51" i="4" s="1"/>
  <c r="BB70" i="5"/>
  <c r="AR66" i="5"/>
  <c r="BJ50" i="5" l="1"/>
  <c r="BJ50" i="4" s="1"/>
  <c r="AR62" i="5"/>
  <c r="AR62" i="4" s="1"/>
  <c r="BR66" i="5"/>
  <c r="CD83" i="5"/>
  <c r="CD83" i="4" s="1"/>
  <c r="BB110" i="4"/>
  <c r="AX110" i="5"/>
  <c r="AX110" i="4" s="1"/>
  <c r="BR114" i="5"/>
  <c r="BV114" i="4"/>
  <c r="BV113" i="5"/>
  <c r="BV113" i="4" s="1"/>
  <c r="AX111" i="4"/>
  <c r="BJ111" i="5"/>
  <c r="BJ111" i="4" s="1"/>
  <c r="AX102" i="4"/>
  <c r="AX101" i="5"/>
  <c r="AX101" i="4" s="1"/>
  <c r="BJ102" i="5"/>
  <c r="BJ102" i="4" s="1"/>
  <c r="BR111" i="5"/>
  <c r="BV111" i="4"/>
  <c r="BV110" i="5"/>
  <c r="BB70" i="4"/>
  <c r="BB114" i="5"/>
  <c r="BL114" i="4"/>
  <c r="BN114" i="5"/>
  <c r="BN114" i="4" s="1"/>
  <c r="BV117" i="4"/>
  <c r="BR117" i="5"/>
  <c r="BV116" i="5"/>
  <c r="BV102" i="4"/>
  <c r="BV101" i="5"/>
  <c r="BV101" i="4" s="1"/>
  <c r="BR102" i="5"/>
  <c r="BR17" i="4"/>
  <c r="CD17" i="5"/>
  <c r="CD71" i="5"/>
  <c r="CD71" i="4" s="1"/>
  <c r="BR77" i="4"/>
  <c r="BP91" i="5"/>
  <c r="BP91" i="4" s="1"/>
  <c r="CD33" i="5"/>
  <c r="CD33" i="4" s="1"/>
  <c r="BR28" i="5"/>
  <c r="BR28" i="4" s="1"/>
  <c r="CD50" i="5"/>
  <c r="CD50" i="4" s="1"/>
  <c r="BJ77" i="5"/>
  <c r="BJ77" i="4" s="1"/>
  <c r="BJ71" i="5"/>
  <c r="BJ71" i="4" s="1"/>
  <c r="AX56" i="5"/>
  <c r="AX56" i="4" s="1"/>
  <c r="BJ39" i="5"/>
  <c r="BJ39" i="4" s="1"/>
  <c r="BJ33" i="5"/>
  <c r="BJ33" i="4" s="1"/>
  <c r="AZ98" i="5"/>
  <c r="BJ57" i="5"/>
  <c r="BJ57" i="4" s="1"/>
  <c r="AX57" i="4"/>
  <c r="BJ26" i="5"/>
  <c r="BJ26" i="4" s="1"/>
  <c r="AX26" i="4"/>
  <c r="BF97" i="4"/>
  <c r="BT97" i="4"/>
  <c r="BF65" i="5"/>
  <c r="BF62" i="4"/>
  <c r="BR97" i="5"/>
  <c r="BR97" i="4" s="1"/>
  <c r="BV97" i="4"/>
  <c r="CD69" i="5"/>
  <c r="CD69" i="4" s="1"/>
  <c r="BR69" i="4"/>
  <c r="BZ65" i="5"/>
  <c r="BZ62" i="4"/>
  <c r="BJ30" i="5"/>
  <c r="BJ30" i="4" s="1"/>
  <c r="AX30" i="4"/>
  <c r="BB28" i="4"/>
  <c r="AX28" i="5"/>
  <c r="BJ83" i="5"/>
  <c r="BJ83" i="4" s="1"/>
  <c r="AX83" i="4"/>
  <c r="AX13" i="5"/>
  <c r="AX13" i="4" s="1"/>
  <c r="CD57" i="5"/>
  <c r="CD57" i="4" s="1"/>
  <c r="BR57" i="4"/>
  <c r="AV91" i="5"/>
  <c r="AV91" i="4" s="1"/>
  <c r="AX91" i="4"/>
  <c r="BJ20" i="5"/>
  <c r="BJ20" i="4" s="1"/>
  <c r="AX20" i="4"/>
  <c r="AX97" i="5"/>
  <c r="BR13" i="5"/>
  <c r="BV13" i="4"/>
  <c r="CD45" i="5"/>
  <c r="CD45" i="4" s="1"/>
  <c r="BT98" i="5"/>
  <c r="BJ45" i="5"/>
  <c r="BJ45" i="4" s="1"/>
  <c r="AX45" i="4"/>
  <c r="BR39" i="5"/>
  <c r="BR39" i="4" s="1"/>
  <c r="BV39" i="4"/>
  <c r="BV56" i="4"/>
  <c r="BR56" i="5"/>
  <c r="CD18" i="5"/>
  <c r="CD18" i="4" s="1"/>
  <c r="BR18" i="4"/>
  <c r="CD70" i="5"/>
  <c r="CD70" i="4" s="1"/>
  <c r="BR70" i="4"/>
  <c r="CD30" i="5"/>
  <c r="CD30" i="4" s="1"/>
  <c r="BR30" i="4"/>
  <c r="CD28" i="5"/>
  <c r="CD28" i="4" s="1"/>
  <c r="BR19" i="5"/>
  <c r="BV19" i="4"/>
  <c r="BV62" i="5"/>
  <c r="CD21" i="5"/>
  <c r="CD21" i="4" s="1"/>
  <c r="BR21" i="4"/>
  <c r="CD67" i="5"/>
  <c r="CD67" i="4" s="1"/>
  <c r="BR67" i="4"/>
  <c r="CD66" i="5"/>
  <c r="CD66" i="4" s="1"/>
  <c r="BR66" i="4"/>
  <c r="BN39" i="5"/>
  <c r="BN39" i="4" s="1"/>
  <c r="BL39" i="4"/>
  <c r="BJ69" i="5"/>
  <c r="BJ69" i="4" s="1"/>
  <c r="AX69" i="4"/>
  <c r="AX19" i="5"/>
  <c r="AX19" i="4" s="1"/>
  <c r="BB19" i="4"/>
  <c r="AT66" i="5"/>
  <c r="AT66" i="4" s="1"/>
  <c r="AR66" i="4"/>
  <c r="AX67" i="4"/>
  <c r="BJ67" i="5"/>
  <c r="BJ67" i="4" s="1"/>
  <c r="AT19" i="5"/>
  <c r="AT19" i="4" s="1"/>
  <c r="AR19" i="4"/>
  <c r="BB66" i="5"/>
  <c r="AX70" i="5"/>
  <c r="AX70" i="4" s="1"/>
  <c r="BB62" i="5"/>
  <c r="CD17" i="4"/>
  <c r="BL62" i="5"/>
  <c r="BL62" i="4" s="1"/>
  <c r="BJ18" i="5"/>
  <c r="BJ18" i="4" s="1"/>
  <c r="AR65" i="5"/>
  <c r="AT62" i="5"/>
  <c r="AT62" i="4" s="1"/>
  <c r="BV116" i="4" l="1"/>
  <c r="BR116" i="5"/>
  <c r="BR116" i="4" s="1"/>
  <c r="BR102" i="4"/>
  <c r="CD102" i="5"/>
  <c r="CD102" i="4" s="1"/>
  <c r="BR101" i="5"/>
  <c r="BR101" i="4" s="1"/>
  <c r="CD117" i="5"/>
  <c r="CD117" i="4" s="1"/>
  <c r="BR117" i="4"/>
  <c r="AX114" i="5"/>
  <c r="BB114" i="4"/>
  <c r="BB113" i="5"/>
  <c r="BB113" i="4" s="1"/>
  <c r="CD111" i="5"/>
  <c r="CD111" i="4" s="1"/>
  <c r="BR111" i="4"/>
  <c r="BR114" i="4"/>
  <c r="CD114" i="5"/>
  <c r="CD114" i="4" s="1"/>
  <c r="BR113" i="5"/>
  <c r="BR113" i="4" s="1"/>
  <c r="BR110" i="5"/>
  <c r="BR110" i="4" s="1"/>
  <c r="BV110" i="4"/>
  <c r="CD39" i="5"/>
  <c r="CD39" i="4" s="1"/>
  <c r="BJ56" i="5"/>
  <c r="BJ56" i="4" s="1"/>
  <c r="AX62" i="5"/>
  <c r="BJ62" i="5" s="1"/>
  <c r="BJ65" i="5" s="1"/>
  <c r="BJ65" i="4" s="1"/>
  <c r="CD13" i="5"/>
  <c r="CD13" i="4" s="1"/>
  <c r="BR13" i="4"/>
  <c r="BJ13" i="5"/>
  <c r="BJ13" i="4" s="1"/>
  <c r="BJ28" i="5"/>
  <c r="BJ28" i="4" s="1"/>
  <c r="AX28" i="4"/>
  <c r="BZ90" i="5"/>
  <c r="BZ65" i="4"/>
  <c r="BR56" i="4"/>
  <c r="CD56" i="5"/>
  <c r="CD56" i="4" s="1"/>
  <c r="AV97" i="5"/>
  <c r="AV97" i="4" s="1"/>
  <c r="AX97" i="4"/>
  <c r="BF90" i="5"/>
  <c r="BF65" i="4"/>
  <c r="BP97" i="5"/>
  <c r="BP97" i="4" s="1"/>
  <c r="BV65" i="5"/>
  <c r="BV62" i="4"/>
  <c r="CD19" i="5"/>
  <c r="CD19" i="4" s="1"/>
  <c r="BR19" i="4"/>
  <c r="BR62" i="5"/>
  <c r="BR62" i="4" s="1"/>
  <c r="BB65" i="5"/>
  <c r="BB65" i="4" s="1"/>
  <c r="BB62" i="4"/>
  <c r="BJ19" i="5"/>
  <c r="BJ19" i="4" s="1"/>
  <c r="AX66" i="5"/>
  <c r="BB66" i="4"/>
  <c r="AT65" i="5"/>
  <c r="AR65" i="4"/>
  <c r="AR90" i="5"/>
  <c r="AR90" i="4" s="1"/>
  <c r="BL65" i="5"/>
  <c r="BL65" i="4" s="1"/>
  <c r="BN62" i="5"/>
  <c r="BN62" i="4" s="1"/>
  <c r="BJ70" i="5"/>
  <c r="BJ70" i="4" s="1"/>
  <c r="AX114" i="4" l="1"/>
  <c r="AX113" i="5"/>
  <c r="AX113" i="4" s="1"/>
  <c r="BJ114" i="5"/>
  <c r="BJ114" i="4" s="1"/>
  <c r="AX62" i="4"/>
  <c r="AX65" i="5"/>
  <c r="AX65" i="4" s="1"/>
  <c r="BZ98" i="5"/>
  <c r="BZ90" i="4"/>
  <c r="BB90" i="5"/>
  <c r="BB90" i="4" s="1"/>
  <c r="BF90" i="4"/>
  <c r="BF98" i="5"/>
  <c r="CD62" i="5"/>
  <c r="CD62" i="4" s="1"/>
  <c r="BV65" i="4"/>
  <c r="BV90" i="5"/>
  <c r="BR65" i="5"/>
  <c r="BR65" i="4" s="1"/>
  <c r="BJ62" i="4"/>
  <c r="BJ66" i="5"/>
  <c r="BJ66" i="4" s="1"/>
  <c r="AX66" i="4"/>
  <c r="AT90" i="5"/>
  <c r="AT90" i="4" s="1"/>
  <c r="AT65" i="4"/>
  <c r="BN65" i="5"/>
  <c r="BN65" i="4" s="1"/>
  <c r="BL90" i="5"/>
  <c r="BB98" i="5" l="1"/>
  <c r="AX90" i="5"/>
  <c r="AX90" i="4" s="1"/>
  <c r="CD65" i="5"/>
  <c r="CD65" i="4" s="1"/>
  <c r="BV90" i="4"/>
  <c r="BR90" i="5"/>
  <c r="CD90" i="5" s="1"/>
  <c r="CD90" i="4" s="1"/>
  <c r="BV98" i="5"/>
  <c r="BN90" i="5"/>
  <c r="BN90" i="4" s="1"/>
  <c r="BL90" i="4"/>
  <c r="AX98" i="5" l="1"/>
  <c r="AV98" i="5" s="1"/>
  <c r="BJ90" i="5"/>
  <c r="BJ90" i="4" s="1"/>
  <c r="AV90" i="5"/>
  <c r="AV90" i="4" s="1"/>
  <c r="BR98" i="5"/>
  <c r="BR90" i="4"/>
  <c r="BP90" i="5"/>
  <c r="BP90" i="4" s="1"/>
  <c r="AO98" i="5"/>
  <c r="AN98" i="5"/>
  <c r="AL98" i="5"/>
  <c r="AJ98" i="5"/>
  <c r="AH98" i="5"/>
  <c r="U98" i="5"/>
  <c r="T98" i="5"/>
  <c r="L98" i="5" s="1"/>
  <c r="R98" i="5"/>
  <c r="P98" i="5"/>
  <c r="N98" i="5"/>
  <c r="J98" i="5" s="1"/>
  <c r="CV97" i="5"/>
  <c r="CT97" i="5"/>
  <c r="CR97" i="5"/>
  <c r="CP97" i="5"/>
  <c r="CN97" i="5"/>
  <c r="CL97" i="5"/>
  <c r="CJ97" i="5"/>
  <c r="CT92" i="5"/>
  <c r="CP92" i="5"/>
  <c r="CL92" i="5"/>
  <c r="CV91" i="5"/>
  <c r="CT91" i="5"/>
  <c r="CR91" i="5"/>
  <c r="CP91" i="5"/>
  <c r="CN91" i="5"/>
  <c r="CL91" i="5"/>
  <c r="CJ91" i="5"/>
  <c r="CV90" i="5"/>
  <c r="CT90" i="5"/>
  <c r="CR90" i="5"/>
  <c r="CP90" i="5"/>
  <c r="CN90" i="5"/>
  <c r="CL90" i="5"/>
  <c r="CF90" i="5"/>
  <c r="CT89" i="5"/>
  <c r="CP89" i="5"/>
  <c r="CL89" i="5"/>
  <c r="CT88" i="5"/>
  <c r="CP88" i="5"/>
  <c r="CL88" i="5"/>
  <c r="CF88" i="5"/>
  <c r="CT87" i="5"/>
  <c r="CP87" i="5"/>
  <c r="CL87" i="5"/>
  <c r="CF87" i="5"/>
  <c r="CH87" i="5" s="1"/>
  <c r="CT86" i="5"/>
  <c r="CP86" i="5"/>
  <c r="CL86" i="5"/>
  <c r="CF86" i="5"/>
  <c r="CT85" i="5"/>
  <c r="CP85" i="5"/>
  <c r="CL85" i="5"/>
  <c r="CF85" i="5"/>
  <c r="CH85" i="5" s="1"/>
  <c r="CT84" i="5"/>
  <c r="CP84" i="5"/>
  <c r="CL84" i="5"/>
  <c r="CF84" i="5"/>
  <c r="CT83" i="5"/>
  <c r="CP83" i="5"/>
  <c r="CL83" i="5"/>
  <c r="CF83" i="5"/>
  <c r="CH83" i="5" s="1"/>
  <c r="CT82" i="5"/>
  <c r="CP82" i="5"/>
  <c r="CL82" i="5"/>
  <c r="CF82" i="5"/>
  <c r="CT81" i="5"/>
  <c r="CP81" i="5"/>
  <c r="CL81" i="5"/>
  <c r="CF81" i="5"/>
  <c r="CH81" i="5" s="1"/>
  <c r="CT80" i="5"/>
  <c r="CP80" i="5"/>
  <c r="CL80" i="5"/>
  <c r="CF80" i="5"/>
  <c r="CT79" i="5"/>
  <c r="CP79" i="5"/>
  <c r="CL79" i="5"/>
  <c r="CF79" i="5"/>
  <c r="CH79" i="5" s="1"/>
  <c r="CT78" i="5"/>
  <c r="CP78" i="5"/>
  <c r="CL78" i="5"/>
  <c r="CF78" i="5"/>
  <c r="CT77" i="5"/>
  <c r="CP77" i="5"/>
  <c r="CL77" i="5"/>
  <c r="CF77" i="5"/>
  <c r="CH77" i="5" s="1"/>
  <c r="CT76" i="5"/>
  <c r="CP76" i="5"/>
  <c r="CL76" i="5"/>
  <c r="CF76" i="5"/>
  <c r="CT75" i="5"/>
  <c r="CP75" i="5"/>
  <c r="CL75" i="5"/>
  <c r="CF75" i="5"/>
  <c r="CH75" i="5" s="1"/>
  <c r="CT74" i="5"/>
  <c r="CP74" i="5"/>
  <c r="CL74" i="5"/>
  <c r="CF74" i="5"/>
  <c r="CT73" i="5"/>
  <c r="CP73" i="5"/>
  <c r="CL73" i="5"/>
  <c r="CF73" i="5"/>
  <c r="CH73" i="5" s="1"/>
  <c r="CT72" i="5"/>
  <c r="CP72" i="5"/>
  <c r="CL72" i="5"/>
  <c r="CF72" i="5"/>
  <c r="CH72" i="5" s="1"/>
  <c r="CT71" i="5"/>
  <c r="CP71" i="5"/>
  <c r="CL71" i="5"/>
  <c r="CF71" i="5"/>
  <c r="CH71" i="5" s="1"/>
  <c r="CT70" i="5"/>
  <c r="CP70" i="5"/>
  <c r="CL70" i="5"/>
  <c r="CF70" i="5"/>
  <c r="CH70" i="5" s="1"/>
  <c r="CT69" i="5"/>
  <c r="CP69" i="5"/>
  <c r="CL69" i="5"/>
  <c r="CF69" i="5"/>
  <c r="CH69" i="5" s="1"/>
  <c r="CT68" i="5"/>
  <c r="CP68" i="5"/>
  <c r="CL68" i="5"/>
  <c r="CF68" i="5"/>
  <c r="CT67" i="5"/>
  <c r="CP67" i="5"/>
  <c r="CL67" i="5"/>
  <c r="CF67" i="5"/>
  <c r="CH67" i="5" s="1"/>
  <c r="CT66" i="5"/>
  <c r="CP66" i="5"/>
  <c r="CL66" i="5"/>
  <c r="CF66" i="5"/>
  <c r="CT65" i="5"/>
  <c r="CP65" i="5"/>
  <c r="CL65" i="5"/>
  <c r="CF65" i="5"/>
  <c r="CT64" i="5"/>
  <c r="CP64" i="5"/>
  <c r="CP120" i="5" s="1"/>
  <c r="CL64" i="5"/>
  <c r="CF64" i="5"/>
  <c r="CF120" i="5" s="1"/>
  <c r="CT62" i="5"/>
  <c r="CP62" i="5"/>
  <c r="CL62" i="5"/>
  <c r="CF62" i="5"/>
  <c r="CT61" i="5"/>
  <c r="CP61" i="5"/>
  <c r="CL61" i="5"/>
  <c r="CF61" i="5"/>
  <c r="CT60" i="5"/>
  <c r="CP60" i="5"/>
  <c r="CL60" i="5"/>
  <c r="CF60" i="5"/>
  <c r="CH60" i="5" s="1"/>
  <c r="CT59" i="5"/>
  <c r="CP59" i="5"/>
  <c r="CL59" i="5"/>
  <c r="CF59" i="5"/>
  <c r="CH59" i="5" s="1"/>
  <c r="CT58" i="5"/>
  <c r="CP58" i="5"/>
  <c r="CL58" i="5"/>
  <c r="CF58" i="5"/>
  <c r="CH58" i="5" s="1"/>
  <c r="CT57" i="5"/>
  <c r="CP57" i="5"/>
  <c r="CL57" i="5"/>
  <c r="CF57" i="5"/>
  <c r="CH57" i="5" s="1"/>
  <c r="CT56" i="5"/>
  <c r="CP56" i="5"/>
  <c r="CL56" i="5"/>
  <c r="CF56" i="5"/>
  <c r="CT55" i="5"/>
  <c r="CP55" i="5"/>
  <c r="CL55" i="5"/>
  <c r="CF55" i="5"/>
  <c r="CT54" i="5"/>
  <c r="CP54" i="5"/>
  <c r="CL54" i="5"/>
  <c r="CX54" i="5" s="1"/>
  <c r="CH54" i="5"/>
  <c r="CF54" i="5"/>
  <c r="CT53" i="5"/>
  <c r="CP53" i="5"/>
  <c r="CL53" i="5"/>
  <c r="CF53" i="5"/>
  <c r="CH53" i="5" s="1"/>
  <c r="CT52" i="5"/>
  <c r="CP52" i="5"/>
  <c r="CL52" i="5"/>
  <c r="CF52" i="5"/>
  <c r="CH52" i="5" s="1"/>
  <c r="CT51" i="5"/>
  <c r="CP51" i="5"/>
  <c r="CL51" i="5"/>
  <c r="CF51" i="5"/>
  <c r="CH51" i="5" s="1"/>
  <c r="CT50" i="5"/>
  <c r="CP50" i="5"/>
  <c r="CL50" i="5"/>
  <c r="CF50" i="5"/>
  <c r="CT49" i="5"/>
  <c r="CP49" i="5"/>
  <c r="CL49" i="5"/>
  <c r="CF49" i="5"/>
  <c r="CH49" i="5" s="1"/>
  <c r="CT48" i="5"/>
  <c r="CP48" i="5"/>
  <c r="CL48" i="5"/>
  <c r="CF48" i="5"/>
  <c r="CT47" i="5"/>
  <c r="CP47" i="5"/>
  <c r="CL47" i="5"/>
  <c r="CF47" i="5"/>
  <c r="CH47" i="5" s="1"/>
  <c r="CT46" i="5"/>
  <c r="CP46" i="5"/>
  <c r="CL46" i="5"/>
  <c r="CF46" i="5"/>
  <c r="CH46" i="5" s="1"/>
  <c r="CT45" i="5"/>
  <c r="CP45" i="5"/>
  <c r="CL45" i="5"/>
  <c r="CF45" i="5"/>
  <c r="CH45" i="5" s="1"/>
  <c r="CT44" i="5"/>
  <c r="CP44" i="5"/>
  <c r="CL44" i="5"/>
  <c r="CF44" i="5"/>
  <c r="CT43" i="5"/>
  <c r="CP43" i="5"/>
  <c r="CL43" i="5"/>
  <c r="CF43" i="5"/>
  <c r="CH43" i="5" s="1"/>
  <c r="CT42" i="5"/>
  <c r="CP42" i="5"/>
  <c r="CL42" i="5"/>
  <c r="CF42" i="5"/>
  <c r="CT41" i="5"/>
  <c r="CP41" i="5"/>
  <c r="CL41" i="5"/>
  <c r="CF41" i="5"/>
  <c r="CH41" i="5" s="1"/>
  <c r="CT40" i="5"/>
  <c r="CP40" i="5"/>
  <c r="CL40" i="5"/>
  <c r="CF40" i="5"/>
  <c r="CT39" i="5"/>
  <c r="CP39" i="5"/>
  <c r="CL39" i="5"/>
  <c r="CF39" i="5"/>
  <c r="CT38" i="5"/>
  <c r="CP38" i="5"/>
  <c r="CL38" i="5"/>
  <c r="CF38" i="5"/>
  <c r="CT37" i="5"/>
  <c r="CP37" i="5"/>
  <c r="CL37" i="5"/>
  <c r="CF37" i="5"/>
  <c r="CH37" i="5" s="1"/>
  <c r="CT36" i="5"/>
  <c r="CP36" i="5"/>
  <c r="CL36" i="5"/>
  <c r="CF36" i="5"/>
  <c r="CH36" i="5" s="1"/>
  <c r="CT35" i="5"/>
  <c r="CP35" i="5"/>
  <c r="CL35" i="5"/>
  <c r="CF35" i="5"/>
  <c r="CH35" i="5" s="1"/>
  <c r="CT34" i="5"/>
  <c r="CP34" i="5"/>
  <c r="CL34" i="5"/>
  <c r="CF34" i="5"/>
  <c r="CH34" i="5" s="1"/>
  <c r="CT33" i="5"/>
  <c r="CP33" i="5"/>
  <c r="CL33" i="5"/>
  <c r="CF33" i="5"/>
  <c r="CT32" i="5"/>
  <c r="CP32" i="5"/>
  <c r="CL32" i="5"/>
  <c r="CH32" i="5"/>
  <c r="CF32" i="5"/>
  <c r="CT31" i="5"/>
  <c r="CP31" i="5"/>
  <c r="CL31" i="5"/>
  <c r="CF31" i="5"/>
  <c r="CT30" i="5"/>
  <c r="CP30" i="5"/>
  <c r="CL30" i="5"/>
  <c r="CF30" i="5"/>
  <c r="CH30" i="5" s="1"/>
  <c r="CT29" i="5"/>
  <c r="CP29" i="5"/>
  <c r="CL29" i="5"/>
  <c r="CF29" i="5"/>
  <c r="CT28" i="5"/>
  <c r="CP28" i="5"/>
  <c r="CL28" i="5"/>
  <c r="CF28" i="5"/>
  <c r="CH28" i="5" s="1"/>
  <c r="CT27" i="5"/>
  <c r="CP27" i="5"/>
  <c r="CL27" i="5"/>
  <c r="CF27" i="5"/>
  <c r="CT26" i="5"/>
  <c r="CP26" i="5"/>
  <c r="CL26" i="5"/>
  <c r="CX26" i="5" s="1"/>
  <c r="CF26" i="5"/>
  <c r="CH26" i="5" s="1"/>
  <c r="CT25" i="5"/>
  <c r="CP25" i="5"/>
  <c r="CP105" i="5" s="1"/>
  <c r="CL25" i="5"/>
  <c r="CF25" i="5"/>
  <c r="CT24" i="5"/>
  <c r="CP24" i="5"/>
  <c r="CL24" i="5"/>
  <c r="CF24" i="5"/>
  <c r="CT23" i="5"/>
  <c r="CP23" i="5"/>
  <c r="CL23" i="5"/>
  <c r="CF23" i="5"/>
  <c r="CT22" i="5"/>
  <c r="CP22" i="5"/>
  <c r="CL22" i="5"/>
  <c r="CF22" i="5"/>
  <c r="CH22" i="5" s="1"/>
  <c r="CT21" i="5"/>
  <c r="CP21" i="5"/>
  <c r="CL21" i="5"/>
  <c r="CF21" i="5"/>
  <c r="CT20" i="5"/>
  <c r="CP20" i="5"/>
  <c r="CL20" i="5"/>
  <c r="CF20" i="5"/>
  <c r="CT19" i="5"/>
  <c r="CP19" i="5"/>
  <c r="CL19" i="5"/>
  <c r="CF19" i="5"/>
  <c r="CT18" i="5"/>
  <c r="CP18" i="5"/>
  <c r="CP117" i="5" s="1"/>
  <c r="CL18" i="5"/>
  <c r="CF18" i="5"/>
  <c r="CT17" i="5"/>
  <c r="CP17" i="5"/>
  <c r="CP114" i="5" s="1"/>
  <c r="CL17" i="5"/>
  <c r="CF17" i="5"/>
  <c r="CT16" i="5"/>
  <c r="CP16" i="5"/>
  <c r="CP111" i="5" s="1"/>
  <c r="CL16" i="5"/>
  <c r="CF16" i="5"/>
  <c r="CT15" i="5"/>
  <c r="CP15" i="5"/>
  <c r="CP108" i="5" s="1"/>
  <c r="CL15" i="5"/>
  <c r="CF15" i="5"/>
  <c r="CT14" i="5"/>
  <c r="CT102" i="5" s="1"/>
  <c r="CP14" i="5"/>
  <c r="CP102" i="5" s="1"/>
  <c r="CL14" i="5"/>
  <c r="CF14" i="5"/>
  <c r="CT13" i="5"/>
  <c r="CP13" i="5"/>
  <c r="CL13" i="5"/>
  <c r="CF13" i="5"/>
  <c r="CV91" i="3"/>
  <c r="CT114" i="5" l="1"/>
  <c r="CF108" i="5"/>
  <c r="CF114" i="5"/>
  <c r="CF105" i="5"/>
  <c r="CF105" i="4" s="1"/>
  <c r="CZ105" i="4" s="1"/>
  <c r="CL108" i="5"/>
  <c r="CP107" i="5"/>
  <c r="CP108" i="4"/>
  <c r="DJ108" i="4" s="1"/>
  <c r="CT113" i="5"/>
  <c r="CT113" i="4" s="1"/>
  <c r="DN113" i="4" s="1"/>
  <c r="CT114" i="4"/>
  <c r="DN114" i="4" s="1"/>
  <c r="CH14" i="5"/>
  <c r="CF102" i="5"/>
  <c r="CF108" i="4"/>
  <c r="CZ108" i="4" s="1"/>
  <c r="CH108" i="5"/>
  <c r="CH108" i="4" s="1"/>
  <c r="DB108" i="4" s="1"/>
  <c r="CH16" i="5"/>
  <c r="CF111" i="5"/>
  <c r="CH114" i="5"/>
  <c r="CH114" i="4" s="1"/>
  <c r="DB114" i="4" s="1"/>
  <c r="CF114" i="4"/>
  <c r="CZ114" i="4" s="1"/>
  <c r="CH18" i="5"/>
  <c r="CF117" i="5"/>
  <c r="CH105" i="5"/>
  <c r="CH105" i="4" s="1"/>
  <c r="DB105" i="4" s="1"/>
  <c r="CP120" i="4"/>
  <c r="DJ120" i="4" s="1"/>
  <c r="CL120" i="5"/>
  <c r="CP119" i="5"/>
  <c r="CL111" i="5"/>
  <c r="CP111" i="4"/>
  <c r="DJ111" i="4" s="1"/>
  <c r="CP110" i="5"/>
  <c r="CX42" i="5"/>
  <c r="CX87" i="5"/>
  <c r="AF98" i="5"/>
  <c r="CP98" i="5"/>
  <c r="CP102" i="4"/>
  <c r="DJ102" i="4" s="1"/>
  <c r="CL102" i="5"/>
  <c r="CP101" i="5"/>
  <c r="CP101" i="4" s="1"/>
  <c r="DJ101" i="4" s="1"/>
  <c r="CL114" i="5"/>
  <c r="CP114" i="4"/>
  <c r="DJ114" i="4" s="1"/>
  <c r="CP113" i="5"/>
  <c r="CP113" i="4" s="1"/>
  <c r="DJ113" i="4" s="1"/>
  <c r="CL117" i="5"/>
  <c r="CP117" i="4"/>
  <c r="DJ117" i="4" s="1"/>
  <c r="CP116" i="5"/>
  <c r="CL105" i="5"/>
  <c r="CP105" i="4"/>
  <c r="DJ105" i="4" s="1"/>
  <c r="CP104" i="5"/>
  <c r="CF120" i="4"/>
  <c r="CZ120" i="4" s="1"/>
  <c r="CH120" i="5"/>
  <c r="CH120" i="4" s="1"/>
  <c r="DB120" i="4" s="1"/>
  <c r="CT98" i="5"/>
  <c r="CT101" i="5"/>
  <c r="CT101" i="4" s="1"/>
  <c r="DN101" i="4" s="1"/>
  <c r="CT102" i="4"/>
  <c r="DN102" i="4" s="1"/>
  <c r="CV91" i="4"/>
  <c r="DP91" i="4" s="1"/>
  <c r="CX17" i="5"/>
  <c r="CX30" i="5"/>
  <c r="CX85" i="5"/>
  <c r="CH39" i="5"/>
  <c r="CH44" i="5"/>
  <c r="CH33" i="5"/>
  <c r="CH38" i="5"/>
  <c r="CH55" i="5"/>
  <c r="CH50" i="5"/>
  <c r="CH56" i="5"/>
  <c r="CH61" i="5"/>
  <c r="CH62" i="5"/>
  <c r="CH24" i="5"/>
  <c r="CH64" i="5"/>
  <c r="CH65" i="5"/>
  <c r="CX28" i="5"/>
  <c r="CH66" i="5"/>
  <c r="CX21" i="5"/>
  <c r="CX78" i="5"/>
  <c r="CX20" i="5"/>
  <c r="CX13" i="5"/>
  <c r="CX16" i="5"/>
  <c r="CR98" i="5"/>
  <c r="CX18" i="5"/>
  <c r="CX22" i="5"/>
  <c r="CX38" i="5"/>
  <c r="CX41" i="5"/>
  <c r="CX44" i="5"/>
  <c r="CX46" i="5"/>
  <c r="CX47" i="5"/>
  <c r="CX72" i="5"/>
  <c r="CX14" i="5"/>
  <c r="CX36" i="5"/>
  <c r="CX64" i="5"/>
  <c r="CX25" i="5"/>
  <c r="CX29" i="5"/>
  <c r="CX79" i="5"/>
  <c r="AD98" i="5"/>
  <c r="AB98" i="5" s="1"/>
  <c r="CX70" i="5"/>
  <c r="CX71" i="5"/>
  <c r="CX58" i="5"/>
  <c r="CJ90" i="5"/>
  <c r="BP98" i="5"/>
  <c r="CX75" i="5"/>
  <c r="CX69" i="5"/>
  <c r="CX52" i="5"/>
  <c r="CX77" i="5"/>
  <c r="CH78" i="5"/>
  <c r="CX67" i="5"/>
  <c r="CX90" i="5"/>
  <c r="CX50" i="5"/>
  <c r="CX39" i="5"/>
  <c r="CH20" i="5"/>
  <c r="CX62" i="5"/>
  <c r="CX34" i="5"/>
  <c r="CX37" i="5"/>
  <c r="CX45" i="5"/>
  <c r="CX59" i="5"/>
  <c r="CX65" i="5"/>
  <c r="CX74" i="5"/>
  <c r="CX81" i="5"/>
  <c r="CX43" i="5"/>
  <c r="CX55" i="5"/>
  <c r="CX60" i="5"/>
  <c r="CX73" i="5"/>
  <c r="CX76" i="5"/>
  <c r="CX80" i="5"/>
  <c r="CX83" i="5"/>
  <c r="CX15" i="5"/>
  <c r="CX19" i="5"/>
  <c r="CX23" i="5"/>
  <c r="CX27" i="5"/>
  <c r="CX31" i="5"/>
  <c r="CX40" i="5"/>
  <c r="CX48" i="5"/>
  <c r="CX51" i="5"/>
  <c r="CX56" i="5"/>
  <c r="CH80" i="5"/>
  <c r="CX82" i="5"/>
  <c r="CH82" i="5"/>
  <c r="CX33" i="5"/>
  <c r="CH42" i="5"/>
  <c r="CX57" i="5"/>
  <c r="CX61" i="5"/>
  <c r="CX66" i="5"/>
  <c r="CX84" i="5"/>
  <c r="CH84" i="5"/>
  <c r="CH13" i="5"/>
  <c r="CH15" i="5"/>
  <c r="CH17" i="5"/>
  <c r="CH19" i="5"/>
  <c r="CH21" i="5"/>
  <c r="CH23" i="5"/>
  <c r="CH27" i="5"/>
  <c r="CH29" i="5"/>
  <c r="CH31" i="5"/>
  <c r="CH40" i="5"/>
  <c r="CH48" i="5"/>
  <c r="CH74" i="5"/>
  <c r="CX86" i="5"/>
  <c r="CH86" i="5"/>
  <c r="H98" i="5"/>
  <c r="CX53" i="5"/>
  <c r="CH76" i="5"/>
  <c r="CX88" i="5"/>
  <c r="CH88" i="5"/>
  <c r="CN98" i="5"/>
  <c r="CV98" i="5"/>
  <c r="CL116" i="5" l="1"/>
  <c r="CL116" i="4" s="1"/>
  <c r="DF116" i="4" s="1"/>
  <c r="CP116" i="4"/>
  <c r="DJ116" i="4" s="1"/>
  <c r="CP119" i="4"/>
  <c r="DJ119" i="4" s="1"/>
  <c r="CL119" i="5"/>
  <c r="CL119" i="4" s="1"/>
  <c r="DF119" i="4" s="1"/>
  <c r="CL104" i="5"/>
  <c r="CL104" i="4" s="1"/>
  <c r="DF104" i="4" s="1"/>
  <c r="CP104" i="4"/>
  <c r="DJ104" i="4" s="1"/>
  <c r="CL114" i="4"/>
  <c r="DF114" i="4" s="1"/>
  <c r="CX114" i="5"/>
  <c r="CX114" i="4" s="1"/>
  <c r="DR114" i="4" s="1"/>
  <c r="CL113" i="5"/>
  <c r="CL113" i="4" s="1"/>
  <c r="DF113" i="4" s="1"/>
  <c r="CL110" i="5"/>
  <c r="CL110" i="4" s="1"/>
  <c r="DF110" i="4" s="1"/>
  <c r="CP110" i="4"/>
  <c r="DJ110" i="4" s="1"/>
  <c r="CX120" i="5"/>
  <c r="CX120" i="4" s="1"/>
  <c r="DR120" i="4" s="1"/>
  <c r="CL120" i="4"/>
  <c r="DF120" i="4" s="1"/>
  <c r="CF117" i="4"/>
  <c r="CZ117" i="4" s="1"/>
  <c r="CH117" i="5"/>
  <c r="CH117" i="4" s="1"/>
  <c r="DB117" i="4" s="1"/>
  <c r="CF111" i="4"/>
  <c r="CZ111" i="4" s="1"/>
  <c r="CH111" i="5"/>
  <c r="CH111" i="4" s="1"/>
  <c r="DB111" i="4" s="1"/>
  <c r="CH102" i="5"/>
  <c r="CH102" i="4" s="1"/>
  <c r="DB102" i="4" s="1"/>
  <c r="CF102" i="4"/>
  <c r="CZ102" i="4" s="1"/>
  <c r="CX117" i="5"/>
  <c r="CX117" i="4" s="1"/>
  <c r="DR117" i="4" s="1"/>
  <c r="CL117" i="4"/>
  <c r="DF117" i="4" s="1"/>
  <c r="CL107" i="5"/>
  <c r="CL107" i="4" s="1"/>
  <c r="DF107" i="4" s="1"/>
  <c r="CP107" i="4"/>
  <c r="DJ107" i="4" s="1"/>
  <c r="CX105" i="5"/>
  <c r="CX105" i="4" s="1"/>
  <c r="DR105" i="4" s="1"/>
  <c r="CL105" i="4"/>
  <c r="DF105" i="4" s="1"/>
  <c r="CL102" i="4"/>
  <c r="DF102" i="4" s="1"/>
  <c r="CX102" i="5"/>
  <c r="CX102" i="4" s="1"/>
  <c r="DR102" i="4" s="1"/>
  <c r="CL101" i="5"/>
  <c r="CL101" i="4" s="1"/>
  <c r="DF101" i="4" s="1"/>
  <c r="CL111" i="4"/>
  <c r="DF111" i="4" s="1"/>
  <c r="CX111" i="5"/>
  <c r="CX111" i="4" s="1"/>
  <c r="DR111" i="4" s="1"/>
  <c r="CX108" i="5"/>
  <c r="CX108" i="4" s="1"/>
  <c r="DR108" i="4" s="1"/>
  <c r="CL108" i="4"/>
  <c r="DF108" i="4" s="1"/>
  <c r="CH90" i="5"/>
  <c r="CJ98" i="5"/>
  <c r="CL98" i="5"/>
  <c r="CH25" i="5"/>
  <c r="CH25" i="4" s="1"/>
  <c r="CH68" i="5"/>
  <c r="CC98" i="3" l="1"/>
  <c r="BI98" i="3"/>
  <c r="AO98" i="3"/>
  <c r="BZ98" i="3" l="1"/>
  <c r="BZ98" i="4" s="1"/>
  <c r="BF98" i="3"/>
  <c r="BF98" i="4" s="1"/>
  <c r="AL98" i="3"/>
  <c r="BV98" i="3" l="1"/>
  <c r="BB98" i="3"/>
  <c r="AH98" i="3"/>
  <c r="AD98" i="3" s="1"/>
  <c r="AX98" i="3" l="1"/>
  <c r="AX98" i="4" s="1"/>
  <c r="BB98" i="4"/>
  <c r="BR98" i="3"/>
  <c r="BR98" i="4" s="1"/>
  <c r="BV98" i="4"/>
  <c r="U98" i="3"/>
  <c r="CL17" i="3"/>
  <c r="CL17" i="4" s="1"/>
  <c r="DF17" i="4" s="1"/>
  <c r="R98" i="3" l="1"/>
  <c r="N98" i="3" l="1"/>
  <c r="J98" i="3" s="1"/>
  <c r="CF90" i="3"/>
  <c r="CF90" i="4" s="1"/>
  <c r="CZ90" i="4" s="1"/>
  <c r="CT91" i="3"/>
  <c r="CT91" i="4" s="1"/>
  <c r="DN91" i="4" s="1"/>
  <c r="CT89" i="3"/>
  <c r="CT89" i="4" s="1"/>
  <c r="CP89" i="3"/>
  <c r="CP89" i="4" s="1"/>
  <c r="DJ89" i="4" s="1"/>
  <c r="CT88" i="3"/>
  <c r="CT88" i="4" s="1"/>
  <c r="CP88" i="3"/>
  <c r="CP88" i="4" s="1"/>
  <c r="CT87" i="3"/>
  <c r="CT87" i="4" s="1"/>
  <c r="CP87" i="3"/>
  <c r="CP87" i="4" s="1"/>
  <c r="DJ87" i="4" s="1"/>
  <c r="CF87" i="3"/>
  <c r="CT86" i="3"/>
  <c r="CT86" i="4" s="1"/>
  <c r="CP86" i="3"/>
  <c r="CP86" i="4" s="1"/>
  <c r="DJ86" i="4" s="1"/>
  <c r="CF86" i="3"/>
  <c r="CT85" i="3"/>
  <c r="CT85" i="4" s="1"/>
  <c r="CT84" i="3"/>
  <c r="CT84" i="4" s="1"/>
  <c r="CF84" i="3"/>
  <c r="CT83" i="3"/>
  <c r="CT83" i="4" s="1"/>
  <c r="CT82" i="3"/>
  <c r="CT82" i="4" s="1"/>
  <c r="CP82" i="3"/>
  <c r="CP82" i="4" s="1"/>
  <c r="CF82" i="3"/>
  <c r="CT81" i="3"/>
  <c r="CT81" i="4" s="1"/>
  <c r="CP81" i="3"/>
  <c r="CP81" i="4" s="1"/>
  <c r="DJ81" i="4" s="1"/>
  <c r="CF81" i="3"/>
  <c r="CT80" i="3"/>
  <c r="CT80" i="4" s="1"/>
  <c r="CP80" i="3"/>
  <c r="CP80" i="4" s="1"/>
  <c r="DJ80" i="4" s="1"/>
  <c r="CF80" i="3"/>
  <c r="CT79" i="3"/>
  <c r="CT79" i="4" s="1"/>
  <c r="CF79" i="3"/>
  <c r="CT78" i="3"/>
  <c r="CT78" i="4" s="1"/>
  <c r="CF78" i="3"/>
  <c r="CT77" i="3"/>
  <c r="CT77" i="4" s="1"/>
  <c r="CT76" i="3"/>
  <c r="CT76" i="4" s="1"/>
  <c r="CP76" i="3"/>
  <c r="CP76" i="4" s="1"/>
  <c r="CF76" i="3"/>
  <c r="CT75" i="3"/>
  <c r="CT75" i="4" s="1"/>
  <c r="CP75" i="3"/>
  <c r="CP75" i="4" s="1"/>
  <c r="DJ75" i="4" s="1"/>
  <c r="CT74" i="3"/>
  <c r="CT74" i="4" s="1"/>
  <c r="CP74" i="3"/>
  <c r="CP74" i="4" s="1"/>
  <c r="DJ74" i="4" s="1"/>
  <c r="CF74" i="3"/>
  <c r="CT73" i="3"/>
  <c r="CT73" i="4" s="1"/>
  <c r="CP73" i="3"/>
  <c r="CP73" i="4" s="1"/>
  <c r="DJ73" i="4" s="1"/>
  <c r="CT72" i="3"/>
  <c r="CT72" i="4" s="1"/>
  <c r="CP72" i="3"/>
  <c r="CP72" i="4" s="1"/>
  <c r="DJ72" i="4" s="1"/>
  <c r="CF72" i="3"/>
  <c r="CT71" i="3"/>
  <c r="CT71" i="4" s="1"/>
  <c r="CT70" i="3"/>
  <c r="CT70" i="4" s="1"/>
  <c r="CF70" i="3"/>
  <c r="CT69" i="3"/>
  <c r="CT69" i="4" s="1"/>
  <c r="CT68" i="3"/>
  <c r="CT68" i="4" s="1"/>
  <c r="CP68" i="3"/>
  <c r="CP68" i="4" s="1"/>
  <c r="CF68" i="3"/>
  <c r="CF68" i="4" s="1"/>
  <c r="CT67" i="3"/>
  <c r="CT67" i="4" s="1"/>
  <c r="CT66" i="3"/>
  <c r="CT66" i="4" s="1"/>
  <c r="CT64" i="3"/>
  <c r="CT64" i="4" s="1"/>
  <c r="CP64" i="3"/>
  <c r="CF64" i="3"/>
  <c r="CT61" i="3"/>
  <c r="CT61" i="4" s="1"/>
  <c r="CF61" i="3"/>
  <c r="CP61" i="3"/>
  <c r="CP61" i="4" s="1"/>
  <c r="DJ61" i="4" s="1"/>
  <c r="CT60" i="3"/>
  <c r="CT60" i="4" s="1"/>
  <c r="CF60" i="3"/>
  <c r="CT59" i="3"/>
  <c r="CT59" i="4" s="1"/>
  <c r="CF59" i="3"/>
  <c r="CT58" i="3"/>
  <c r="CT58" i="4" s="1"/>
  <c r="CF58" i="3"/>
  <c r="CT57" i="3"/>
  <c r="CT57" i="4" s="1"/>
  <c r="CF57" i="3"/>
  <c r="CT55" i="3"/>
  <c r="CT55" i="4" s="1"/>
  <c r="CF55" i="3"/>
  <c r="CT54" i="3"/>
  <c r="CT54" i="4" s="1"/>
  <c r="CF54" i="3"/>
  <c r="CP54" i="3"/>
  <c r="CP54" i="4" s="1"/>
  <c r="DJ54" i="4" s="1"/>
  <c r="CT53" i="3"/>
  <c r="CT53" i="4" s="1"/>
  <c r="CP53" i="3"/>
  <c r="CP53" i="4" s="1"/>
  <c r="DJ53" i="4" s="1"/>
  <c r="CF53" i="3"/>
  <c r="CT52" i="3"/>
  <c r="CT52" i="4" s="1"/>
  <c r="CF52" i="3"/>
  <c r="CT51" i="3"/>
  <c r="CT51" i="4" s="1"/>
  <c r="CF51" i="3"/>
  <c r="CT49" i="3"/>
  <c r="CT49" i="4" s="1"/>
  <c r="CP49" i="3"/>
  <c r="CP49" i="4" s="1"/>
  <c r="CF49" i="3"/>
  <c r="CT48" i="3"/>
  <c r="CT48" i="4" s="1"/>
  <c r="CF48" i="3"/>
  <c r="CT47" i="3"/>
  <c r="CT47" i="4" s="1"/>
  <c r="CF47" i="3"/>
  <c r="CT46" i="3"/>
  <c r="CT46" i="4" s="1"/>
  <c r="CF46" i="3"/>
  <c r="CT44" i="3"/>
  <c r="CT44" i="4" s="1"/>
  <c r="CP44" i="3"/>
  <c r="CP44" i="4" s="1"/>
  <c r="DJ44" i="4" s="1"/>
  <c r="CF44" i="3"/>
  <c r="CT42" i="3"/>
  <c r="CT42" i="4" s="1"/>
  <c r="CF42" i="3"/>
  <c r="CT41" i="3"/>
  <c r="CT41" i="4" s="1"/>
  <c r="CF41" i="3"/>
  <c r="CT40" i="3"/>
  <c r="CT40" i="4" s="1"/>
  <c r="DN40" i="4" s="1"/>
  <c r="CF40" i="3"/>
  <c r="CT38" i="3"/>
  <c r="CT38" i="4" s="1"/>
  <c r="CF38" i="3"/>
  <c r="CT37" i="3"/>
  <c r="CT37" i="4" s="1"/>
  <c r="CF37" i="3"/>
  <c r="CT36" i="3"/>
  <c r="CT36" i="4" s="1"/>
  <c r="CP36" i="3"/>
  <c r="CP36" i="4" s="1"/>
  <c r="DJ36" i="4" s="1"/>
  <c r="CF36" i="3"/>
  <c r="CT35" i="3"/>
  <c r="CT35" i="4" s="1"/>
  <c r="CP35" i="3"/>
  <c r="CP35" i="4" s="1"/>
  <c r="CF35" i="3"/>
  <c r="CL35" i="3"/>
  <c r="CL35" i="4" s="1"/>
  <c r="CT34" i="3"/>
  <c r="CT34" i="4" s="1"/>
  <c r="CT32" i="3"/>
  <c r="CT32" i="4" s="1"/>
  <c r="CP32" i="3"/>
  <c r="CP32" i="4" s="1"/>
  <c r="CF32" i="3"/>
  <c r="CT31" i="3"/>
  <c r="CT31" i="4" s="1"/>
  <c r="CF31" i="3"/>
  <c r="CT30" i="3"/>
  <c r="CT30" i="4" s="1"/>
  <c r="CF30" i="3"/>
  <c r="CT29" i="3"/>
  <c r="CT29" i="4" s="1"/>
  <c r="CF29" i="3"/>
  <c r="CT27" i="3"/>
  <c r="CT27" i="4" s="1"/>
  <c r="CF27" i="3"/>
  <c r="CT25" i="3"/>
  <c r="CT25" i="4" s="1"/>
  <c r="CP25" i="3"/>
  <c r="CF25" i="3"/>
  <c r="CT24" i="3"/>
  <c r="CT24" i="4" s="1"/>
  <c r="CF24" i="3"/>
  <c r="CT23" i="3"/>
  <c r="CT23" i="4" s="1"/>
  <c r="CF23" i="3"/>
  <c r="CT22" i="3"/>
  <c r="CT22" i="4" s="1"/>
  <c r="CP22" i="3"/>
  <c r="CP22" i="4" s="1"/>
  <c r="DJ22" i="4" s="1"/>
  <c r="CF22" i="3"/>
  <c r="CT21" i="3"/>
  <c r="CT21" i="4" s="1"/>
  <c r="CF21" i="3"/>
  <c r="CT20" i="3"/>
  <c r="CT20" i="4" s="1"/>
  <c r="CT18" i="3"/>
  <c r="CT18" i="4" s="1"/>
  <c r="CP18" i="3"/>
  <c r="CF18" i="3"/>
  <c r="CT17" i="3"/>
  <c r="CF17" i="3"/>
  <c r="CT16" i="3"/>
  <c r="CT16" i="4" s="1"/>
  <c r="CP16" i="3"/>
  <c r="CF16" i="3"/>
  <c r="CT15" i="3"/>
  <c r="CT15" i="4" s="1"/>
  <c r="CP15" i="3"/>
  <c r="CF15" i="3"/>
  <c r="CT14" i="3"/>
  <c r="CP16" i="4" l="1"/>
  <c r="CH21" i="3"/>
  <c r="CH21" i="4" s="1"/>
  <c r="DB21" i="4" s="1"/>
  <c r="CF21" i="4"/>
  <c r="CZ21" i="4" s="1"/>
  <c r="CH27" i="3"/>
  <c r="CH27" i="4" s="1"/>
  <c r="DB27" i="4" s="1"/>
  <c r="CF27" i="4"/>
  <c r="CZ27" i="4" s="1"/>
  <c r="CH30" i="3"/>
  <c r="CH30" i="4" s="1"/>
  <c r="DB30" i="4" s="1"/>
  <c r="CF30" i="4"/>
  <c r="CZ30" i="4" s="1"/>
  <c r="CH32" i="3"/>
  <c r="CH32" i="4" s="1"/>
  <c r="CF32" i="4"/>
  <c r="CH36" i="3"/>
  <c r="CH36" i="4" s="1"/>
  <c r="DB36" i="4" s="1"/>
  <c r="CF36" i="4"/>
  <c r="CZ36" i="4" s="1"/>
  <c r="CH64" i="3"/>
  <c r="CH64" i="4" s="1"/>
  <c r="DB64" i="4" s="1"/>
  <c r="CF120" i="3"/>
  <c r="CH120" i="3" s="1"/>
  <c r="CF64" i="4"/>
  <c r="CP15" i="4"/>
  <c r="CP18" i="4"/>
  <c r="CH23" i="3"/>
  <c r="CH23" i="4" s="1"/>
  <c r="DB23" i="4" s="1"/>
  <c r="CF23" i="4"/>
  <c r="CZ23" i="4" s="1"/>
  <c r="CF105" i="3"/>
  <c r="CH105" i="3" s="1"/>
  <c r="CF25" i="4"/>
  <c r="CH35" i="3"/>
  <c r="CH35" i="4" s="1"/>
  <c r="CF35" i="4"/>
  <c r="CH38" i="3"/>
  <c r="CH38" i="4" s="1"/>
  <c r="DB38" i="4" s="1"/>
  <c r="CF38" i="4"/>
  <c r="CZ38" i="4" s="1"/>
  <c r="CH41" i="3"/>
  <c r="CH41" i="4" s="1"/>
  <c r="DB41" i="4" s="1"/>
  <c r="CF41" i="4"/>
  <c r="CZ41" i="4" s="1"/>
  <c r="CH44" i="3"/>
  <c r="CH44" i="4" s="1"/>
  <c r="DB44" i="4" s="1"/>
  <c r="CF44" i="4"/>
  <c r="CZ44" i="4" s="1"/>
  <c r="CH51" i="3"/>
  <c r="CH51" i="4" s="1"/>
  <c r="DB51" i="4" s="1"/>
  <c r="CF51" i="4"/>
  <c r="CZ51" i="4" s="1"/>
  <c r="CH53" i="3"/>
  <c r="CH53" i="4" s="1"/>
  <c r="DB53" i="4" s="1"/>
  <c r="CF53" i="4"/>
  <c r="CZ53" i="4" s="1"/>
  <c r="CH54" i="3"/>
  <c r="CH54" i="4" s="1"/>
  <c r="DB54" i="4" s="1"/>
  <c r="CF54" i="4"/>
  <c r="CZ54" i="4" s="1"/>
  <c r="CH57" i="3"/>
  <c r="CH57" i="4" s="1"/>
  <c r="DB57" i="4" s="1"/>
  <c r="CF57" i="4"/>
  <c r="CZ57" i="4" s="1"/>
  <c r="CH59" i="3"/>
  <c r="CH59" i="4" s="1"/>
  <c r="DB59" i="4" s="1"/>
  <c r="CF59" i="4"/>
  <c r="CZ59" i="4" s="1"/>
  <c r="CP120" i="3"/>
  <c r="CP64" i="4"/>
  <c r="CH70" i="3"/>
  <c r="CH70" i="4" s="1"/>
  <c r="DB70" i="4" s="1"/>
  <c r="CF70" i="4"/>
  <c r="CZ70" i="4" s="1"/>
  <c r="CH74" i="3"/>
  <c r="CH74" i="4" s="1"/>
  <c r="DB74" i="4" s="1"/>
  <c r="CF74" i="4"/>
  <c r="CZ74" i="4" s="1"/>
  <c r="CH81" i="3"/>
  <c r="CH81" i="4" s="1"/>
  <c r="DB81" i="4" s="1"/>
  <c r="CF81" i="4"/>
  <c r="CZ81" i="4" s="1"/>
  <c r="CH15" i="3"/>
  <c r="CH15" i="4" s="1"/>
  <c r="DB15" i="4" s="1"/>
  <c r="CF15" i="4"/>
  <c r="CH18" i="3"/>
  <c r="CH18" i="4" s="1"/>
  <c r="DB18" i="4" s="1"/>
  <c r="CF18" i="4"/>
  <c r="CH46" i="3"/>
  <c r="CH46" i="4" s="1"/>
  <c r="DB46" i="4" s="1"/>
  <c r="CF46" i="4"/>
  <c r="CZ46" i="4" s="1"/>
  <c r="CH48" i="3"/>
  <c r="CH48" i="4" s="1"/>
  <c r="DB48" i="4" s="1"/>
  <c r="CF48" i="4"/>
  <c r="CZ48" i="4" s="1"/>
  <c r="CH79" i="3"/>
  <c r="CH79" i="4" s="1"/>
  <c r="DB79" i="4" s="1"/>
  <c r="CF79" i="4"/>
  <c r="CZ79" i="4" s="1"/>
  <c r="CH82" i="3"/>
  <c r="CH82" i="4" s="1"/>
  <c r="DB82" i="4" s="1"/>
  <c r="CF82" i="4"/>
  <c r="CZ82" i="4" s="1"/>
  <c r="CH84" i="3"/>
  <c r="CH84" i="4" s="1"/>
  <c r="DB84" i="4" s="1"/>
  <c r="CF84" i="4"/>
  <c r="CZ84" i="4" s="1"/>
  <c r="CH17" i="3"/>
  <c r="CH17" i="4" s="1"/>
  <c r="DB17" i="4" s="1"/>
  <c r="CF17" i="4"/>
  <c r="CH22" i="3"/>
  <c r="CH22" i="4" s="1"/>
  <c r="DB22" i="4" s="1"/>
  <c r="CF22" i="4"/>
  <c r="CZ22" i="4" s="1"/>
  <c r="CP105" i="3"/>
  <c r="CP25" i="4"/>
  <c r="CH29" i="3"/>
  <c r="CH29" i="4" s="1"/>
  <c r="DB29" i="4" s="1"/>
  <c r="CF29" i="4"/>
  <c r="CZ29" i="4" s="1"/>
  <c r="CH31" i="3"/>
  <c r="CH31" i="4" s="1"/>
  <c r="DB31" i="4" s="1"/>
  <c r="CF31" i="4"/>
  <c r="CZ31" i="4" s="1"/>
  <c r="CH47" i="3"/>
  <c r="CH47" i="4" s="1"/>
  <c r="DB47" i="4" s="1"/>
  <c r="CF47" i="4"/>
  <c r="CZ47" i="4" s="1"/>
  <c r="CH49" i="3"/>
  <c r="CH49" i="4" s="1"/>
  <c r="CF49" i="4"/>
  <c r="CH61" i="3"/>
  <c r="CH61" i="4" s="1"/>
  <c r="DB61" i="4" s="1"/>
  <c r="CF61" i="4"/>
  <c r="CZ61" i="4" s="1"/>
  <c r="CH76" i="3"/>
  <c r="CH76" i="4" s="1"/>
  <c r="DB76" i="4" s="1"/>
  <c r="CF76" i="4"/>
  <c r="CZ76" i="4" s="1"/>
  <c r="CH78" i="3"/>
  <c r="CH78" i="4" s="1"/>
  <c r="DB78" i="4" s="1"/>
  <c r="CF78" i="4"/>
  <c r="CZ78" i="4" s="1"/>
  <c r="CH80" i="3"/>
  <c r="CH80" i="4" s="1"/>
  <c r="DB80" i="4" s="1"/>
  <c r="CF80" i="4"/>
  <c r="CZ80" i="4" s="1"/>
  <c r="CH87" i="3"/>
  <c r="CH87" i="4" s="1"/>
  <c r="DB87" i="4" s="1"/>
  <c r="CF87" i="4"/>
  <c r="CZ87" i="4" s="1"/>
  <c r="CH72" i="3"/>
  <c r="CH72" i="4" s="1"/>
  <c r="DB72" i="4" s="1"/>
  <c r="CF72" i="4"/>
  <c r="CZ72" i="4" s="1"/>
  <c r="CT102" i="3"/>
  <c r="CT101" i="3" s="1"/>
  <c r="CT14" i="4"/>
  <c r="CH16" i="3"/>
  <c r="CH16" i="4" s="1"/>
  <c r="DB16" i="4" s="1"/>
  <c r="CF16" i="4"/>
  <c r="CT17" i="4"/>
  <c r="CH24" i="3"/>
  <c r="CH24" i="4" s="1"/>
  <c r="DB24" i="4" s="1"/>
  <c r="CF24" i="4"/>
  <c r="CZ24" i="4" s="1"/>
  <c r="CH37" i="3"/>
  <c r="CH37" i="4" s="1"/>
  <c r="DB37" i="4" s="1"/>
  <c r="CF37" i="4"/>
  <c r="CZ37" i="4" s="1"/>
  <c r="CH40" i="3"/>
  <c r="CH40" i="4" s="1"/>
  <c r="DB40" i="4" s="1"/>
  <c r="CF40" i="4"/>
  <c r="CZ40" i="4" s="1"/>
  <c r="CH42" i="3"/>
  <c r="CH42" i="4" s="1"/>
  <c r="DB42" i="4" s="1"/>
  <c r="CF42" i="4"/>
  <c r="CZ42" i="4" s="1"/>
  <c r="CH52" i="3"/>
  <c r="CH52" i="4" s="1"/>
  <c r="DB52" i="4" s="1"/>
  <c r="CF52" i="4"/>
  <c r="CZ52" i="4" s="1"/>
  <c r="CH55" i="3"/>
  <c r="CH55" i="4" s="1"/>
  <c r="DB55" i="4" s="1"/>
  <c r="CF55" i="4"/>
  <c r="CZ55" i="4" s="1"/>
  <c r="CH58" i="3"/>
  <c r="CH58" i="4" s="1"/>
  <c r="DB58" i="4" s="1"/>
  <c r="CF58" i="4"/>
  <c r="CZ58" i="4" s="1"/>
  <c r="CH60" i="3"/>
  <c r="CH60" i="4" s="1"/>
  <c r="DB60" i="4" s="1"/>
  <c r="CF60" i="4"/>
  <c r="CZ60" i="4" s="1"/>
  <c r="CH86" i="3"/>
  <c r="CH86" i="4" s="1"/>
  <c r="DB86" i="4" s="1"/>
  <c r="CF86" i="4"/>
  <c r="CZ86" i="4" s="1"/>
  <c r="CL60" i="3"/>
  <c r="CP29" i="3"/>
  <c r="CP29" i="4" s="1"/>
  <c r="DJ29" i="4" s="1"/>
  <c r="CP30" i="3"/>
  <c r="CP30" i="4" s="1"/>
  <c r="DJ30" i="4" s="1"/>
  <c r="CP38" i="3"/>
  <c r="CP38" i="4" s="1"/>
  <c r="DJ38" i="4" s="1"/>
  <c r="CF45" i="3"/>
  <c r="CL55" i="3"/>
  <c r="CL88" i="3"/>
  <c r="CL88" i="4" s="1"/>
  <c r="CF39" i="3"/>
  <c r="CP67" i="3"/>
  <c r="CP67" i="4" s="1"/>
  <c r="DJ67" i="4" s="1"/>
  <c r="CP70" i="3"/>
  <c r="CP70" i="4" s="1"/>
  <c r="DJ70" i="4" s="1"/>
  <c r="CL18" i="3"/>
  <c r="CL32" i="3"/>
  <c r="CL32" i="4" s="1"/>
  <c r="CP71" i="3"/>
  <c r="CP71" i="4" s="1"/>
  <c r="DJ71" i="4" s="1"/>
  <c r="CP85" i="3"/>
  <c r="CP85" i="4" s="1"/>
  <c r="DJ85" i="4" s="1"/>
  <c r="CT13" i="3"/>
  <c r="CT13" i="4" s="1"/>
  <c r="DN13" i="4" s="1"/>
  <c r="CP24" i="3"/>
  <c r="CP24" i="4" s="1"/>
  <c r="CL49" i="3"/>
  <c r="CL49" i="4" s="1"/>
  <c r="CL64" i="3"/>
  <c r="CP31" i="3"/>
  <c r="CP31" i="4" s="1"/>
  <c r="DJ31" i="4" s="1"/>
  <c r="CP84" i="3"/>
  <c r="CP84" i="4" s="1"/>
  <c r="DJ84" i="4" s="1"/>
  <c r="CP23" i="3"/>
  <c r="CP23" i="4" s="1"/>
  <c r="DJ23" i="4" s="1"/>
  <c r="CP41" i="3"/>
  <c r="CP41" i="4" s="1"/>
  <c r="DJ41" i="4" s="1"/>
  <c r="CP79" i="3"/>
  <c r="CP79" i="4" s="1"/>
  <c r="DJ79" i="4" s="1"/>
  <c r="CL92" i="3"/>
  <c r="CL92" i="4" s="1"/>
  <c r="DF92" i="4" s="1"/>
  <c r="CP59" i="3"/>
  <c r="CP59" i="4" s="1"/>
  <c r="DJ59" i="4" s="1"/>
  <c r="CL59" i="3"/>
  <c r="CP78" i="3"/>
  <c r="CP78" i="4" s="1"/>
  <c r="DJ78" i="4" s="1"/>
  <c r="CL43" i="3"/>
  <c r="CL43" i="4" s="1"/>
  <c r="DF43" i="4" s="1"/>
  <c r="CP43" i="3"/>
  <c r="CP43" i="4" s="1"/>
  <c r="DJ43" i="4" s="1"/>
  <c r="CP51" i="3"/>
  <c r="CP51" i="4" s="1"/>
  <c r="DJ51" i="4" s="1"/>
  <c r="CL72" i="3"/>
  <c r="CL73" i="3"/>
  <c r="CL73" i="4" s="1"/>
  <c r="DF73" i="4" s="1"/>
  <c r="CL89" i="3"/>
  <c r="CL89" i="4" s="1"/>
  <c r="DF89" i="4" s="1"/>
  <c r="CP27" i="3"/>
  <c r="CP27" i="4" s="1"/>
  <c r="DJ27" i="4" s="1"/>
  <c r="CL40" i="3"/>
  <c r="CL75" i="3"/>
  <c r="CL75" i="4" s="1"/>
  <c r="DF75" i="4" s="1"/>
  <c r="CF14" i="3"/>
  <c r="CL68" i="3"/>
  <c r="CL68" i="4" s="1"/>
  <c r="CF75" i="3"/>
  <c r="CP13" i="3"/>
  <c r="CP13" i="4" s="1"/>
  <c r="DJ13" i="4" s="1"/>
  <c r="CL22" i="3"/>
  <c r="CL38" i="3"/>
  <c r="CP47" i="3"/>
  <c r="CP47" i="4" s="1"/>
  <c r="DJ47" i="4" s="1"/>
  <c r="CL57" i="3"/>
  <c r="CP57" i="3"/>
  <c r="CP57" i="4" s="1"/>
  <c r="DJ57" i="4" s="1"/>
  <c r="CP91" i="3"/>
  <c r="CP91" i="4" s="1"/>
  <c r="DJ91" i="4" s="1"/>
  <c r="CL44" i="3"/>
  <c r="CL47" i="3"/>
  <c r="CF13" i="3"/>
  <c r="CP20" i="3"/>
  <c r="CP20" i="4" s="1"/>
  <c r="DJ20" i="4" s="1"/>
  <c r="CL25" i="3"/>
  <c r="CL36" i="3"/>
  <c r="CF77" i="3"/>
  <c r="CL85" i="3"/>
  <c r="CL85" i="4" s="1"/>
  <c r="DF85" i="4" s="1"/>
  <c r="CP92" i="3"/>
  <c r="CP92" i="4" s="1"/>
  <c r="DJ92" i="4" s="1"/>
  <c r="CL26" i="3"/>
  <c r="CL26" i="4" s="1"/>
  <c r="DF26" i="4" s="1"/>
  <c r="CL24" i="3"/>
  <c r="CF20" i="3"/>
  <c r="CL53" i="3"/>
  <c r="CF88" i="3"/>
  <c r="CF117" i="3" s="1"/>
  <c r="CH117" i="3" s="1"/>
  <c r="CL14" i="3"/>
  <c r="CL14" i="4" s="1"/>
  <c r="DF14" i="4" s="1"/>
  <c r="CL23" i="3"/>
  <c r="CL48" i="3"/>
  <c r="CF50" i="3"/>
  <c r="CF67" i="3"/>
  <c r="CL86" i="3"/>
  <c r="CP14" i="3"/>
  <c r="CL16" i="3"/>
  <c r="CP17" i="3"/>
  <c r="CF26" i="3"/>
  <c r="CL31" i="3"/>
  <c r="CF34" i="3"/>
  <c r="CP46" i="3"/>
  <c r="CP46" i="4" s="1"/>
  <c r="DJ46" i="4" s="1"/>
  <c r="CP48" i="3"/>
  <c r="CP48" i="4" s="1"/>
  <c r="DJ48" i="4" s="1"/>
  <c r="CP58" i="3"/>
  <c r="CP58" i="4" s="1"/>
  <c r="DJ58" i="4" s="1"/>
  <c r="CL61" i="3"/>
  <c r="CL84" i="3"/>
  <c r="CP26" i="3"/>
  <c r="CP26" i="4" s="1"/>
  <c r="DJ26" i="4" s="1"/>
  <c r="CF28" i="3"/>
  <c r="CP34" i="3"/>
  <c r="CP34" i="4" s="1"/>
  <c r="DJ34" i="4" s="1"/>
  <c r="CP37" i="3"/>
  <c r="CP37" i="4" s="1"/>
  <c r="DJ37" i="4" s="1"/>
  <c r="CF56" i="3"/>
  <c r="CP60" i="3"/>
  <c r="CP60" i="4" s="1"/>
  <c r="DJ60" i="4" s="1"/>
  <c r="CP69" i="3"/>
  <c r="CP69" i="4" s="1"/>
  <c r="DJ69" i="4" s="1"/>
  <c r="CP21" i="3"/>
  <c r="CP21" i="4" s="1"/>
  <c r="DJ21" i="4" s="1"/>
  <c r="CP42" i="3"/>
  <c r="CP42" i="4" s="1"/>
  <c r="DJ42" i="4" s="1"/>
  <c r="CT43" i="3"/>
  <c r="CT43" i="4" s="1"/>
  <c r="DN43" i="4" s="1"/>
  <c r="CL15" i="3"/>
  <c r="CL37" i="3"/>
  <c r="CP40" i="3"/>
  <c r="CP40" i="4" s="1"/>
  <c r="DJ40" i="4" s="1"/>
  <c r="CF43" i="3"/>
  <c r="CF114" i="3" s="1"/>
  <c r="CH114" i="3" s="1"/>
  <c r="CL51" i="3"/>
  <c r="CP52" i="3"/>
  <c r="CP52" i="4" s="1"/>
  <c r="DJ52" i="4" s="1"/>
  <c r="CP55" i="3"/>
  <c r="CP55" i="4" s="1"/>
  <c r="DJ55" i="4" s="1"/>
  <c r="CF66" i="3"/>
  <c r="CL80" i="3"/>
  <c r="CL81" i="3"/>
  <c r="CF69" i="3"/>
  <c r="CF111" i="3" s="1"/>
  <c r="CH111" i="3" s="1"/>
  <c r="CL74" i="3"/>
  <c r="CL82" i="3"/>
  <c r="CF85" i="3"/>
  <c r="CF73" i="3"/>
  <c r="CF108" i="3" s="1"/>
  <c r="CH108" i="3" s="1"/>
  <c r="CL76" i="3"/>
  <c r="CL87" i="3"/>
  <c r="CT97" i="3"/>
  <c r="CT97" i="4" s="1"/>
  <c r="DN97" i="4" s="1"/>
  <c r="CL70" i="3"/>
  <c r="CL71" i="3"/>
  <c r="CL71" i="4" s="1"/>
  <c r="DF71" i="4" s="1"/>
  <c r="DN14" i="4" l="1"/>
  <c r="CZ15" i="4"/>
  <c r="DJ64" i="4"/>
  <c r="CZ25" i="4"/>
  <c r="DJ18" i="4"/>
  <c r="CZ16" i="4"/>
  <c r="DJ25" i="4"/>
  <c r="CZ17" i="4"/>
  <c r="CZ18" i="4"/>
  <c r="CZ64" i="4"/>
  <c r="CP108" i="3"/>
  <c r="CX57" i="3"/>
  <c r="CX57" i="4" s="1"/>
  <c r="DR57" i="4" s="1"/>
  <c r="CL57" i="4"/>
  <c r="DF57" i="4" s="1"/>
  <c r="CX55" i="3"/>
  <c r="CX55" i="4" s="1"/>
  <c r="DR55" i="4" s="1"/>
  <c r="CL55" i="4"/>
  <c r="DF55" i="4" s="1"/>
  <c r="CH69" i="3"/>
  <c r="CF69" i="4"/>
  <c r="CZ69" i="4" s="1"/>
  <c r="CH26" i="3"/>
  <c r="CH26" i="4" s="1"/>
  <c r="DB26" i="4" s="1"/>
  <c r="CF26" i="4"/>
  <c r="CZ26" i="4" s="1"/>
  <c r="CX23" i="3"/>
  <c r="CX23" i="4" s="1"/>
  <c r="DR23" i="4" s="1"/>
  <c r="CL23" i="4"/>
  <c r="DF23" i="4" s="1"/>
  <c r="CH20" i="3"/>
  <c r="CH20" i="4" s="1"/>
  <c r="DB20" i="4" s="1"/>
  <c r="CF20" i="4"/>
  <c r="CZ20" i="4" s="1"/>
  <c r="CH75" i="3"/>
  <c r="CH75" i="4" s="1"/>
  <c r="DB75" i="4" s="1"/>
  <c r="CF75" i="4"/>
  <c r="CZ75" i="4" s="1"/>
  <c r="CX40" i="3"/>
  <c r="CX40" i="4" s="1"/>
  <c r="DR40" i="4" s="1"/>
  <c r="CL40" i="4"/>
  <c r="DF40" i="4" s="1"/>
  <c r="CX18" i="3"/>
  <c r="CX18" i="4" s="1"/>
  <c r="DR18" i="4" s="1"/>
  <c r="CL18" i="4"/>
  <c r="DF18" i="4" s="1"/>
  <c r="CH45" i="3"/>
  <c r="CH45" i="4" s="1"/>
  <c r="DB45" i="4" s="1"/>
  <c r="CF45" i="4"/>
  <c r="CZ45" i="4" s="1"/>
  <c r="CL105" i="3"/>
  <c r="CX105" i="3" s="1"/>
  <c r="CP104" i="3"/>
  <c r="CL104" i="3" s="1"/>
  <c r="CP102" i="3"/>
  <c r="CP14" i="4"/>
  <c r="CX53" i="3"/>
  <c r="CX53" i="4" s="1"/>
  <c r="DR53" i="4" s="1"/>
  <c r="CL53" i="4"/>
  <c r="DF53" i="4" s="1"/>
  <c r="CX44" i="3"/>
  <c r="CX44" i="4" s="1"/>
  <c r="DR44" i="4" s="1"/>
  <c r="CL44" i="4"/>
  <c r="DF44" i="4" s="1"/>
  <c r="CX86" i="3"/>
  <c r="CX86" i="4" s="1"/>
  <c r="DR86" i="4" s="1"/>
  <c r="CL86" i="4"/>
  <c r="DF86" i="4" s="1"/>
  <c r="CX87" i="3"/>
  <c r="CX87" i="4" s="1"/>
  <c r="DR87" i="4" s="1"/>
  <c r="CL87" i="4"/>
  <c r="DF87" i="4" s="1"/>
  <c r="CX82" i="3"/>
  <c r="CX82" i="4" s="1"/>
  <c r="CL82" i="4"/>
  <c r="CX51" i="3"/>
  <c r="CX51" i="4" s="1"/>
  <c r="DR51" i="4" s="1"/>
  <c r="CL51" i="4"/>
  <c r="DF51" i="4" s="1"/>
  <c r="CX15" i="3"/>
  <c r="CX15" i="4" s="1"/>
  <c r="CL15" i="4"/>
  <c r="CX84" i="3"/>
  <c r="CX84" i="4" s="1"/>
  <c r="DR84" i="4" s="1"/>
  <c r="CL84" i="4"/>
  <c r="DF84" i="4" s="1"/>
  <c r="CP114" i="3"/>
  <c r="CP17" i="4"/>
  <c r="CH67" i="3"/>
  <c r="CH67" i="4" s="1"/>
  <c r="DB67" i="4" s="1"/>
  <c r="CF67" i="4"/>
  <c r="CZ67" i="4" s="1"/>
  <c r="CX24" i="3"/>
  <c r="CL24" i="4"/>
  <c r="CH77" i="3"/>
  <c r="CH77" i="4" s="1"/>
  <c r="DB77" i="4" s="1"/>
  <c r="CF77" i="4"/>
  <c r="CZ77" i="4" s="1"/>
  <c r="CH13" i="3"/>
  <c r="CH13" i="4" s="1"/>
  <c r="DB13" i="4" s="1"/>
  <c r="CF13" i="4"/>
  <c r="CZ13" i="4" s="1"/>
  <c r="CX38" i="3"/>
  <c r="CX38" i="4" s="1"/>
  <c r="DR38" i="4" s="1"/>
  <c r="CL38" i="4"/>
  <c r="DF38" i="4" s="1"/>
  <c r="CX72" i="3"/>
  <c r="CX72" i="4" s="1"/>
  <c r="DR72" i="4" s="1"/>
  <c r="CL72" i="4"/>
  <c r="DF72" i="4" s="1"/>
  <c r="CX64" i="3"/>
  <c r="CX64" i="4" s="1"/>
  <c r="DR64" i="4" s="1"/>
  <c r="CL64" i="4"/>
  <c r="DF64" i="4" s="1"/>
  <c r="CH39" i="3"/>
  <c r="CH39" i="4" s="1"/>
  <c r="DB39" i="4" s="1"/>
  <c r="CF39" i="4"/>
  <c r="CZ39" i="4" s="1"/>
  <c r="CX60" i="3"/>
  <c r="CX60" i="4" s="1"/>
  <c r="DR60" i="4" s="1"/>
  <c r="CL60" i="4"/>
  <c r="DF60" i="4" s="1"/>
  <c r="CT114" i="3"/>
  <c r="CT113" i="3" s="1"/>
  <c r="CP119" i="3"/>
  <c r="CL119" i="3" s="1"/>
  <c r="CL120" i="3"/>
  <c r="CX120" i="3" s="1"/>
  <c r="CP117" i="3"/>
  <c r="CH73" i="3"/>
  <c r="CH73" i="4" s="1"/>
  <c r="DB73" i="4" s="1"/>
  <c r="CF73" i="4"/>
  <c r="CZ73" i="4" s="1"/>
  <c r="CX80" i="3"/>
  <c r="CX80" i="4" s="1"/>
  <c r="DR80" i="4" s="1"/>
  <c r="CL80" i="4"/>
  <c r="DF80" i="4" s="1"/>
  <c r="CH28" i="3"/>
  <c r="CH28" i="4" s="1"/>
  <c r="DB28" i="4" s="1"/>
  <c r="CF28" i="4"/>
  <c r="CZ28" i="4" s="1"/>
  <c r="CX31" i="3"/>
  <c r="CX31" i="4" s="1"/>
  <c r="DR31" i="4" s="1"/>
  <c r="CL31" i="4"/>
  <c r="DF31" i="4" s="1"/>
  <c r="CX48" i="3"/>
  <c r="CX48" i="4" s="1"/>
  <c r="DR48" i="4" s="1"/>
  <c r="CL48" i="4"/>
  <c r="DF48" i="4" s="1"/>
  <c r="CX25" i="3"/>
  <c r="CX25" i="4" s="1"/>
  <c r="DR25" i="4" s="1"/>
  <c r="CL25" i="4"/>
  <c r="DF25" i="4" s="1"/>
  <c r="CX59" i="3"/>
  <c r="CX59" i="4" s="1"/>
  <c r="DR59" i="4" s="1"/>
  <c r="CL59" i="4"/>
  <c r="DF59" i="4" s="1"/>
  <c r="CH85" i="3"/>
  <c r="CH85" i="4" s="1"/>
  <c r="DB85" i="4" s="1"/>
  <c r="CF85" i="4"/>
  <c r="CZ85" i="4" s="1"/>
  <c r="CX37" i="3"/>
  <c r="CX37" i="4" s="1"/>
  <c r="DR37" i="4" s="1"/>
  <c r="CL37" i="4"/>
  <c r="DF37" i="4" s="1"/>
  <c r="CH56" i="3"/>
  <c r="CH56" i="4" s="1"/>
  <c r="DB56" i="4" s="1"/>
  <c r="CF56" i="4"/>
  <c r="CZ56" i="4" s="1"/>
  <c r="CX70" i="3"/>
  <c r="CX70" i="4" s="1"/>
  <c r="DR70" i="4" s="1"/>
  <c r="CL70" i="4"/>
  <c r="DF70" i="4" s="1"/>
  <c r="CX76" i="3"/>
  <c r="CX76" i="4" s="1"/>
  <c r="CL76" i="4"/>
  <c r="CX74" i="3"/>
  <c r="CX74" i="4" s="1"/>
  <c r="DR74" i="4" s="1"/>
  <c r="CL74" i="4"/>
  <c r="DF74" i="4" s="1"/>
  <c r="CX81" i="3"/>
  <c r="CX81" i="4" s="1"/>
  <c r="DR81" i="4" s="1"/>
  <c r="CL81" i="4"/>
  <c r="DF81" i="4" s="1"/>
  <c r="CH66" i="3"/>
  <c r="CH66" i="4" s="1"/>
  <c r="DB66" i="4" s="1"/>
  <c r="CF66" i="4"/>
  <c r="CZ66" i="4" s="1"/>
  <c r="CH43" i="3"/>
  <c r="CH43" i="4" s="1"/>
  <c r="DB43" i="4" s="1"/>
  <c r="CF43" i="4"/>
  <c r="CZ43" i="4" s="1"/>
  <c r="CX61" i="3"/>
  <c r="CX61" i="4" s="1"/>
  <c r="DR61" i="4" s="1"/>
  <c r="CL61" i="4"/>
  <c r="DF61" i="4" s="1"/>
  <c r="CH34" i="3"/>
  <c r="CH34" i="4" s="1"/>
  <c r="DB34" i="4" s="1"/>
  <c r="CF34" i="4"/>
  <c r="CZ34" i="4" s="1"/>
  <c r="CX16" i="3"/>
  <c r="CX16" i="4" s="1"/>
  <c r="CL16" i="4"/>
  <c r="CH50" i="3"/>
  <c r="CH50" i="4" s="1"/>
  <c r="DB50" i="4" s="1"/>
  <c r="CF50" i="4"/>
  <c r="CZ50" i="4" s="1"/>
  <c r="CH88" i="3"/>
  <c r="CF88" i="4"/>
  <c r="CZ88" i="4" s="1"/>
  <c r="CX36" i="3"/>
  <c r="CX36" i="4" s="1"/>
  <c r="DR36" i="4" s="1"/>
  <c r="CL36" i="4"/>
  <c r="DF36" i="4" s="1"/>
  <c r="CX47" i="3"/>
  <c r="CX47" i="4" s="1"/>
  <c r="DR47" i="4" s="1"/>
  <c r="CL47" i="4"/>
  <c r="DF47" i="4" s="1"/>
  <c r="CX22" i="3"/>
  <c r="CX22" i="4" s="1"/>
  <c r="DR22" i="4" s="1"/>
  <c r="CL22" i="4"/>
  <c r="DF22" i="4" s="1"/>
  <c r="CH14" i="3"/>
  <c r="CH14" i="4" s="1"/>
  <c r="DB14" i="4" s="1"/>
  <c r="CF102" i="3"/>
  <c r="CH102" i="3" s="1"/>
  <c r="CF14" i="4"/>
  <c r="CP111" i="3"/>
  <c r="CL34" i="3"/>
  <c r="CL41" i="3"/>
  <c r="CL54" i="3"/>
  <c r="CL33" i="3"/>
  <c r="CL33" i="4" s="1"/>
  <c r="DF33" i="4" s="1"/>
  <c r="CX85" i="3"/>
  <c r="CX85" i="4" s="1"/>
  <c r="DR85" i="4" s="1"/>
  <c r="CL83" i="3"/>
  <c r="CL83" i="4" s="1"/>
  <c r="DF83" i="4" s="1"/>
  <c r="CP83" i="3"/>
  <c r="CP83" i="4" s="1"/>
  <c r="DJ83" i="4" s="1"/>
  <c r="CL78" i="3"/>
  <c r="CP28" i="3"/>
  <c r="CP28" i="4" s="1"/>
  <c r="DJ28" i="4" s="1"/>
  <c r="CL46" i="3"/>
  <c r="CP77" i="3"/>
  <c r="CP77" i="4" s="1"/>
  <c r="DJ77" i="4" s="1"/>
  <c r="CL27" i="3"/>
  <c r="CL42" i="3"/>
  <c r="CL13" i="3"/>
  <c r="CL30" i="3"/>
  <c r="CX75" i="3"/>
  <c r="CX75" i="4" s="1"/>
  <c r="DR75" i="4" s="1"/>
  <c r="CX14" i="3"/>
  <c r="CX14" i="4" s="1"/>
  <c r="DR14" i="4" s="1"/>
  <c r="CH68" i="3"/>
  <c r="DB25" i="4"/>
  <c r="CP33" i="3"/>
  <c r="CP33" i="4" s="1"/>
  <c r="DJ33" i="4" s="1"/>
  <c r="CF71" i="3"/>
  <c r="CL79" i="3"/>
  <c r="CL66" i="3"/>
  <c r="CX17" i="3"/>
  <c r="CX17" i="4" s="1"/>
  <c r="DR17" i="4" s="1"/>
  <c r="CL52" i="3"/>
  <c r="CX73" i="3"/>
  <c r="CX73" i="4" s="1"/>
  <c r="DR73" i="4" s="1"/>
  <c r="CF83" i="3"/>
  <c r="CL29" i="3"/>
  <c r="CP19" i="3"/>
  <c r="CP19" i="4" s="1"/>
  <c r="DJ19" i="4" s="1"/>
  <c r="CX43" i="3"/>
  <c r="CX43" i="4" s="1"/>
  <c r="DR43" i="4" s="1"/>
  <c r="CL91" i="3"/>
  <c r="CL91" i="4" s="1"/>
  <c r="DF91" i="4" s="1"/>
  <c r="CF19" i="3"/>
  <c r="CL19" i="3"/>
  <c r="CL19" i="4" s="1"/>
  <c r="DF19" i="4" s="1"/>
  <c r="CL69" i="3"/>
  <c r="CP56" i="3"/>
  <c r="CP56" i="4" s="1"/>
  <c r="DJ56" i="4" s="1"/>
  <c r="CP45" i="3"/>
  <c r="CP45" i="4" s="1"/>
  <c r="DJ45" i="4" s="1"/>
  <c r="CF33" i="3"/>
  <c r="CL28" i="3"/>
  <c r="CL58" i="3"/>
  <c r="CP39" i="3"/>
  <c r="CP39" i="4" s="1"/>
  <c r="DJ39" i="4" s="1"/>
  <c r="CX26" i="3"/>
  <c r="CX26" i="4" s="1"/>
  <c r="DR26" i="4" s="1"/>
  <c r="CP50" i="3"/>
  <c r="CP50" i="4" s="1"/>
  <c r="DJ50" i="4" s="1"/>
  <c r="CP66" i="3"/>
  <c r="CP66" i="4" s="1"/>
  <c r="DJ66" i="4" s="1"/>
  <c r="CL67" i="3"/>
  <c r="CL20" i="3"/>
  <c r="CX88" i="3"/>
  <c r="CX88" i="4" s="1"/>
  <c r="CL21" i="3"/>
  <c r="DJ14" i="4" l="1"/>
  <c r="CZ14" i="4"/>
  <c r="DJ17" i="4"/>
  <c r="CX28" i="3"/>
  <c r="CX28" i="4" s="1"/>
  <c r="DR28" i="4" s="1"/>
  <c r="CL28" i="4"/>
  <c r="DF28" i="4" s="1"/>
  <c r="CX69" i="3"/>
  <c r="CX69" i="4" s="1"/>
  <c r="DR69" i="4" s="1"/>
  <c r="CL69" i="4"/>
  <c r="DF69" i="4" s="1"/>
  <c r="CX66" i="3"/>
  <c r="CX66" i="4" s="1"/>
  <c r="DR66" i="4" s="1"/>
  <c r="CL66" i="4"/>
  <c r="DF66" i="4" s="1"/>
  <c r="CX42" i="3"/>
  <c r="CX42" i="4" s="1"/>
  <c r="DR42" i="4" s="1"/>
  <c r="CL42" i="4"/>
  <c r="DF42" i="4" s="1"/>
  <c r="CX46" i="3"/>
  <c r="CX46" i="4" s="1"/>
  <c r="DR46" i="4" s="1"/>
  <c r="CL46" i="4"/>
  <c r="DF46" i="4" s="1"/>
  <c r="CX41" i="3"/>
  <c r="CX41" i="4" s="1"/>
  <c r="DR41" i="4" s="1"/>
  <c r="CL41" i="4"/>
  <c r="DF41" i="4" s="1"/>
  <c r="CP101" i="3"/>
  <c r="CL102" i="3"/>
  <c r="CX21" i="3"/>
  <c r="CX21" i="4" s="1"/>
  <c r="DR21" i="4" s="1"/>
  <c r="CL21" i="4"/>
  <c r="DF21" i="4" s="1"/>
  <c r="CX54" i="3"/>
  <c r="CX54" i="4" s="1"/>
  <c r="DR54" i="4" s="1"/>
  <c r="CL54" i="4"/>
  <c r="DF54" i="4" s="1"/>
  <c r="CX79" i="3"/>
  <c r="CX79" i="4" s="1"/>
  <c r="DR79" i="4" s="1"/>
  <c r="CL79" i="4"/>
  <c r="DF79" i="4" s="1"/>
  <c r="CH88" i="4"/>
  <c r="DB88" i="4" s="1"/>
  <c r="CP113" i="3"/>
  <c r="CL114" i="3"/>
  <c r="CX58" i="3"/>
  <c r="CX58" i="4" s="1"/>
  <c r="DR58" i="4" s="1"/>
  <c r="CL58" i="4"/>
  <c r="DF58" i="4" s="1"/>
  <c r="CX13" i="3"/>
  <c r="CX13" i="4" s="1"/>
  <c r="DR13" i="4" s="1"/>
  <c r="CL13" i="4"/>
  <c r="DF13" i="4" s="1"/>
  <c r="CX20" i="3"/>
  <c r="CX20" i="4" s="1"/>
  <c r="DR20" i="4" s="1"/>
  <c r="CL20" i="4"/>
  <c r="DF20" i="4" s="1"/>
  <c r="CH33" i="3"/>
  <c r="CH33" i="4" s="1"/>
  <c r="DB33" i="4" s="1"/>
  <c r="CF33" i="4"/>
  <c r="CZ33" i="4" s="1"/>
  <c r="CX29" i="3"/>
  <c r="CX29" i="4" s="1"/>
  <c r="DR29" i="4" s="1"/>
  <c r="CL29" i="4"/>
  <c r="DF29" i="4" s="1"/>
  <c r="CX52" i="3"/>
  <c r="CX52" i="4" s="1"/>
  <c r="DR52" i="4" s="1"/>
  <c r="CL52" i="4"/>
  <c r="DF52" i="4" s="1"/>
  <c r="CX27" i="3"/>
  <c r="CX27" i="4" s="1"/>
  <c r="DR27" i="4" s="1"/>
  <c r="CL27" i="4"/>
  <c r="DF27" i="4" s="1"/>
  <c r="CX34" i="3"/>
  <c r="CX34" i="4" s="1"/>
  <c r="DR34" i="4" s="1"/>
  <c r="CL34" i="4"/>
  <c r="DF34" i="4" s="1"/>
  <c r="CX67" i="3"/>
  <c r="CX67" i="4" s="1"/>
  <c r="DR67" i="4" s="1"/>
  <c r="CL67" i="4"/>
  <c r="DF67" i="4" s="1"/>
  <c r="CH19" i="3"/>
  <c r="CH19" i="4" s="1"/>
  <c r="DB19" i="4" s="1"/>
  <c r="CF19" i="4"/>
  <c r="CZ19" i="4" s="1"/>
  <c r="CH83" i="3"/>
  <c r="CH83" i="4" s="1"/>
  <c r="DB83" i="4" s="1"/>
  <c r="CF83" i="4"/>
  <c r="CZ83" i="4" s="1"/>
  <c r="CH71" i="3"/>
  <c r="CH71" i="4" s="1"/>
  <c r="DB71" i="4" s="1"/>
  <c r="CF71" i="4"/>
  <c r="CZ71" i="4" s="1"/>
  <c r="CX30" i="3"/>
  <c r="CX30" i="4" s="1"/>
  <c r="DR30" i="4" s="1"/>
  <c r="CL30" i="4"/>
  <c r="DF30" i="4" s="1"/>
  <c r="CX78" i="3"/>
  <c r="CX78" i="4" s="1"/>
  <c r="DR78" i="4" s="1"/>
  <c r="CL78" i="4"/>
  <c r="DF78" i="4" s="1"/>
  <c r="CP110" i="3"/>
  <c r="CL110" i="3" s="1"/>
  <c r="CL111" i="3"/>
  <c r="CX111" i="3" s="1"/>
  <c r="CL117" i="3"/>
  <c r="CX117" i="3" s="1"/>
  <c r="CP116" i="3"/>
  <c r="CL116" i="3" s="1"/>
  <c r="CP107" i="3"/>
  <c r="CL107" i="3" s="1"/>
  <c r="CL108" i="3"/>
  <c r="CX108" i="3" s="1"/>
  <c r="CH69" i="4"/>
  <c r="DB69" i="4" s="1"/>
  <c r="CX71" i="3"/>
  <c r="CX71" i="4" s="1"/>
  <c r="DR71" i="4" s="1"/>
  <c r="CL77" i="3"/>
  <c r="CX83" i="3"/>
  <c r="CX83" i="4" s="1"/>
  <c r="DR83" i="4" s="1"/>
  <c r="CX19" i="3"/>
  <c r="CX19" i="4" s="1"/>
  <c r="DR19" i="4" s="1"/>
  <c r="CX33" i="3"/>
  <c r="CX33" i="4" s="1"/>
  <c r="DR33" i="4" s="1"/>
  <c r="CL39" i="3"/>
  <c r="CL56" i="3"/>
  <c r="CT62" i="3"/>
  <c r="CT62" i="4" s="1"/>
  <c r="DN62" i="4" s="1"/>
  <c r="CP62" i="3"/>
  <c r="CP62" i="4" s="1"/>
  <c r="DJ62" i="4" s="1"/>
  <c r="CF62" i="3"/>
  <c r="CL50" i="3"/>
  <c r="CL45" i="3"/>
  <c r="CP65" i="3"/>
  <c r="CP65" i="4" s="1"/>
  <c r="DJ65" i="4" s="1"/>
  <c r="CX56" i="3" l="1"/>
  <c r="CX56" i="4" s="1"/>
  <c r="DR56" i="4" s="1"/>
  <c r="CL56" i="4"/>
  <c r="DF56" i="4" s="1"/>
  <c r="CX102" i="3"/>
  <c r="CL101" i="3"/>
  <c r="CH62" i="3"/>
  <c r="CH62" i="4" s="1"/>
  <c r="DB62" i="4" s="1"/>
  <c r="CF62" i="4"/>
  <c r="CZ62" i="4" s="1"/>
  <c r="CX39" i="3"/>
  <c r="CX39" i="4" s="1"/>
  <c r="DR39" i="4" s="1"/>
  <c r="CL39" i="4"/>
  <c r="DF39" i="4" s="1"/>
  <c r="CX45" i="3"/>
  <c r="CX45" i="4" s="1"/>
  <c r="DR45" i="4" s="1"/>
  <c r="CL45" i="4"/>
  <c r="DF45" i="4" s="1"/>
  <c r="CL113" i="3"/>
  <c r="CX114" i="3"/>
  <c r="CX50" i="3"/>
  <c r="CX50" i="4" s="1"/>
  <c r="DR50" i="4" s="1"/>
  <c r="CL50" i="4"/>
  <c r="DF50" i="4" s="1"/>
  <c r="CX77" i="3"/>
  <c r="CX77" i="4" s="1"/>
  <c r="DR77" i="4" s="1"/>
  <c r="CL77" i="4"/>
  <c r="DF77" i="4" s="1"/>
  <c r="CT65" i="3"/>
  <c r="CT65" i="4" s="1"/>
  <c r="DN65" i="4" s="1"/>
  <c r="CF65" i="3"/>
  <c r="CL65" i="3"/>
  <c r="CL65" i="4" s="1"/>
  <c r="DF65" i="4" s="1"/>
  <c r="CL62" i="3"/>
  <c r="CX62" i="3" l="1"/>
  <c r="CX62" i="4" s="1"/>
  <c r="DR62" i="4" s="1"/>
  <c r="CL62" i="4"/>
  <c r="DF62" i="4" s="1"/>
  <c r="CH65" i="3"/>
  <c r="CH65" i="4" s="1"/>
  <c r="DB65" i="4" s="1"/>
  <c r="CF65" i="4"/>
  <c r="CZ65" i="4" s="1"/>
  <c r="CH90" i="3"/>
  <c r="CH90" i="4" s="1"/>
  <c r="DB90" i="4" s="1"/>
  <c r="CX65" i="3"/>
  <c r="CX65" i="4" s="1"/>
  <c r="DR65" i="4" s="1"/>
  <c r="CT90" i="3"/>
  <c r="CT90" i="4" s="1"/>
  <c r="DN90" i="4" s="1"/>
  <c r="CZ122" i="3"/>
  <c r="CT50" i="3"/>
  <c r="CT50" i="4" s="1"/>
  <c r="CT39" i="3"/>
  <c r="CT39" i="4" s="1"/>
  <c r="DN39" i="4" s="1"/>
  <c r="CT26" i="3"/>
  <c r="CT26" i="4" s="1"/>
  <c r="CT19" i="3"/>
  <c r="CT19" i="4" s="1"/>
  <c r="CU97" i="3"/>
  <c r="CP97" i="3"/>
  <c r="CP97" i="4" s="1"/>
  <c r="DJ97" i="4" s="1"/>
  <c r="CL97" i="3"/>
  <c r="CL97" i="4" s="1"/>
  <c r="DF97" i="4" s="1"/>
  <c r="CT92" i="3"/>
  <c r="CT92" i="4" s="1"/>
  <c r="DN92" i="4" s="1"/>
  <c r="CP98" i="3"/>
  <c r="CP98" i="4" s="1"/>
  <c r="DJ98" i="4" s="1"/>
  <c r="CP90" i="3" l="1"/>
  <c r="CP90" i="4" s="1"/>
  <c r="DJ90" i="4" s="1"/>
  <c r="CT45" i="3"/>
  <c r="CT45" i="4" s="1"/>
  <c r="CT28" i="3"/>
  <c r="CT28" i="4" s="1"/>
  <c r="CT98" i="3"/>
  <c r="CT98" i="4" s="1"/>
  <c r="DN98" i="4" s="1"/>
  <c r="CT33" i="3"/>
  <c r="CT33" i="4" s="1"/>
  <c r="CT56" i="3"/>
  <c r="CT56" i="4" s="1"/>
  <c r="CB98" i="3" l="1"/>
  <c r="CB98" i="4" s="1"/>
  <c r="CL90" i="3"/>
  <c r="CL90" i="4" s="1"/>
  <c r="DF90" i="4" s="1"/>
  <c r="CL98" i="3"/>
  <c r="CL98" i="4" s="1"/>
  <c r="DF98" i="4" s="1"/>
  <c r="CQ97" i="3"/>
  <c r="DA122" i="3"/>
  <c r="CX90" i="3" l="1"/>
  <c r="CX90" i="4" s="1"/>
  <c r="DR90" i="4" s="1"/>
  <c r="BH98" i="3"/>
  <c r="BH98" i="4" s="1"/>
  <c r="P98" i="3"/>
  <c r="T98" i="3"/>
  <c r="CM97" i="3"/>
  <c r="L98" i="3" l="1"/>
  <c r="H98" i="3" s="1"/>
  <c r="BD98" i="3"/>
  <c r="BX98" i="3"/>
  <c r="CQ98" i="3"/>
  <c r="BT98" i="3" l="1"/>
  <c r="BX98" i="4"/>
  <c r="AZ98" i="3"/>
  <c r="AZ98" i="4" s="1"/>
  <c r="BD98" i="4"/>
  <c r="AV98" i="3" l="1"/>
  <c r="AV98" i="4" s="1"/>
  <c r="BP98" i="3"/>
  <c r="BP98" i="4" s="1"/>
  <c r="BT98" i="4"/>
  <c r="CM98" i="3"/>
  <c r="CU98" i="3"/>
  <c r="CR91" i="3" l="1"/>
  <c r="CR91" i="4" s="1"/>
  <c r="DL91" i="4" s="1"/>
  <c r="CR90" i="3"/>
  <c r="CR90" i="4" s="1"/>
  <c r="DL90" i="4" s="1"/>
  <c r="AJ98" i="3" l="1"/>
  <c r="CR98" i="3" s="1"/>
  <c r="CR98" i="4" s="1"/>
  <c r="DL98" i="4" s="1"/>
  <c r="CR97" i="3"/>
  <c r="CR97" i="4" s="1"/>
  <c r="DL97" i="4" s="1"/>
  <c r="CS97" i="3"/>
  <c r="CV90" i="3" l="1"/>
  <c r="CV90" i="4" s="1"/>
  <c r="DP90" i="4" s="1"/>
  <c r="CJ91" i="3"/>
  <c r="DD91" i="4" s="1"/>
  <c r="CN91" i="3"/>
  <c r="CN91" i="4" s="1"/>
  <c r="DH91" i="4" s="1"/>
  <c r="AN98" i="3"/>
  <c r="CV97" i="3"/>
  <c r="CV97" i="4" s="1"/>
  <c r="DP97" i="4" s="1"/>
  <c r="CS98" i="3"/>
  <c r="CJ97" i="3" l="1"/>
  <c r="DD97" i="4" s="1"/>
  <c r="CN97" i="3"/>
  <c r="CN97" i="4" s="1"/>
  <c r="DH97" i="4" s="1"/>
  <c r="AF98" i="3"/>
  <c r="CV98" i="3"/>
  <c r="CV98" i="4" s="1"/>
  <c r="DP98" i="4" s="1"/>
  <c r="CJ90" i="3"/>
  <c r="CJ90" i="4" s="1"/>
  <c r="DD90" i="4" s="1"/>
  <c r="CN90" i="3"/>
  <c r="CN90" i="4" s="1"/>
  <c r="DH90" i="4" s="1"/>
  <c r="CK97" i="3"/>
  <c r="CO97" i="3"/>
  <c r="AB98" i="3" l="1"/>
  <c r="CJ98" i="3" s="1"/>
  <c r="DD98" i="4" s="1"/>
  <c r="CN98" i="3"/>
  <c r="CN98" i="4" s="1"/>
  <c r="DH98" i="4" s="1"/>
  <c r="CK98" i="3"/>
  <c r="CO98" i="3"/>
</calcChain>
</file>

<file path=xl/sharedStrings.xml><?xml version="1.0" encoding="utf-8"?>
<sst xmlns="http://schemas.openxmlformats.org/spreadsheetml/2006/main" count="12359" uniqueCount="126">
  <si>
    <t xml:space="preserve">Sabiedriskā pasūtījuma izstrādes, uzskaites un izpildes uzraudzības kārtības nolikuma
</t>
  </si>
  <si>
    <t xml:space="preserve">Pielikums Nr.1 "Sabiedriskā pasūtījuma plāns un izpilde"
</t>
  </si>
  <si>
    <t>Žanri</t>
  </si>
  <si>
    <t>Programma/ Kanāls</t>
  </si>
  <si>
    <r>
      <t>I ceturksnī</t>
    </r>
    <r>
      <rPr>
        <b/>
        <vertAlign val="superscript"/>
        <sz val="10"/>
        <rFont val="Arial"/>
        <family val="2"/>
        <charset val="186"/>
      </rPr>
      <t xml:space="preserve"> 1</t>
    </r>
  </si>
  <si>
    <r>
      <t xml:space="preserve">II ceturksnī </t>
    </r>
    <r>
      <rPr>
        <b/>
        <vertAlign val="superscript"/>
        <sz val="10"/>
        <rFont val="Arial"/>
        <family val="2"/>
        <charset val="186"/>
      </rPr>
      <t>1</t>
    </r>
  </si>
  <si>
    <r>
      <t xml:space="preserve">III ceturksnī </t>
    </r>
    <r>
      <rPr>
        <b/>
        <vertAlign val="superscript"/>
        <sz val="10"/>
        <rFont val="Arial"/>
        <family val="2"/>
        <charset val="186"/>
      </rPr>
      <t>1</t>
    </r>
  </si>
  <si>
    <r>
      <t xml:space="preserve">IV ceturksnī </t>
    </r>
    <r>
      <rPr>
        <b/>
        <vertAlign val="superscript"/>
        <sz val="10"/>
        <rFont val="Arial"/>
        <family val="2"/>
        <charset val="186"/>
      </rPr>
      <t>1</t>
    </r>
  </si>
  <si>
    <t>Pārskata perioda  izmaiņas</t>
  </si>
  <si>
    <t>Nr.p.k.</t>
  </si>
  <si>
    <t>Kopējie izdevumi (pēc PZA)</t>
  </si>
  <si>
    <t>Hronometrāža</t>
  </si>
  <si>
    <t>tajā skaitā</t>
  </si>
  <si>
    <t>1 stundas tiešās izmaksas</t>
  </si>
  <si>
    <t>1stundas tiešās izmaksas</t>
  </si>
  <si>
    <t>Dotācija</t>
  </si>
  <si>
    <r>
      <t xml:space="preserve">Līdzfinansējumi </t>
    </r>
    <r>
      <rPr>
        <vertAlign val="superscript"/>
        <sz val="10"/>
        <rFont val="Arial"/>
        <family val="2"/>
        <charset val="186"/>
      </rPr>
      <t>2</t>
    </r>
  </si>
  <si>
    <t>1 stundas tiešās izmaksas (pēc PZA)</t>
  </si>
  <si>
    <t>Ilgums</t>
  </si>
  <si>
    <t>Īpatsvars no programmas kopējā raidapjoma</t>
  </si>
  <si>
    <t>Tiešās izmaksas</t>
  </si>
  <si>
    <t>Netiešās izmaksas</t>
  </si>
  <si>
    <t>Līdzfinansējumi***</t>
  </si>
  <si>
    <t>Kopējās tiešās izmaksas</t>
  </si>
  <si>
    <t>Kopējās netiešās izmaksas</t>
  </si>
  <si>
    <t>Kopā tiešas un netiešās</t>
  </si>
  <si>
    <t>Plāns</t>
  </si>
  <si>
    <t xml:space="preserve">Izpilde </t>
  </si>
  <si>
    <t>Izpilde</t>
  </si>
  <si>
    <t xml:space="preserve">Plāns </t>
  </si>
  <si>
    <t>stundas/ skaits</t>
  </si>
  <si>
    <t>%</t>
  </si>
  <si>
    <t>Euro</t>
  </si>
  <si>
    <t>stundas</t>
  </si>
  <si>
    <t>EUR</t>
  </si>
  <si>
    <t xml:space="preserve">stundas </t>
  </si>
  <si>
    <t>I</t>
  </si>
  <si>
    <t xml:space="preserve">Ziņas </t>
  </si>
  <si>
    <t>x</t>
  </si>
  <si>
    <t>LR1</t>
  </si>
  <si>
    <t>LR2</t>
  </si>
  <si>
    <t>LR3</t>
  </si>
  <si>
    <t>LR4</t>
  </si>
  <si>
    <t>LR5</t>
  </si>
  <si>
    <t>Informatīvi analītiskie, sabiedriski politiskie raidījumi</t>
  </si>
  <si>
    <t>Latgales MMS</t>
  </si>
  <si>
    <t>Pētnieciskie raidījumi</t>
  </si>
  <si>
    <t>Sports</t>
  </si>
  <si>
    <t>Bērnu, pusaudžu un jauniešu raidījumi</t>
  </si>
  <si>
    <t>Vērtību orientējošie, kultūras  raidījumi</t>
  </si>
  <si>
    <t>Izglītojošie un zinātnes raidījumi</t>
  </si>
  <si>
    <t>Izklaidējošie raidījumi</t>
  </si>
  <si>
    <t>Mūzika</t>
  </si>
  <si>
    <t>Kopā pa žanriem (I)</t>
  </si>
  <si>
    <t>II</t>
  </si>
  <si>
    <t>Iepirktās filmas, ekranizējumi, raidījumi</t>
  </si>
  <si>
    <t>LR6</t>
  </si>
  <si>
    <t>Kopā (I+II)</t>
  </si>
  <si>
    <t>III</t>
  </si>
  <si>
    <r>
      <t>Atkārtojumi</t>
    </r>
    <r>
      <rPr>
        <b/>
        <vertAlign val="superscript"/>
        <sz val="10"/>
        <rFont val="Arial"/>
        <family val="2"/>
        <charset val="186"/>
      </rPr>
      <t xml:space="preserve"> 4</t>
    </r>
  </si>
  <si>
    <t>IV</t>
  </si>
  <si>
    <t>Pašreklāma</t>
  </si>
  <si>
    <t>V</t>
  </si>
  <si>
    <t>Kultūras paziņojumi</t>
  </si>
  <si>
    <t>Sociālie un citi paziņojumi</t>
  </si>
  <si>
    <t>VI</t>
  </si>
  <si>
    <t>Apraides izmaksas</t>
  </si>
  <si>
    <t>Kopā lineārais saturs (I-VI)</t>
  </si>
  <si>
    <t>VII</t>
  </si>
  <si>
    <t>Ārpus ētera projekti (pasākumi u.c.)</t>
  </si>
  <si>
    <t>VIII</t>
  </si>
  <si>
    <r>
      <t xml:space="preserve">Digitālā satura veidošana (sociālie mediji, platformas, tehnoloģijas u.c.) </t>
    </r>
    <r>
      <rPr>
        <vertAlign val="superscript"/>
        <sz val="10"/>
        <rFont val="Arial"/>
        <family val="2"/>
        <charset val="186"/>
      </rPr>
      <t>5</t>
    </r>
  </si>
  <si>
    <r>
      <t xml:space="preserve">Satura veidošana LSM.LV </t>
    </r>
    <r>
      <rPr>
        <vertAlign val="superscript"/>
        <sz val="10"/>
        <rFont val="Arial"/>
        <family val="2"/>
        <charset val="186"/>
      </rPr>
      <t>6</t>
    </r>
  </si>
  <si>
    <r>
      <t xml:space="preserve">Satura veidošana RUS.LSM.LV </t>
    </r>
    <r>
      <rPr>
        <vertAlign val="superscript"/>
        <sz val="10"/>
        <rFont val="Arial"/>
        <family val="2"/>
        <charset val="186"/>
      </rPr>
      <t>6</t>
    </r>
  </si>
  <si>
    <r>
      <t xml:space="preserve">Satura veidošana ENG.LSM.LV </t>
    </r>
    <r>
      <rPr>
        <vertAlign val="superscript"/>
        <sz val="10"/>
        <rFont val="Arial"/>
        <family val="2"/>
        <charset val="186"/>
      </rPr>
      <t>6</t>
    </r>
  </si>
  <si>
    <r>
      <t xml:space="preserve">Cits </t>
    </r>
    <r>
      <rPr>
        <vertAlign val="superscript"/>
        <sz val="10"/>
        <rFont val="Arial"/>
        <family val="2"/>
        <charset val="186"/>
      </rPr>
      <t>7</t>
    </r>
  </si>
  <si>
    <t>Kopā digitālais saturs (VIII)</t>
  </si>
  <si>
    <t>KOPĀ visas satura izmaksas (I-VIII)</t>
  </si>
  <si>
    <t>Tajā skaitā kopā pa programmām:</t>
  </si>
  <si>
    <t>Latgales reģionālā apraide</t>
  </si>
  <si>
    <t>eiro/ gadā</t>
  </si>
  <si>
    <t>Borisa un Ināras Teterevu fonds</t>
  </si>
  <si>
    <t>Uzņēmuma vadītājs: U.Klapkalne, I.Aile, Ģ.Helmanis</t>
  </si>
  <si>
    <t>Sagatavoja: J.Leitāne, 26778960, julija.leitane@latvijasradio.lv</t>
  </si>
  <si>
    <t>DOKUMENTS PARAKSTĪTS AR DROŠU ELEKTRONISKO PARAKSTU UN SATUR LAIKA ZĪMOGU</t>
  </si>
  <si>
    <t>Piezīmes. 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</si>
  <si>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atskaitoties par aktuālo ceturksni, informācija sniedzama arī par pārējiem ceturkšņiem</t>
    </r>
  </si>
  <si>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papildus atskaitei (pavadvēstulē vai kā atsevišķs pielikums) tiek pievienota informācija par attiecīgo līdzfinansējumu avotiem</t>
    </r>
  </si>
  <si>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cita satura izmaksas (norādīt saturu)</t>
    </r>
  </si>
  <si>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sākot no 2. atkārtojuma gada laikā</t>
    </r>
  </si>
  <si>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 xml:space="preserve"> iekļauj digitālā un multimediālā satura veidošanas izmaksas, arī tās, kas papildina lineāro saturu. Aizpilda ņemot vērā LR un LTV finanšu sistēmas uzskaites iespējas</t>
    </r>
  </si>
  <si>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 xml:space="preserve"> aizpilda, kad iespējams nodalīt lsm.lv izmaksas no citām digitālā satura izmaksām </t>
    </r>
  </si>
  <si>
    <r>
      <rPr>
        <vertAlign val="superscript"/>
        <sz val="9"/>
        <rFont val="Times New Roman"/>
        <family val="1"/>
      </rPr>
      <t>7</t>
    </r>
    <r>
      <rPr>
        <sz val="9"/>
        <rFont val="Times New Roman"/>
        <family val="1"/>
      </rPr>
      <t xml:space="preserve"> minēt digitālās platformas nosaukumu</t>
    </r>
  </si>
  <si>
    <r>
      <rPr>
        <vertAlign val="superscript"/>
        <sz val="9"/>
        <rFont val="Times New Roman"/>
        <family val="1"/>
      </rPr>
      <t>8</t>
    </r>
    <r>
      <rPr>
        <sz val="9"/>
        <rFont val="Times New Roman"/>
        <family val="1"/>
      </rPr>
      <t xml:space="preserve"> minēt LSM satura vienības</t>
    </r>
  </si>
  <si>
    <r>
      <rPr>
        <vertAlign val="superscript"/>
        <sz val="9"/>
        <rFont val="Times New Roman"/>
        <family val="1"/>
      </rPr>
      <t>9</t>
    </r>
    <r>
      <rPr>
        <sz val="9"/>
        <rFont val="Times New Roman"/>
        <family val="1"/>
      </rPr>
      <t xml:space="preserve"> sadaļās I un II norādāms oriģinālsatura apjoms - pirmizrāde un viens atkārtojums gadā</t>
    </r>
  </si>
  <si>
    <t>"Izpilde" - "Plāns"</t>
  </si>
  <si>
    <t>Muzikālā banka</t>
  </si>
  <si>
    <t xml:space="preserve">Pārskata periodā </t>
  </si>
  <si>
    <t>2024.gads KOPĀ</t>
  </si>
  <si>
    <t>Euranet Plus</t>
  </si>
  <si>
    <t>Ārvalstu komandējumi</t>
  </si>
  <si>
    <r>
      <t xml:space="preserve">Hronometrāža </t>
    </r>
    <r>
      <rPr>
        <vertAlign val="superscript"/>
        <sz val="10"/>
        <rFont val="Arial"/>
        <family val="2"/>
        <charset val="186"/>
      </rPr>
      <t>9</t>
    </r>
    <r>
      <rPr>
        <sz val="11"/>
        <rFont val="Calibri"/>
        <family val="2"/>
        <charset val="186"/>
        <scheme val="minor"/>
      </rPr>
      <t xml:space="preserve"> / Satura vienības </t>
    </r>
    <r>
      <rPr>
        <vertAlign val="superscript"/>
        <sz val="10"/>
        <rFont val="Arial"/>
        <family val="2"/>
        <charset val="186"/>
      </rPr>
      <t>8</t>
    </r>
  </si>
  <si>
    <t>eiro/gadā</t>
  </si>
  <si>
    <t>Ieņēmumi no sniegtajiem maksas pakalpojumiem, kas tiek novirzīti administratīvo un reprezentācijas izdevumu segšanai</t>
  </si>
  <si>
    <t>Informācija par projektu un pasākumu līdzfinansējuma avotiem:</t>
  </si>
  <si>
    <r>
      <t xml:space="preserve">Cits saturs </t>
    </r>
    <r>
      <rPr>
        <vertAlign val="superscript"/>
        <sz val="10"/>
        <rFont val="Arial"/>
        <family val="2"/>
        <charset val="186"/>
      </rPr>
      <t>3</t>
    </r>
    <r>
      <rPr>
        <sz val="11"/>
        <rFont val="Calibri"/>
        <family val="2"/>
        <charset val="186"/>
        <scheme val="minor"/>
      </rPr>
      <t xml:space="preserve"> (Saeimasplenārsēdes)</t>
    </r>
  </si>
  <si>
    <r>
      <t xml:space="preserve">Hronometrāža </t>
    </r>
    <r>
      <rPr>
        <vertAlign val="superscript"/>
        <sz val="10"/>
        <rFont val="Arial"/>
        <family val="2"/>
        <charset val="186"/>
      </rPr>
      <t>9</t>
    </r>
    <r>
      <rPr>
        <sz val="11"/>
        <color theme="1"/>
        <rFont val="Calibri"/>
        <family val="2"/>
        <charset val="186"/>
        <scheme val="minor"/>
      </rPr>
      <t xml:space="preserve"> / Satura vienības </t>
    </r>
    <r>
      <rPr>
        <vertAlign val="superscript"/>
        <sz val="10"/>
        <rFont val="Arial"/>
        <family val="2"/>
        <charset val="186"/>
      </rPr>
      <t>8</t>
    </r>
  </si>
  <si>
    <r>
      <t xml:space="preserve">Cits saturs </t>
    </r>
    <r>
      <rPr>
        <vertAlign val="superscript"/>
        <sz val="10"/>
        <rFont val="Arial"/>
        <family val="2"/>
        <charset val="186"/>
      </rPr>
      <t>3</t>
    </r>
    <r>
      <rPr>
        <sz val="11"/>
        <color theme="1"/>
        <rFont val="Calibri"/>
        <family val="2"/>
        <charset val="186"/>
        <scheme val="minor"/>
      </rPr>
      <t xml:space="preserve"> (Saeimas plenārsēdes)</t>
    </r>
  </si>
  <si>
    <t>Sagatavoja: Jūlija Leitāne, julijaleitane@latvijasradio.lv</t>
  </si>
  <si>
    <t>2024.gada plāna izmaiņas</t>
  </si>
  <si>
    <t xml:space="preserve">Izmaiņas III ceturksnī </t>
  </si>
  <si>
    <t xml:space="preserve">Izmaiņas IV ceturksnī </t>
  </si>
  <si>
    <t>2024.gada plāna izmaiņas %</t>
  </si>
  <si>
    <r>
      <t>Sabiedriskā pasūtījuma plāns 2024.gadam VSIA “Latvijas Radio”</t>
    </r>
    <r>
      <rPr>
        <b/>
        <u/>
        <sz val="12"/>
        <color rgb="FFC00000"/>
        <rFont val="Arial"/>
        <family val="2"/>
        <charset val="186"/>
      </rPr>
      <t xml:space="preserve"> AR GROZĪJUMIEM</t>
    </r>
    <r>
      <rPr>
        <b/>
        <sz val="12"/>
        <rFont val="Arial"/>
        <family val="2"/>
        <charset val="186"/>
      </rPr>
      <t xml:space="preserve">
</t>
    </r>
  </si>
  <si>
    <r>
      <t>Sabiedriskā pasūtījuma plāna</t>
    </r>
    <r>
      <rPr>
        <b/>
        <u/>
        <sz val="12"/>
        <color rgb="FFC00000"/>
        <rFont val="Arial"/>
        <family val="2"/>
        <charset val="186"/>
      </rPr>
      <t xml:space="preserve"> GROZĪJUMI</t>
    </r>
    <r>
      <rPr>
        <b/>
        <sz val="12"/>
        <rFont val="Arial"/>
        <family val="2"/>
        <charset val="186"/>
      </rPr>
      <t xml:space="preserve">
VSIA Latvijas Radio </t>
    </r>
  </si>
  <si>
    <t xml:space="preserve">Sabiedriskā pasūtījuma plāns 2024.gadam VSIA “Latvijas Radio”
</t>
  </si>
  <si>
    <t>LR1 kopā</t>
  </si>
  <si>
    <t>t.sk. apraides izmaksas</t>
  </si>
  <si>
    <t>LR2 kopā</t>
  </si>
  <si>
    <t>LR 3 kopā</t>
  </si>
  <si>
    <t>LR 4 kopā</t>
  </si>
  <si>
    <t>LR 5 kopā</t>
  </si>
  <si>
    <t>LR 6 kopā</t>
  </si>
  <si>
    <r>
      <t xml:space="preserve">Hronometrāža </t>
    </r>
    <r>
      <rPr>
        <vertAlign val="superscript"/>
        <sz val="10"/>
        <color rgb="FFC00000"/>
        <rFont val="Arial"/>
        <family val="2"/>
        <charset val="186"/>
      </rPr>
      <t>9</t>
    </r>
    <r>
      <rPr>
        <sz val="11"/>
        <color rgb="FFC00000"/>
        <rFont val="Calibri"/>
        <family val="2"/>
        <charset val="186"/>
        <scheme val="minor"/>
      </rPr>
      <t xml:space="preserve"> / Satura vienības </t>
    </r>
    <r>
      <rPr>
        <vertAlign val="superscript"/>
        <sz val="10"/>
        <color rgb="FFC00000"/>
        <rFont val="Arial"/>
        <family val="2"/>
        <charset val="186"/>
      </rPr>
      <t>8</t>
    </r>
  </si>
  <si>
    <r>
      <t xml:space="preserve">Līdzfinansējumi </t>
    </r>
    <r>
      <rPr>
        <vertAlign val="superscript"/>
        <sz val="10"/>
        <color rgb="FFC00000"/>
        <rFont val="Arial"/>
        <family val="2"/>
        <charset val="186"/>
      </rPr>
      <t>2</t>
    </r>
  </si>
  <si>
    <t>t.sk. satura veidošanas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</si>
</sst>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0.0%"/>
    <numFmt numFmtId="167" formatCode="#,##0.000"/>
    <numFmt numFmtId="168" formatCode="#,##0.00000000"/>
  </numFmts>
  <fonts count="4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b/>
      <u/>
      <sz val="10"/>
      <name val="Times New Roman"/>
      <family val="1"/>
    </font>
    <font>
      <b/>
      <u/>
      <sz val="10"/>
      <name val="Times New Roman"/>
      <family val="1"/>
      <charset val="186"/>
    </font>
    <font>
      <b/>
      <sz val="10"/>
      <name val="Segoe UI"/>
      <family val="2"/>
      <charset val="186"/>
    </font>
    <font>
      <sz val="10"/>
      <name val="Segoe UI"/>
      <family val="2"/>
      <charset val="186"/>
    </font>
    <font>
      <sz val="11"/>
      <color rgb="FFFF000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6"/>
      <color rgb="FFFF0000"/>
      <name val="Arial"/>
      <family val="2"/>
      <charset val="186"/>
    </font>
    <font>
      <sz val="10"/>
      <color rgb="FFFF0000"/>
      <name val="Times New Roman"/>
      <family val="1"/>
    </font>
    <font>
      <sz val="11"/>
      <color rgb="FFFF0000"/>
      <name val="Arial"/>
      <family val="2"/>
      <charset val="186"/>
    </font>
    <font>
      <b/>
      <u/>
      <sz val="12"/>
      <color rgb="FFC00000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1"/>
      <color rgb="FF0070C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sz val="11"/>
      <color rgb="FFC00000"/>
      <name val="Calibri"/>
      <family val="2"/>
      <charset val="186"/>
      <scheme val="minor"/>
    </font>
    <font>
      <b/>
      <sz val="16"/>
      <color rgb="FFC00000"/>
      <name val="Arial"/>
      <family val="2"/>
      <charset val="186"/>
    </font>
    <font>
      <b/>
      <sz val="12"/>
      <color rgb="FFC00000"/>
      <name val="Times New Roman"/>
      <family val="1"/>
      <charset val="186"/>
    </font>
    <font>
      <b/>
      <sz val="10"/>
      <color rgb="FFC00000"/>
      <name val="Arial"/>
      <family val="2"/>
      <charset val="186"/>
    </font>
    <font>
      <vertAlign val="superscript"/>
      <sz val="10"/>
      <color rgb="FFC00000"/>
      <name val="Arial"/>
      <family val="2"/>
      <charset val="186"/>
    </font>
    <font>
      <sz val="10"/>
      <color rgb="FFC00000"/>
      <name val="Times New Roman"/>
      <family val="1"/>
      <charset val="186"/>
    </font>
    <font>
      <sz val="9"/>
      <color rgb="FFC00000"/>
      <name val="Times New Roman"/>
      <family val="1"/>
      <charset val="186"/>
    </font>
    <font>
      <b/>
      <sz val="11"/>
      <color rgb="FFC00000"/>
      <name val="Calibri"/>
      <family val="2"/>
      <charset val="186"/>
      <scheme val="minor"/>
    </font>
    <font>
      <sz val="10"/>
      <color rgb="FFC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1" applyNumberFormat="1" applyFont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0" borderId="80" xfId="0" applyFont="1" applyBorder="1"/>
    <xf numFmtId="0" fontId="10" fillId="5" borderId="80" xfId="0" applyFont="1" applyFill="1" applyBorder="1"/>
    <xf numFmtId="3" fontId="7" fillId="0" borderId="67" xfId="0" applyNumberFormat="1" applyFont="1" applyBorder="1" applyAlignment="1" applyProtection="1">
      <alignment horizontal="left" vertical="center" wrapText="1"/>
      <protection locked="0"/>
    </xf>
    <xf numFmtId="3" fontId="7" fillId="0" borderId="67" xfId="0" applyNumberFormat="1" applyFont="1" applyBorder="1" applyAlignment="1">
      <alignment horizontal="left" vertical="center" wrapText="1"/>
    </xf>
    <xf numFmtId="3" fontId="7" fillId="2" borderId="67" xfId="0" applyNumberFormat="1" applyFont="1" applyFill="1" applyBorder="1" applyAlignment="1" applyProtection="1">
      <alignment horizontal="left" vertical="center" wrapText="1"/>
      <protection locked="0"/>
    </xf>
    <xf numFmtId="3" fontId="7" fillId="6" borderId="67" xfId="0" applyNumberFormat="1" applyFont="1" applyFill="1" applyBorder="1" applyAlignment="1" applyProtection="1">
      <alignment horizontal="left" vertical="center" wrapText="1"/>
      <protection locked="0"/>
    </xf>
    <xf numFmtId="3" fontId="7" fillId="2" borderId="67" xfId="0" applyNumberFormat="1" applyFont="1" applyFill="1" applyBorder="1" applyAlignment="1">
      <alignment horizontal="left" vertical="center" wrapText="1"/>
    </xf>
    <xf numFmtId="0" fontId="11" fillId="0" borderId="80" xfId="0" applyFont="1" applyBorder="1" applyAlignment="1">
      <alignment wrapText="1"/>
    </xf>
    <xf numFmtId="3" fontId="7" fillId="3" borderId="46" xfId="0" applyNumberFormat="1" applyFont="1" applyFill="1" applyBorder="1" applyAlignment="1">
      <alignment horizontal="left" vertical="center" wrapText="1"/>
    </xf>
    <xf numFmtId="3" fontId="7" fillId="3" borderId="0" xfId="0" applyNumberFormat="1" applyFont="1" applyFill="1" applyAlignment="1">
      <alignment horizontal="left" vertical="center" wrapText="1"/>
    </xf>
    <xf numFmtId="164" fontId="7" fillId="3" borderId="85" xfId="0" applyNumberFormat="1" applyFont="1" applyFill="1" applyBorder="1"/>
    <xf numFmtId="164" fontId="7" fillId="3" borderId="86" xfId="0" applyNumberFormat="1" applyFont="1" applyFill="1" applyBorder="1" applyAlignment="1">
      <alignment horizontal="center"/>
    </xf>
    <xf numFmtId="164" fontId="7" fillId="3" borderId="85" xfId="0" applyNumberFormat="1" applyFont="1" applyFill="1" applyBorder="1" applyAlignment="1">
      <alignment horizontal="center"/>
    </xf>
    <xf numFmtId="3" fontId="7" fillId="3" borderId="29" xfId="0" applyNumberFormat="1" applyFont="1" applyFill="1" applyBorder="1" applyAlignment="1">
      <alignment horizontal="center"/>
    </xf>
    <xf numFmtId="3" fontId="7" fillId="3" borderId="86" xfId="0" applyNumberFormat="1" applyFont="1" applyFill="1" applyBorder="1"/>
    <xf numFmtId="164" fontId="7" fillId="3" borderId="47" xfId="0" applyNumberFormat="1" applyFont="1" applyFill="1" applyBorder="1" applyAlignment="1">
      <alignment horizontal="center"/>
    </xf>
    <xf numFmtId="164" fontId="7" fillId="3" borderId="47" xfId="0" applyNumberFormat="1" applyFont="1" applyFill="1" applyBorder="1"/>
    <xf numFmtId="3" fontId="7" fillId="3" borderId="85" xfId="0" applyNumberFormat="1" applyFont="1" applyFill="1" applyBorder="1"/>
    <xf numFmtId="3" fontId="7" fillId="3" borderId="88" xfId="0" applyNumberFormat="1" applyFont="1" applyFill="1" applyBorder="1"/>
    <xf numFmtId="3" fontId="7" fillId="3" borderId="72" xfId="0" applyNumberFormat="1" applyFont="1" applyFill="1" applyBorder="1"/>
    <xf numFmtId="164" fontId="7" fillId="3" borderId="90" xfId="0" applyNumberFormat="1" applyFont="1" applyFill="1" applyBorder="1"/>
    <xf numFmtId="3" fontId="7" fillId="3" borderId="47" xfId="0" applyNumberFormat="1" applyFont="1" applyFill="1" applyBorder="1"/>
    <xf numFmtId="3" fontId="7" fillId="3" borderId="85" xfId="0" applyNumberFormat="1" applyFont="1" applyFill="1" applyBorder="1" applyAlignment="1">
      <alignment horizontal="center"/>
    </xf>
    <xf numFmtId="3" fontId="7" fillId="3" borderId="77" xfId="0" applyNumberFormat="1" applyFont="1" applyFill="1" applyBorder="1"/>
    <xf numFmtId="165" fontId="7" fillId="3" borderId="70" xfId="0" applyNumberFormat="1" applyFont="1" applyFill="1" applyBorder="1"/>
    <xf numFmtId="165" fontId="7" fillId="3" borderId="68" xfId="0" applyNumberFormat="1" applyFont="1" applyFill="1" applyBorder="1"/>
    <xf numFmtId="3" fontId="7" fillId="3" borderId="67" xfId="0" applyNumberFormat="1" applyFont="1" applyFill="1" applyBorder="1"/>
    <xf numFmtId="3" fontId="7" fillId="3" borderId="93" xfId="0" applyNumberFormat="1" applyFont="1" applyFill="1" applyBorder="1"/>
    <xf numFmtId="165" fontId="7" fillId="3" borderId="94" xfId="0" applyNumberFormat="1" applyFont="1" applyFill="1" applyBorder="1"/>
    <xf numFmtId="3" fontId="7" fillId="3" borderId="96" xfId="0" applyNumberFormat="1" applyFont="1" applyFill="1" applyBorder="1"/>
    <xf numFmtId="3" fontId="7" fillId="3" borderId="88" xfId="0" applyNumberFormat="1" applyFont="1" applyFill="1" applyBorder="1" applyAlignment="1">
      <alignment horizontal="center"/>
    </xf>
    <xf numFmtId="165" fontId="7" fillId="3" borderId="95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left" vertical="center" wrapText="1"/>
    </xf>
    <xf numFmtId="3" fontId="7" fillId="3" borderId="120" xfId="0" applyNumberFormat="1" applyFont="1" applyFill="1" applyBorder="1" applyAlignment="1">
      <alignment horizontal="left" vertical="center" wrapText="1"/>
    </xf>
    <xf numFmtId="3" fontId="7" fillId="3" borderId="121" xfId="0" applyNumberFormat="1" applyFont="1" applyFill="1" applyBorder="1" applyAlignment="1">
      <alignment horizontal="left" vertical="center" wrapText="1"/>
    </xf>
    <xf numFmtId="165" fontId="7" fillId="3" borderId="124" xfId="0" applyNumberFormat="1" applyFont="1" applyFill="1" applyBorder="1"/>
    <xf numFmtId="3" fontId="7" fillId="3" borderId="125" xfId="0" applyNumberFormat="1" applyFont="1" applyFill="1" applyBorder="1" applyAlignment="1">
      <alignment horizontal="center"/>
    </xf>
    <xf numFmtId="3" fontId="7" fillId="3" borderId="126" xfId="0" applyNumberFormat="1" applyFont="1" applyFill="1" applyBorder="1" applyAlignment="1">
      <alignment horizontal="center"/>
    </xf>
    <xf numFmtId="3" fontId="7" fillId="3" borderId="125" xfId="0" applyNumberFormat="1" applyFont="1" applyFill="1" applyBorder="1"/>
    <xf numFmtId="3" fontId="7" fillId="3" borderId="127" xfId="0" applyNumberFormat="1" applyFont="1" applyFill="1" applyBorder="1"/>
    <xf numFmtId="3" fontId="7" fillId="3" borderId="42" xfId="0" applyNumberFormat="1" applyFont="1" applyFill="1" applyBorder="1"/>
    <xf numFmtId="164" fontId="7" fillId="3" borderId="124" xfId="0" applyNumberFormat="1" applyFont="1" applyFill="1" applyBorder="1"/>
    <xf numFmtId="3" fontId="7" fillId="3" borderId="124" xfId="0" applyNumberFormat="1" applyFont="1" applyFill="1" applyBorder="1"/>
    <xf numFmtId="3" fontId="7" fillId="3" borderId="126" xfId="0" applyNumberFormat="1" applyFont="1" applyFill="1" applyBorder="1"/>
    <xf numFmtId="3" fontId="7" fillId="3" borderId="129" xfId="0" applyNumberFormat="1" applyFont="1" applyFill="1" applyBorder="1"/>
    <xf numFmtId="3" fontId="7" fillId="3" borderId="130" xfId="0" applyNumberFormat="1" applyFont="1" applyFill="1" applyBorder="1"/>
    <xf numFmtId="3" fontId="7" fillId="3" borderId="59" xfId="0" applyNumberFormat="1" applyFont="1" applyFill="1" applyBorder="1"/>
    <xf numFmtId="3" fontId="7" fillId="3" borderId="81" xfId="0" applyNumberFormat="1" applyFont="1" applyFill="1" applyBorder="1"/>
    <xf numFmtId="3" fontId="7" fillId="3" borderId="62" xfId="0" applyNumberFormat="1" applyFont="1" applyFill="1" applyBorder="1"/>
    <xf numFmtId="3" fontId="7" fillId="3" borderId="133" xfId="0" applyNumberFormat="1" applyFont="1" applyFill="1" applyBorder="1"/>
    <xf numFmtId="3" fontId="7" fillId="3" borderId="45" xfId="0" applyNumberFormat="1" applyFont="1" applyFill="1" applyBorder="1"/>
    <xf numFmtId="165" fontId="7" fillId="3" borderId="135" xfId="0" applyNumberFormat="1" applyFont="1" applyFill="1" applyBorder="1"/>
    <xf numFmtId="3" fontId="7" fillId="3" borderId="133" xfId="0" applyNumberFormat="1" applyFont="1" applyFill="1" applyBorder="1" applyAlignment="1">
      <alignment horizontal="center"/>
    </xf>
    <xf numFmtId="165" fontId="7" fillId="3" borderId="136" xfId="0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/>
    </xf>
    <xf numFmtId="3" fontId="7" fillId="7" borderId="103" xfId="0" applyNumberFormat="1" applyFont="1" applyFill="1" applyBorder="1" applyAlignment="1">
      <alignment horizontal="left" vertical="center" wrapText="1"/>
    </xf>
    <xf numFmtId="0" fontId="7" fillId="8" borderId="137" xfId="0" applyFont="1" applyFill="1" applyBorder="1" applyAlignment="1">
      <alignment horizontal="center" vertical="center"/>
    </xf>
    <xf numFmtId="3" fontId="7" fillId="8" borderId="138" xfId="0" applyNumberFormat="1" applyFont="1" applyFill="1" applyBorder="1" applyAlignment="1">
      <alignment horizontal="left" vertical="center" wrapText="1"/>
    </xf>
    <xf numFmtId="0" fontId="7" fillId="8" borderId="59" xfId="0" applyFont="1" applyFill="1" applyBorder="1" applyAlignment="1">
      <alignment horizontal="center" vertical="center"/>
    </xf>
    <xf numFmtId="3" fontId="7" fillId="8" borderId="70" xfId="0" applyNumberFormat="1" applyFont="1" applyFill="1" applyBorder="1" applyAlignment="1">
      <alignment horizontal="left" vertical="center" wrapText="1"/>
    </xf>
    <xf numFmtId="0" fontId="7" fillId="8" borderId="77" xfId="0" applyFont="1" applyFill="1" applyBorder="1" applyAlignment="1">
      <alignment horizontal="center" vertical="center"/>
    </xf>
    <xf numFmtId="0" fontId="7" fillId="8" borderId="144" xfId="0" applyFont="1" applyFill="1" applyBorder="1" applyAlignment="1">
      <alignment horizontal="center" vertical="center"/>
    </xf>
    <xf numFmtId="3" fontId="7" fillId="8" borderId="145" xfId="0" applyNumberFormat="1" applyFont="1" applyFill="1" applyBorder="1" applyAlignment="1">
      <alignment horizontal="left" vertical="center" wrapText="1"/>
    </xf>
    <xf numFmtId="0" fontId="7" fillId="7" borderId="28" xfId="0" applyFont="1" applyFill="1" applyBorder="1" applyAlignment="1">
      <alignment horizontal="center"/>
    </xf>
    <xf numFmtId="3" fontId="7" fillId="7" borderId="81" xfId="0" applyNumberFormat="1" applyFont="1" applyFill="1" applyBorder="1" applyAlignment="1">
      <alignment horizontal="left" vertical="center" wrapText="1"/>
    </xf>
    <xf numFmtId="3" fontId="7" fillId="7" borderId="63" xfId="0" applyNumberFormat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3" fontId="7" fillId="0" borderId="148" xfId="0" applyNumberFormat="1" applyFont="1" applyBorder="1" applyAlignment="1">
      <alignment horizontal="left" vertical="center" wrapText="1"/>
    </xf>
    <xf numFmtId="0" fontId="7" fillId="2" borderId="41" xfId="0" applyFont="1" applyFill="1" applyBorder="1" applyAlignment="1">
      <alignment horizontal="center" vertical="center"/>
    </xf>
    <xf numFmtId="3" fontId="7" fillId="2" borderId="131" xfId="0" applyNumberFormat="1" applyFont="1" applyFill="1" applyBorder="1" applyAlignment="1">
      <alignment horizontal="left" vertical="center" wrapText="1"/>
    </xf>
    <xf numFmtId="3" fontId="7" fillId="2" borderId="123" xfId="0" applyNumberFormat="1" applyFont="1" applyFill="1" applyBorder="1"/>
    <xf numFmtId="3" fontId="7" fillId="2" borderId="120" xfId="0" applyNumberFormat="1" applyFont="1" applyFill="1" applyBorder="1" applyAlignment="1">
      <alignment horizontal="center"/>
    </xf>
    <xf numFmtId="3" fontId="7" fillId="2" borderId="130" xfId="0" applyNumberFormat="1" applyFont="1" applyFill="1" applyBorder="1" applyAlignment="1">
      <alignment horizontal="center"/>
    </xf>
    <xf numFmtId="3" fontId="7" fillId="2" borderId="133" xfId="0" applyNumberFormat="1" applyFont="1" applyFill="1" applyBorder="1" applyAlignment="1">
      <alignment horizontal="center"/>
    </xf>
    <xf numFmtId="3" fontId="7" fillId="2" borderId="136" xfId="0" applyNumberFormat="1" applyFont="1" applyFill="1" applyBorder="1" applyAlignment="1">
      <alignment horizontal="center"/>
    </xf>
    <xf numFmtId="3" fontId="7" fillId="2" borderId="124" xfId="0" applyNumberFormat="1" applyFont="1" applyFill="1" applyBorder="1"/>
    <xf numFmtId="3" fontId="7" fillId="2" borderId="133" xfId="0" applyNumberFormat="1" applyFont="1" applyFill="1" applyBorder="1"/>
    <xf numFmtId="3" fontId="7" fillId="2" borderId="134" xfId="0" applyNumberFormat="1" applyFont="1" applyFill="1" applyBorder="1"/>
    <xf numFmtId="0" fontId="7" fillId="4" borderId="160" xfId="0" applyFont="1" applyFill="1" applyBorder="1" applyAlignment="1">
      <alignment horizontal="center" vertical="center"/>
    </xf>
    <xf numFmtId="3" fontId="7" fillId="4" borderId="120" xfId="0" applyNumberFormat="1" applyFont="1" applyFill="1" applyBorder="1" applyAlignment="1">
      <alignment horizontal="left" vertical="center" wrapText="1"/>
    </xf>
    <xf numFmtId="3" fontId="7" fillId="4" borderId="163" xfId="0" applyNumberFormat="1" applyFont="1" applyFill="1" applyBorder="1"/>
    <xf numFmtId="3" fontId="7" fillId="4" borderId="164" xfId="0" applyNumberFormat="1" applyFont="1" applyFill="1" applyBorder="1"/>
    <xf numFmtId="3" fontId="7" fillId="4" borderId="162" xfId="0" applyNumberFormat="1" applyFont="1" applyFill="1" applyBorder="1"/>
    <xf numFmtId="3" fontId="7" fillId="4" borderId="165" xfId="0" applyNumberFormat="1" applyFont="1" applyFill="1" applyBorder="1"/>
    <xf numFmtId="3" fontId="7" fillId="4" borderId="166" xfId="0" applyNumberFormat="1" applyFont="1" applyFill="1" applyBorder="1"/>
    <xf numFmtId="164" fontId="7" fillId="4" borderId="163" xfId="0" applyNumberFormat="1" applyFont="1" applyFill="1" applyBorder="1"/>
    <xf numFmtId="3" fontId="7" fillId="4" borderId="167" xfId="0" applyNumberFormat="1" applyFont="1" applyFill="1" applyBorder="1"/>
    <xf numFmtId="3" fontId="7" fillId="4" borderId="168" xfId="0" applyNumberFormat="1" applyFont="1" applyFill="1" applyBorder="1"/>
    <xf numFmtId="3" fontId="7" fillId="4" borderId="169" xfId="0" applyNumberFormat="1" applyFont="1" applyFill="1" applyBorder="1"/>
    <xf numFmtId="165" fontId="7" fillId="4" borderId="161" xfId="0" applyNumberFormat="1" applyFont="1" applyFill="1" applyBorder="1"/>
    <xf numFmtId="9" fontId="7" fillId="4" borderId="165" xfId="1" applyFont="1" applyFill="1" applyBorder="1"/>
    <xf numFmtId="0" fontId="7" fillId="9" borderId="170" xfId="0" applyFont="1" applyFill="1" applyBorder="1" applyAlignment="1">
      <alignment horizontal="center" vertical="center"/>
    </xf>
    <xf numFmtId="0" fontId="7" fillId="3" borderId="178" xfId="0" applyFont="1" applyFill="1" applyBorder="1" applyAlignment="1">
      <alignment vertical="center"/>
    </xf>
    <xf numFmtId="3" fontId="7" fillId="3" borderId="179" xfId="0" applyNumberFormat="1" applyFont="1" applyFill="1" applyBorder="1" applyAlignment="1">
      <alignment horizontal="left" vertical="center" wrapText="1"/>
    </xf>
    <xf numFmtId="164" fontId="7" fillId="3" borderId="182" xfId="0" applyNumberFormat="1" applyFont="1" applyFill="1" applyBorder="1" applyAlignment="1">
      <alignment horizontal="center"/>
    </xf>
    <xf numFmtId="164" fontId="7" fillId="3" borderId="183" xfId="0" applyNumberFormat="1" applyFont="1" applyFill="1" applyBorder="1" applyAlignment="1">
      <alignment horizontal="center"/>
    </xf>
    <xf numFmtId="3" fontId="7" fillId="3" borderId="184" xfId="0" applyNumberFormat="1" applyFont="1" applyFill="1" applyBorder="1" applyAlignment="1">
      <alignment horizontal="right"/>
    </xf>
    <xf numFmtId="3" fontId="7" fillId="3" borderId="183" xfId="0" applyNumberFormat="1" applyFont="1" applyFill="1" applyBorder="1" applyAlignment="1">
      <alignment horizontal="center"/>
    </xf>
    <xf numFmtId="3" fontId="7" fillId="3" borderId="184" xfId="0" applyNumberFormat="1" applyFont="1" applyFill="1" applyBorder="1"/>
    <xf numFmtId="3" fontId="7" fillId="3" borderId="185" xfId="0" applyNumberFormat="1" applyFont="1" applyFill="1" applyBorder="1"/>
    <xf numFmtId="3" fontId="7" fillId="3" borderId="182" xfId="0" applyNumberFormat="1" applyFont="1" applyFill="1" applyBorder="1" applyAlignment="1">
      <alignment horizontal="right"/>
    </xf>
    <xf numFmtId="3" fontId="7" fillId="3" borderId="186" xfId="0" applyNumberFormat="1" applyFont="1" applyFill="1" applyBorder="1" applyAlignment="1">
      <alignment horizontal="right"/>
    </xf>
    <xf numFmtId="3" fontId="7" fillId="3" borderId="187" xfId="0" applyNumberFormat="1" applyFont="1" applyFill="1" applyBorder="1" applyAlignment="1">
      <alignment horizontal="right"/>
    </xf>
    <xf numFmtId="3" fontId="7" fillId="3" borderId="184" xfId="0" applyNumberFormat="1" applyFont="1" applyFill="1" applyBorder="1" applyAlignment="1">
      <alignment horizontal="center"/>
    </xf>
    <xf numFmtId="3" fontId="7" fillId="3" borderId="188" xfId="0" applyNumberFormat="1" applyFont="1" applyFill="1" applyBorder="1" applyAlignment="1">
      <alignment horizontal="center"/>
    </xf>
    <xf numFmtId="3" fontId="7" fillId="3" borderId="182" xfId="0" applyNumberFormat="1" applyFont="1" applyFill="1" applyBorder="1"/>
    <xf numFmtId="3" fontId="7" fillId="3" borderId="180" xfId="0" applyNumberFormat="1" applyFont="1" applyFill="1" applyBorder="1" applyAlignment="1">
      <alignment horizontal="center"/>
    </xf>
    <xf numFmtId="3" fontId="7" fillId="3" borderId="190" xfId="0" applyNumberFormat="1" applyFont="1" applyFill="1" applyBorder="1" applyAlignment="1">
      <alignment horizontal="center"/>
    </xf>
    <xf numFmtId="3" fontId="7" fillId="3" borderId="191" xfId="0" applyNumberFormat="1" applyFont="1" applyFill="1" applyBorder="1" applyAlignment="1">
      <alignment horizontal="center"/>
    </xf>
    <xf numFmtId="3" fontId="7" fillId="3" borderId="193" xfId="0" applyNumberFormat="1" applyFont="1" applyFill="1" applyBorder="1" applyAlignment="1">
      <alignment horizontal="center"/>
    </xf>
    <xf numFmtId="3" fontId="7" fillId="3" borderId="189" xfId="0" applyNumberFormat="1" applyFont="1" applyFill="1" applyBorder="1" applyAlignment="1">
      <alignment horizontal="center"/>
    </xf>
    <xf numFmtId="2" fontId="7" fillId="3" borderId="192" xfId="1" applyNumberFormat="1" applyFont="1" applyFill="1" applyBorder="1" applyAlignment="1">
      <alignment horizontal="center"/>
    </xf>
    <xf numFmtId="3" fontId="7" fillId="3" borderId="87" xfId="0" applyNumberFormat="1" applyFont="1" applyFill="1" applyBorder="1"/>
    <xf numFmtId="9" fontId="7" fillId="3" borderId="47" xfId="1" applyFont="1" applyFill="1" applyBorder="1"/>
    <xf numFmtId="3" fontId="7" fillId="3" borderId="194" xfId="0" applyNumberFormat="1" applyFont="1" applyFill="1" applyBorder="1" applyAlignment="1">
      <alignment horizontal="center"/>
    </xf>
    <xf numFmtId="3" fontId="7" fillId="4" borderId="131" xfId="0" applyNumberFormat="1" applyFont="1" applyFill="1" applyBorder="1" applyAlignment="1">
      <alignment horizontal="left" vertical="center" wrapText="1"/>
    </xf>
    <xf numFmtId="3" fontId="7" fillId="4" borderId="196" xfId="0" applyNumberFormat="1" applyFont="1" applyFill="1" applyBorder="1"/>
    <xf numFmtId="3" fontId="7" fillId="4" borderId="197" xfId="0" applyNumberFormat="1" applyFont="1" applyFill="1" applyBorder="1"/>
    <xf numFmtId="3" fontId="7" fillId="4" borderId="198" xfId="0" applyNumberFormat="1" applyFont="1" applyFill="1" applyBorder="1"/>
    <xf numFmtId="3" fontId="7" fillId="4" borderId="199" xfId="0" applyNumberFormat="1" applyFont="1" applyFill="1" applyBorder="1"/>
    <xf numFmtId="3" fontId="7" fillId="4" borderId="201" xfId="0" applyNumberFormat="1" applyFont="1" applyFill="1" applyBorder="1" applyAlignment="1">
      <alignment horizontal="center"/>
    </xf>
    <xf numFmtId="3" fontId="7" fillId="4" borderId="200" xfId="0" applyNumberFormat="1" applyFont="1" applyFill="1" applyBorder="1"/>
    <xf numFmtId="3" fontId="7" fillId="4" borderId="201" xfId="0" applyNumberFormat="1" applyFont="1" applyFill="1" applyBorder="1"/>
    <xf numFmtId="3" fontId="7" fillId="4" borderId="203" xfId="0" applyNumberFormat="1" applyFont="1" applyFill="1" applyBorder="1"/>
    <xf numFmtId="3" fontId="7" fillId="4" borderId="204" xfId="0" applyNumberFormat="1" applyFont="1" applyFill="1" applyBorder="1"/>
    <xf numFmtId="3" fontId="7" fillId="4" borderId="206" xfId="0" applyNumberFormat="1" applyFont="1" applyFill="1" applyBorder="1" applyAlignment="1">
      <alignment horizontal="center"/>
    </xf>
    <xf numFmtId="2" fontId="7" fillId="4" borderId="205" xfId="1" applyNumberFormat="1" applyFont="1" applyFill="1" applyBorder="1" applyAlignment="1">
      <alignment horizontal="center"/>
    </xf>
    <xf numFmtId="9" fontId="7" fillId="4" borderId="197" xfId="1" applyFont="1" applyFill="1" applyBorder="1"/>
    <xf numFmtId="3" fontId="7" fillId="4" borderId="199" xfId="0" applyNumberFormat="1" applyFont="1" applyFill="1" applyBorder="1" applyAlignment="1">
      <alignment horizontal="center"/>
    </xf>
    <xf numFmtId="165" fontId="7" fillId="4" borderId="61" xfId="0" applyNumberFormat="1" applyFont="1" applyFill="1" applyBorder="1" applyAlignment="1">
      <alignment horizontal="center"/>
    </xf>
    <xf numFmtId="3" fontId="7" fillId="2" borderId="207" xfId="0" applyNumberFormat="1" applyFont="1" applyFill="1" applyBorder="1" applyAlignment="1">
      <alignment horizontal="left" vertical="center" wrapText="1"/>
    </xf>
    <xf numFmtId="3" fontId="7" fillId="2" borderId="207" xfId="0" applyNumberFormat="1" applyFont="1" applyFill="1" applyBorder="1"/>
    <xf numFmtId="3" fontId="7" fillId="2" borderId="209" xfId="0" applyNumberFormat="1" applyFont="1" applyFill="1" applyBorder="1"/>
    <xf numFmtId="0" fontId="7" fillId="2" borderId="207" xfId="0" applyFont="1" applyFill="1" applyBorder="1"/>
    <xf numFmtId="3" fontId="7" fillId="10" borderId="207" xfId="0" applyNumberFormat="1" applyFont="1" applyFill="1" applyBorder="1"/>
    <xf numFmtId="3" fontId="7" fillId="10" borderId="55" xfId="0" applyNumberFormat="1" applyFont="1" applyFill="1" applyBorder="1"/>
    <xf numFmtId="0" fontId="7" fillId="2" borderId="0" xfId="0" applyFont="1" applyFill="1"/>
    <xf numFmtId="0" fontId="12" fillId="2" borderId="0" xfId="0" applyFont="1" applyFill="1" applyAlignment="1">
      <alignment vertical="top"/>
    </xf>
    <xf numFmtId="0" fontId="10" fillId="2" borderId="0" xfId="0" applyFont="1" applyFill="1" applyAlignment="1">
      <alignment horizontal="right" vertical="top"/>
    </xf>
    <xf numFmtId="3" fontId="10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/>
    <xf numFmtId="3" fontId="13" fillId="0" borderId="0" xfId="0" applyNumberFormat="1" applyFont="1"/>
    <xf numFmtId="2" fontId="13" fillId="0" borderId="0" xfId="1" applyNumberFormat="1" applyFont="1"/>
    <xf numFmtId="2" fontId="13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3" fillId="2" borderId="0" xfId="0" applyFont="1" applyFill="1" applyAlignment="1">
      <alignment vertical="center"/>
    </xf>
    <xf numFmtId="0" fontId="13" fillId="2" borderId="0" xfId="0" applyFont="1" applyFill="1"/>
    <xf numFmtId="164" fontId="13" fillId="2" borderId="0" xfId="0" applyNumberFormat="1" applyFont="1" applyFill="1"/>
    <xf numFmtId="2" fontId="13" fillId="2" borderId="0" xfId="1" applyNumberFormat="1" applyFont="1" applyFill="1"/>
    <xf numFmtId="2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4" fillId="2" borderId="0" xfId="0" applyFont="1" applyFill="1"/>
    <xf numFmtId="0" fontId="14" fillId="0" borderId="0" xfId="0" applyFont="1" applyAlignment="1">
      <alignment horizontal="left" vertical="top" wrapText="1"/>
    </xf>
    <xf numFmtId="3" fontId="7" fillId="3" borderId="127" xfId="0" applyNumberFormat="1" applyFont="1" applyFill="1" applyBorder="1" applyAlignment="1">
      <alignment horizontal="center"/>
    </xf>
    <xf numFmtId="166" fontId="7" fillId="3" borderId="95" xfId="1" applyNumberFormat="1" applyFont="1" applyFill="1" applyBorder="1"/>
    <xf numFmtId="166" fontId="7" fillId="3" borderId="136" xfId="1" applyNumberFormat="1" applyFont="1" applyFill="1" applyBorder="1"/>
    <xf numFmtId="166" fontId="7" fillId="4" borderId="165" xfId="1" applyNumberFormat="1" applyFont="1" applyFill="1" applyBorder="1"/>
    <xf numFmtId="166" fontId="7" fillId="3" borderId="88" xfId="1" applyNumberFormat="1" applyFont="1" applyFill="1" applyBorder="1"/>
    <xf numFmtId="166" fontId="7" fillId="3" borderId="133" xfId="1" applyNumberFormat="1" applyFont="1" applyFill="1" applyBorder="1"/>
    <xf numFmtId="166" fontId="7" fillId="4" borderId="163" xfId="1" applyNumberFormat="1" applyFont="1" applyFill="1" applyBorder="1"/>
    <xf numFmtId="166" fontId="7" fillId="3" borderId="85" xfId="1" applyNumberFormat="1" applyFont="1" applyFill="1" applyBorder="1"/>
    <xf numFmtId="166" fontId="7" fillId="4" borderId="199" xfId="1" applyNumberFormat="1" applyFont="1" applyFill="1" applyBorder="1"/>
    <xf numFmtId="166" fontId="7" fillId="4" borderId="165" xfId="1" applyNumberFormat="1" applyFont="1" applyFill="1" applyBorder="1" applyAlignment="1">
      <alignment horizontal="center"/>
    </xf>
    <xf numFmtId="166" fontId="7" fillId="3" borderId="90" xfId="1" applyNumberFormat="1" applyFont="1" applyFill="1" applyBorder="1" applyAlignment="1">
      <alignment horizontal="center"/>
    </xf>
    <xf numFmtId="166" fontId="7" fillId="4" borderId="197" xfId="1" applyNumberFormat="1" applyFont="1" applyFill="1" applyBorder="1" applyAlignment="1">
      <alignment horizontal="center"/>
    </xf>
    <xf numFmtId="166" fontId="7" fillId="3" borderId="183" xfId="1" applyNumberFormat="1" applyFont="1" applyFill="1" applyBorder="1" applyAlignment="1">
      <alignment horizontal="right"/>
    </xf>
    <xf numFmtId="166" fontId="7" fillId="4" borderId="197" xfId="1" applyNumberFormat="1" applyFont="1" applyFill="1" applyBorder="1"/>
    <xf numFmtId="166" fontId="7" fillId="4" borderId="166" xfId="1" applyNumberFormat="1" applyFont="1" applyFill="1" applyBorder="1"/>
    <xf numFmtId="166" fontId="7" fillId="3" borderId="188" xfId="1" applyNumberFormat="1" applyFont="1" applyFill="1" applyBorder="1" applyAlignment="1">
      <alignment horizontal="center"/>
    </xf>
    <xf numFmtId="166" fontId="7" fillId="4" borderId="201" xfId="1" applyNumberFormat="1" applyFont="1" applyFill="1" applyBorder="1" applyAlignment="1">
      <alignment horizontal="center"/>
    </xf>
    <xf numFmtId="3" fontId="2" fillId="0" borderId="0" xfId="0" applyNumberFormat="1" applyFont="1" applyAlignment="1">
      <alignment wrapText="1"/>
    </xf>
    <xf numFmtId="166" fontId="7" fillId="3" borderId="90" xfId="1" applyNumberFormat="1" applyFont="1" applyFill="1" applyBorder="1"/>
    <xf numFmtId="166" fontId="7" fillId="3" borderId="183" xfId="1" applyNumberFormat="1" applyFont="1" applyFill="1" applyBorder="1"/>
    <xf numFmtId="166" fontId="7" fillId="4" borderId="214" xfId="1" applyNumberFormat="1" applyFont="1" applyFill="1" applyBorder="1"/>
    <xf numFmtId="3" fontId="7" fillId="2" borderId="148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3" fontId="7" fillId="3" borderId="181" xfId="0" applyNumberFormat="1" applyFont="1" applyFill="1" applyBorder="1" applyAlignment="1">
      <alignment horizontal="center"/>
    </xf>
    <xf numFmtId="3" fontId="7" fillId="3" borderId="182" xfId="0" applyNumberFormat="1" applyFont="1" applyFill="1" applyBorder="1" applyAlignment="1">
      <alignment horizontal="center"/>
    </xf>
    <xf numFmtId="3" fontId="7" fillId="4" borderId="164" xfId="0" applyNumberFormat="1" applyFont="1" applyFill="1" applyBorder="1" applyAlignment="1">
      <alignment horizontal="center"/>
    </xf>
    <xf numFmtId="3" fontId="7" fillId="4" borderId="166" xfId="0" applyNumberFormat="1" applyFont="1" applyFill="1" applyBorder="1" applyAlignment="1">
      <alignment horizontal="center"/>
    </xf>
    <xf numFmtId="3" fontId="7" fillId="4" borderId="196" xfId="0" applyNumberFormat="1" applyFont="1" applyFill="1" applyBorder="1" applyAlignment="1">
      <alignment horizontal="center"/>
    </xf>
    <xf numFmtId="3" fontId="7" fillId="3" borderId="96" xfId="0" applyNumberFormat="1" applyFont="1" applyFill="1" applyBorder="1" applyAlignment="1">
      <alignment horizontal="center"/>
    </xf>
    <xf numFmtId="0" fontId="16" fillId="2" borderId="0" xfId="0" applyFont="1" applyFill="1"/>
    <xf numFmtId="3" fontId="16" fillId="4" borderId="17" xfId="0" applyNumberFormat="1" applyFont="1" applyFill="1" applyBorder="1" applyAlignment="1">
      <alignment horizontal="center" wrapText="1"/>
    </xf>
    <xf numFmtId="3" fontId="16" fillId="4" borderId="136" xfId="0" applyNumberFormat="1" applyFont="1" applyFill="1" applyBorder="1" applyAlignment="1">
      <alignment horizontal="center" wrapText="1"/>
    </xf>
    <xf numFmtId="3" fontId="16" fillId="2" borderId="47" xfId="0" applyNumberFormat="1" applyFont="1" applyFill="1" applyBorder="1" applyAlignment="1">
      <alignment horizontal="center" wrapText="1"/>
    </xf>
    <xf numFmtId="3" fontId="16" fillId="2" borderId="70" xfId="0" applyNumberFormat="1" applyFont="1" applyFill="1" applyBorder="1"/>
    <xf numFmtId="3" fontId="16" fillId="2" borderId="70" xfId="0" applyNumberFormat="1" applyFont="1" applyFill="1" applyBorder="1" applyAlignment="1">
      <alignment horizontal="center"/>
    </xf>
    <xf numFmtId="3" fontId="16" fillId="0" borderId="0" xfId="0" applyNumberFormat="1" applyFont="1"/>
    <xf numFmtId="167" fontId="13" fillId="0" borderId="0" xfId="0" applyNumberFormat="1" applyFont="1"/>
    <xf numFmtId="3" fontId="2" fillId="0" borderId="0" xfId="0" applyNumberFormat="1" applyFont="1"/>
    <xf numFmtId="0" fontId="10" fillId="0" borderId="76" xfId="0" applyFont="1" applyBorder="1"/>
    <xf numFmtId="166" fontId="7" fillId="3" borderId="124" xfId="1" applyNumberFormat="1" applyFont="1" applyFill="1" applyBorder="1"/>
    <xf numFmtId="9" fontId="7" fillId="3" borderId="124" xfId="1" applyFont="1" applyFill="1" applyBorder="1"/>
    <xf numFmtId="166" fontId="17" fillId="7" borderId="75" xfId="1" applyNumberFormat="1" applyFont="1" applyFill="1" applyBorder="1"/>
    <xf numFmtId="9" fontId="7" fillId="4" borderId="163" xfId="1" applyFont="1" applyFill="1" applyBorder="1"/>
    <xf numFmtId="3" fontId="7" fillId="3" borderId="183" xfId="0" applyNumberFormat="1" applyFont="1" applyFill="1" applyBorder="1" applyAlignment="1">
      <alignment horizontal="right"/>
    </xf>
    <xf numFmtId="3" fontId="7" fillId="3" borderId="192" xfId="0" applyNumberFormat="1" applyFont="1" applyFill="1" applyBorder="1" applyAlignment="1">
      <alignment horizontal="right"/>
    </xf>
    <xf numFmtId="3" fontId="7" fillId="4" borderId="199" xfId="0" applyNumberFormat="1" applyFont="1" applyFill="1" applyBorder="1" applyAlignment="1">
      <alignment horizontal="right"/>
    </xf>
    <xf numFmtId="3" fontId="7" fillId="4" borderId="197" xfId="0" applyNumberFormat="1" applyFont="1" applyFill="1" applyBorder="1" applyAlignment="1">
      <alignment horizontal="right"/>
    </xf>
    <xf numFmtId="3" fontId="7" fillId="4" borderId="196" xfId="0" applyNumberFormat="1" applyFont="1" applyFill="1" applyBorder="1" applyAlignment="1">
      <alignment horizontal="right"/>
    </xf>
    <xf numFmtId="3" fontId="7" fillId="4" borderId="205" xfId="0" applyNumberFormat="1" applyFont="1" applyFill="1" applyBorder="1" applyAlignment="1">
      <alignment horizontal="right"/>
    </xf>
    <xf numFmtId="2" fontId="3" fillId="2" borderId="0" xfId="0" applyNumberFormat="1" applyFont="1" applyFill="1"/>
    <xf numFmtId="4" fontId="7" fillId="3" borderId="68" xfId="0" applyNumberFormat="1" applyFont="1" applyFill="1" applyBorder="1"/>
    <xf numFmtId="4" fontId="7" fillId="3" borderId="126" xfId="0" applyNumberFormat="1" applyFont="1" applyFill="1" applyBorder="1"/>
    <xf numFmtId="3" fontId="16" fillId="2" borderId="80" xfId="0" applyNumberFormat="1" applyFont="1" applyFill="1" applyBorder="1"/>
    <xf numFmtId="164" fontId="16" fillId="2" borderId="70" xfId="0" applyNumberFormat="1" applyFont="1" applyFill="1" applyBorder="1"/>
    <xf numFmtId="165" fontId="16" fillId="2" borderId="70" xfId="0" applyNumberFormat="1" applyFont="1" applyFill="1" applyBorder="1"/>
    <xf numFmtId="3" fontId="16" fillId="2" borderId="82" xfId="0" applyNumberFormat="1" applyFont="1" applyFill="1" applyBorder="1" applyAlignment="1">
      <alignment horizontal="center"/>
    </xf>
    <xf numFmtId="3" fontId="16" fillId="2" borderId="72" xfId="0" applyNumberFormat="1" applyFont="1" applyFill="1" applyBorder="1"/>
    <xf numFmtId="3" fontId="16" fillId="2" borderId="82" xfId="0" applyNumberFormat="1" applyFont="1" applyFill="1" applyBorder="1"/>
    <xf numFmtId="4" fontId="16" fillId="2" borderId="70" xfId="0" applyNumberFormat="1" applyFont="1" applyFill="1" applyBorder="1"/>
    <xf numFmtId="164" fontId="16" fillId="2" borderId="69" xfId="0" applyNumberFormat="1" applyFont="1" applyFill="1" applyBorder="1"/>
    <xf numFmtId="0" fontId="16" fillId="0" borderId="80" xfId="0" applyFont="1" applyBorder="1"/>
    <xf numFmtId="164" fontId="16" fillId="2" borderId="68" xfId="0" applyNumberFormat="1" applyFont="1" applyFill="1" applyBorder="1"/>
    <xf numFmtId="3" fontId="16" fillId="2" borderId="81" xfId="0" applyNumberFormat="1" applyFont="1" applyFill="1" applyBorder="1"/>
    <xf numFmtId="3" fontId="16" fillId="2" borderId="75" xfId="0" applyNumberFormat="1" applyFont="1" applyFill="1" applyBorder="1"/>
    <xf numFmtId="3" fontId="16" fillId="2" borderId="60" xfId="0" applyNumberFormat="1" applyFont="1" applyFill="1" applyBorder="1"/>
    <xf numFmtId="3" fontId="16" fillId="0" borderId="74" xfId="0" applyNumberFormat="1" applyFont="1" applyBorder="1"/>
    <xf numFmtId="3" fontId="16" fillId="0" borderId="80" xfId="0" applyNumberFormat="1" applyFont="1" applyBorder="1"/>
    <xf numFmtId="165" fontId="16" fillId="2" borderId="77" xfId="0" applyNumberFormat="1" applyFont="1" applyFill="1" applyBorder="1"/>
    <xf numFmtId="166" fontId="16" fillId="2" borderId="82" xfId="1" applyNumberFormat="1" applyFont="1" applyFill="1" applyBorder="1"/>
    <xf numFmtId="3" fontId="16" fillId="2" borderId="62" xfId="0" applyNumberFormat="1" applyFont="1" applyFill="1" applyBorder="1" applyAlignment="1">
      <alignment horizontal="center"/>
    </xf>
    <xf numFmtId="165" fontId="16" fillId="2" borderId="82" xfId="0" applyNumberFormat="1" applyFont="1" applyFill="1" applyBorder="1" applyAlignment="1">
      <alignment horizontal="center"/>
    </xf>
    <xf numFmtId="166" fontId="16" fillId="2" borderId="70" xfId="1" applyNumberFormat="1" applyFont="1" applyFill="1" applyBorder="1"/>
    <xf numFmtId="165" fontId="16" fillId="2" borderId="68" xfId="0" applyNumberFormat="1" applyFont="1" applyFill="1" applyBorder="1" applyAlignment="1">
      <alignment horizontal="center"/>
    </xf>
    <xf numFmtId="1" fontId="16" fillId="2" borderId="74" xfId="0" applyNumberFormat="1" applyFont="1" applyFill="1" applyBorder="1"/>
    <xf numFmtId="166" fontId="16" fillId="2" borderId="80" xfId="1" applyNumberFormat="1" applyFont="1" applyFill="1" applyBorder="1"/>
    <xf numFmtId="0" fontId="16" fillId="0" borderId="0" xfId="0" applyFont="1"/>
    <xf numFmtId="166" fontId="18" fillId="7" borderId="75" xfId="1" applyNumberFormat="1" applyFont="1" applyFill="1" applyBorder="1"/>
    <xf numFmtId="166" fontId="18" fillId="7" borderId="138" xfId="1" applyNumberFormat="1" applyFont="1" applyFill="1" applyBorder="1"/>
    <xf numFmtId="166" fontId="19" fillId="7" borderId="101" xfId="1" applyNumberFormat="1" applyFont="1" applyFill="1" applyBorder="1" applyAlignment="1">
      <alignment horizontal="right"/>
    </xf>
    <xf numFmtId="3" fontId="10" fillId="2" borderId="0" xfId="0" applyNumberFormat="1" applyFont="1" applyFill="1"/>
    <xf numFmtId="164" fontId="10" fillId="2" borderId="0" xfId="0" applyNumberFormat="1" applyFont="1" applyFill="1"/>
    <xf numFmtId="3" fontId="16" fillId="2" borderId="78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>
      <alignment wrapText="1"/>
    </xf>
    <xf numFmtId="0" fontId="16" fillId="4" borderId="17" xfId="0" applyFont="1" applyFill="1" applyBorder="1" applyAlignment="1">
      <alignment horizontal="center" wrapText="1"/>
    </xf>
    <xf numFmtId="164" fontId="16" fillId="4" borderId="21" xfId="0" applyNumberFormat="1" applyFont="1" applyFill="1" applyBorder="1" applyAlignment="1">
      <alignment horizontal="center" wrapText="1"/>
    </xf>
    <xf numFmtId="164" fontId="16" fillId="4" borderId="32" xfId="0" applyNumberFormat="1" applyFont="1" applyFill="1" applyBorder="1" applyAlignment="1">
      <alignment horizontal="center" wrapText="1"/>
    </xf>
    <xf numFmtId="0" fontId="16" fillId="4" borderId="32" xfId="0" applyFont="1" applyFill="1" applyBorder="1" applyAlignment="1">
      <alignment horizontal="center" wrapText="1"/>
    </xf>
    <xf numFmtId="165" fontId="16" fillId="4" borderId="32" xfId="0" applyNumberFormat="1" applyFont="1" applyFill="1" applyBorder="1" applyAlignment="1">
      <alignment horizontal="center" wrapText="1"/>
    </xf>
    <xf numFmtId="164" fontId="16" fillId="4" borderId="41" xfId="0" applyNumberFormat="1" applyFont="1" applyFill="1" applyBorder="1" applyAlignment="1">
      <alignment horizontal="center" wrapText="1"/>
    </xf>
    <xf numFmtId="164" fontId="16" fillId="4" borderId="43" xfId="0" applyNumberFormat="1" applyFont="1" applyFill="1" applyBorder="1" applyAlignment="1">
      <alignment horizontal="center" wrapText="1"/>
    </xf>
    <xf numFmtId="0" fontId="16" fillId="4" borderId="43" xfId="0" applyFont="1" applyFill="1" applyBorder="1" applyAlignment="1">
      <alignment horizontal="center"/>
    </xf>
    <xf numFmtId="165" fontId="16" fillId="4" borderId="43" xfId="0" applyNumberFormat="1" applyFont="1" applyFill="1" applyBorder="1" applyAlignment="1">
      <alignment horizontal="center"/>
    </xf>
    <xf numFmtId="0" fontId="16" fillId="4" borderId="42" xfId="0" applyFont="1" applyFill="1" applyBorder="1" applyAlignment="1">
      <alignment horizontal="center" wrapText="1"/>
    </xf>
    <xf numFmtId="0" fontId="16" fillId="4" borderId="43" xfId="0" applyFont="1" applyFill="1" applyBorder="1" applyAlignment="1">
      <alignment horizontal="center" wrapText="1"/>
    </xf>
    <xf numFmtId="0" fontId="16" fillId="4" borderId="212" xfId="0" applyFont="1" applyFill="1" applyBorder="1" applyAlignment="1">
      <alignment horizontal="center" wrapText="1"/>
    </xf>
    <xf numFmtId="164" fontId="16" fillId="2" borderId="28" xfId="0" applyNumberFormat="1" applyFont="1" applyFill="1" applyBorder="1" applyAlignment="1">
      <alignment horizontal="center" wrapText="1"/>
    </xf>
    <xf numFmtId="164" fontId="16" fillId="2" borderId="0" xfId="0" applyNumberFormat="1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165" fontId="16" fillId="2" borderId="0" xfId="0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6" fillId="2" borderId="29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164" fontId="16" fillId="5" borderId="51" xfId="0" applyNumberFormat="1" applyFont="1" applyFill="1" applyBorder="1"/>
    <xf numFmtId="164" fontId="16" fillId="5" borderId="52" xfId="0" applyNumberFormat="1" applyFont="1" applyFill="1" applyBorder="1"/>
    <xf numFmtId="166" fontId="16" fillId="5" borderId="52" xfId="1" applyNumberFormat="1" applyFont="1" applyFill="1" applyBorder="1"/>
    <xf numFmtId="3" fontId="16" fillId="5" borderId="53" xfId="0" applyNumberFormat="1" applyFont="1" applyFill="1" applyBorder="1" applyAlignment="1">
      <alignment horizontal="center"/>
    </xf>
    <xf numFmtId="3" fontId="16" fillId="5" borderId="54" xfId="0" applyNumberFormat="1" applyFont="1" applyFill="1" applyBorder="1" applyAlignment="1">
      <alignment horizontal="center"/>
    </xf>
    <xf numFmtId="3" fontId="16" fillId="5" borderId="53" xfId="0" applyNumberFormat="1" applyFont="1" applyFill="1" applyBorder="1"/>
    <xf numFmtId="3" fontId="16" fillId="2" borderId="61" xfId="0" applyNumberFormat="1" applyFont="1" applyFill="1" applyBorder="1" applyAlignment="1">
      <alignment horizontal="center"/>
    </xf>
    <xf numFmtId="3" fontId="16" fillId="2" borderId="71" xfId="0" applyNumberFormat="1" applyFont="1" applyFill="1" applyBorder="1" applyAlignment="1">
      <alignment horizontal="center"/>
    </xf>
    <xf numFmtId="3" fontId="16" fillId="2" borderId="74" xfId="0" applyNumberFormat="1" applyFont="1" applyFill="1" applyBorder="1"/>
    <xf numFmtId="3" fontId="16" fillId="2" borderId="61" xfId="0" applyNumberFormat="1" applyFont="1" applyFill="1" applyBorder="1"/>
    <xf numFmtId="164" fontId="16" fillId="5" borderId="69" xfId="0" applyNumberFormat="1" applyFont="1" applyFill="1" applyBorder="1"/>
    <xf numFmtId="164" fontId="16" fillId="5" borderId="70" xfId="0" applyNumberFormat="1" applyFont="1" applyFill="1" applyBorder="1"/>
    <xf numFmtId="166" fontId="16" fillId="5" borderId="70" xfId="1" applyNumberFormat="1" applyFont="1" applyFill="1" applyBorder="1"/>
    <xf numFmtId="3" fontId="16" fillId="5" borderId="61" xfId="0" applyNumberFormat="1" applyFont="1" applyFill="1" applyBorder="1" applyAlignment="1">
      <alignment horizontal="center"/>
    </xf>
    <xf numFmtId="3" fontId="16" fillId="5" borderId="71" xfId="0" applyNumberFormat="1" applyFont="1" applyFill="1" applyBorder="1" applyAlignment="1">
      <alignment horizontal="center"/>
    </xf>
    <xf numFmtId="3" fontId="16" fillId="5" borderId="61" xfId="0" applyNumberFormat="1" applyFont="1" applyFill="1" applyBorder="1"/>
    <xf numFmtId="3" fontId="16" fillId="2" borderId="74" xfId="0" applyNumberFormat="1" applyFont="1" applyFill="1" applyBorder="1" applyAlignment="1">
      <alignment horizontal="center"/>
    </xf>
    <xf numFmtId="3" fontId="16" fillId="2" borderId="68" xfId="0" applyNumberFormat="1" applyFont="1" applyFill="1" applyBorder="1" applyAlignment="1">
      <alignment horizontal="center"/>
    </xf>
    <xf numFmtId="164" fontId="16" fillId="0" borderId="70" xfId="0" applyNumberFormat="1" applyFont="1" applyBorder="1"/>
    <xf numFmtId="3" fontId="16" fillId="6" borderId="74" xfId="0" applyNumberFormat="1" applyFont="1" applyFill="1" applyBorder="1" applyAlignment="1">
      <alignment horizontal="center"/>
    </xf>
    <xf numFmtId="3" fontId="16" fillId="6" borderId="82" xfId="0" applyNumberFormat="1" applyFont="1" applyFill="1" applyBorder="1" applyAlignment="1">
      <alignment horizontal="center"/>
    </xf>
    <xf numFmtId="3" fontId="16" fillId="6" borderId="74" xfId="0" applyNumberFormat="1" applyFont="1" applyFill="1" applyBorder="1"/>
    <xf numFmtId="164" fontId="7" fillId="3" borderId="28" xfId="0" applyNumberFormat="1" applyFont="1" applyFill="1" applyBorder="1"/>
    <xf numFmtId="3" fontId="7" fillId="3" borderId="1" xfId="0" applyNumberFormat="1" applyFont="1" applyFill="1" applyBorder="1"/>
    <xf numFmtId="164" fontId="16" fillId="2" borderId="5" xfId="0" applyNumberFormat="1" applyFont="1" applyFill="1" applyBorder="1" applyAlignment="1">
      <alignment horizontal="center"/>
    </xf>
    <xf numFmtId="164" fontId="16" fillId="2" borderId="101" xfId="0" applyNumberFormat="1" applyFont="1" applyFill="1" applyBorder="1" applyAlignment="1">
      <alignment horizontal="center"/>
    </xf>
    <xf numFmtId="3" fontId="16" fillId="2" borderId="9" xfId="0" applyNumberFormat="1" applyFont="1" applyFill="1" applyBorder="1" applyAlignment="1">
      <alignment horizontal="center"/>
    </xf>
    <xf numFmtId="3" fontId="16" fillId="2" borderId="102" xfId="0" applyNumberFormat="1" applyFont="1" applyFill="1" applyBorder="1" applyAlignment="1">
      <alignment horizontal="center"/>
    </xf>
    <xf numFmtId="164" fontId="16" fillId="0" borderId="23" xfId="0" applyNumberFormat="1" applyFont="1" applyBorder="1"/>
    <xf numFmtId="164" fontId="16" fillId="2" borderId="106" xfId="0" applyNumberFormat="1" applyFont="1" applyFill="1" applyBorder="1"/>
    <xf numFmtId="166" fontId="16" fillId="2" borderId="106" xfId="1" applyNumberFormat="1" applyFont="1" applyFill="1" applyBorder="1"/>
    <xf numFmtId="3" fontId="16" fillId="2" borderId="26" xfId="0" applyNumberFormat="1" applyFont="1" applyFill="1" applyBorder="1" applyAlignment="1">
      <alignment horizontal="center"/>
    </xf>
    <xf numFmtId="3" fontId="16" fillId="2" borderId="112" xfId="0" applyNumberFormat="1" applyFont="1" applyFill="1" applyBorder="1" applyAlignment="1">
      <alignment horizontal="center"/>
    </xf>
    <xf numFmtId="3" fontId="16" fillId="2" borderId="109" xfId="0" applyNumberFormat="1" applyFont="1" applyFill="1" applyBorder="1"/>
    <xf numFmtId="164" fontId="7" fillId="3" borderId="128" xfId="0" applyNumberFormat="1" applyFont="1" applyFill="1" applyBorder="1"/>
    <xf numFmtId="164" fontId="16" fillId="7" borderId="5" xfId="0" applyNumberFormat="1" applyFont="1" applyFill="1" applyBorder="1" applyAlignment="1">
      <alignment horizontal="right"/>
    </xf>
    <xf numFmtId="164" fontId="16" fillId="7" borderId="101" xfId="0" applyNumberFormat="1" applyFont="1" applyFill="1" applyBorder="1" applyAlignment="1">
      <alignment horizontal="right"/>
    </xf>
    <xf numFmtId="165" fontId="16" fillId="7" borderId="102" xfId="0" applyNumberFormat="1" applyFont="1" applyFill="1" applyBorder="1" applyAlignment="1">
      <alignment horizontal="right"/>
    </xf>
    <xf numFmtId="3" fontId="16" fillId="7" borderId="9" xfId="0" applyNumberFormat="1" applyFont="1" applyFill="1" applyBorder="1" applyAlignment="1">
      <alignment horizontal="center"/>
    </xf>
    <xf numFmtId="3" fontId="16" fillId="7" borderId="102" xfId="0" applyNumberFormat="1" applyFont="1" applyFill="1" applyBorder="1" applyAlignment="1">
      <alignment horizontal="center"/>
    </xf>
    <xf numFmtId="3" fontId="16" fillId="7" borderId="9" xfId="0" applyNumberFormat="1" applyFont="1" applyFill="1" applyBorder="1" applyAlignment="1">
      <alignment horizontal="right"/>
    </xf>
    <xf numFmtId="164" fontId="16" fillId="8" borderId="137" xfId="0" applyNumberFormat="1" applyFont="1" applyFill="1" applyBorder="1" applyAlignment="1">
      <alignment horizontal="right"/>
    </xf>
    <xf numFmtId="164" fontId="16" fillId="8" borderId="138" xfId="0" applyNumberFormat="1" applyFont="1" applyFill="1" applyBorder="1" applyAlignment="1">
      <alignment horizontal="right"/>
    </xf>
    <xf numFmtId="166" fontId="16" fillId="8" borderId="138" xfId="1" applyNumberFormat="1" applyFont="1" applyFill="1" applyBorder="1" applyAlignment="1">
      <alignment horizontal="right"/>
    </xf>
    <xf numFmtId="165" fontId="16" fillId="8" borderId="143" xfId="0" applyNumberFormat="1" applyFont="1" applyFill="1" applyBorder="1" applyAlignment="1">
      <alignment horizontal="right"/>
    </xf>
    <xf numFmtId="3" fontId="16" fillId="8" borderId="141" xfId="0" applyNumberFormat="1" applyFont="1" applyFill="1" applyBorder="1" applyAlignment="1">
      <alignment horizontal="center"/>
    </xf>
    <xf numFmtId="3" fontId="16" fillId="8" borderId="142" xfId="0" applyNumberFormat="1" applyFont="1" applyFill="1" applyBorder="1" applyAlignment="1">
      <alignment horizontal="center"/>
    </xf>
    <xf numFmtId="3" fontId="16" fillId="8" borderId="140" xfId="0" applyNumberFormat="1" applyFont="1" applyFill="1" applyBorder="1" applyAlignment="1">
      <alignment horizontal="right"/>
    </xf>
    <xf numFmtId="164" fontId="16" fillId="8" borderId="59" xfId="0" applyNumberFormat="1" applyFont="1" applyFill="1" applyBorder="1" applyAlignment="1">
      <alignment horizontal="right"/>
    </xf>
    <xf numFmtId="164" fontId="16" fillId="8" borderId="75" xfId="0" applyNumberFormat="1" applyFont="1" applyFill="1" applyBorder="1" applyAlignment="1">
      <alignment horizontal="right"/>
    </xf>
    <xf numFmtId="166" fontId="16" fillId="8" borderId="75" xfId="1" applyNumberFormat="1" applyFont="1" applyFill="1" applyBorder="1" applyAlignment="1">
      <alignment horizontal="right"/>
    </xf>
    <xf numFmtId="165" fontId="16" fillId="8" borderId="60" xfId="0" applyNumberFormat="1" applyFont="1" applyFill="1" applyBorder="1" applyAlignment="1">
      <alignment horizontal="right"/>
    </xf>
    <xf numFmtId="3" fontId="16" fillId="8" borderId="81" xfId="0" applyNumberFormat="1" applyFont="1" applyFill="1" applyBorder="1" applyAlignment="1">
      <alignment horizontal="center"/>
    </xf>
    <xf numFmtId="3" fontId="16" fillId="8" borderId="71" xfId="0" applyNumberFormat="1" applyFont="1" applyFill="1" applyBorder="1" applyAlignment="1">
      <alignment horizontal="center"/>
    </xf>
    <xf numFmtId="3" fontId="16" fillId="8" borderId="62" xfId="0" applyNumberFormat="1" applyFont="1" applyFill="1" applyBorder="1" applyAlignment="1">
      <alignment horizontal="right"/>
    </xf>
    <xf numFmtId="164" fontId="16" fillId="8" borderId="77" xfId="0" applyNumberFormat="1" applyFont="1" applyFill="1" applyBorder="1" applyAlignment="1">
      <alignment horizontal="right"/>
    </xf>
    <xf numFmtId="164" fontId="16" fillId="8" borderId="70" xfId="0" applyNumberFormat="1" applyFont="1" applyFill="1" applyBorder="1" applyAlignment="1">
      <alignment horizontal="right"/>
    </xf>
    <xf numFmtId="166" fontId="16" fillId="8" borderId="70" xfId="1" applyNumberFormat="1" applyFont="1" applyFill="1" applyBorder="1" applyAlignment="1">
      <alignment horizontal="right"/>
    </xf>
    <xf numFmtId="165" fontId="16" fillId="8" borderId="68" xfId="0" applyNumberFormat="1" applyFont="1" applyFill="1" applyBorder="1" applyAlignment="1">
      <alignment horizontal="right"/>
    </xf>
    <xf numFmtId="3" fontId="16" fillId="8" borderId="67" xfId="0" applyNumberFormat="1" applyFont="1" applyFill="1" applyBorder="1" applyAlignment="1">
      <alignment horizontal="center"/>
    </xf>
    <xf numFmtId="3" fontId="16" fillId="8" borderId="82" xfId="0" applyNumberFormat="1" applyFont="1" applyFill="1" applyBorder="1" applyAlignment="1">
      <alignment horizontal="center"/>
    </xf>
    <xf numFmtId="164" fontId="16" fillId="8" borderId="144" xfId="0" applyNumberFormat="1" applyFont="1" applyFill="1" applyBorder="1" applyAlignment="1">
      <alignment horizontal="right"/>
    </xf>
    <xf numFmtId="164" fontId="16" fillId="8" borderId="145" xfId="0" applyNumberFormat="1" applyFont="1" applyFill="1" applyBorder="1" applyAlignment="1">
      <alignment horizontal="right"/>
    </xf>
    <xf numFmtId="166" fontId="16" fillId="8" borderId="145" xfId="1" applyNumberFormat="1" applyFont="1" applyFill="1" applyBorder="1" applyAlignment="1">
      <alignment horizontal="right"/>
    </xf>
    <xf numFmtId="165" fontId="16" fillId="8" borderId="150" xfId="0" applyNumberFormat="1" applyFont="1" applyFill="1" applyBorder="1" applyAlignment="1">
      <alignment horizontal="right"/>
    </xf>
    <xf numFmtId="3" fontId="16" fillId="8" borderId="148" xfId="0" applyNumberFormat="1" applyFont="1" applyFill="1" applyBorder="1" applyAlignment="1">
      <alignment horizontal="center"/>
    </xf>
    <xf numFmtId="3" fontId="16" fillId="8" borderId="149" xfId="0" applyNumberFormat="1" applyFont="1" applyFill="1" applyBorder="1" applyAlignment="1">
      <alignment horizontal="center"/>
    </xf>
    <xf numFmtId="3" fontId="16" fillId="8" borderId="147" xfId="0" applyNumberFormat="1" applyFont="1" applyFill="1" applyBorder="1" applyAlignment="1">
      <alignment horizontal="right"/>
    </xf>
    <xf numFmtId="164" fontId="16" fillId="7" borderId="151" xfId="0" applyNumberFormat="1" applyFont="1" applyFill="1" applyBorder="1"/>
    <xf numFmtId="164" fontId="16" fillId="7" borderId="75" xfId="0" applyNumberFormat="1" applyFont="1" applyFill="1" applyBorder="1"/>
    <xf numFmtId="3" fontId="16" fillId="7" borderId="61" xfId="0" applyNumberFormat="1" applyFont="1" applyFill="1" applyBorder="1" applyAlignment="1">
      <alignment horizontal="center"/>
    </xf>
    <xf numFmtId="3" fontId="16" fillId="7" borderId="71" xfId="0" applyNumberFormat="1" applyFont="1" applyFill="1" applyBorder="1" applyAlignment="1">
      <alignment horizontal="center"/>
    </xf>
    <xf numFmtId="3" fontId="16" fillId="7" borderId="61" xfId="0" applyNumberFormat="1" applyFont="1" applyFill="1" applyBorder="1"/>
    <xf numFmtId="164" fontId="16" fillId="2" borderId="153" xfId="0" applyNumberFormat="1" applyFont="1" applyFill="1" applyBorder="1"/>
    <xf numFmtId="164" fontId="16" fillId="2" borderId="145" xfId="0" applyNumberFormat="1" applyFont="1" applyFill="1" applyBorder="1"/>
    <xf numFmtId="166" fontId="16" fillId="2" borderId="145" xfId="1" applyNumberFormat="1" applyFont="1" applyFill="1" applyBorder="1"/>
    <xf numFmtId="3" fontId="16" fillId="2" borderId="154" xfId="0" applyNumberFormat="1" applyFont="1" applyFill="1" applyBorder="1" applyAlignment="1">
      <alignment horizontal="center"/>
    </xf>
    <xf numFmtId="3" fontId="16" fillId="2" borderId="149" xfId="0" applyNumberFormat="1" applyFont="1" applyFill="1" applyBorder="1" applyAlignment="1">
      <alignment horizontal="center"/>
    </xf>
    <xf numFmtId="3" fontId="16" fillId="6" borderId="154" xfId="0" applyNumberFormat="1" applyFont="1" applyFill="1" applyBorder="1"/>
    <xf numFmtId="166" fontId="16" fillId="7" borderId="75" xfId="1" applyNumberFormat="1" applyFont="1" applyFill="1" applyBorder="1"/>
    <xf numFmtId="164" fontId="16" fillId="2" borderId="135" xfId="0" applyNumberFormat="1" applyFont="1" applyFill="1" applyBorder="1" applyAlignment="1">
      <alignment horizontal="center"/>
    </xf>
    <xf numFmtId="164" fontId="16" fillId="2" borderId="133" xfId="0" applyNumberFormat="1" applyFont="1" applyFill="1" applyBorder="1" applyAlignment="1">
      <alignment horizontal="center"/>
    </xf>
    <xf numFmtId="3" fontId="16" fillId="2" borderId="133" xfId="0" applyNumberFormat="1" applyFont="1" applyFill="1" applyBorder="1" applyAlignment="1">
      <alignment horizontal="center"/>
    </xf>
    <xf numFmtId="3" fontId="16" fillId="2" borderId="136" xfId="0" applyNumberFormat="1" applyFont="1" applyFill="1" applyBorder="1" applyAlignment="1">
      <alignment horizontal="center"/>
    </xf>
    <xf numFmtId="3" fontId="7" fillId="2" borderId="125" xfId="0" applyNumberFormat="1" applyFont="1" applyFill="1" applyBorder="1"/>
    <xf numFmtId="164" fontId="7" fillId="4" borderId="161" xfId="0" applyNumberFormat="1" applyFont="1" applyFill="1" applyBorder="1"/>
    <xf numFmtId="164" fontId="16" fillId="9" borderId="23" xfId="0" applyNumberFormat="1" applyFont="1" applyFill="1" applyBorder="1" applyAlignment="1">
      <alignment horizontal="center"/>
    </xf>
    <xf numFmtId="164" fontId="16" fillId="9" borderId="117" xfId="0" applyNumberFormat="1" applyFont="1" applyFill="1" applyBorder="1" applyAlignment="1">
      <alignment horizontal="center"/>
    </xf>
    <xf numFmtId="164" fontId="16" fillId="9" borderId="114" xfId="0" applyNumberFormat="1" applyFont="1" applyFill="1" applyBorder="1" applyAlignment="1">
      <alignment horizontal="center"/>
    </xf>
    <xf numFmtId="3" fontId="16" fillId="9" borderId="25" xfId="0" applyNumberFormat="1" applyFont="1" applyFill="1" applyBorder="1" applyAlignment="1">
      <alignment horizontal="center"/>
    </xf>
    <xf numFmtId="3" fontId="16" fillId="9" borderId="26" xfId="0" applyNumberFormat="1" applyFont="1" applyFill="1" applyBorder="1" applyAlignment="1">
      <alignment horizontal="center"/>
    </xf>
    <xf numFmtId="3" fontId="16" fillId="9" borderId="102" xfId="0" applyNumberFormat="1" applyFont="1" applyFill="1" applyBorder="1" applyAlignment="1">
      <alignment horizontal="center"/>
    </xf>
    <xf numFmtId="3" fontId="16" fillId="9" borderId="103" xfId="0" applyNumberFormat="1" applyFont="1" applyFill="1" applyBorder="1"/>
    <xf numFmtId="164" fontId="16" fillId="9" borderId="151" xfId="0" applyNumberFormat="1" applyFont="1" applyFill="1" applyBorder="1" applyAlignment="1">
      <alignment horizontal="center"/>
    </xf>
    <xf numFmtId="164" fontId="16" fillId="9" borderId="138" xfId="0" applyNumberFormat="1" applyFont="1" applyFill="1" applyBorder="1" applyAlignment="1">
      <alignment horizontal="center"/>
    </xf>
    <xf numFmtId="165" fontId="16" fillId="9" borderId="75" xfId="0" applyNumberFormat="1" applyFont="1" applyFill="1" applyBorder="1" applyAlignment="1">
      <alignment horizontal="center"/>
    </xf>
    <xf numFmtId="3" fontId="16" fillId="9" borderId="81" xfId="0" applyNumberFormat="1" applyFont="1" applyFill="1" applyBorder="1" applyAlignment="1">
      <alignment horizontal="center"/>
    </xf>
    <xf numFmtId="3" fontId="16" fillId="9" borderId="71" xfId="0" applyNumberFormat="1" applyFont="1" applyFill="1" applyBorder="1" applyAlignment="1">
      <alignment horizontal="center"/>
    </xf>
    <xf numFmtId="3" fontId="16" fillId="9" borderId="81" xfId="0" applyNumberFormat="1" applyFont="1" applyFill="1" applyBorder="1"/>
    <xf numFmtId="164" fontId="16" fillId="0" borderId="69" xfId="0" applyNumberFormat="1" applyFont="1" applyBorder="1" applyAlignment="1">
      <alignment horizontal="center"/>
    </xf>
    <xf numFmtId="164" fontId="16" fillId="0" borderId="70" xfId="0" applyNumberFormat="1" applyFont="1" applyBorder="1" applyAlignment="1">
      <alignment horizontal="center"/>
    </xf>
    <xf numFmtId="165" fontId="16" fillId="0" borderId="70" xfId="0" applyNumberFormat="1" applyFont="1" applyBorder="1" applyAlignment="1">
      <alignment horizontal="center"/>
    </xf>
    <xf numFmtId="3" fontId="16" fillId="2" borderId="67" xfId="0" applyNumberFormat="1" applyFont="1" applyFill="1" applyBorder="1" applyAlignment="1">
      <alignment horizontal="center"/>
    </xf>
    <xf numFmtId="3" fontId="16" fillId="2" borderId="175" xfId="0" applyNumberFormat="1" applyFont="1" applyFill="1" applyBorder="1" applyAlignment="1">
      <alignment horizontal="center"/>
    </xf>
    <xf numFmtId="3" fontId="16" fillId="2" borderId="176" xfId="0" applyNumberFormat="1" applyFont="1" applyFill="1" applyBorder="1" applyAlignment="1">
      <alignment horizontal="center"/>
    </xf>
    <xf numFmtId="164" fontId="16" fillId="2" borderId="144" xfId="0" applyNumberFormat="1" applyFont="1" applyFill="1" applyBorder="1" applyAlignment="1">
      <alignment horizontal="center"/>
    </xf>
    <xf numFmtId="164" fontId="16" fillId="2" borderId="145" xfId="0" applyNumberFormat="1" applyFont="1" applyFill="1" applyBorder="1" applyAlignment="1">
      <alignment horizontal="center"/>
    </xf>
    <xf numFmtId="165" fontId="16" fillId="2" borderId="145" xfId="0" applyNumberFormat="1" applyFont="1" applyFill="1" applyBorder="1" applyAlignment="1">
      <alignment horizontal="center"/>
    </xf>
    <xf numFmtId="165" fontId="16" fillId="2" borderId="149" xfId="0" applyNumberFormat="1" applyFont="1" applyFill="1" applyBorder="1" applyAlignment="1">
      <alignment horizontal="center"/>
    </xf>
    <xf numFmtId="3" fontId="16" fillId="2" borderId="148" xfId="0" applyNumberFormat="1" applyFont="1" applyFill="1" applyBorder="1" applyAlignment="1">
      <alignment horizontal="center"/>
    </xf>
    <xf numFmtId="3" fontId="16" fillId="2" borderId="145" xfId="0" applyNumberFormat="1" applyFont="1" applyFill="1" applyBorder="1" applyAlignment="1">
      <alignment horizontal="center"/>
    </xf>
    <xf numFmtId="164" fontId="7" fillId="3" borderId="181" xfId="0" applyNumberFormat="1" applyFont="1" applyFill="1" applyBorder="1" applyAlignment="1">
      <alignment horizontal="center"/>
    </xf>
    <xf numFmtId="164" fontId="16" fillId="4" borderId="128" xfId="0" applyNumberFormat="1" applyFont="1" applyFill="1" applyBorder="1"/>
    <xf numFmtId="164" fontId="16" fillId="4" borderId="123" xfId="0" applyNumberFormat="1" applyFont="1" applyFill="1" applyBorder="1"/>
    <xf numFmtId="3" fontId="16" fillId="4" borderId="123" xfId="0" applyNumberFormat="1" applyFont="1" applyFill="1" applyBorder="1"/>
    <xf numFmtId="3" fontId="16" fillId="4" borderId="195" xfId="0" applyNumberFormat="1" applyFont="1" applyFill="1" applyBorder="1"/>
    <xf numFmtId="164" fontId="16" fillId="2" borderId="207" xfId="0" applyNumberFormat="1" applyFont="1" applyFill="1" applyBorder="1"/>
    <xf numFmtId="3" fontId="16" fillId="2" borderId="207" xfId="0" applyNumberFormat="1" applyFont="1" applyFill="1" applyBorder="1"/>
    <xf numFmtId="3" fontId="7" fillId="2" borderId="208" xfId="0" applyNumberFormat="1" applyFont="1" applyFill="1" applyBorder="1"/>
    <xf numFmtId="164" fontId="16" fillId="10" borderId="207" xfId="0" applyNumberFormat="1" applyFont="1" applyFill="1" applyBorder="1"/>
    <xf numFmtId="3" fontId="16" fillId="2" borderId="88" xfId="0" applyNumberFormat="1" applyFont="1" applyFill="1" applyBorder="1" applyAlignment="1">
      <alignment horizontal="center"/>
    </xf>
    <xf numFmtId="3" fontId="16" fillId="2" borderId="95" xfId="0" applyNumberFormat="1" applyFont="1" applyFill="1" applyBorder="1" applyAlignment="1">
      <alignment horizontal="center"/>
    </xf>
    <xf numFmtId="3" fontId="16" fillId="2" borderId="96" xfId="0" applyNumberFormat="1" applyFont="1" applyFill="1" applyBorder="1"/>
    <xf numFmtId="164" fontId="16" fillId="0" borderId="0" xfId="0" applyNumberFormat="1" applyFont="1"/>
    <xf numFmtId="165" fontId="16" fillId="0" borderId="0" xfId="0" applyNumberFormat="1" applyFont="1"/>
    <xf numFmtId="164" fontId="16" fillId="2" borderId="0" xfId="0" applyNumberFormat="1" applyFont="1" applyFill="1"/>
    <xf numFmtId="164" fontId="16" fillId="4" borderId="44" xfId="0" applyNumberFormat="1" applyFont="1" applyFill="1" applyBorder="1" applyAlignment="1">
      <alignment horizontal="center" wrapText="1"/>
    </xf>
    <xf numFmtId="4" fontId="16" fillId="2" borderId="88" xfId="0" applyNumberFormat="1" applyFont="1" applyFill="1" applyBorder="1"/>
    <xf numFmtId="3" fontId="16" fillId="5" borderId="55" xfId="0" applyNumberFormat="1" applyFont="1" applyFill="1" applyBorder="1" applyAlignment="1">
      <alignment horizontal="center"/>
    </xf>
    <xf numFmtId="3" fontId="16" fillId="2" borderId="72" xfId="0" applyNumberFormat="1" applyFont="1" applyFill="1" applyBorder="1" applyAlignment="1">
      <alignment horizontal="center"/>
    </xf>
    <xf numFmtId="3" fontId="16" fillId="5" borderId="62" xfId="0" applyNumberFormat="1" applyFont="1" applyFill="1" applyBorder="1" applyAlignment="1">
      <alignment horizontal="center"/>
    </xf>
    <xf numFmtId="3" fontId="16" fillId="5" borderId="72" xfId="0" applyNumberFormat="1" applyFont="1" applyFill="1" applyBorder="1" applyAlignment="1">
      <alignment horizontal="center"/>
    </xf>
    <xf numFmtId="3" fontId="16" fillId="6" borderId="72" xfId="0" applyNumberFormat="1" applyFont="1" applyFill="1" applyBorder="1" applyAlignment="1">
      <alignment horizontal="center"/>
    </xf>
    <xf numFmtId="3" fontId="7" fillId="3" borderId="87" xfId="0" applyNumberFormat="1" applyFont="1" applyFill="1" applyBorder="1" applyAlignment="1">
      <alignment horizontal="center"/>
    </xf>
    <xf numFmtId="3" fontId="16" fillId="2" borderId="100" xfId="0" applyNumberFormat="1" applyFont="1" applyFill="1" applyBorder="1" applyAlignment="1">
      <alignment horizontal="center"/>
    </xf>
    <xf numFmtId="3" fontId="16" fillId="2" borderId="114" xfId="0" applyNumberFormat="1" applyFont="1" applyFill="1" applyBorder="1" applyAlignment="1">
      <alignment horizontal="center"/>
    </xf>
    <xf numFmtId="3" fontId="7" fillId="3" borderId="124" xfId="0" applyNumberFormat="1" applyFont="1" applyFill="1" applyBorder="1" applyAlignment="1">
      <alignment horizontal="center"/>
    </xf>
    <xf numFmtId="3" fontId="16" fillId="7" borderId="100" xfId="0" applyNumberFormat="1" applyFont="1" applyFill="1" applyBorder="1" applyAlignment="1">
      <alignment horizontal="center"/>
    </xf>
    <xf numFmtId="3" fontId="16" fillId="8" borderId="138" xfId="0" applyNumberFormat="1" applyFont="1" applyFill="1" applyBorder="1" applyAlignment="1">
      <alignment horizontal="center"/>
    </xf>
    <xf numFmtId="3" fontId="16" fillId="8" borderId="75" xfId="0" applyNumberFormat="1" applyFont="1" applyFill="1" applyBorder="1" applyAlignment="1">
      <alignment horizontal="center"/>
    </xf>
    <xf numFmtId="3" fontId="16" fillId="8" borderId="70" xfId="0" applyNumberFormat="1" applyFont="1" applyFill="1" applyBorder="1" applyAlignment="1">
      <alignment horizontal="center"/>
    </xf>
    <xf numFmtId="3" fontId="16" fillId="8" borderId="145" xfId="0" applyNumberFormat="1" applyFont="1" applyFill="1" applyBorder="1" applyAlignment="1">
      <alignment horizontal="center"/>
    </xf>
    <xf numFmtId="3" fontId="16" fillId="7" borderId="62" xfId="0" applyNumberFormat="1" applyFont="1" applyFill="1" applyBorder="1" applyAlignment="1">
      <alignment horizontal="center"/>
    </xf>
    <xf numFmtId="3" fontId="16" fillId="6" borderId="147" xfId="0" applyNumberFormat="1" applyFont="1" applyFill="1" applyBorder="1" applyAlignment="1">
      <alignment horizontal="center"/>
    </xf>
    <xf numFmtId="3" fontId="16" fillId="9" borderId="101" xfId="0" applyNumberFormat="1" applyFont="1" applyFill="1" applyBorder="1" applyAlignment="1">
      <alignment horizontal="right"/>
    </xf>
    <xf numFmtId="3" fontId="16" fillId="9" borderId="75" xfId="0" applyNumberFormat="1" applyFont="1" applyFill="1" applyBorder="1" applyAlignment="1">
      <alignment horizontal="center"/>
    </xf>
    <xf numFmtId="0" fontId="10" fillId="2" borderId="80" xfId="0" applyFont="1" applyFill="1" applyBorder="1"/>
    <xf numFmtId="0" fontId="7" fillId="3" borderId="6" xfId="0" applyFont="1" applyFill="1" applyBorder="1" applyAlignment="1">
      <alignment horizontal="center"/>
    </xf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 vertical="center"/>
    </xf>
    <xf numFmtId="164" fontId="2" fillId="0" borderId="0" xfId="0" applyNumberFormat="1" applyFont="1"/>
    <xf numFmtId="3" fontId="3" fillId="2" borderId="0" xfId="0" applyNumberFormat="1" applyFont="1" applyFill="1"/>
    <xf numFmtId="3" fontId="16" fillId="2" borderId="0" xfId="0" applyNumberFormat="1" applyFont="1" applyFill="1"/>
    <xf numFmtId="165" fontId="16" fillId="2" borderId="0" xfId="0" applyNumberFormat="1" applyFont="1" applyFill="1"/>
    <xf numFmtId="2" fontId="16" fillId="2" borderId="0" xfId="1" applyNumberFormat="1" applyFont="1" applyFill="1"/>
    <xf numFmtId="2" fontId="16" fillId="2" borderId="0" xfId="0" applyNumberFormat="1" applyFont="1" applyFill="1"/>
    <xf numFmtId="3" fontId="22" fillId="2" borderId="0" xfId="0" applyNumberFormat="1" applyFont="1" applyFill="1"/>
    <xf numFmtId="3" fontId="7" fillId="2" borderId="0" xfId="0" applyNumberFormat="1" applyFont="1" applyFill="1" applyAlignment="1">
      <alignment horizontal="center"/>
    </xf>
    <xf numFmtId="3" fontId="23" fillId="0" borderId="0" xfId="0" applyNumberFormat="1" applyFont="1"/>
    <xf numFmtId="0" fontId="16" fillId="2" borderId="2" xfId="0" applyFont="1" applyFill="1" applyBorder="1"/>
    <xf numFmtId="0" fontId="7" fillId="3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3" fontId="16" fillId="4" borderId="32" xfId="0" applyNumberFormat="1" applyFont="1" applyFill="1" applyBorder="1" applyAlignment="1">
      <alignment horizontal="center" wrapText="1"/>
    </xf>
    <xf numFmtId="0" fontId="16" fillId="4" borderId="33" xfId="0" applyFont="1" applyFill="1" applyBorder="1" applyAlignment="1">
      <alignment horizontal="center" wrapText="1"/>
    </xf>
    <xf numFmtId="164" fontId="16" fillId="4" borderId="31" xfId="0" applyNumberFormat="1" applyFont="1" applyFill="1" applyBorder="1" applyAlignment="1">
      <alignment horizontal="center" wrapText="1"/>
    </xf>
    <xf numFmtId="0" fontId="16" fillId="4" borderId="34" xfId="0" applyFont="1" applyFill="1" applyBorder="1" applyAlignment="1">
      <alignment horizontal="center" vertical="center" wrapText="1"/>
    </xf>
    <xf numFmtId="164" fontId="16" fillId="4" borderId="35" xfId="0" applyNumberFormat="1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125" xfId="0" applyFont="1" applyFill="1" applyBorder="1" applyAlignment="1">
      <alignment horizontal="center" wrapText="1"/>
    </xf>
    <xf numFmtId="3" fontId="16" fillId="4" borderId="43" xfId="0" applyNumberFormat="1" applyFont="1" applyFill="1" applyBorder="1" applyAlignment="1">
      <alignment horizontal="center" wrapText="1"/>
    </xf>
    <xf numFmtId="0" fontId="16" fillId="4" borderId="44" xfId="0" applyFont="1" applyFill="1" applyBorder="1" applyAlignment="1">
      <alignment horizontal="center" wrapText="1"/>
    </xf>
    <xf numFmtId="0" fontId="16" fillId="4" borderId="213" xfId="0" applyFont="1" applyFill="1" applyBorder="1" applyAlignment="1">
      <alignment horizontal="center" wrapText="1"/>
    </xf>
    <xf numFmtId="0" fontId="16" fillId="4" borderId="41" xfId="0" applyFont="1" applyFill="1" applyBorder="1" applyAlignment="1">
      <alignment horizontal="center" vertical="center" wrapText="1"/>
    </xf>
    <xf numFmtId="164" fontId="16" fillId="4" borderId="42" xfId="0" applyNumberFormat="1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165" fontId="16" fillId="4" borderId="41" xfId="0" applyNumberFormat="1" applyFont="1" applyFill="1" applyBorder="1" applyAlignment="1">
      <alignment horizontal="center" vertical="center" wrapText="1"/>
    </xf>
    <xf numFmtId="2" fontId="16" fillId="4" borderId="43" xfId="1" applyNumberFormat="1" applyFont="1" applyFill="1" applyBorder="1" applyAlignment="1">
      <alignment horizontal="center" vertical="center" wrapText="1"/>
    </xf>
    <xf numFmtId="2" fontId="16" fillId="4" borderId="43" xfId="0" applyNumberFormat="1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wrapText="1"/>
    </xf>
    <xf numFmtId="3" fontId="16" fillId="2" borderId="0" xfId="0" applyNumberFormat="1" applyFont="1" applyFill="1" applyAlignment="1">
      <alignment horizontal="center" wrapText="1"/>
    </xf>
    <xf numFmtId="0" fontId="16" fillId="2" borderId="211" xfId="0" applyFont="1" applyFill="1" applyBorder="1" applyAlignment="1">
      <alignment horizontal="center" wrapText="1"/>
    </xf>
    <xf numFmtId="0" fontId="16" fillId="2" borderId="208" xfId="0" applyFont="1" applyFill="1" applyBorder="1" applyAlignment="1">
      <alignment horizontal="center" wrapText="1"/>
    </xf>
    <xf numFmtId="3" fontId="16" fillId="2" borderId="29" xfId="0" applyNumberFormat="1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wrapText="1"/>
    </xf>
    <xf numFmtId="165" fontId="16" fillId="2" borderId="29" xfId="0" applyNumberFormat="1" applyFont="1" applyFill="1" applyBorder="1" applyAlignment="1">
      <alignment horizontal="center"/>
    </xf>
    <xf numFmtId="0" fontId="16" fillId="2" borderId="216" xfId="0" applyFont="1" applyFill="1" applyBorder="1" applyAlignment="1">
      <alignment horizontal="center" vertical="center" wrapText="1"/>
    </xf>
    <xf numFmtId="164" fontId="16" fillId="2" borderId="168" xfId="0" applyNumberFormat="1" applyFont="1" applyFill="1" applyBorder="1" applyAlignment="1">
      <alignment horizontal="center" vertical="center" wrapText="1"/>
    </xf>
    <xf numFmtId="0" fontId="16" fillId="2" borderId="16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68" xfId="0" applyFont="1" applyFill="1" applyBorder="1" applyAlignment="1">
      <alignment horizontal="center" vertical="center" wrapText="1"/>
    </xf>
    <xf numFmtId="165" fontId="16" fillId="2" borderId="28" xfId="0" applyNumberFormat="1" applyFont="1" applyFill="1" applyBorder="1" applyAlignment="1">
      <alignment horizontal="center" vertical="center" wrapText="1"/>
    </xf>
    <xf numFmtId="2" fontId="16" fillId="2" borderId="29" xfId="1" applyNumberFormat="1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2" fontId="16" fillId="2" borderId="0" xfId="0" applyNumberFormat="1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3" fontId="16" fillId="5" borderId="52" xfId="0" applyNumberFormat="1" applyFont="1" applyFill="1" applyBorder="1"/>
    <xf numFmtId="3" fontId="16" fillId="5" borderId="56" xfId="0" applyNumberFormat="1" applyFont="1" applyFill="1" applyBorder="1" applyAlignment="1">
      <alignment horizontal="center"/>
    </xf>
    <xf numFmtId="3" fontId="16" fillId="5" borderId="49" xfId="0" applyNumberFormat="1" applyFont="1" applyFill="1" applyBorder="1"/>
    <xf numFmtId="3" fontId="16" fillId="5" borderId="55" xfId="0" applyNumberFormat="1" applyFont="1" applyFill="1" applyBorder="1"/>
    <xf numFmtId="3" fontId="16" fillId="5" borderId="54" xfId="0" applyNumberFormat="1" applyFont="1" applyFill="1" applyBorder="1"/>
    <xf numFmtId="3" fontId="16" fillId="5" borderId="57" xfId="0" applyNumberFormat="1" applyFont="1" applyFill="1" applyBorder="1"/>
    <xf numFmtId="3" fontId="16" fillId="5" borderId="52" xfId="0" applyNumberFormat="1" applyFont="1" applyFill="1" applyBorder="1" applyAlignment="1">
      <alignment horizontal="center"/>
    </xf>
    <xf numFmtId="3" fontId="16" fillId="5" borderId="58" xfId="0" applyNumberFormat="1" applyFont="1" applyFill="1" applyBorder="1"/>
    <xf numFmtId="4" fontId="16" fillId="5" borderId="59" xfId="0" applyNumberFormat="1" applyFont="1" applyFill="1" applyBorder="1"/>
    <xf numFmtId="4" fontId="16" fillId="5" borderId="60" xfId="0" applyNumberFormat="1" applyFont="1" applyFill="1" applyBorder="1"/>
    <xf numFmtId="165" fontId="16" fillId="5" borderId="61" xfId="0" applyNumberFormat="1" applyFont="1" applyFill="1" applyBorder="1"/>
    <xf numFmtId="165" fontId="16" fillId="5" borderId="57" xfId="0" applyNumberFormat="1" applyFont="1" applyFill="1" applyBorder="1"/>
    <xf numFmtId="3" fontId="16" fillId="5" borderId="81" xfId="0" applyNumberFormat="1" applyFont="1" applyFill="1" applyBorder="1"/>
    <xf numFmtId="3" fontId="16" fillId="5" borderId="62" xfId="0" applyNumberFormat="1" applyFont="1" applyFill="1" applyBorder="1"/>
    <xf numFmtId="3" fontId="16" fillId="5" borderId="64" xfId="0" applyNumberFormat="1" applyFont="1" applyFill="1" applyBorder="1"/>
    <xf numFmtId="3" fontId="16" fillId="5" borderId="65" xfId="0" applyNumberFormat="1" applyFont="1" applyFill="1" applyBorder="1"/>
    <xf numFmtId="165" fontId="16" fillId="5" borderId="66" xfId="0" applyNumberFormat="1" applyFont="1" applyFill="1" applyBorder="1"/>
    <xf numFmtId="166" fontId="16" fillId="5" borderId="54" xfId="1" applyNumberFormat="1" applyFont="1" applyFill="1" applyBorder="1"/>
    <xf numFmtId="165" fontId="16" fillId="5" borderId="54" xfId="0" applyNumberFormat="1" applyFont="1" applyFill="1" applyBorder="1" applyAlignment="1">
      <alignment horizontal="center"/>
    </xf>
    <xf numFmtId="166" fontId="16" fillId="5" borderId="58" xfId="1" applyNumberFormat="1" applyFont="1" applyFill="1" applyBorder="1"/>
    <xf numFmtId="3" fontId="16" fillId="6" borderId="67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68" xfId="0" applyNumberFormat="1" applyFont="1" applyBorder="1" applyAlignment="1" applyProtection="1">
      <alignment horizontal="left" vertical="center" wrapText="1"/>
      <protection locked="0"/>
    </xf>
    <xf numFmtId="3" fontId="16" fillId="2" borderId="73" xfId="0" applyNumberFormat="1" applyFont="1" applyFill="1" applyBorder="1" applyAlignment="1">
      <alignment horizontal="center"/>
    </xf>
    <xf numFmtId="3" fontId="16" fillId="2" borderId="67" xfId="0" applyNumberFormat="1" applyFont="1" applyFill="1" applyBorder="1"/>
    <xf numFmtId="3" fontId="16" fillId="6" borderId="70" xfId="0" applyNumberFormat="1" applyFont="1" applyFill="1" applyBorder="1"/>
    <xf numFmtId="164" fontId="16" fillId="2" borderId="59" xfId="0" applyNumberFormat="1" applyFont="1" applyFill="1" applyBorder="1"/>
    <xf numFmtId="3" fontId="16" fillId="2" borderId="62" xfId="0" applyNumberFormat="1" applyFont="1" applyFill="1" applyBorder="1"/>
    <xf numFmtId="166" fontId="16" fillId="2" borderId="75" xfId="1" applyNumberFormat="1" applyFont="1" applyFill="1" applyBorder="1"/>
    <xf numFmtId="3" fontId="16" fillId="2" borderId="71" xfId="0" applyNumberFormat="1" applyFont="1" applyFill="1" applyBorder="1"/>
    <xf numFmtId="3" fontId="16" fillId="2" borderId="77" xfId="0" applyNumberFormat="1" applyFont="1" applyFill="1" applyBorder="1"/>
    <xf numFmtId="4" fontId="16" fillId="2" borderId="68" xfId="0" applyNumberFormat="1" applyFont="1" applyFill="1" applyBorder="1"/>
    <xf numFmtId="165" fontId="16" fillId="2" borderId="74" xfId="0" applyNumberFormat="1" applyFont="1" applyFill="1" applyBorder="1"/>
    <xf numFmtId="165" fontId="16" fillId="2" borderId="68" xfId="0" applyNumberFormat="1" applyFont="1" applyFill="1" applyBorder="1"/>
    <xf numFmtId="3" fontId="16" fillId="2" borderId="79" xfId="0" applyNumberFormat="1" applyFont="1" applyFill="1" applyBorder="1"/>
    <xf numFmtId="166" fontId="16" fillId="2" borderId="71" xfId="1" applyNumberFormat="1" applyFont="1" applyFill="1" applyBorder="1"/>
    <xf numFmtId="3" fontId="16" fillId="2" borderId="75" xfId="0" applyNumberFormat="1" applyFont="1" applyFill="1" applyBorder="1" applyAlignment="1">
      <alignment horizontal="center"/>
    </xf>
    <xf numFmtId="165" fontId="16" fillId="2" borderId="71" xfId="0" applyNumberFormat="1" applyFont="1" applyFill="1" applyBorder="1" applyAlignment="1">
      <alignment horizontal="center"/>
    </xf>
    <xf numFmtId="165" fontId="16" fillId="2" borderId="60" xfId="0" applyNumberFormat="1" applyFont="1" applyFill="1" applyBorder="1"/>
    <xf numFmtId="166" fontId="16" fillId="6" borderId="80" xfId="1" applyNumberFormat="1" applyFont="1" applyFill="1" applyBorder="1"/>
    <xf numFmtId="3" fontId="16" fillId="0" borderId="70" xfId="0" applyNumberFormat="1" applyFont="1" applyBorder="1"/>
    <xf numFmtId="3" fontId="16" fillId="2" borderId="67" xfId="0" applyNumberFormat="1" applyFont="1" applyFill="1" applyBorder="1" applyAlignment="1" applyProtection="1">
      <alignment horizontal="right" vertical="center" wrapText="1"/>
      <protection locked="0"/>
    </xf>
    <xf numFmtId="3" fontId="16" fillId="2" borderId="68" xfId="0" applyNumberFormat="1" applyFont="1" applyFill="1" applyBorder="1" applyAlignment="1" applyProtection="1">
      <alignment horizontal="left" vertical="center" wrapText="1"/>
      <protection locked="0"/>
    </xf>
    <xf numFmtId="3" fontId="16" fillId="5" borderId="75" xfId="0" applyNumberFormat="1" applyFont="1" applyFill="1" applyBorder="1"/>
    <xf numFmtId="3" fontId="16" fillId="5" borderId="83" xfId="0" applyNumberFormat="1" applyFont="1" applyFill="1" applyBorder="1" applyAlignment="1">
      <alignment horizontal="center"/>
    </xf>
    <xf numFmtId="3" fontId="16" fillId="5" borderId="67" xfId="0" applyNumberFormat="1" applyFont="1" applyFill="1" applyBorder="1"/>
    <xf numFmtId="3" fontId="16" fillId="5" borderId="70" xfId="0" applyNumberFormat="1" applyFont="1" applyFill="1" applyBorder="1"/>
    <xf numFmtId="3" fontId="16" fillId="5" borderId="72" xfId="0" applyNumberFormat="1" applyFont="1" applyFill="1" applyBorder="1"/>
    <xf numFmtId="164" fontId="16" fillId="5" borderId="59" xfId="0" applyNumberFormat="1" applyFont="1" applyFill="1" applyBorder="1"/>
    <xf numFmtId="3" fontId="16" fillId="5" borderId="82" xfId="0" applyNumberFormat="1" applyFont="1" applyFill="1" applyBorder="1"/>
    <xf numFmtId="3" fontId="16" fillId="5" borderId="60" xfId="0" applyNumberFormat="1" applyFont="1" applyFill="1" applyBorder="1"/>
    <xf numFmtId="3" fontId="16" fillId="5" borderId="75" xfId="0" applyNumberFormat="1" applyFont="1" applyFill="1" applyBorder="1" applyAlignment="1">
      <alignment horizontal="center"/>
    </xf>
    <xf numFmtId="3" fontId="16" fillId="5" borderId="77" xfId="0" applyNumberFormat="1" applyFont="1" applyFill="1" applyBorder="1"/>
    <xf numFmtId="4" fontId="16" fillId="5" borderId="68" xfId="0" applyNumberFormat="1" applyFont="1" applyFill="1" applyBorder="1"/>
    <xf numFmtId="165" fontId="16" fillId="5" borderId="74" xfId="0" applyNumberFormat="1" applyFont="1" applyFill="1" applyBorder="1"/>
    <xf numFmtId="165" fontId="16" fillId="5" borderId="68" xfId="0" applyNumberFormat="1" applyFont="1" applyFill="1" applyBorder="1"/>
    <xf numFmtId="3" fontId="16" fillId="5" borderId="79" xfId="0" applyNumberFormat="1" applyFont="1" applyFill="1" applyBorder="1"/>
    <xf numFmtId="165" fontId="16" fillId="5" borderId="77" xfId="0" applyNumberFormat="1" applyFont="1" applyFill="1" applyBorder="1"/>
    <xf numFmtId="166" fontId="16" fillId="5" borderId="71" xfId="1" applyNumberFormat="1" applyFont="1" applyFill="1" applyBorder="1"/>
    <xf numFmtId="166" fontId="16" fillId="5" borderId="75" xfId="1" applyNumberFormat="1" applyFont="1" applyFill="1" applyBorder="1"/>
    <xf numFmtId="165" fontId="16" fillId="5" borderId="71" xfId="0" applyNumberFormat="1" applyFont="1" applyFill="1" applyBorder="1" applyAlignment="1">
      <alignment horizontal="center"/>
    </xf>
    <xf numFmtId="165" fontId="16" fillId="5" borderId="60" xfId="0" applyNumberFormat="1" applyFont="1" applyFill="1" applyBorder="1"/>
    <xf numFmtId="3" fontId="16" fillId="5" borderId="74" xfId="0" applyNumberFormat="1" applyFont="1" applyFill="1" applyBorder="1"/>
    <xf numFmtId="166" fontId="16" fillId="5" borderId="80" xfId="1" applyNumberFormat="1" applyFont="1" applyFill="1" applyBorder="1"/>
    <xf numFmtId="164" fontId="16" fillId="2" borderId="77" xfId="0" applyNumberFormat="1" applyFont="1" applyFill="1" applyBorder="1"/>
    <xf numFmtId="3" fontId="16" fillId="2" borderId="78" xfId="0" applyNumberFormat="1" applyFont="1" applyFill="1" applyBorder="1" applyAlignment="1">
      <alignment horizontal="center"/>
    </xf>
    <xf numFmtId="3" fontId="16" fillId="2" borderId="83" xfId="0" applyNumberFormat="1" applyFont="1" applyFill="1" applyBorder="1" applyAlignment="1">
      <alignment horizontal="center"/>
    </xf>
    <xf numFmtId="3" fontId="16" fillId="5" borderId="73" xfId="0" applyNumberFormat="1" applyFont="1" applyFill="1" applyBorder="1" applyAlignment="1">
      <alignment horizontal="center"/>
    </xf>
    <xf numFmtId="3" fontId="16" fillId="5" borderId="70" xfId="0" applyNumberFormat="1" applyFont="1" applyFill="1" applyBorder="1" applyAlignment="1">
      <alignment horizontal="center"/>
    </xf>
    <xf numFmtId="0" fontId="16" fillId="2" borderId="80" xfId="0" applyFont="1" applyFill="1" applyBorder="1"/>
    <xf numFmtId="0" fontId="16" fillId="5" borderId="80" xfId="0" applyFont="1" applyFill="1" applyBorder="1"/>
    <xf numFmtId="165" fontId="16" fillId="5" borderId="70" xfId="0" applyNumberFormat="1" applyFont="1" applyFill="1" applyBorder="1"/>
    <xf numFmtId="3" fontId="16" fillId="0" borderId="82" xfId="0" applyNumberFormat="1" applyFont="1" applyBorder="1"/>
    <xf numFmtId="3" fontId="16" fillId="0" borderId="78" xfId="0" applyNumberFormat="1" applyFont="1" applyBorder="1" applyAlignment="1" applyProtection="1">
      <alignment horizontal="left" vertical="center" wrapText="1"/>
      <protection locked="0"/>
    </xf>
    <xf numFmtId="3" fontId="16" fillId="6" borderId="67" xfId="0" applyNumberFormat="1" applyFont="1" applyFill="1" applyBorder="1"/>
    <xf numFmtId="165" fontId="16" fillId="2" borderId="60" xfId="0" applyNumberFormat="1" applyFont="1" applyFill="1" applyBorder="1" applyAlignment="1">
      <alignment horizontal="center"/>
    </xf>
    <xf numFmtId="165" fontId="16" fillId="5" borderId="60" xfId="0" applyNumberFormat="1" applyFont="1" applyFill="1" applyBorder="1" applyAlignment="1">
      <alignment horizontal="center"/>
    </xf>
    <xf numFmtId="3" fontId="16" fillId="6" borderId="73" xfId="0" applyNumberFormat="1" applyFont="1" applyFill="1" applyBorder="1" applyAlignment="1">
      <alignment horizontal="center"/>
    </xf>
    <xf numFmtId="3" fontId="16" fillId="6" borderId="70" xfId="0" applyNumberFormat="1" applyFont="1" applyFill="1" applyBorder="1" applyAlignment="1">
      <alignment horizontal="center"/>
    </xf>
    <xf numFmtId="164" fontId="7" fillId="3" borderId="89" xfId="0" applyNumberFormat="1" applyFont="1" applyFill="1" applyBorder="1"/>
    <xf numFmtId="3" fontId="7" fillId="3" borderId="46" xfId="0" applyNumberFormat="1" applyFont="1" applyFill="1" applyBorder="1"/>
    <xf numFmtId="0" fontId="16" fillId="3" borderId="91" xfId="0" applyFont="1" applyFill="1" applyBorder="1"/>
    <xf numFmtId="3" fontId="16" fillId="3" borderId="97" xfId="0" applyNumberFormat="1" applyFont="1" applyFill="1" applyBorder="1"/>
    <xf numFmtId="166" fontId="16" fillId="3" borderId="98" xfId="1" applyNumberFormat="1" applyFont="1" applyFill="1" applyBorder="1"/>
    <xf numFmtId="3" fontId="16" fillId="2" borderId="9" xfId="0" applyNumberFormat="1" applyFont="1" applyFill="1" applyBorder="1" applyAlignment="1">
      <alignment horizontal="left" vertical="center" wrapText="1"/>
    </xf>
    <xf numFmtId="3" fontId="16" fillId="2" borderId="101" xfId="0" applyNumberFormat="1" applyFont="1" applyFill="1" applyBorder="1" applyAlignment="1">
      <alignment horizontal="center"/>
    </xf>
    <xf numFmtId="3" fontId="16" fillId="2" borderId="8" xfId="0" applyNumberFormat="1" applyFont="1" applyFill="1" applyBorder="1" applyAlignment="1">
      <alignment horizontal="center"/>
    </xf>
    <xf numFmtId="3" fontId="16" fillId="2" borderId="103" xfId="0" applyNumberFormat="1" applyFont="1" applyFill="1" applyBorder="1" applyAlignment="1">
      <alignment horizontal="center"/>
    </xf>
    <xf numFmtId="3" fontId="16" fillId="2" borderId="6" xfId="0" applyNumberFormat="1" applyFont="1" applyFill="1" applyBorder="1" applyAlignment="1">
      <alignment horizontal="center"/>
    </xf>
    <xf numFmtId="165" fontId="16" fillId="2" borderId="101" xfId="0" applyNumberFormat="1" applyFont="1" applyFill="1" applyBorder="1" applyAlignment="1">
      <alignment horizontal="center"/>
    </xf>
    <xf numFmtId="3" fontId="16" fillId="2" borderId="105" xfId="0" applyNumberFormat="1" applyFont="1" applyFill="1" applyBorder="1" applyAlignment="1">
      <alignment horizontal="center"/>
    </xf>
    <xf numFmtId="3" fontId="16" fillId="2" borderId="104" xfId="0" applyNumberFormat="1" applyFont="1" applyFill="1" applyBorder="1" applyAlignment="1">
      <alignment horizontal="center"/>
    </xf>
    <xf numFmtId="3" fontId="16" fillId="2" borderId="99" xfId="0" applyNumberFormat="1" applyFont="1" applyFill="1" applyBorder="1" applyAlignment="1">
      <alignment horizontal="center"/>
    </xf>
    <xf numFmtId="4" fontId="16" fillId="2" borderId="105" xfId="0" applyNumberFormat="1" applyFont="1" applyFill="1" applyBorder="1" applyAlignment="1">
      <alignment horizontal="center"/>
    </xf>
    <xf numFmtId="3" fontId="16" fillId="2" borderId="106" xfId="0" applyNumberFormat="1" applyFont="1" applyFill="1" applyBorder="1" applyAlignment="1">
      <alignment horizontal="center"/>
    </xf>
    <xf numFmtId="3" fontId="16" fillId="2" borderId="108" xfId="0" applyNumberFormat="1" applyFont="1" applyFill="1" applyBorder="1" applyAlignment="1">
      <alignment horizontal="center"/>
    </xf>
    <xf numFmtId="164" fontId="16" fillId="2" borderId="106" xfId="0" applyNumberFormat="1" applyFont="1" applyFill="1" applyBorder="1" applyAlignment="1">
      <alignment horizontal="center"/>
    </xf>
    <xf numFmtId="2" fontId="16" fillId="2" borderId="101" xfId="1" applyNumberFormat="1" applyFont="1" applyFill="1" applyBorder="1" applyAlignment="1">
      <alignment horizontal="center"/>
    </xf>
    <xf numFmtId="166" fontId="16" fillId="2" borderId="101" xfId="1" applyNumberFormat="1" applyFont="1" applyFill="1" applyBorder="1" applyAlignment="1">
      <alignment horizontal="center"/>
    </xf>
    <xf numFmtId="164" fontId="16" fillId="2" borderId="102" xfId="0" applyNumberFormat="1" applyFont="1" applyFill="1" applyBorder="1" applyAlignment="1">
      <alignment horizontal="center"/>
    </xf>
    <xf numFmtId="164" fontId="16" fillId="2" borderId="100" xfId="0" applyNumberFormat="1" applyFont="1" applyFill="1" applyBorder="1" applyAlignment="1">
      <alignment horizontal="center"/>
    </xf>
    <xf numFmtId="166" fontId="16" fillId="2" borderId="102" xfId="1" applyNumberFormat="1" applyFont="1" applyFill="1" applyBorder="1" applyAlignment="1">
      <alignment horizontal="center"/>
    </xf>
    <xf numFmtId="166" fontId="16" fillId="2" borderId="104" xfId="1" applyNumberFormat="1" applyFont="1" applyFill="1" applyBorder="1" applyAlignment="1">
      <alignment horizontal="center"/>
    </xf>
    <xf numFmtId="3" fontId="16" fillId="2" borderId="109" xfId="0" applyNumberFormat="1" applyFont="1" applyFill="1" applyBorder="1" applyAlignment="1">
      <alignment horizontal="left" vertical="center" wrapText="1"/>
    </xf>
    <xf numFmtId="3" fontId="16" fillId="2" borderId="107" xfId="0" applyNumberFormat="1" applyFont="1" applyFill="1" applyBorder="1" applyAlignment="1" applyProtection="1">
      <alignment horizontal="left" vertical="center" wrapText="1"/>
      <protection locked="0"/>
    </xf>
    <xf numFmtId="3" fontId="16" fillId="2" borderId="114" xfId="0" applyNumberFormat="1" applyFont="1" applyFill="1" applyBorder="1"/>
    <xf numFmtId="3" fontId="16" fillId="2" borderId="115" xfId="0" applyNumberFormat="1" applyFont="1" applyFill="1" applyBorder="1" applyAlignment="1">
      <alignment horizontal="center"/>
    </xf>
    <xf numFmtId="3" fontId="16" fillId="2" borderId="116" xfId="0" applyNumberFormat="1" applyFont="1" applyFill="1" applyBorder="1"/>
    <xf numFmtId="3" fontId="16" fillId="2" borderId="106" xfId="0" applyNumberFormat="1" applyFont="1" applyFill="1" applyBorder="1"/>
    <xf numFmtId="3" fontId="16" fillId="2" borderId="111" xfId="0" applyNumberFormat="1" applyFont="1" applyFill="1" applyBorder="1"/>
    <xf numFmtId="164" fontId="16" fillId="2" borderId="110" xfId="0" applyNumberFormat="1" applyFont="1" applyFill="1" applyBorder="1"/>
    <xf numFmtId="3" fontId="16" fillId="6" borderId="112" xfId="0" applyNumberFormat="1" applyFont="1" applyFill="1" applyBorder="1"/>
    <xf numFmtId="3" fontId="16" fillId="6" borderId="114" xfId="0" applyNumberFormat="1" applyFont="1" applyFill="1" applyBorder="1" applyAlignment="1">
      <alignment horizontal="center"/>
    </xf>
    <xf numFmtId="3" fontId="16" fillId="6" borderId="115" xfId="0" applyNumberFormat="1" applyFont="1" applyFill="1" applyBorder="1" applyAlignment="1">
      <alignment horizontal="center"/>
    </xf>
    <xf numFmtId="3" fontId="16" fillId="2" borderId="117" xfId="0" applyNumberFormat="1" applyFont="1" applyFill="1" applyBorder="1"/>
    <xf numFmtId="0" fontId="16" fillId="0" borderId="108" xfId="0" applyFont="1" applyBorder="1"/>
    <xf numFmtId="3" fontId="16" fillId="2" borderId="118" xfId="0" applyNumberFormat="1" applyFont="1" applyFill="1" applyBorder="1"/>
    <xf numFmtId="164" fontId="16" fillId="2" borderId="117" xfId="0" applyNumberFormat="1" applyFont="1" applyFill="1" applyBorder="1"/>
    <xf numFmtId="165" fontId="16" fillId="2" borderId="114" xfId="0" applyNumberFormat="1" applyFont="1" applyFill="1" applyBorder="1"/>
    <xf numFmtId="165" fontId="16" fillId="2" borderId="117" xfId="0" applyNumberFormat="1" applyFont="1" applyFill="1" applyBorder="1"/>
    <xf numFmtId="3" fontId="16" fillId="2" borderId="113" xfId="0" applyNumberFormat="1" applyFont="1" applyFill="1" applyBorder="1"/>
    <xf numFmtId="3" fontId="16" fillId="6" borderId="26" xfId="0" applyNumberFormat="1" applyFont="1" applyFill="1" applyBorder="1" applyAlignment="1">
      <alignment horizontal="center"/>
    </xf>
    <xf numFmtId="3" fontId="16" fillId="6" borderId="112" xfId="0" applyNumberFormat="1" applyFont="1" applyFill="1" applyBorder="1" applyAlignment="1">
      <alignment horizontal="center"/>
    </xf>
    <xf numFmtId="165" fontId="16" fillId="2" borderId="118" xfId="0" applyNumberFormat="1" applyFont="1" applyFill="1" applyBorder="1"/>
    <xf numFmtId="166" fontId="16" fillId="2" borderId="115" xfId="1" applyNumberFormat="1" applyFont="1" applyFill="1" applyBorder="1"/>
    <xf numFmtId="166" fontId="16" fillId="2" borderId="114" xfId="1" applyNumberFormat="1" applyFont="1" applyFill="1" applyBorder="1"/>
    <xf numFmtId="165" fontId="16" fillId="2" borderId="115" xfId="0" applyNumberFormat="1" applyFont="1" applyFill="1" applyBorder="1" applyAlignment="1">
      <alignment horizontal="center"/>
    </xf>
    <xf numFmtId="166" fontId="16" fillId="2" borderId="115" xfId="1" applyNumberFormat="1" applyFont="1" applyFill="1" applyBorder="1" applyAlignment="1">
      <alignment horizontal="center"/>
    </xf>
    <xf numFmtId="3" fontId="16" fillId="2" borderId="113" xfId="0" applyNumberFormat="1" applyFont="1" applyFill="1" applyBorder="1" applyAlignment="1">
      <alignment horizontal="center"/>
    </xf>
    <xf numFmtId="3" fontId="16" fillId="6" borderId="17" xfId="0" applyNumberFormat="1" applyFont="1" applyFill="1" applyBorder="1"/>
    <xf numFmtId="166" fontId="16" fillId="6" borderId="119" xfId="1" applyNumberFormat="1" applyFont="1" applyFill="1" applyBorder="1"/>
    <xf numFmtId="164" fontId="7" fillId="3" borderId="122" xfId="0" applyNumberFormat="1" applyFont="1" applyFill="1" applyBorder="1"/>
    <xf numFmtId="3" fontId="7" fillId="3" borderId="131" xfId="0" applyNumberFormat="1" applyFont="1" applyFill="1" applyBorder="1"/>
    <xf numFmtId="3" fontId="16" fillId="3" borderId="132" xfId="0" applyNumberFormat="1" applyFont="1" applyFill="1" applyBorder="1"/>
    <xf numFmtId="3" fontId="16" fillId="3" borderId="120" xfId="0" applyNumberFormat="1" applyFont="1" applyFill="1" applyBorder="1"/>
    <xf numFmtId="166" fontId="16" fillId="3" borderId="132" xfId="1" applyNumberFormat="1" applyFont="1" applyFill="1" applyBorder="1"/>
    <xf numFmtId="3" fontId="16" fillId="7" borderId="105" xfId="0" applyNumberFormat="1" applyFont="1" applyFill="1" applyBorder="1" applyAlignment="1" applyProtection="1">
      <alignment horizontal="left" vertical="center" wrapText="1"/>
      <protection locked="0"/>
    </xf>
    <xf numFmtId="3" fontId="16" fillId="7" borderId="101" xfId="0" applyNumberFormat="1" applyFont="1" applyFill="1" applyBorder="1" applyAlignment="1">
      <alignment horizontal="center"/>
    </xf>
    <xf numFmtId="3" fontId="16" fillId="7" borderId="6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right"/>
    </xf>
    <xf numFmtId="3" fontId="16" fillId="7" borderId="100" xfId="0" applyNumberFormat="1" applyFont="1" applyFill="1" applyBorder="1" applyAlignment="1">
      <alignment horizontal="right"/>
    </xf>
    <xf numFmtId="165" fontId="16" fillId="7" borderId="101" xfId="0" applyNumberFormat="1" applyFont="1" applyFill="1" applyBorder="1" applyAlignment="1">
      <alignment horizontal="right"/>
    </xf>
    <xf numFmtId="166" fontId="16" fillId="7" borderId="101" xfId="1" applyNumberFormat="1" applyFont="1" applyFill="1" applyBorder="1" applyAlignment="1">
      <alignment horizontal="right"/>
    </xf>
    <xf numFmtId="164" fontId="16" fillId="7" borderId="102" xfId="0" applyNumberFormat="1" applyFont="1" applyFill="1" applyBorder="1" applyAlignment="1">
      <alignment horizontal="center"/>
    </xf>
    <xf numFmtId="3" fontId="16" fillId="7" borderId="8" xfId="0" applyNumberFormat="1" applyFont="1" applyFill="1" applyBorder="1" applyAlignment="1">
      <alignment horizontal="center"/>
    </xf>
    <xf numFmtId="3" fontId="16" fillId="7" borderId="105" xfId="0" applyNumberFormat="1" applyFont="1" applyFill="1" applyBorder="1" applyAlignment="1">
      <alignment horizontal="center"/>
    </xf>
    <xf numFmtId="3" fontId="16" fillId="7" borderId="103" xfId="0" applyNumberFormat="1" applyFont="1" applyFill="1" applyBorder="1" applyAlignment="1">
      <alignment horizontal="right"/>
    </xf>
    <xf numFmtId="3" fontId="16" fillId="7" borderId="104" xfId="0" applyNumberFormat="1" applyFont="1" applyFill="1" applyBorder="1" applyAlignment="1">
      <alignment horizontal="center"/>
    </xf>
    <xf numFmtId="3" fontId="16" fillId="7" borderId="100" xfId="0" applyNumberFormat="1" applyFont="1" applyFill="1" applyBorder="1"/>
    <xf numFmtId="4" fontId="16" fillId="7" borderId="105" xfId="0" applyNumberFormat="1" applyFont="1" applyFill="1" applyBorder="1"/>
    <xf numFmtId="165" fontId="16" fillId="7" borderId="101" xfId="0" applyNumberFormat="1" applyFont="1" applyFill="1" applyBorder="1"/>
    <xf numFmtId="165" fontId="16" fillId="7" borderId="102" xfId="0" applyNumberFormat="1" applyFont="1" applyFill="1" applyBorder="1"/>
    <xf numFmtId="3" fontId="16" fillId="7" borderId="101" xfId="0" applyNumberFormat="1" applyFont="1" applyFill="1" applyBorder="1"/>
    <xf numFmtId="3" fontId="16" fillId="7" borderId="106" xfId="0" applyNumberFormat="1" applyFont="1" applyFill="1" applyBorder="1"/>
    <xf numFmtId="3" fontId="16" fillId="7" borderId="103" xfId="0" applyNumberFormat="1" applyFont="1" applyFill="1" applyBorder="1"/>
    <xf numFmtId="3" fontId="16" fillId="7" borderId="7" xfId="0" applyNumberFormat="1" applyFont="1" applyFill="1" applyBorder="1"/>
    <xf numFmtId="165" fontId="16" fillId="7" borderId="112" xfId="0" applyNumberFormat="1" applyFont="1" applyFill="1" applyBorder="1"/>
    <xf numFmtId="166" fontId="16" fillId="7" borderId="106" xfId="1" applyNumberFormat="1" applyFont="1" applyFill="1" applyBorder="1" applyAlignment="1"/>
    <xf numFmtId="3" fontId="16" fillId="7" borderId="106" xfId="0" applyNumberFormat="1" applyFont="1" applyFill="1" applyBorder="1" applyAlignment="1">
      <alignment horizontal="right"/>
    </xf>
    <xf numFmtId="166" fontId="16" fillId="7" borderId="106" xfId="1" applyNumberFormat="1" applyFont="1" applyFill="1" applyBorder="1" applyAlignment="1">
      <alignment horizontal="right"/>
    </xf>
    <xf numFmtId="3" fontId="16" fillId="7" borderId="106" xfId="0" applyNumberFormat="1" applyFont="1" applyFill="1" applyBorder="1" applyAlignment="1">
      <alignment horizontal="center"/>
    </xf>
    <xf numFmtId="3" fontId="16" fillId="7" borderId="112" xfId="0" applyNumberFormat="1" applyFont="1" applyFill="1" applyBorder="1" applyAlignment="1">
      <alignment horizontal="center"/>
    </xf>
    <xf numFmtId="3" fontId="16" fillId="7" borderId="111" xfId="0" applyNumberFormat="1" applyFont="1" applyFill="1" applyBorder="1" applyAlignment="1">
      <alignment horizontal="center"/>
    </xf>
    <xf numFmtId="166" fontId="16" fillId="7" borderId="106" xfId="0" applyNumberFormat="1" applyFont="1" applyFill="1" applyBorder="1" applyAlignment="1">
      <alignment horizontal="center"/>
    </xf>
    <xf numFmtId="166" fontId="16" fillId="7" borderId="112" xfId="1" applyNumberFormat="1" applyFont="1" applyFill="1" applyBorder="1" applyAlignment="1">
      <alignment horizontal="center"/>
    </xf>
    <xf numFmtId="164" fontId="16" fillId="2" borderId="111" xfId="0" applyNumberFormat="1" applyFont="1" applyFill="1" applyBorder="1" applyAlignment="1">
      <alignment horizontal="center"/>
    </xf>
    <xf numFmtId="166" fontId="16" fillId="2" borderId="108" xfId="1" applyNumberFormat="1" applyFont="1" applyFill="1" applyBorder="1" applyAlignment="1">
      <alignment horizontal="center"/>
    </xf>
    <xf numFmtId="3" fontId="16" fillId="8" borderId="139" xfId="0" applyNumberFormat="1" applyFont="1" applyFill="1" applyBorder="1" applyAlignment="1" applyProtection="1">
      <alignment horizontal="left" vertical="center" wrapText="1"/>
      <protection locked="0"/>
    </xf>
    <xf numFmtId="3" fontId="16" fillId="8" borderId="143" xfId="0" applyNumberFormat="1" applyFont="1" applyFill="1" applyBorder="1" applyAlignment="1">
      <alignment horizontal="center"/>
    </xf>
    <xf numFmtId="3" fontId="16" fillId="8" borderId="141" xfId="0" applyNumberFormat="1" applyFont="1" applyFill="1" applyBorder="1" applyAlignment="1">
      <alignment horizontal="right"/>
    </xf>
    <xf numFmtId="165" fontId="16" fillId="8" borderId="138" xfId="0" applyNumberFormat="1" applyFont="1" applyFill="1" applyBorder="1" applyAlignment="1">
      <alignment horizontal="center"/>
    </xf>
    <xf numFmtId="164" fontId="16" fillId="8" borderId="143" xfId="0" applyNumberFormat="1" applyFont="1" applyFill="1" applyBorder="1" applyAlignment="1">
      <alignment horizontal="center"/>
    </xf>
    <xf numFmtId="3" fontId="16" fillId="8" borderId="139" xfId="0" applyNumberFormat="1" applyFont="1" applyFill="1" applyBorder="1" applyAlignment="1">
      <alignment horizontal="center"/>
    </xf>
    <xf numFmtId="3" fontId="16" fillId="8" borderId="140" xfId="0" applyNumberFormat="1" applyFont="1" applyFill="1" applyBorder="1"/>
    <xf numFmtId="4" fontId="16" fillId="8" borderId="138" xfId="0" applyNumberFormat="1" applyFont="1" applyFill="1" applyBorder="1"/>
    <xf numFmtId="165" fontId="16" fillId="8" borderId="138" xfId="0" applyNumberFormat="1" applyFont="1" applyFill="1" applyBorder="1"/>
    <xf numFmtId="165" fontId="16" fillId="8" borderId="142" xfId="0" applyNumberFormat="1" applyFont="1" applyFill="1" applyBorder="1"/>
    <xf numFmtId="3" fontId="16" fillId="8" borderId="138" xfId="0" applyNumberFormat="1" applyFont="1" applyFill="1" applyBorder="1"/>
    <xf numFmtId="3" fontId="16" fillId="8" borderId="139" xfId="0" applyNumberFormat="1" applyFont="1" applyFill="1" applyBorder="1"/>
    <xf numFmtId="165" fontId="16" fillId="8" borderId="140" xfId="0" applyNumberFormat="1" applyFont="1" applyFill="1" applyBorder="1"/>
    <xf numFmtId="166" fontId="16" fillId="8" borderId="138" xfId="1" applyNumberFormat="1" applyFont="1" applyFill="1" applyBorder="1" applyAlignment="1"/>
    <xf numFmtId="3" fontId="16" fillId="8" borderId="138" xfId="0" applyNumberFormat="1" applyFont="1" applyFill="1" applyBorder="1" applyAlignment="1">
      <alignment horizontal="right"/>
    </xf>
    <xf numFmtId="166" fontId="16" fillId="8" borderId="142" xfId="1" applyNumberFormat="1" applyFont="1" applyFill="1" applyBorder="1" applyAlignment="1">
      <alignment horizontal="center"/>
    </xf>
    <xf numFmtId="3" fontId="16" fillId="8" borderId="140" xfId="0" applyNumberFormat="1" applyFont="1" applyFill="1" applyBorder="1" applyAlignment="1">
      <alignment horizontal="center"/>
    </xf>
    <xf numFmtId="166" fontId="16" fillId="8" borderId="139" xfId="1" applyNumberFormat="1" applyFont="1" applyFill="1" applyBorder="1" applyAlignment="1">
      <alignment horizontal="right"/>
    </xf>
    <xf numFmtId="3" fontId="16" fillId="8" borderId="80" xfId="0" applyNumberFormat="1" applyFont="1" applyFill="1" applyBorder="1" applyAlignment="1" applyProtection="1">
      <alignment horizontal="left" vertical="center" wrapText="1"/>
      <protection locked="0"/>
    </xf>
    <xf numFmtId="3" fontId="16" fillId="8" borderId="60" xfId="0" applyNumberFormat="1" applyFont="1" applyFill="1" applyBorder="1" applyAlignment="1">
      <alignment horizontal="center"/>
    </xf>
    <xf numFmtId="3" fontId="16" fillId="8" borderId="81" xfId="0" applyNumberFormat="1" applyFont="1" applyFill="1" applyBorder="1" applyAlignment="1">
      <alignment horizontal="right"/>
    </xf>
    <xf numFmtId="3" fontId="16" fillId="8" borderId="80" xfId="0" applyNumberFormat="1" applyFont="1" applyFill="1" applyBorder="1" applyAlignment="1">
      <alignment horizontal="center"/>
    </xf>
    <xf numFmtId="165" fontId="16" fillId="8" borderId="75" xfId="0" applyNumberFormat="1" applyFont="1" applyFill="1" applyBorder="1" applyAlignment="1">
      <alignment horizontal="center"/>
    </xf>
    <xf numFmtId="164" fontId="16" fillId="8" borderId="60" xfId="0" applyNumberFormat="1" applyFont="1" applyFill="1" applyBorder="1" applyAlignment="1">
      <alignment horizontal="center"/>
    </xf>
    <xf numFmtId="3" fontId="16" fillId="8" borderId="67" xfId="0" applyNumberFormat="1" applyFont="1" applyFill="1" applyBorder="1" applyAlignment="1">
      <alignment horizontal="right"/>
    </xf>
    <xf numFmtId="3" fontId="16" fillId="8" borderId="76" xfId="0" applyNumberFormat="1" applyFont="1" applyFill="1" applyBorder="1" applyAlignment="1">
      <alignment horizontal="center"/>
    </xf>
    <xf numFmtId="3" fontId="16" fillId="8" borderId="72" xfId="0" applyNumberFormat="1" applyFont="1" applyFill="1" applyBorder="1"/>
    <xf numFmtId="4" fontId="16" fillId="8" borderId="70" xfId="0" applyNumberFormat="1" applyFont="1" applyFill="1" applyBorder="1"/>
    <xf numFmtId="165" fontId="16" fillId="8" borderId="70" xfId="0" applyNumberFormat="1" applyFont="1" applyFill="1" applyBorder="1"/>
    <xf numFmtId="165" fontId="16" fillId="8" borderId="82" xfId="0" applyNumberFormat="1" applyFont="1" applyFill="1" applyBorder="1"/>
    <xf numFmtId="3" fontId="16" fillId="8" borderId="70" xfId="0" applyNumberFormat="1" applyFont="1" applyFill="1" applyBorder="1"/>
    <xf numFmtId="3" fontId="16" fillId="8" borderId="80" xfId="0" applyNumberFormat="1" applyFont="1" applyFill="1" applyBorder="1"/>
    <xf numFmtId="165" fontId="16" fillId="8" borderId="72" xfId="0" applyNumberFormat="1" applyFont="1" applyFill="1" applyBorder="1"/>
    <xf numFmtId="166" fontId="16" fillId="8" borderId="70" xfId="1" applyNumberFormat="1" applyFont="1" applyFill="1" applyBorder="1" applyAlignment="1"/>
    <xf numFmtId="3" fontId="16" fillId="8" borderId="70" xfId="0" applyNumberFormat="1" applyFont="1" applyFill="1" applyBorder="1" applyAlignment="1">
      <alignment horizontal="right"/>
    </xf>
    <xf numFmtId="3" fontId="16" fillId="8" borderId="72" xfId="0" applyNumberFormat="1" applyFont="1" applyFill="1" applyBorder="1" applyAlignment="1">
      <alignment horizontal="right"/>
    </xf>
    <xf numFmtId="166" fontId="16" fillId="8" borderId="82" xfId="1" applyNumberFormat="1" applyFont="1" applyFill="1" applyBorder="1" applyAlignment="1">
      <alignment horizontal="center"/>
    </xf>
    <xf numFmtId="3" fontId="16" fillId="8" borderId="72" xfId="0" applyNumberFormat="1" applyFont="1" applyFill="1" applyBorder="1" applyAlignment="1">
      <alignment horizontal="center"/>
    </xf>
    <xf numFmtId="166" fontId="16" fillId="8" borderId="80" xfId="1" applyNumberFormat="1" applyFont="1" applyFill="1" applyBorder="1" applyAlignment="1">
      <alignment horizontal="right"/>
    </xf>
    <xf numFmtId="3" fontId="16" fillId="8" borderId="68" xfId="0" applyNumberFormat="1" applyFont="1" applyFill="1" applyBorder="1" applyAlignment="1">
      <alignment horizontal="center"/>
    </xf>
    <xf numFmtId="165" fontId="16" fillId="8" borderId="70" xfId="0" applyNumberFormat="1" applyFont="1" applyFill="1" applyBorder="1" applyAlignment="1">
      <alignment horizontal="center"/>
    </xf>
    <xf numFmtId="164" fontId="16" fillId="8" borderId="68" xfId="0" applyNumberFormat="1" applyFont="1" applyFill="1" applyBorder="1" applyAlignment="1">
      <alignment horizontal="center"/>
    </xf>
    <xf numFmtId="3" fontId="16" fillId="8" borderId="146" xfId="0" applyNumberFormat="1" applyFont="1" applyFill="1" applyBorder="1" applyAlignment="1" applyProtection="1">
      <alignment horizontal="left" vertical="center" wrapText="1"/>
      <protection locked="0"/>
    </xf>
    <xf numFmtId="3" fontId="16" fillId="8" borderId="150" xfId="0" applyNumberFormat="1" applyFont="1" applyFill="1" applyBorder="1" applyAlignment="1">
      <alignment horizontal="center"/>
    </xf>
    <xf numFmtId="3" fontId="16" fillId="8" borderId="148" xfId="0" applyNumberFormat="1" applyFont="1" applyFill="1" applyBorder="1" applyAlignment="1">
      <alignment horizontal="right"/>
    </xf>
    <xf numFmtId="165" fontId="16" fillId="8" borderId="145" xfId="0" applyNumberFormat="1" applyFont="1" applyFill="1" applyBorder="1" applyAlignment="1">
      <alignment horizontal="center"/>
    </xf>
    <xf numFmtId="164" fontId="16" fillId="8" borderId="150" xfId="0" applyNumberFormat="1" applyFont="1" applyFill="1" applyBorder="1" applyAlignment="1">
      <alignment horizontal="center"/>
    </xf>
    <xf numFmtId="3" fontId="16" fillId="8" borderId="146" xfId="0" applyNumberFormat="1" applyFont="1" applyFill="1" applyBorder="1" applyAlignment="1">
      <alignment horizontal="center"/>
    </xf>
    <xf numFmtId="3" fontId="16" fillId="8" borderId="147" xfId="0" applyNumberFormat="1" applyFont="1" applyFill="1" applyBorder="1"/>
    <xf numFmtId="4" fontId="16" fillId="8" borderId="145" xfId="0" applyNumberFormat="1" applyFont="1" applyFill="1" applyBorder="1"/>
    <xf numFmtId="165" fontId="16" fillId="8" borderId="145" xfId="0" applyNumberFormat="1" applyFont="1" applyFill="1" applyBorder="1"/>
    <xf numFmtId="165" fontId="16" fillId="8" borderId="149" xfId="0" applyNumberFormat="1" applyFont="1" applyFill="1" applyBorder="1"/>
    <xf numFmtId="3" fontId="16" fillId="8" borderId="145" xfId="0" applyNumberFormat="1" applyFont="1" applyFill="1" applyBorder="1"/>
    <xf numFmtId="3" fontId="16" fillId="8" borderId="146" xfId="0" applyNumberFormat="1" applyFont="1" applyFill="1" applyBorder="1"/>
    <xf numFmtId="165" fontId="16" fillId="8" borderId="147" xfId="0" applyNumberFormat="1" applyFont="1" applyFill="1" applyBorder="1"/>
    <xf numFmtId="166" fontId="16" fillId="8" borderId="145" xfId="1" applyNumberFormat="1" applyFont="1" applyFill="1" applyBorder="1" applyAlignment="1"/>
    <xf numFmtId="3" fontId="16" fillId="8" borderId="145" xfId="0" applyNumberFormat="1" applyFont="1" applyFill="1" applyBorder="1" applyAlignment="1">
      <alignment horizontal="right"/>
    </xf>
    <xf numFmtId="166" fontId="16" fillId="8" borderId="149" xfId="1" applyNumberFormat="1" applyFont="1" applyFill="1" applyBorder="1" applyAlignment="1">
      <alignment horizontal="center"/>
    </xf>
    <xf numFmtId="3" fontId="16" fillId="8" borderId="147" xfId="0" applyNumberFormat="1" applyFont="1" applyFill="1" applyBorder="1" applyAlignment="1">
      <alignment horizontal="center"/>
    </xf>
    <xf numFmtId="166" fontId="16" fillId="8" borderId="146" xfId="1" applyNumberFormat="1" applyFont="1" applyFill="1" applyBorder="1" applyAlignment="1">
      <alignment horizontal="right"/>
    </xf>
    <xf numFmtId="3" fontId="16" fillId="7" borderId="75" xfId="0" applyNumberFormat="1" applyFont="1" applyFill="1" applyBorder="1"/>
    <xf numFmtId="3" fontId="16" fillId="7" borderId="63" xfId="0" applyNumberFormat="1" applyFont="1" applyFill="1" applyBorder="1" applyAlignment="1">
      <alignment horizontal="center"/>
    </xf>
    <xf numFmtId="164" fontId="16" fillId="7" borderId="141" xfId="0" applyNumberFormat="1" applyFont="1" applyFill="1" applyBorder="1"/>
    <xf numFmtId="3" fontId="16" fillId="7" borderId="81" xfId="0" applyNumberFormat="1" applyFont="1" applyFill="1" applyBorder="1"/>
    <xf numFmtId="3" fontId="16" fillId="7" borderId="62" xfId="0" applyNumberFormat="1" applyFont="1" applyFill="1" applyBorder="1"/>
    <xf numFmtId="166" fontId="16" fillId="7" borderId="60" xfId="0" applyNumberFormat="1" applyFont="1" applyFill="1" applyBorder="1"/>
    <xf numFmtId="3" fontId="16" fillId="7" borderId="81" xfId="0" applyNumberFormat="1" applyFont="1" applyFill="1" applyBorder="1" applyAlignment="1">
      <alignment horizontal="center"/>
    </xf>
    <xf numFmtId="3" fontId="16" fillId="7" borderId="83" xfId="0" applyNumberFormat="1" applyFont="1" applyFill="1" applyBorder="1" applyAlignment="1">
      <alignment horizontal="center"/>
    </xf>
    <xf numFmtId="3" fontId="16" fillId="7" borderId="60" xfId="0" applyNumberFormat="1" applyFont="1" applyFill="1" applyBorder="1"/>
    <xf numFmtId="3" fontId="16" fillId="7" borderId="75" xfId="0" applyNumberFormat="1" applyFont="1" applyFill="1" applyBorder="1" applyAlignment="1">
      <alignment horizontal="center"/>
    </xf>
    <xf numFmtId="0" fontId="16" fillId="7" borderId="76" xfId="0" applyFont="1" applyFill="1" applyBorder="1"/>
    <xf numFmtId="3" fontId="16" fillId="7" borderId="59" xfId="0" applyNumberFormat="1" applyFont="1" applyFill="1" applyBorder="1"/>
    <xf numFmtId="4" fontId="16" fillId="7" borderId="60" xfId="0" applyNumberFormat="1" applyFont="1" applyFill="1" applyBorder="1"/>
    <xf numFmtId="165" fontId="16" fillId="7" borderId="75" xfId="0" applyNumberFormat="1" applyFont="1" applyFill="1" applyBorder="1"/>
    <xf numFmtId="165" fontId="16" fillId="7" borderId="60" xfId="0" applyNumberFormat="1" applyFont="1" applyFill="1" applyBorder="1"/>
    <xf numFmtId="3" fontId="16" fillId="7" borderId="152" xfId="0" applyNumberFormat="1" applyFont="1" applyFill="1" applyBorder="1"/>
    <xf numFmtId="165" fontId="16" fillId="7" borderId="59" xfId="0" applyNumberFormat="1" applyFont="1" applyFill="1" applyBorder="1"/>
    <xf numFmtId="166" fontId="16" fillId="7" borderId="71" xfId="1" applyNumberFormat="1" applyFont="1" applyFill="1" applyBorder="1"/>
    <xf numFmtId="166" fontId="16" fillId="7" borderId="71" xfId="1" applyNumberFormat="1" applyFont="1" applyFill="1" applyBorder="1" applyAlignment="1">
      <alignment horizontal="center"/>
    </xf>
    <xf numFmtId="165" fontId="16" fillId="7" borderId="60" xfId="0" applyNumberFormat="1" applyFont="1" applyFill="1" applyBorder="1" applyAlignment="1">
      <alignment horizontal="center"/>
    </xf>
    <xf numFmtId="166" fontId="16" fillId="7" borderId="76" xfId="1" applyNumberFormat="1" applyFont="1" applyFill="1" applyBorder="1"/>
    <xf numFmtId="164" fontId="16" fillId="2" borderId="151" xfId="0" applyNumberFormat="1" applyFont="1" applyFill="1" applyBorder="1"/>
    <xf numFmtId="3" fontId="16" fillId="2" borderId="152" xfId="0" applyNumberFormat="1" applyFont="1" applyFill="1" applyBorder="1"/>
    <xf numFmtId="166" fontId="16" fillId="2" borderId="71" xfId="1" applyNumberFormat="1" applyFont="1" applyFill="1" applyBorder="1" applyAlignment="1">
      <alignment horizontal="center"/>
    </xf>
    <xf numFmtId="3" fontId="16" fillId="2" borderId="150" xfId="0" applyNumberFormat="1" applyFont="1" applyFill="1" applyBorder="1" applyAlignment="1" applyProtection="1">
      <alignment horizontal="left" vertical="center" wrapText="1"/>
      <protection locked="0"/>
    </xf>
    <xf numFmtId="3" fontId="16" fillId="6" borderId="145" xfId="0" applyNumberFormat="1" applyFont="1" applyFill="1" applyBorder="1"/>
    <xf numFmtId="3" fontId="16" fillId="6" borderId="155" xfId="0" applyNumberFormat="1" applyFont="1" applyFill="1" applyBorder="1" applyAlignment="1">
      <alignment horizontal="center"/>
    </xf>
    <xf numFmtId="3" fontId="16" fillId="2" borderId="148" xfId="0" applyNumberFormat="1" applyFont="1" applyFill="1" applyBorder="1"/>
    <xf numFmtId="3" fontId="16" fillId="0" borderId="145" xfId="0" applyNumberFormat="1" applyFont="1" applyBorder="1"/>
    <xf numFmtId="3" fontId="16" fillId="2" borderId="145" xfId="0" applyNumberFormat="1" applyFont="1" applyFill="1" applyBorder="1"/>
    <xf numFmtId="3" fontId="16" fillId="2" borderId="156" xfId="0" applyNumberFormat="1" applyFont="1" applyFill="1" applyBorder="1"/>
    <xf numFmtId="166" fontId="16" fillId="2" borderId="177" xfId="1" applyNumberFormat="1" applyFont="1" applyFill="1" applyBorder="1"/>
    <xf numFmtId="164" fontId="16" fillId="2" borderId="23" xfId="0" applyNumberFormat="1" applyFont="1" applyFill="1" applyBorder="1"/>
    <xf numFmtId="3" fontId="16" fillId="0" borderId="149" xfId="0" applyNumberFormat="1" applyFont="1" applyBorder="1"/>
    <xf numFmtId="3" fontId="16" fillId="2" borderId="107" xfId="0" applyNumberFormat="1" applyFont="1" applyFill="1" applyBorder="1"/>
    <xf numFmtId="3" fontId="16" fillId="6" borderId="145" xfId="0" applyNumberFormat="1" applyFont="1" applyFill="1" applyBorder="1" applyAlignment="1">
      <alignment horizontal="center"/>
    </xf>
    <xf numFmtId="3" fontId="16" fillId="2" borderId="147" xfId="0" applyNumberFormat="1" applyFont="1" applyFill="1" applyBorder="1"/>
    <xf numFmtId="0" fontId="16" fillId="0" borderId="146" xfId="0" applyFont="1" applyBorder="1"/>
    <xf numFmtId="3" fontId="16" fillId="2" borderId="84" xfId="0" applyNumberFormat="1" applyFont="1" applyFill="1" applyBorder="1"/>
    <xf numFmtId="4" fontId="16" fillId="2" borderId="157" xfId="0" applyNumberFormat="1" applyFont="1" applyFill="1" applyBorder="1"/>
    <xf numFmtId="165" fontId="16" fillId="2" borderId="82" xfId="0" applyNumberFormat="1" applyFont="1" applyFill="1" applyBorder="1"/>
    <xf numFmtId="3" fontId="16" fillId="2" borderId="158" xfId="0" applyNumberFormat="1" applyFont="1" applyFill="1" applyBorder="1"/>
    <xf numFmtId="165" fontId="16" fillId="2" borderId="144" xfId="0" applyNumberFormat="1" applyFont="1" applyFill="1" applyBorder="1"/>
    <xf numFmtId="166" fontId="16" fillId="2" borderId="149" xfId="1" applyNumberFormat="1" applyFont="1" applyFill="1" applyBorder="1"/>
    <xf numFmtId="3" fontId="16" fillId="2" borderId="147" xfId="0" applyNumberFormat="1" applyFont="1" applyFill="1" applyBorder="1" applyAlignment="1">
      <alignment horizontal="center"/>
    </xf>
    <xf numFmtId="166" fontId="16" fillId="2" borderId="149" xfId="1" applyNumberFormat="1" applyFont="1" applyFill="1" applyBorder="1" applyAlignment="1">
      <alignment horizontal="center"/>
    </xf>
    <xf numFmtId="166" fontId="16" fillId="6" borderId="146" xfId="1" applyNumberFormat="1" applyFont="1" applyFill="1" applyBorder="1"/>
    <xf numFmtId="3" fontId="16" fillId="7" borderId="142" xfId="0" applyNumberFormat="1" applyFont="1" applyFill="1" applyBorder="1" applyAlignment="1">
      <alignment horizontal="center"/>
    </xf>
    <xf numFmtId="164" fontId="16" fillId="7" borderId="63" xfId="0" applyNumberFormat="1" applyFont="1" applyFill="1" applyBorder="1"/>
    <xf numFmtId="3" fontId="16" fillId="7" borderId="138" xfId="0" applyNumberFormat="1" applyFont="1" applyFill="1" applyBorder="1"/>
    <xf numFmtId="3" fontId="16" fillId="7" borderId="141" xfId="0" applyNumberFormat="1" applyFont="1" applyFill="1" applyBorder="1"/>
    <xf numFmtId="166" fontId="16" fillId="7" borderId="71" xfId="0" applyNumberFormat="1" applyFont="1" applyFill="1" applyBorder="1"/>
    <xf numFmtId="3" fontId="16" fillId="7" borderId="137" xfId="0" applyNumberFormat="1" applyFont="1" applyFill="1" applyBorder="1"/>
    <xf numFmtId="4" fontId="16" fillId="7" borderId="143" xfId="0" applyNumberFormat="1" applyFont="1" applyFill="1" applyBorder="1"/>
    <xf numFmtId="165" fontId="16" fillId="7" borderId="138" xfId="0" applyNumberFormat="1" applyFont="1" applyFill="1" applyBorder="1"/>
    <xf numFmtId="165" fontId="16" fillId="7" borderId="143" xfId="0" applyNumberFormat="1" applyFont="1" applyFill="1" applyBorder="1"/>
    <xf numFmtId="3" fontId="16" fillId="7" borderId="140" xfId="0" applyNumberFormat="1" applyFont="1" applyFill="1" applyBorder="1"/>
    <xf numFmtId="4" fontId="16" fillId="11" borderId="68" xfId="0" applyNumberFormat="1" applyFont="1" applyFill="1" applyBorder="1"/>
    <xf numFmtId="3" fontId="16" fillId="7" borderId="82" xfId="0" applyNumberFormat="1" applyFont="1" applyFill="1" applyBorder="1" applyAlignment="1">
      <alignment horizontal="center"/>
    </xf>
    <xf numFmtId="3" fontId="16" fillId="7" borderId="70" xfId="0" applyNumberFormat="1" applyFont="1" applyFill="1" applyBorder="1"/>
    <xf numFmtId="3" fontId="16" fillId="7" borderId="67" xfId="0" applyNumberFormat="1" applyFont="1" applyFill="1" applyBorder="1"/>
    <xf numFmtId="164" fontId="16" fillId="7" borderId="69" xfId="0" applyNumberFormat="1" applyFont="1" applyFill="1" applyBorder="1"/>
    <xf numFmtId="166" fontId="16" fillId="7" borderId="70" xfId="1" applyNumberFormat="1" applyFont="1" applyFill="1" applyBorder="1"/>
    <xf numFmtId="166" fontId="16" fillId="7" borderId="82" xfId="0" applyNumberFormat="1" applyFont="1" applyFill="1" applyBorder="1"/>
    <xf numFmtId="3" fontId="16" fillId="7" borderId="68" xfId="0" applyNumberFormat="1" applyFont="1" applyFill="1" applyBorder="1"/>
    <xf numFmtId="3" fontId="16" fillId="7" borderId="72" xfId="0" applyNumberFormat="1" applyFont="1" applyFill="1" applyBorder="1"/>
    <xf numFmtId="0" fontId="16" fillId="7" borderId="80" xfId="0" applyFont="1" applyFill="1" applyBorder="1"/>
    <xf numFmtId="3" fontId="16" fillId="7" borderId="77" xfId="0" applyNumberFormat="1" applyFont="1" applyFill="1" applyBorder="1"/>
    <xf numFmtId="4" fontId="16" fillId="7" borderId="68" xfId="0" applyNumberFormat="1" applyFont="1" applyFill="1" applyBorder="1"/>
    <xf numFmtId="165" fontId="16" fillId="7" borderId="70" xfId="0" applyNumberFormat="1" applyFont="1" applyFill="1" applyBorder="1"/>
    <xf numFmtId="165" fontId="16" fillId="7" borderId="68" xfId="0" applyNumberFormat="1" applyFont="1" applyFill="1" applyBorder="1"/>
    <xf numFmtId="165" fontId="16" fillId="7" borderId="77" xfId="0" applyNumberFormat="1" applyFont="1" applyFill="1" applyBorder="1"/>
    <xf numFmtId="165" fontId="16" fillId="7" borderId="71" xfId="0" applyNumberFormat="1" applyFont="1" applyFill="1" applyBorder="1" applyAlignment="1">
      <alignment horizontal="center"/>
    </xf>
    <xf numFmtId="3" fontId="16" fillId="7" borderId="74" xfId="0" applyNumberFormat="1" applyFont="1" applyFill="1" applyBorder="1"/>
    <xf numFmtId="166" fontId="16" fillId="7" borderId="80" xfId="1" applyNumberFormat="1" applyFont="1" applyFill="1" applyBorder="1"/>
    <xf numFmtId="3" fontId="16" fillId="2" borderId="59" xfId="0" applyNumberFormat="1" applyFont="1" applyFill="1" applyBorder="1"/>
    <xf numFmtId="3" fontId="16" fillId="0" borderId="150" xfId="0" applyNumberFormat="1" applyFont="1" applyBorder="1" applyAlignment="1" applyProtection="1">
      <alignment horizontal="left" vertical="center" wrapText="1"/>
      <protection locked="0"/>
    </xf>
    <xf numFmtId="165" fontId="16" fillId="2" borderId="149" xfId="0" applyNumberFormat="1" applyFont="1" applyFill="1" applyBorder="1"/>
    <xf numFmtId="166" fontId="16" fillId="2" borderId="145" xfId="1" applyNumberFormat="1" applyFont="1" applyFill="1" applyBorder="1" applyAlignment="1">
      <alignment horizontal="center"/>
    </xf>
    <xf numFmtId="165" fontId="16" fillId="2" borderId="150" xfId="0" applyNumberFormat="1" applyFont="1" applyFill="1" applyBorder="1" applyAlignment="1">
      <alignment horizontal="center"/>
    </xf>
    <xf numFmtId="3" fontId="7" fillId="0" borderId="125" xfId="0" applyNumberFormat="1" applyFont="1" applyBorder="1"/>
    <xf numFmtId="3" fontId="7" fillId="2" borderId="131" xfId="0" applyNumberFormat="1" applyFont="1" applyFill="1" applyBorder="1"/>
    <xf numFmtId="165" fontId="16" fillId="2" borderId="75" xfId="0" applyNumberFormat="1" applyFont="1" applyFill="1" applyBorder="1" applyAlignment="1">
      <alignment horizontal="center"/>
    </xf>
    <xf numFmtId="3" fontId="7" fillId="2" borderId="42" xfId="0" applyNumberFormat="1" applyFont="1" applyFill="1" applyBorder="1"/>
    <xf numFmtId="165" fontId="16" fillId="2" borderId="125" xfId="0" applyNumberFormat="1" applyFont="1" applyFill="1" applyBorder="1" applyAlignment="1">
      <alignment horizontal="center"/>
    </xf>
    <xf numFmtId="165" fontId="16" fillId="2" borderId="76" xfId="0" applyNumberFormat="1" applyFont="1" applyFill="1" applyBorder="1" applyAlignment="1">
      <alignment horizontal="center"/>
    </xf>
    <xf numFmtId="3" fontId="16" fillId="2" borderId="134" xfId="0" applyNumberFormat="1" applyFont="1" applyFill="1" applyBorder="1" applyAlignment="1">
      <alignment horizontal="center"/>
    </xf>
    <xf numFmtId="3" fontId="16" fillId="2" borderId="87" xfId="0" applyNumberFormat="1" applyFont="1" applyFill="1" applyBorder="1"/>
    <xf numFmtId="3" fontId="16" fillId="2" borderId="125" xfId="0" applyNumberFormat="1" applyFont="1" applyFill="1" applyBorder="1"/>
    <xf numFmtId="3" fontId="16" fillId="2" borderId="133" xfId="0" applyNumberFormat="1" applyFont="1" applyFill="1" applyBorder="1"/>
    <xf numFmtId="165" fontId="16" fillId="2" borderId="81" xfId="0" applyNumberFormat="1" applyFont="1" applyFill="1" applyBorder="1" applyAlignment="1">
      <alignment horizontal="center"/>
    </xf>
    <xf numFmtId="165" fontId="16" fillId="2" borderId="132" xfId="0" applyNumberFormat="1" applyFont="1" applyFill="1" applyBorder="1" applyAlignment="1">
      <alignment horizontal="center"/>
    </xf>
    <xf numFmtId="2" fontId="16" fillId="2" borderId="136" xfId="1" applyNumberFormat="1" applyFont="1" applyFill="1" applyBorder="1" applyAlignment="1">
      <alignment horizontal="center"/>
    </xf>
    <xf numFmtId="3" fontId="16" fillId="2" borderId="87" xfId="0" applyNumberFormat="1" applyFont="1" applyFill="1" applyBorder="1" applyAlignment="1">
      <alignment horizontal="center"/>
    </xf>
    <xf numFmtId="165" fontId="16" fillId="2" borderId="90" xfId="0" applyNumberFormat="1" applyFont="1" applyFill="1" applyBorder="1" applyAlignment="1">
      <alignment horizontal="center"/>
    </xf>
    <xf numFmtId="166" fontId="16" fillId="2" borderId="85" xfId="1" applyNumberFormat="1" applyFont="1" applyFill="1" applyBorder="1"/>
    <xf numFmtId="166" fontId="16" fillId="2" borderId="90" xfId="1" applyNumberFormat="1" applyFont="1" applyFill="1" applyBorder="1" applyAlignment="1">
      <alignment horizontal="center"/>
    </xf>
    <xf numFmtId="165" fontId="16" fillId="2" borderId="47" xfId="0" applyNumberFormat="1" applyFont="1" applyFill="1" applyBorder="1" applyAlignment="1">
      <alignment horizontal="center"/>
    </xf>
    <xf numFmtId="166" fontId="16" fillId="2" borderId="132" xfId="1" applyNumberFormat="1" applyFont="1" applyFill="1" applyBorder="1" applyAlignment="1">
      <alignment horizontal="center"/>
    </xf>
    <xf numFmtId="3" fontId="7" fillId="4" borderId="162" xfId="0" applyNumberFormat="1" applyFont="1" applyFill="1" applyBorder="1" applyAlignment="1">
      <alignment horizontal="right"/>
    </xf>
    <xf numFmtId="3" fontId="7" fillId="4" borderId="164" xfId="0" applyNumberFormat="1" applyFont="1" applyFill="1" applyBorder="1" applyAlignment="1">
      <alignment horizontal="right"/>
    </xf>
    <xf numFmtId="3" fontId="7" fillId="4" borderId="163" xfId="0" applyNumberFormat="1" applyFont="1" applyFill="1" applyBorder="1" applyAlignment="1">
      <alignment horizontal="right"/>
    </xf>
    <xf numFmtId="164" fontId="7" fillId="4" borderId="162" xfId="0" applyNumberFormat="1" applyFont="1" applyFill="1" applyBorder="1"/>
    <xf numFmtId="3" fontId="16" fillId="9" borderId="101" xfId="0" applyNumberFormat="1" applyFont="1" applyFill="1" applyBorder="1"/>
    <xf numFmtId="3" fontId="16" fillId="9" borderId="102" xfId="0" applyNumberFormat="1" applyFont="1" applyFill="1" applyBorder="1" applyAlignment="1">
      <alignment horizontal="right"/>
    </xf>
    <xf numFmtId="3" fontId="16" fillId="9" borderId="103" xfId="0" applyNumberFormat="1" applyFont="1" applyFill="1" applyBorder="1" applyAlignment="1">
      <alignment horizontal="right"/>
    </xf>
    <xf numFmtId="165" fontId="16" fillId="9" borderId="103" xfId="0" applyNumberFormat="1" applyFont="1" applyFill="1" applyBorder="1" applyAlignment="1">
      <alignment horizontal="center"/>
    </xf>
    <xf numFmtId="165" fontId="16" fillId="9" borderId="104" xfId="0" applyNumberFormat="1" applyFont="1" applyFill="1" applyBorder="1" applyAlignment="1">
      <alignment horizontal="center"/>
    </xf>
    <xf numFmtId="3" fontId="16" fillId="9" borderId="117" xfId="0" applyNumberFormat="1" applyFont="1" applyFill="1" applyBorder="1" applyAlignment="1">
      <alignment horizontal="center"/>
    </xf>
    <xf numFmtId="3" fontId="16" fillId="9" borderId="24" xfId="0" applyNumberFormat="1" applyFont="1" applyFill="1" applyBorder="1"/>
    <xf numFmtId="3" fontId="16" fillId="9" borderId="116" xfId="0" applyNumberFormat="1" applyFont="1" applyFill="1" applyBorder="1"/>
    <xf numFmtId="3" fontId="16" fillId="9" borderId="111" xfId="0" applyNumberFormat="1" applyFont="1" applyFill="1" applyBorder="1"/>
    <xf numFmtId="3" fontId="16" fillId="9" borderId="100" xfId="0" applyNumberFormat="1" applyFont="1" applyFill="1" applyBorder="1"/>
    <xf numFmtId="3" fontId="16" fillId="9" borderId="26" xfId="0" applyNumberFormat="1" applyFont="1" applyFill="1" applyBorder="1" applyAlignment="1">
      <alignment horizontal="right"/>
    </xf>
    <xf numFmtId="3" fontId="16" fillId="11" borderId="102" xfId="0" applyNumberFormat="1" applyFont="1" applyFill="1" applyBorder="1" applyAlignment="1">
      <alignment horizontal="right"/>
    </xf>
    <xf numFmtId="2" fontId="16" fillId="9" borderId="25" xfId="1" applyNumberFormat="1" applyFont="1" applyFill="1" applyBorder="1" applyAlignment="1">
      <alignment horizontal="center"/>
    </xf>
    <xf numFmtId="166" fontId="16" fillId="9" borderId="102" xfId="1" applyNumberFormat="1" applyFont="1" applyFill="1" applyBorder="1"/>
    <xf numFmtId="166" fontId="16" fillId="9" borderId="101" xfId="1" applyNumberFormat="1" applyFont="1" applyFill="1" applyBorder="1"/>
    <xf numFmtId="3" fontId="16" fillId="9" borderId="101" xfId="0" applyNumberFormat="1" applyFont="1" applyFill="1" applyBorder="1" applyAlignment="1">
      <alignment horizontal="center"/>
    </xf>
    <xf numFmtId="166" fontId="16" fillId="9" borderId="102" xfId="1" applyNumberFormat="1" applyFont="1" applyFill="1" applyBorder="1" applyAlignment="1">
      <alignment horizontal="center"/>
    </xf>
    <xf numFmtId="166" fontId="16" fillId="9" borderId="171" xfId="1" applyNumberFormat="1" applyFont="1" applyFill="1" applyBorder="1" applyAlignment="1">
      <alignment horizontal="right"/>
    </xf>
    <xf numFmtId="165" fontId="16" fillId="9" borderId="102" xfId="0" applyNumberFormat="1" applyFont="1" applyFill="1" applyBorder="1"/>
    <xf numFmtId="166" fontId="16" fillId="9" borderId="104" xfId="1" applyNumberFormat="1" applyFont="1" applyFill="1" applyBorder="1" applyAlignment="1">
      <alignment horizontal="center"/>
    </xf>
    <xf numFmtId="3" fontId="16" fillId="9" borderId="75" xfId="0" applyNumberFormat="1" applyFont="1" applyFill="1" applyBorder="1"/>
    <xf numFmtId="3" fontId="16" fillId="9" borderId="141" xfId="0" applyNumberFormat="1" applyFont="1" applyFill="1" applyBorder="1"/>
    <xf numFmtId="3" fontId="16" fillId="9" borderId="138" xfId="0" applyNumberFormat="1" applyFont="1" applyFill="1" applyBorder="1"/>
    <xf numFmtId="165" fontId="16" fillId="9" borderId="141" xfId="0" applyNumberFormat="1" applyFont="1" applyFill="1" applyBorder="1" applyAlignment="1">
      <alignment horizontal="center"/>
    </xf>
    <xf numFmtId="165" fontId="16" fillId="9" borderId="76" xfId="0" applyNumberFormat="1" applyFont="1" applyFill="1" applyBorder="1" applyAlignment="1">
      <alignment horizontal="center"/>
    </xf>
    <xf numFmtId="164" fontId="16" fillId="9" borderId="59" xfId="0" applyNumberFormat="1" applyFont="1" applyFill="1" applyBorder="1" applyAlignment="1">
      <alignment horizontal="center"/>
    </xf>
    <xf numFmtId="165" fontId="16" fillId="9" borderId="71" xfId="0" applyNumberFormat="1" applyFont="1" applyFill="1" applyBorder="1" applyAlignment="1">
      <alignment horizontal="center"/>
    </xf>
    <xf numFmtId="3" fontId="16" fillId="9" borderId="159" xfId="0" applyNumberFormat="1" applyFont="1" applyFill="1" applyBorder="1"/>
    <xf numFmtId="3" fontId="16" fillId="9" borderId="62" xfId="0" applyNumberFormat="1" applyFont="1" applyFill="1" applyBorder="1"/>
    <xf numFmtId="165" fontId="16" fillId="9" borderId="81" xfId="0" applyNumberFormat="1" applyFont="1" applyFill="1" applyBorder="1" applyAlignment="1">
      <alignment horizontal="center"/>
    </xf>
    <xf numFmtId="165" fontId="16" fillId="9" borderId="60" xfId="0" applyNumberFormat="1" applyFont="1" applyFill="1" applyBorder="1" applyAlignment="1">
      <alignment horizontal="center"/>
    </xf>
    <xf numFmtId="2" fontId="16" fillId="9" borderId="71" xfId="1" applyNumberFormat="1" applyFont="1" applyFill="1" applyBorder="1" applyAlignment="1">
      <alignment horizontal="center"/>
    </xf>
    <xf numFmtId="3" fontId="16" fillId="9" borderId="62" xfId="0" applyNumberFormat="1" applyFont="1" applyFill="1" applyBorder="1" applyAlignment="1">
      <alignment horizontal="center"/>
    </xf>
    <xf numFmtId="166" fontId="16" fillId="9" borderId="75" xfId="1" applyNumberFormat="1" applyFont="1" applyFill="1" applyBorder="1"/>
    <xf numFmtId="166" fontId="16" fillId="9" borderId="71" xfId="1" applyNumberFormat="1" applyFont="1" applyFill="1" applyBorder="1" applyAlignment="1">
      <alignment horizontal="center"/>
    </xf>
    <xf numFmtId="166" fontId="16" fillId="9" borderId="71" xfId="0" applyNumberFormat="1" applyFont="1" applyFill="1" applyBorder="1" applyAlignment="1">
      <alignment horizontal="center"/>
    </xf>
    <xf numFmtId="166" fontId="16" fillId="9" borderId="71" xfId="1" applyNumberFormat="1" applyFont="1" applyFill="1" applyBorder="1"/>
    <xf numFmtId="166" fontId="16" fillId="9" borderId="76" xfId="1" applyNumberFormat="1" applyFont="1" applyFill="1" applyBorder="1" applyAlignment="1">
      <alignment horizontal="center"/>
    </xf>
    <xf numFmtId="164" fontId="16" fillId="0" borderId="77" xfId="0" applyNumberFormat="1" applyFont="1" applyBorder="1" applyAlignment="1">
      <alignment horizontal="center"/>
    </xf>
    <xf numFmtId="165" fontId="16" fillId="0" borderId="82" xfId="0" applyNumberFormat="1" applyFont="1" applyBorder="1" applyAlignment="1">
      <alignment horizontal="center"/>
    </xf>
    <xf numFmtId="3" fontId="16" fillId="2" borderId="80" xfId="0" applyNumberFormat="1" applyFont="1" applyFill="1" applyBorder="1" applyAlignment="1">
      <alignment horizontal="center"/>
    </xf>
    <xf numFmtId="165" fontId="16" fillId="0" borderId="68" xfId="0" applyNumberFormat="1" applyFont="1" applyBorder="1" applyAlignment="1">
      <alignment horizontal="center"/>
    </xf>
    <xf numFmtId="165" fontId="16" fillId="0" borderId="67" xfId="0" applyNumberFormat="1" applyFont="1" applyBorder="1" applyAlignment="1">
      <alignment horizontal="center"/>
    </xf>
    <xf numFmtId="165" fontId="16" fillId="0" borderId="80" xfId="0" applyNumberFormat="1" applyFont="1" applyBorder="1" applyAlignment="1">
      <alignment horizontal="center"/>
    </xf>
    <xf numFmtId="2" fontId="16" fillId="0" borderId="82" xfId="1" applyNumberFormat="1" applyFont="1" applyBorder="1" applyAlignment="1">
      <alignment horizontal="center"/>
    </xf>
    <xf numFmtId="166" fontId="16" fillId="2" borderId="75" xfId="1" applyNumberFormat="1" applyFont="1" applyFill="1" applyBorder="1" applyAlignment="1">
      <alignment horizontal="center"/>
    </xf>
    <xf numFmtId="166" fontId="16" fillId="2" borderId="71" xfId="0" applyNumberFormat="1" applyFont="1" applyFill="1" applyBorder="1" applyAlignment="1">
      <alignment horizontal="center"/>
    </xf>
    <xf numFmtId="166" fontId="16" fillId="2" borderId="82" xfId="1" applyNumberFormat="1" applyFont="1" applyFill="1" applyBorder="1" applyAlignment="1">
      <alignment horizontal="center"/>
    </xf>
    <xf numFmtId="166" fontId="16" fillId="2" borderId="82" xfId="0" applyNumberFormat="1" applyFont="1" applyFill="1" applyBorder="1" applyAlignment="1">
      <alignment horizontal="center"/>
    </xf>
    <xf numFmtId="166" fontId="16" fillId="0" borderId="80" xfId="1" applyNumberFormat="1" applyFont="1" applyBorder="1" applyAlignment="1">
      <alignment horizontal="center"/>
    </xf>
    <xf numFmtId="3" fontId="16" fillId="2" borderId="174" xfId="0" applyNumberFormat="1" applyFont="1" applyFill="1" applyBorder="1"/>
    <xf numFmtId="164" fontId="16" fillId="0" borderId="84" xfId="0" applyNumberFormat="1" applyFont="1" applyBorder="1" applyAlignment="1">
      <alignment horizontal="center"/>
    </xf>
    <xf numFmtId="165" fontId="16" fillId="0" borderId="177" xfId="0" applyNumberFormat="1" applyFont="1" applyBorder="1" applyAlignment="1">
      <alignment horizontal="center"/>
    </xf>
    <xf numFmtId="165" fontId="16" fillId="0" borderId="176" xfId="0" applyNumberFormat="1" applyFont="1" applyBorder="1" applyAlignment="1">
      <alignment horizontal="center"/>
    </xf>
    <xf numFmtId="165" fontId="16" fillId="0" borderId="157" xfId="0" applyNumberFormat="1" applyFont="1" applyBorder="1" applyAlignment="1">
      <alignment horizontal="center"/>
    </xf>
    <xf numFmtId="3" fontId="16" fillId="2" borderId="177" xfId="0" applyNumberFormat="1" applyFont="1" applyFill="1" applyBorder="1" applyAlignment="1">
      <alignment horizontal="center"/>
    </xf>
    <xf numFmtId="2" fontId="16" fillId="0" borderId="176" xfId="1" applyNumberFormat="1" applyFont="1" applyBorder="1" applyAlignment="1">
      <alignment horizontal="center"/>
    </xf>
    <xf numFmtId="166" fontId="16" fillId="2" borderId="70" xfId="1" applyNumberFormat="1" applyFont="1" applyFill="1" applyBorder="1" applyAlignment="1">
      <alignment horizontal="center"/>
    </xf>
    <xf numFmtId="165" fontId="16" fillId="2" borderId="70" xfId="0" applyNumberFormat="1" applyFont="1" applyFill="1" applyBorder="1" applyAlignment="1">
      <alignment horizontal="center"/>
    </xf>
    <xf numFmtId="166" fontId="16" fillId="2" borderId="70" xfId="0" applyNumberFormat="1" applyFont="1" applyFill="1" applyBorder="1" applyAlignment="1">
      <alignment horizontal="center"/>
    </xf>
    <xf numFmtId="3" fontId="16" fillId="2" borderId="148" xfId="0" applyNumberFormat="1" applyFont="1" applyFill="1" applyBorder="1" applyAlignment="1">
      <alignment horizontal="left" vertical="center" wrapText="1"/>
    </xf>
    <xf numFmtId="3" fontId="16" fillId="2" borderId="146" xfId="0" applyNumberFormat="1" applyFont="1" applyFill="1" applyBorder="1"/>
    <xf numFmtId="3" fontId="16" fillId="2" borderId="146" xfId="0" applyNumberFormat="1" applyFont="1" applyFill="1" applyBorder="1" applyAlignment="1">
      <alignment horizontal="center"/>
    </xf>
    <xf numFmtId="165" fontId="16" fillId="2" borderId="148" xfId="0" applyNumberFormat="1" applyFont="1" applyFill="1" applyBorder="1" applyAlignment="1">
      <alignment horizontal="center"/>
    </xf>
    <xf numFmtId="165" fontId="16" fillId="2" borderId="146" xfId="0" applyNumberFormat="1" applyFont="1" applyFill="1" applyBorder="1" applyAlignment="1">
      <alignment horizontal="center"/>
    </xf>
    <xf numFmtId="2" fontId="16" fillId="2" borderId="149" xfId="1" applyNumberFormat="1" applyFont="1" applyFill="1" applyBorder="1" applyAlignment="1">
      <alignment horizontal="center"/>
    </xf>
    <xf numFmtId="166" fontId="16" fillId="2" borderId="149" xfId="0" applyNumberFormat="1" applyFont="1" applyFill="1" applyBorder="1" applyAlignment="1">
      <alignment horizontal="center"/>
    </xf>
    <xf numFmtId="166" fontId="16" fillId="2" borderId="146" xfId="1" applyNumberFormat="1" applyFont="1" applyFill="1" applyBorder="1" applyAlignment="1">
      <alignment horizontal="center"/>
    </xf>
    <xf numFmtId="3" fontId="16" fillId="3" borderId="180" xfId="0" applyNumberFormat="1" applyFont="1" applyFill="1" applyBorder="1" applyAlignment="1" applyProtection="1">
      <alignment horizontal="left" vertical="center" wrapText="1"/>
      <protection locked="0"/>
    </xf>
    <xf numFmtId="3" fontId="7" fillId="3" borderId="179" xfId="0" applyNumberFormat="1" applyFont="1" applyFill="1" applyBorder="1"/>
    <xf numFmtId="3" fontId="7" fillId="3" borderId="187" xfId="0" applyNumberFormat="1" applyFont="1" applyFill="1" applyBorder="1"/>
    <xf numFmtId="3" fontId="7" fillId="3" borderId="180" xfId="0" applyNumberFormat="1" applyFont="1" applyFill="1" applyBorder="1" applyAlignment="1">
      <alignment horizontal="right"/>
    </xf>
    <xf numFmtId="3" fontId="7" fillId="3" borderId="179" xfId="0" applyNumberFormat="1" applyFont="1" applyFill="1" applyBorder="1" applyAlignment="1">
      <alignment horizontal="right"/>
    </xf>
    <xf numFmtId="164" fontId="7" fillId="3" borderId="189" xfId="0" applyNumberFormat="1" applyFont="1" applyFill="1" applyBorder="1" applyAlignment="1">
      <alignment horizontal="center"/>
    </xf>
    <xf numFmtId="3" fontId="7" fillId="3" borderId="40" xfId="0" applyNumberFormat="1" applyFont="1" applyFill="1" applyBorder="1"/>
    <xf numFmtId="0" fontId="16" fillId="4" borderId="128" xfId="0" applyFont="1" applyFill="1" applyBorder="1"/>
    <xf numFmtId="164" fontId="7" fillId="4" borderId="202" xfId="0" applyNumberFormat="1" applyFont="1" applyFill="1" applyBorder="1"/>
    <xf numFmtId="0" fontId="16" fillId="2" borderId="216" xfId="0" applyFont="1" applyFill="1" applyBorder="1"/>
    <xf numFmtId="0" fontId="16" fillId="0" borderId="168" xfId="0" applyFont="1" applyBorder="1"/>
    <xf numFmtId="0" fontId="16" fillId="0" borderId="217" xfId="0" applyFont="1" applyBorder="1"/>
    <xf numFmtId="164" fontId="7" fillId="2" borderId="207" xfId="0" applyNumberFormat="1" applyFont="1" applyFill="1" applyBorder="1"/>
    <xf numFmtId="0" fontId="16" fillId="2" borderId="168" xfId="0" applyFont="1" applyFill="1" applyBorder="1"/>
    <xf numFmtId="0" fontId="16" fillId="2" borderId="207" xfId="0" applyFont="1" applyFill="1" applyBorder="1"/>
    <xf numFmtId="165" fontId="16" fillId="2" borderId="162" xfId="0" applyNumberFormat="1" applyFont="1" applyFill="1" applyBorder="1"/>
    <xf numFmtId="2" fontId="16" fillId="2" borderId="210" xfId="1" applyNumberFormat="1" applyFont="1" applyFill="1" applyBorder="1"/>
    <xf numFmtId="166" fontId="16" fillId="2" borderId="207" xfId="1" applyNumberFormat="1" applyFont="1" applyFill="1" applyBorder="1"/>
    <xf numFmtId="0" fontId="16" fillId="2" borderId="207" xfId="0" applyFont="1" applyFill="1" applyBorder="1" applyAlignment="1">
      <alignment horizontal="center"/>
    </xf>
    <xf numFmtId="0" fontId="16" fillId="10" borderId="55" xfId="0" applyFont="1" applyFill="1" applyBorder="1"/>
    <xf numFmtId="0" fontId="16" fillId="10" borderId="58" xfId="0" applyFont="1" applyFill="1" applyBorder="1"/>
    <xf numFmtId="3" fontId="16" fillId="10" borderId="50" xfId="0" applyNumberFormat="1" applyFont="1" applyFill="1" applyBorder="1"/>
    <xf numFmtId="0" fontId="16" fillId="10" borderId="207" xfId="0" applyFont="1" applyFill="1" applyBorder="1"/>
    <xf numFmtId="165" fontId="16" fillId="10" borderId="2" xfId="0" applyNumberFormat="1" applyFont="1" applyFill="1" applyBorder="1"/>
    <xf numFmtId="2" fontId="16" fillId="10" borderId="57" xfId="1" applyNumberFormat="1" applyFont="1" applyFill="1" applyBorder="1"/>
    <xf numFmtId="0" fontId="16" fillId="10" borderId="50" xfId="0" applyFont="1" applyFill="1" applyBorder="1"/>
    <xf numFmtId="166" fontId="16" fillId="10" borderId="207" xfId="1" applyNumberFormat="1" applyFont="1" applyFill="1" applyBorder="1"/>
    <xf numFmtId="0" fontId="16" fillId="10" borderId="207" xfId="0" applyFont="1" applyFill="1" applyBorder="1" applyAlignment="1">
      <alignment horizontal="center"/>
    </xf>
    <xf numFmtId="0" fontId="16" fillId="10" borderId="211" xfId="0" applyFont="1" applyFill="1" applyBorder="1"/>
    <xf numFmtId="3" fontId="16" fillId="2" borderId="68" xfId="0" applyNumberFormat="1" applyFont="1" applyFill="1" applyBorder="1"/>
    <xf numFmtId="3" fontId="16" fillId="0" borderId="67" xfId="0" applyNumberFormat="1" applyFont="1" applyBorder="1"/>
    <xf numFmtId="3" fontId="16" fillId="2" borderId="96" xfId="0" applyNumberFormat="1" applyFont="1" applyFill="1" applyBorder="1" applyAlignment="1">
      <alignment horizontal="center"/>
    </xf>
    <xf numFmtId="0" fontId="16" fillId="2" borderId="88" xfId="0" applyFont="1" applyFill="1" applyBorder="1"/>
    <xf numFmtId="165" fontId="16" fillId="2" borderId="92" xfId="0" applyNumberFormat="1" applyFont="1" applyFill="1" applyBorder="1"/>
    <xf numFmtId="3" fontId="16" fillId="2" borderId="131" xfId="0" applyNumberFormat="1" applyFont="1" applyFill="1" applyBorder="1"/>
    <xf numFmtId="3" fontId="16" fillId="2" borderId="124" xfId="0" applyNumberFormat="1" applyFont="1" applyFill="1" applyBorder="1"/>
    <xf numFmtId="3" fontId="16" fillId="2" borderId="126" xfId="0" applyNumberFormat="1" applyFont="1" applyFill="1" applyBorder="1"/>
    <xf numFmtId="3" fontId="16" fillId="0" borderId="86" xfId="0" applyNumberFormat="1" applyFont="1" applyBorder="1"/>
    <xf numFmtId="3" fontId="16" fillId="0" borderId="98" xfId="0" applyNumberFormat="1" applyFont="1" applyBorder="1"/>
    <xf numFmtId="165" fontId="16" fillId="2" borderId="94" xfId="0" applyNumberFormat="1" applyFont="1" applyFill="1" applyBorder="1"/>
    <xf numFmtId="166" fontId="16" fillId="2" borderId="95" xfId="1" applyNumberFormat="1" applyFont="1" applyFill="1" applyBorder="1"/>
    <xf numFmtId="3" fontId="16" fillId="2" borderId="86" xfId="0" applyNumberFormat="1" applyFont="1" applyFill="1" applyBorder="1" applyAlignment="1">
      <alignment horizontal="center"/>
    </xf>
    <xf numFmtId="165" fontId="16" fillId="2" borderId="95" xfId="0" applyNumberFormat="1" applyFont="1" applyFill="1" applyBorder="1" applyAlignment="1">
      <alignment horizontal="center"/>
    </xf>
    <xf numFmtId="3" fontId="16" fillId="2" borderId="86" xfId="0" applyNumberFormat="1" applyFont="1" applyFill="1" applyBorder="1"/>
    <xf numFmtId="166" fontId="16" fillId="2" borderId="88" xfId="1" applyNumberFormat="1" applyFont="1" applyFill="1" applyBorder="1"/>
    <xf numFmtId="1" fontId="16" fillId="2" borderId="97" xfId="0" applyNumberFormat="1" applyFont="1" applyFill="1" applyBorder="1"/>
    <xf numFmtId="166" fontId="16" fillId="2" borderId="98" xfId="1" applyNumberFormat="1" applyFont="1" applyFill="1" applyBorder="1"/>
    <xf numFmtId="9" fontId="16" fillId="0" borderId="0" xfId="1" applyFont="1"/>
    <xf numFmtId="0" fontId="2" fillId="2" borderId="0" xfId="0" applyFont="1" applyFill="1"/>
    <xf numFmtId="3" fontId="2" fillId="2" borderId="0" xfId="0" applyNumberFormat="1" applyFont="1" applyFill="1"/>
    <xf numFmtId="165" fontId="2" fillId="2" borderId="0" xfId="0" applyNumberFormat="1" applyFont="1" applyFill="1"/>
    <xf numFmtId="2" fontId="2" fillId="2" borderId="0" xfId="1" applyNumberFormat="1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3" fontId="2" fillId="0" borderId="0" xfId="0" applyNumberFormat="1" applyFont="1" applyAlignment="1">
      <alignment horizontal="right" vertical="center"/>
    </xf>
    <xf numFmtId="164" fontId="13" fillId="0" borderId="0" xfId="0" applyNumberFormat="1" applyFont="1"/>
    <xf numFmtId="0" fontId="16" fillId="0" borderId="1" xfId="0" applyFont="1" applyBorder="1"/>
    <xf numFmtId="0" fontId="16" fillId="4" borderId="14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2" xfId="0" applyFill="1" applyBorder="1"/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wrapText="1"/>
    </xf>
    <xf numFmtId="0" fontId="0" fillId="4" borderId="33" xfId="0" applyFill="1" applyBorder="1" applyAlignment="1">
      <alignment horizont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164" fontId="0" fillId="4" borderId="21" xfId="0" applyNumberFormat="1" applyFill="1" applyBorder="1" applyAlignment="1">
      <alignment horizontal="center" wrapText="1"/>
    </xf>
    <xf numFmtId="164" fontId="0" fillId="4" borderId="32" xfId="0" applyNumberFormat="1" applyFill="1" applyBorder="1" applyAlignment="1">
      <alignment horizontal="center" wrapText="1"/>
    </xf>
    <xf numFmtId="165" fontId="0" fillId="4" borderId="32" xfId="0" applyNumberFormat="1" applyFill="1" applyBorder="1" applyAlignment="1">
      <alignment horizontal="center" wrapText="1"/>
    </xf>
    <xf numFmtId="3" fontId="0" fillId="4" borderId="17" xfId="0" applyNumberFormat="1" applyFill="1" applyBorder="1" applyAlignment="1">
      <alignment horizontal="center" wrapText="1"/>
    </xf>
    <xf numFmtId="3" fontId="0" fillId="4" borderId="32" xfId="0" applyNumberFormat="1" applyFill="1" applyBorder="1" applyAlignment="1">
      <alignment horizontal="center" wrapText="1"/>
    </xf>
    <xf numFmtId="164" fontId="0" fillId="4" borderId="31" xfId="0" applyNumberFormat="1" applyFill="1" applyBorder="1" applyAlignment="1">
      <alignment horizontal="center" wrapText="1"/>
    </xf>
    <xf numFmtId="0" fontId="0" fillId="4" borderId="14" xfId="0" applyFill="1" applyBorder="1" applyAlignment="1">
      <alignment horizontal="center" vertical="center" wrapText="1"/>
    </xf>
    <xf numFmtId="164" fontId="0" fillId="4" borderId="15" xfId="0" applyNumberFormat="1" applyFill="1" applyBorder="1" applyAlignment="1">
      <alignment horizontal="center" wrapText="1"/>
    </xf>
    <xf numFmtId="164" fontId="0" fillId="4" borderId="219" xfId="0" applyNumberFormat="1" applyFill="1" applyBorder="1" applyAlignment="1">
      <alignment horizontal="center" wrapText="1"/>
    </xf>
    <xf numFmtId="0" fontId="0" fillId="4" borderId="219" xfId="0" applyFill="1" applyBorder="1" applyAlignment="1">
      <alignment horizontal="center"/>
    </xf>
    <xf numFmtId="165" fontId="0" fillId="4" borderId="219" xfId="0" applyNumberFormat="1" applyFill="1" applyBorder="1" applyAlignment="1">
      <alignment horizontal="center"/>
    </xf>
    <xf numFmtId="0" fontId="0" fillId="4" borderId="219" xfId="0" applyFill="1" applyBorder="1" applyAlignment="1">
      <alignment horizontal="center" wrapText="1"/>
    </xf>
    <xf numFmtId="0" fontId="0" fillId="4" borderId="40" xfId="0" applyFill="1" applyBorder="1" applyAlignment="1">
      <alignment horizontal="center" wrapText="1"/>
    </xf>
    <xf numFmtId="3" fontId="0" fillId="4" borderId="220" xfId="0" applyNumberFormat="1" applyFill="1" applyBorder="1" applyAlignment="1">
      <alignment horizontal="center" wrapText="1"/>
    </xf>
    <xf numFmtId="3" fontId="0" fillId="4" borderId="219" xfId="0" applyNumberFormat="1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164" fontId="0" fillId="4" borderId="39" xfId="0" applyNumberFormat="1" applyFill="1" applyBorder="1" applyAlignment="1">
      <alignment horizontal="center" wrapText="1"/>
    </xf>
    <xf numFmtId="0" fontId="0" fillId="4" borderId="219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164" fontId="0" fillId="4" borderId="14" xfId="0" applyNumberFormat="1" applyFill="1" applyBorder="1" applyAlignment="1">
      <alignment horizontal="center" wrapText="1"/>
    </xf>
    <xf numFmtId="0" fontId="0" fillId="4" borderId="14" xfId="0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3" fontId="0" fillId="4" borderId="221" xfId="0" applyNumberFormat="1" applyFill="1" applyBorder="1" applyAlignment="1">
      <alignment horizontal="center" wrapText="1"/>
    </xf>
    <xf numFmtId="3" fontId="0" fillId="4" borderId="15" xfId="0" applyNumberFormat="1" applyFill="1" applyBorder="1" applyAlignment="1">
      <alignment horizontal="center" wrapText="1"/>
    </xf>
    <xf numFmtId="164" fontId="0" fillId="4" borderId="13" xfId="0" applyNumberFormat="1" applyFill="1" applyBorder="1" applyAlignment="1">
      <alignment horizontal="center" wrapText="1"/>
    </xf>
    <xf numFmtId="164" fontId="0" fillId="4" borderId="14" xfId="0" applyNumberFormat="1" applyFill="1" applyBorder="1" applyAlignment="1">
      <alignment horizontal="center" vertical="center" wrapText="1"/>
    </xf>
    <xf numFmtId="3" fontId="7" fillId="5" borderId="49" xfId="0" applyNumberFormat="1" applyFont="1" applyFill="1" applyBorder="1" applyAlignment="1" applyProtection="1">
      <alignment horizontal="left" vertical="center" wrapText="1"/>
      <protection locked="0"/>
    </xf>
    <xf numFmtId="3" fontId="7" fillId="5" borderId="215" xfId="0" applyNumberFormat="1" applyFont="1" applyFill="1" applyBorder="1" applyAlignment="1" applyProtection="1">
      <alignment horizontal="left" vertical="center" wrapText="1"/>
      <protection locked="0"/>
    </xf>
    <xf numFmtId="0" fontId="0" fillId="5" borderId="207" xfId="0" applyFill="1" applyBorder="1"/>
    <xf numFmtId="3" fontId="0" fillId="6" borderId="67" xfId="0" applyNumberFormat="1" applyFill="1" applyBorder="1" applyAlignment="1" applyProtection="1">
      <alignment horizontal="right" vertical="center" wrapText="1"/>
      <protection locked="0"/>
    </xf>
    <xf numFmtId="3" fontId="0" fillId="0" borderId="80" xfId="0" applyNumberFormat="1" applyBorder="1" applyAlignment="1" applyProtection="1">
      <alignment horizontal="left" vertical="center" wrapText="1"/>
      <protection locked="0"/>
    </xf>
    <xf numFmtId="3" fontId="0" fillId="2" borderId="67" xfId="0" applyNumberFormat="1" applyFill="1" applyBorder="1"/>
    <xf numFmtId="0" fontId="0" fillId="6" borderId="0" xfId="0" applyFill="1"/>
    <xf numFmtId="3" fontId="7" fillId="5" borderId="67" xfId="0" applyNumberFormat="1" applyFont="1" applyFill="1" applyBorder="1" applyAlignment="1" applyProtection="1">
      <alignment horizontal="left" vertical="center" wrapText="1"/>
      <protection locked="0"/>
    </xf>
    <xf numFmtId="3" fontId="7" fillId="5" borderId="80" xfId="0" applyNumberFormat="1" applyFont="1" applyFill="1" applyBorder="1" applyAlignment="1" applyProtection="1">
      <alignment horizontal="left" vertical="center" wrapText="1"/>
      <protection locked="0"/>
    </xf>
    <xf numFmtId="0" fontId="0" fillId="5" borderId="0" xfId="0" applyFill="1"/>
    <xf numFmtId="3" fontId="0" fillId="2" borderId="79" xfId="0" applyNumberFormat="1" applyFill="1" applyBorder="1" applyAlignment="1" applyProtection="1">
      <alignment horizontal="left" vertical="center" wrapText="1"/>
      <protection locked="0"/>
    </xf>
    <xf numFmtId="3" fontId="7" fillId="5" borderId="67" xfId="0" applyNumberFormat="1" applyFont="1" applyFill="1" applyBorder="1" applyAlignment="1">
      <alignment horizontal="left" vertical="center" wrapText="1"/>
    </xf>
    <xf numFmtId="3" fontId="7" fillId="5" borderId="79" xfId="0" applyNumberFormat="1" applyFont="1" applyFill="1" applyBorder="1" applyAlignment="1">
      <alignment horizontal="left" vertical="center" wrapText="1"/>
    </xf>
    <xf numFmtId="3" fontId="0" fillId="2" borderId="80" xfId="0" applyNumberFormat="1" applyFill="1" applyBorder="1" applyAlignment="1" applyProtection="1">
      <alignment horizontal="left" vertical="center" wrapText="1"/>
      <protection locked="0"/>
    </xf>
    <xf numFmtId="3" fontId="0" fillId="0" borderId="79" xfId="0" applyNumberFormat="1" applyBorder="1" applyAlignment="1" applyProtection="1">
      <alignment horizontal="left" vertical="center" wrapText="1"/>
      <protection locked="0"/>
    </xf>
    <xf numFmtId="3" fontId="7" fillId="3" borderId="116" xfId="0" applyNumberFormat="1" applyFont="1" applyFill="1" applyBorder="1" applyAlignment="1">
      <alignment horizontal="left" vertical="center" wrapText="1"/>
    </xf>
    <xf numFmtId="3" fontId="7" fillId="3" borderId="30" xfId="0" applyNumberFormat="1" applyFont="1" applyFill="1" applyBorder="1" applyAlignment="1">
      <alignment horizontal="left" vertical="center" wrapText="1"/>
    </xf>
    <xf numFmtId="0" fontId="7" fillId="3" borderId="0" xfId="0" applyFont="1" applyFill="1"/>
    <xf numFmtId="3" fontId="0" fillId="2" borderId="26" xfId="0" applyNumberFormat="1" applyFill="1" applyBorder="1" applyAlignment="1">
      <alignment horizontal="left" vertical="center" wrapText="1"/>
    </xf>
    <xf numFmtId="3" fontId="7" fillId="2" borderId="30" xfId="0" applyNumberFormat="1" applyFont="1" applyFill="1" applyBorder="1" applyAlignment="1">
      <alignment horizontal="left" vertical="center" wrapText="1"/>
    </xf>
    <xf numFmtId="0" fontId="7" fillId="2" borderId="6" xfId="0" applyFont="1" applyFill="1" applyBorder="1"/>
    <xf numFmtId="3" fontId="0" fillId="2" borderId="109" xfId="0" applyNumberFormat="1" applyFill="1" applyBorder="1" applyAlignment="1">
      <alignment horizontal="left" vertical="center" wrapText="1"/>
    </xf>
    <xf numFmtId="3" fontId="0" fillId="2" borderId="108" xfId="0" applyNumberFormat="1" applyFill="1" applyBorder="1" applyAlignment="1" applyProtection="1">
      <alignment horizontal="left" vertical="center" wrapText="1"/>
      <protection locked="0"/>
    </xf>
    <xf numFmtId="0" fontId="7" fillId="2" borderId="123" xfId="0" applyFont="1" applyFill="1" applyBorder="1"/>
    <xf numFmtId="3" fontId="7" fillId="3" borderId="123" xfId="0" applyNumberFormat="1" applyFont="1" applyFill="1" applyBorder="1"/>
    <xf numFmtId="3" fontId="0" fillId="7" borderId="104" xfId="0" applyNumberFormat="1" applyFill="1" applyBorder="1" applyAlignment="1" applyProtection="1">
      <alignment horizontal="left" vertical="center" wrapText="1"/>
      <protection locked="0"/>
    </xf>
    <xf numFmtId="0" fontId="7" fillId="7" borderId="6" xfId="0" applyFont="1" applyFill="1" applyBorder="1"/>
    <xf numFmtId="0" fontId="7" fillId="2" borderId="137" xfId="0" applyFont="1" applyFill="1" applyBorder="1" applyAlignment="1">
      <alignment horizontal="center" vertical="center"/>
    </xf>
    <xf numFmtId="3" fontId="7" fillId="2" borderId="138" xfId="0" applyNumberFormat="1" applyFont="1" applyFill="1" applyBorder="1" applyAlignment="1">
      <alignment horizontal="left" vertical="center" wrapText="1"/>
    </xf>
    <xf numFmtId="3" fontId="0" fillId="2" borderId="139" xfId="0" applyNumberFormat="1" applyFill="1" applyBorder="1" applyAlignment="1" applyProtection="1">
      <alignment horizontal="left" vertical="center" wrapText="1"/>
      <protection locked="0"/>
    </xf>
    <xf numFmtId="0" fontId="7" fillId="2" borderId="138" xfId="0" applyFont="1" applyFill="1" applyBorder="1"/>
    <xf numFmtId="0" fontId="7" fillId="2" borderId="59" xfId="0" applyFont="1" applyFill="1" applyBorder="1" applyAlignment="1">
      <alignment horizontal="center" vertical="center"/>
    </xf>
    <xf numFmtId="3" fontId="7" fillId="2" borderId="75" xfId="0" applyNumberFormat="1" applyFont="1" applyFill="1" applyBorder="1" applyAlignment="1">
      <alignment horizontal="left" vertical="center" wrapText="1"/>
    </xf>
    <xf numFmtId="3" fontId="0" fillId="2" borderId="76" xfId="0" applyNumberFormat="1" applyFill="1" applyBorder="1" applyAlignment="1" applyProtection="1">
      <alignment horizontal="left" vertical="center" wrapText="1"/>
      <protection locked="0"/>
    </xf>
    <xf numFmtId="0" fontId="7" fillId="2" borderId="75" xfId="0" applyFont="1" applyFill="1" applyBorder="1"/>
    <xf numFmtId="0" fontId="7" fillId="2" borderId="77" xfId="0" applyFont="1" applyFill="1" applyBorder="1" applyAlignment="1">
      <alignment horizontal="center" vertical="center"/>
    </xf>
    <xf numFmtId="3" fontId="7" fillId="2" borderId="70" xfId="0" applyNumberFormat="1" applyFont="1" applyFill="1" applyBorder="1" applyAlignment="1">
      <alignment horizontal="left" vertical="center" wrapText="1"/>
    </xf>
    <xf numFmtId="0" fontId="7" fillId="2" borderId="70" xfId="0" applyFont="1" applyFill="1" applyBorder="1"/>
    <xf numFmtId="0" fontId="7" fillId="2" borderId="144" xfId="0" applyFont="1" applyFill="1" applyBorder="1" applyAlignment="1">
      <alignment horizontal="center" vertical="center"/>
    </xf>
    <xf numFmtId="3" fontId="7" fillId="2" borderId="145" xfId="0" applyNumberFormat="1" applyFont="1" applyFill="1" applyBorder="1" applyAlignment="1">
      <alignment horizontal="left" vertical="center" wrapText="1"/>
    </xf>
    <xf numFmtId="3" fontId="0" fillId="2" borderId="146" xfId="0" applyNumberFormat="1" applyFill="1" applyBorder="1" applyAlignment="1" applyProtection="1">
      <alignment horizontal="left" vertical="center" wrapText="1"/>
      <protection locked="0"/>
    </xf>
    <xf numFmtId="0" fontId="7" fillId="2" borderId="145" xfId="0" applyFont="1" applyFill="1" applyBorder="1"/>
    <xf numFmtId="3" fontId="7" fillId="7" borderId="152" xfId="0" applyNumberFormat="1" applyFont="1" applyFill="1" applyBorder="1" applyAlignment="1">
      <alignment horizontal="left" vertical="center" wrapText="1"/>
    </xf>
    <xf numFmtId="0" fontId="0" fillId="7" borderId="0" xfId="0" applyFill="1"/>
    <xf numFmtId="3" fontId="0" fillId="0" borderId="146" xfId="0" applyNumberFormat="1" applyBorder="1" applyAlignment="1" applyProtection="1">
      <alignment horizontal="left" vertical="center" wrapText="1"/>
      <protection locked="0"/>
    </xf>
    <xf numFmtId="0" fontId="0" fillId="0" borderId="24" xfId="0" applyBorder="1"/>
    <xf numFmtId="3" fontId="7" fillId="2" borderId="121" xfId="0" applyNumberFormat="1" applyFont="1" applyFill="1" applyBorder="1"/>
    <xf numFmtId="0" fontId="0" fillId="2" borderId="24" xfId="0" applyFill="1" applyBorder="1"/>
    <xf numFmtId="3" fontId="0" fillId="4" borderId="121" xfId="0" applyNumberFormat="1" applyFill="1" applyBorder="1"/>
    <xf numFmtId="0" fontId="0" fillId="4" borderId="24" xfId="0" applyFill="1" applyBorder="1"/>
    <xf numFmtId="0" fontId="7" fillId="2" borderId="170" xfId="0" applyFont="1" applyFill="1" applyBorder="1" applyAlignment="1">
      <alignment horizontal="center" vertical="center"/>
    </xf>
    <xf numFmtId="3" fontId="0" fillId="2" borderId="30" xfId="0" applyNumberFormat="1" applyFill="1" applyBorder="1" applyAlignment="1">
      <alignment horizontal="left" vertical="center" wrapText="1"/>
    </xf>
    <xf numFmtId="3" fontId="0" fillId="2" borderId="81" xfId="0" applyNumberFormat="1" applyFill="1" applyBorder="1" applyAlignment="1">
      <alignment horizontal="left" vertical="center" wrapText="1"/>
    </xf>
    <xf numFmtId="3" fontId="0" fillId="2" borderId="76" xfId="0" applyNumberFormat="1" applyFill="1" applyBorder="1"/>
    <xf numFmtId="3" fontId="0" fillId="2" borderId="80" xfId="0" applyNumberFormat="1" applyFill="1" applyBorder="1"/>
    <xf numFmtId="3" fontId="0" fillId="2" borderId="174" xfId="0" applyNumberFormat="1" applyFill="1" applyBorder="1"/>
    <xf numFmtId="3" fontId="0" fillId="2" borderId="148" xfId="0" applyNumberFormat="1" applyFill="1" applyBorder="1" applyAlignment="1">
      <alignment horizontal="left" vertical="center" wrapText="1"/>
    </xf>
    <xf numFmtId="3" fontId="0" fillId="2" borderId="146" xfId="0" applyNumberFormat="1" applyFill="1" applyBorder="1"/>
    <xf numFmtId="3" fontId="0" fillId="3" borderId="222" xfId="0" applyNumberFormat="1" applyFill="1" applyBorder="1" applyAlignment="1" applyProtection="1">
      <alignment horizontal="left" vertical="center" wrapText="1"/>
      <protection locked="0"/>
    </xf>
    <xf numFmtId="0" fontId="0" fillId="3" borderId="223" xfId="0" applyFill="1" applyBorder="1"/>
    <xf numFmtId="0" fontId="0" fillId="4" borderId="128" xfId="0" applyFill="1" applyBorder="1"/>
    <xf numFmtId="0" fontId="0" fillId="4" borderId="123" xfId="0" applyFill="1" applyBorder="1"/>
    <xf numFmtId="0" fontId="0" fillId="2" borderId="216" xfId="0" applyFill="1" applyBorder="1"/>
    <xf numFmtId="3" fontId="0" fillId="2" borderId="65" xfId="0" applyNumberFormat="1" applyFill="1" applyBorder="1"/>
    <xf numFmtId="0" fontId="0" fillId="2" borderId="207" xfId="0" applyFill="1" applyBorder="1"/>
    <xf numFmtId="3" fontId="7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 applyAlignment="1">
      <alignment horizontal="center"/>
    </xf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0" fontId="12" fillId="0" borderId="0" xfId="0" applyFont="1" applyAlignment="1">
      <alignment vertical="top"/>
    </xf>
    <xf numFmtId="168" fontId="13" fillId="0" borderId="0" xfId="0" applyNumberFormat="1" applyFont="1"/>
    <xf numFmtId="0" fontId="0" fillId="0" borderId="1" xfId="0" applyBorder="1"/>
    <xf numFmtId="165" fontId="0" fillId="0" borderId="0" xfId="0" applyNumberFormat="1"/>
    <xf numFmtId="0" fontId="0" fillId="4" borderId="18" xfId="0" applyFill="1" applyBorder="1" applyAlignment="1">
      <alignment horizontal="center" vertical="center" wrapText="1"/>
    </xf>
    <xf numFmtId="0" fontId="26" fillId="0" borderId="0" xfId="0" applyFont="1"/>
    <xf numFmtId="0" fontId="24" fillId="2" borderId="0" xfId="0" applyFont="1" applyFill="1"/>
    <xf numFmtId="0" fontId="27" fillId="2" borderId="0" xfId="0" applyFont="1" applyFill="1" applyAlignment="1">
      <alignment horizontal="center"/>
    </xf>
    <xf numFmtId="0" fontId="24" fillId="4" borderId="16" xfId="0" applyFont="1" applyFill="1" applyBorder="1" applyAlignment="1">
      <alignment horizontal="center" wrapText="1"/>
    </xf>
    <xf numFmtId="3" fontId="24" fillId="2" borderId="0" xfId="0" applyNumberFormat="1" applyFont="1" applyFill="1" applyAlignment="1">
      <alignment horizontal="center"/>
    </xf>
    <xf numFmtId="3" fontId="24" fillId="0" borderId="0" xfId="0" applyNumberFormat="1" applyFont="1"/>
    <xf numFmtId="0" fontId="28" fillId="0" borderId="0" xfId="0" applyFont="1"/>
    <xf numFmtId="0" fontId="28" fillId="2" borderId="0" xfId="0" applyFont="1" applyFill="1"/>
    <xf numFmtId="0" fontId="24" fillId="0" borderId="0" xfId="0" applyFont="1"/>
    <xf numFmtId="164" fontId="27" fillId="2" borderId="0" xfId="0" applyNumberFormat="1" applyFont="1" applyFill="1" applyAlignment="1">
      <alignment horizontal="center"/>
    </xf>
    <xf numFmtId="164" fontId="24" fillId="4" borderId="13" xfId="0" applyNumberFormat="1" applyFont="1" applyFill="1" applyBorder="1" applyAlignment="1">
      <alignment horizontal="center" wrapText="1"/>
    </xf>
    <xf numFmtId="164" fontId="24" fillId="2" borderId="0" xfId="0" applyNumberFormat="1" applyFont="1" applyFill="1"/>
    <xf numFmtId="164" fontId="24" fillId="0" borderId="0" xfId="0" applyNumberFormat="1" applyFont="1"/>
    <xf numFmtId="9" fontId="26" fillId="0" borderId="0" xfId="1" applyFont="1"/>
    <xf numFmtId="0" fontId="24" fillId="4" borderId="14" xfId="0" applyFont="1" applyFill="1" applyBorder="1" applyAlignment="1">
      <alignment horizontal="center" wrapText="1"/>
    </xf>
    <xf numFmtId="3" fontId="24" fillId="2" borderId="0" xfId="0" applyNumberFormat="1" applyFont="1" applyFill="1"/>
    <xf numFmtId="3" fontId="16" fillId="2" borderId="0" xfId="0" applyNumberFormat="1" applyFont="1" applyFill="1" applyAlignment="1">
      <alignment horizontal="center"/>
    </xf>
    <xf numFmtId="3" fontId="27" fillId="2" borderId="0" xfId="0" applyNumberFormat="1" applyFont="1" applyFill="1" applyAlignment="1">
      <alignment horizontal="center"/>
    </xf>
    <xf numFmtId="0" fontId="24" fillId="4" borderId="40" xfId="0" applyFont="1" applyFill="1" applyBorder="1" applyAlignment="1">
      <alignment horizontal="center" wrapText="1"/>
    </xf>
    <xf numFmtId="0" fontId="29" fillId="2" borderId="0" xfId="0" applyFont="1" applyFill="1"/>
    <xf numFmtId="164" fontId="0" fillId="5" borderId="52" xfId="0" applyNumberFormat="1" applyFill="1" applyBorder="1" applyAlignment="1">
      <alignment horizontal="center" vertical="center"/>
    </xf>
    <xf numFmtId="166" fontId="0" fillId="5" borderId="52" xfId="1" applyNumberFormat="1" applyFont="1" applyFill="1" applyBorder="1" applyAlignment="1">
      <alignment horizontal="center" vertical="center"/>
    </xf>
    <xf numFmtId="3" fontId="16" fillId="5" borderId="53" xfId="0" applyNumberFormat="1" applyFont="1" applyFill="1" applyBorder="1" applyAlignment="1">
      <alignment horizontal="center" vertical="center"/>
    </xf>
    <xf numFmtId="3" fontId="0" fillId="5" borderId="54" xfId="0" applyNumberFormat="1" applyFill="1" applyBorder="1" applyAlignment="1">
      <alignment horizontal="center" vertical="center"/>
    </xf>
    <xf numFmtId="3" fontId="0" fillId="5" borderId="52" xfId="0" applyNumberFormat="1" applyFill="1" applyBorder="1" applyAlignment="1">
      <alignment horizontal="center" vertical="center"/>
    </xf>
    <xf numFmtId="3" fontId="16" fillId="5" borderId="55" xfId="0" applyNumberFormat="1" applyFont="1" applyFill="1" applyBorder="1" applyAlignment="1">
      <alignment horizontal="center" vertical="center"/>
    </xf>
    <xf numFmtId="3" fontId="0" fillId="5" borderId="56" xfId="0" applyNumberFormat="1" applyFill="1" applyBorder="1" applyAlignment="1">
      <alignment horizontal="center" vertical="center"/>
    </xf>
    <xf numFmtId="3" fontId="0" fillId="5" borderId="55" xfId="0" applyNumberFormat="1" applyFill="1" applyBorder="1" applyAlignment="1">
      <alignment horizontal="center" vertical="center"/>
    </xf>
    <xf numFmtId="164" fontId="0" fillId="2" borderId="70" xfId="0" applyNumberFormat="1" applyFill="1" applyBorder="1" applyAlignment="1">
      <alignment horizontal="center" vertical="center"/>
    </xf>
    <xf numFmtId="166" fontId="0" fillId="2" borderId="70" xfId="1" applyNumberFormat="1" applyFont="1" applyFill="1" applyBorder="1" applyAlignment="1">
      <alignment horizontal="center" vertical="center"/>
    </xf>
    <xf numFmtId="3" fontId="16" fillId="2" borderId="61" xfId="0" applyNumberFormat="1" applyFont="1" applyFill="1" applyBorder="1" applyAlignment="1">
      <alignment horizontal="center" vertical="center"/>
    </xf>
    <xf numFmtId="3" fontId="0" fillId="2" borderId="71" xfId="0" applyNumberFormat="1" applyFill="1" applyBorder="1" applyAlignment="1">
      <alignment horizontal="center" vertical="center"/>
    </xf>
    <xf numFmtId="3" fontId="0" fillId="2" borderId="70" xfId="0" applyNumberFormat="1" applyFill="1" applyBorder="1" applyAlignment="1">
      <alignment horizontal="center" vertical="center"/>
    </xf>
    <xf numFmtId="3" fontId="16" fillId="2" borderId="72" xfId="0" applyNumberFormat="1" applyFont="1" applyFill="1" applyBorder="1" applyAlignment="1">
      <alignment horizontal="center" vertical="center"/>
    </xf>
    <xf numFmtId="3" fontId="0" fillId="2" borderId="73" xfId="0" applyNumberFormat="1" applyFill="1" applyBorder="1" applyAlignment="1">
      <alignment horizontal="center" vertical="center"/>
    </xf>
    <xf numFmtId="3" fontId="0" fillId="6" borderId="70" xfId="0" applyNumberFormat="1" applyFill="1" applyBorder="1" applyAlignment="1">
      <alignment horizontal="center" vertical="center"/>
    </xf>
    <xf numFmtId="3" fontId="0" fillId="2" borderId="72" xfId="0" applyNumberFormat="1" applyFill="1" applyBorder="1" applyAlignment="1">
      <alignment horizontal="center" vertical="center"/>
    </xf>
    <xf numFmtId="3" fontId="0" fillId="2" borderId="75" xfId="0" applyNumberFormat="1" applyFill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164" fontId="0" fillId="5" borderId="70" xfId="0" applyNumberFormat="1" applyFill="1" applyBorder="1" applyAlignment="1">
      <alignment horizontal="center" vertical="center"/>
    </xf>
    <xf numFmtId="166" fontId="0" fillId="5" borderId="70" xfId="1" applyNumberFormat="1" applyFont="1" applyFill="1" applyBorder="1" applyAlignment="1">
      <alignment horizontal="center" vertical="center"/>
    </xf>
    <xf numFmtId="3" fontId="16" fillId="5" borderId="61" xfId="0" applyNumberFormat="1" applyFont="1" applyFill="1" applyBorder="1" applyAlignment="1">
      <alignment horizontal="center" vertical="center"/>
    </xf>
    <xf numFmtId="3" fontId="0" fillId="5" borderId="71" xfId="0" applyNumberFormat="1" applyFill="1" applyBorder="1" applyAlignment="1">
      <alignment horizontal="center" vertical="center"/>
    </xf>
    <xf numFmtId="3" fontId="0" fillId="5" borderId="75" xfId="0" applyNumberFormat="1" applyFill="1" applyBorder="1" applyAlignment="1">
      <alignment horizontal="center" vertical="center"/>
    </xf>
    <xf numFmtId="3" fontId="16" fillId="5" borderId="62" xfId="0" applyNumberFormat="1" applyFont="1" applyFill="1" applyBorder="1" applyAlignment="1">
      <alignment horizontal="center" vertical="center"/>
    </xf>
    <xf numFmtId="3" fontId="0" fillId="5" borderId="83" xfId="0" applyNumberFormat="1" applyFill="1" applyBorder="1" applyAlignment="1">
      <alignment horizontal="center" vertical="center"/>
    </xf>
    <xf numFmtId="3" fontId="0" fillId="5" borderId="70" xfId="0" applyNumberFormat="1" applyFill="1" applyBorder="1" applyAlignment="1">
      <alignment horizontal="center" vertical="center"/>
    </xf>
    <xf numFmtId="3" fontId="0" fillId="5" borderId="72" xfId="0" applyNumberFormat="1" applyFill="1" applyBorder="1" applyAlignment="1">
      <alignment horizontal="center" vertical="center"/>
    </xf>
    <xf numFmtId="3" fontId="16" fillId="2" borderId="74" xfId="0" applyNumberFormat="1" applyFont="1" applyFill="1" applyBorder="1" applyAlignment="1">
      <alignment horizontal="center" vertical="center"/>
    </xf>
    <xf numFmtId="3" fontId="0" fillId="2" borderId="82" xfId="0" applyNumberFormat="1" applyFill="1" applyBorder="1" applyAlignment="1">
      <alignment horizontal="center" vertical="center"/>
    </xf>
    <xf numFmtId="3" fontId="16" fillId="2" borderId="68" xfId="0" applyNumberFormat="1" applyFont="1" applyFill="1" applyBorder="1" applyAlignment="1">
      <alignment horizontal="center" vertical="center"/>
    </xf>
    <xf numFmtId="3" fontId="16" fillId="2" borderId="62" xfId="0" applyNumberFormat="1" applyFont="1" applyFill="1" applyBorder="1" applyAlignment="1">
      <alignment horizontal="center" vertical="center"/>
    </xf>
    <xf numFmtId="3" fontId="0" fillId="2" borderId="83" xfId="0" applyNumberFormat="1" applyFill="1" applyBorder="1" applyAlignment="1">
      <alignment horizontal="center" vertical="center"/>
    </xf>
    <xf numFmtId="3" fontId="16" fillId="5" borderId="72" xfId="0" applyNumberFormat="1" applyFont="1" applyFill="1" applyBorder="1" applyAlignment="1">
      <alignment horizontal="center" vertical="center"/>
    </xf>
    <xf numFmtId="3" fontId="0" fillId="5" borderId="73" xfId="0" applyNumberFormat="1" applyFill="1" applyBorder="1" applyAlignment="1">
      <alignment horizontal="center" vertical="center"/>
    </xf>
    <xf numFmtId="164" fontId="0" fillId="0" borderId="70" xfId="0" applyNumberFormat="1" applyBorder="1" applyAlignment="1">
      <alignment horizontal="center" vertical="center"/>
    </xf>
    <xf numFmtId="3" fontId="16" fillId="6" borderId="74" xfId="0" applyNumberFormat="1" applyFont="1" applyFill="1" applyBorder="1" applyAlignment="1">
      <alignment horizontal="center" vertical="center"/>
    </xf>
    <xf numFmtId="3" fontId="0" fillId="6" borderId="82" xfId="0" applyNumberFormat="1" applyFill="1" applyBorder="1" applyAlignment="1">
      <alignment horizontal="center" vertical="center"/>
    </xf>
    <xf numFmtId="3" fontId="16" fillId="6" borderId="72" xfId="0" applyNumberFormat="1" applyFont="1" applyFill="1" applyBorder="1" applyAlignment="1">
      <alignment horizontal="center" vertical="center"/>
    </xf>
    <xf numFmtId="3" fontId="0" fillId="6" borderId="73" xfId="0" applyNumberFormat="1" applyFill="1" applyBorder="1" applyAlignment="1">
      <alignment horizontal="center" vertical="center"/>
    </xf>
    <xf numFmtId="164" fontId="7" fillId="3" borderId="106" xfId="0" applyNumberFormat="1" applyFont="1" applyFill="1" applyBorder="1" applyAlignment="1">
      <alignment horizontal="center" vertical="center"/>
    </xf>
    <xf numFmtId="166" fontId="7" fillId="3" borderId="106" xfId="1" applyNumberFormat="1" applyFont="1" applyFill="1" applyBorder="1" applyAlignment="1">
      <alignment horizontal="center" vertical="center"/>
    </xf>
    <xf numFmtId="164" fontId="7" fillId="3" borderId="107" xfId="0" applyNumberFormat="1" applyFont="1" applyFill="1" applyBorder="1" applyAlignment="1">
      <alignment horizontal="center" vertical="center"/>
    </xf>
    <xf numFmtId="164" fontId="7" fillId="3" borderId="148" xfId="0" applyNumberFormat="1" applyFont="1" applyFill="1" applyBorder="1" applyAlignment="1">
      <alignment horizontal="center" vertical="center"/>
    </xf>
    <xf numFmtId="3" fontId="7" fillId="3" borderId="106" xfId="0" applyNumberFormat="1" applyFont="1" applyFill="1" applyBorder="1" applyAlignment="1">
      <alignment horizontal="center" vertical="center"/>
    </xf>
    <xf numFmtId="3" fontId="7" fillId="3" borderId="111" xfId="0" applyNumberFormat="1" applyFont="1" applyFill="1" applyBorder="1" applyAlignment="1">
      <alignment horizontal="center" vertical="center"/>
    </xf>
    <xf numFmtId="3" fontId="7" fillId="3" borderId="25" xfId="0" applyNumberFormat="1" applyFont="1" applyFill="1" applyBorder="1" applyAlignment="1">
      <alignment horizontal="center" vertical="center"/>
    </xf>
    <xf numFmtId="3" fontId="7" fillId="3" borderId="145" xfId="0" applyNumberFormat="1" applyFont="1" applyFill="1" applyBorder="1" applyAlignment="1">
      <alignment horizontal="center" vertical="center"/>
    </xf>
    <xf numFmtId="3" fontId="7" fillId="3" borderId="148" xfId="0" applyNumberFormat="1" applyFont="1" applyFill="1" applyBorder="1" applyAlignment="1">
      <alignment horizontal="center" vertical="center"/>
    </xf>
    <xf numFmtId="3" fontId="7" fillId="3" borderId="147" xfId="0" applyNumberFormat="1" applyFont="1" applyFill="1" applyBorder="1" applyAlignment="1">
      <alignment horizontal="center" vertical="center"/>
    </xf>
    <xf numFmtId="164" fontId="0" fillId="2" borderId="106" xfId="0" applyNumberFormat="1" applyFill="1" applyBorder="1" applyAlignment="1">
      <alignment horizontal="center" vertical="center"/>
    </xf>
    <xf numFmtId="3" fontId="16" fillId="2" borderId="26" xfId="0" applyNumberFormat="1" applyFont="1" applyFill="1" applyBorder="1" applyAlignment="1">
      <alignment horizontal="center" vertical="center"/>
    </xf>
    <xf numFmtId="3" fontId="0" fillId="2" borderId="112" xfId="0" applyNumberFormat="1" applyFill="1" applyBorder="1" applyAlignment="1">
      <alignment horizontal="center" vertical="center"/>
    </xf>
    <xf numFmtId="3" fontId="0" fillId="2" borderId="106" xfId="0" applyNumberFormat="1" applyFill="1" applyBorder="1" applyAlignment="1">
      <alignment horizontal="center" vertical="center"/>
    </xf>
    <xf numFmtId="3" fontId="16" fillId="2" borderId="111" xfId="0" applyNumberFormat="1" applyFon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3" fontId="0" fillId="2" borderId="111" xfId="0" applyNumberFormat="1" applyFill="1" applyBorder="1" applyAlignment="1">
      <alignment horizontal="center" vertical="center"/>
    </xf>
    <xf numFmtId="3" fontId="0" fillId="2" borderId="116" xfId="0" applyNumberFormat="1" applyFill="1" applyBorder="1" applyAlignment="1">
      <alignment horizontal="center" vertical="center"/>
    </xf>
    <xf numFmtId="3" fontId="0" fillId="2" borderId="24" xfId="0" applyNumberFormat="1" applyFill="1" applyBorder="1" applyAlignment="1">
      <alignment horizontal="center" vertical="center"/>
    </xf>
    <xf numFmtId="3" fontId="16" fillId="6" borderId="26" xfId="0" applyNumberFormat="1" applyFont="1" applyFill="1" applyBorder="1" applyAlignment="1">
      <alignment horizontal="center" vertical="center"/>
    </xf>
    <xf numFmtId="3" fontId="0" fillId="6" borderId="112" xfId="0" applyNumberFormat="1" applyFill="1" applyBorder="1" applyAlignment="1">
      <alignment horizontal="center" vertical="center"/>
    </xf>
    <xf numFmtId="3" fontId="0" fillId="6" borderId="114" xfId="0" applyNumberFormat="1" applyFill="1" applyBorder="1" applyAlignment="1">
      <alignment horizontal="center" vertical="center"/>
    </xf>
    <xf numFmtId="3" fontId="16" fillId="6" borderId="114" xfId="0" applyNumberFormat="1" applyFont="1" applyFill="1" applyBorder="1" applyAlignment="1">
      <alignment horizontal="center" vertical="center"/>
    </xf>
    <xf numFmtId="3" fontId="0" fillId="6" borderId="115" xfId="0" applyNumberFormat="1" applyFill="1" applyBorder="1" applyAlignment="1">
      <alignment horizontal="center" vertical="center"/>
    </xf>
    <xf numFmtId="3" fontId="0" fillId="6" borderId="106" xfId="0" applyNumberFormat="1" applyFill="1" applyBorder="1" applyAlignment="1">
      <alignment horizontal="center" vertical="center"/>
    </xf>
    <xf numFmtId="164" fontId="7" fillId="3" borderId="124" xfId="0" applyNumberFormat="1" applyFont="1" applyFill="1" applyBorder="1" applyAlignment="1">
      <alignment horizontal="center" vertical="center"/>
    </xf>
    <xf numFmtId="165" fontId="7" fillId="3" borderId="124" xfId="0" applyNumberFormat="1" applyFont="1" applyFill="1" applyBorder="1" applyAlignment="1">
      <alignment horizontal="center" vertical="center"/>
    </xf>
    <xf numFmtId="3" fontId="7" fillId="3" borderId="125" xfId="0" applyNumberFormat="1" applyFont="1" applyFill="1" applyBorder="1" applyAlignment="1">
      <alignment horizontal="center" vertical="center"/>
    </xf>
    <xf numFmtId="3" fontId="7" fillId="3" borderId="126" xfId="0" applyNumberFormat="1" applyFont="1" applyFill="1" applyBorder="1" applyAlignment="1">
      <alignment horizontal="center" vertical="center"/>
    </xf>
    <xf numFmtId="3" fontId="7" fillId="3" borderId="124" xfId="0" applyNumberFormat="1" applyFont="1" applyFill="1" applyBorder="1" applyAlignment="1">
      <alignment horizontal="center" vertical="center"/>
    </xf>
    <xf numFmtId="3" fontId="7" fillId="3" borderId="42" xfId="0" applyNumberFormat="1" applyFont="1" applyFill="1" applyBorder="1" applyAlignment="1">
      <alignment horizontal="center" vertical="center"/>
    </xf>
    <xf numFmtId="3" fontId="7" fillId="3" borderId="129" xfId="0" applyNumberFormat="1" applyFont="1" applyFill="1" applyBorder="1" applyAlignment="1">
      <alignment horizontal="center" vertical="center"/>
    </xf>
    <xf numFmtId="164" fontId="0" fillId="7" borderId="101" xfId="0" applyNumberFormat="1" applyFill="1" applyBorder="1" applyAlignment="1">
      <alignment horizontal="center" vertical="center"/>
    </xf>
    <xf numFmtId="165" fontId="0" fillId="7" borderId="102" xfId="0" applyNumberForma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0" fillId="7" borderId="102" xfId="0" applyNumberFormat="1" applyFill="1" applyBorder="1" applyAlignment="1">
      <alignment horizontal="center" vertical="center"/>
    </xf>
    <xf numFmtId="3" fontId="0" fillId="7" borderId="101" xfId="0" applyNumberFormat="1" applyFill="1" applyBorder="1" applyAlignment="1">
      <alignment horizontal="center" vertical="center"/>
    </xf>
    <xf numFmtId="3" fontId="16" fillId="7" borderId="100" xfId="0" applyNumberFormat="1" applyFont="1" applyFill="1" applyBorder="1" applyAlignment="1">
      <alignment horizontal="center" vertical="center"/>
    </xf>
    <xf numFmtId="3" fontId="0" fillId="7" borderId="8" xfId="0" applyNumberFormat="1" applyFill="1" applyBorder="1" applyAlignment="1">
      <alignment horizontal="center" vertical="center"/>
    </xf>
    <xf numFmtId="3" fontId="0" fillId="7" borderId="100" xfId="0" applyNumberFormat="1" applyFill="1" applyBorder="1" applyAlignment="1">
      <alignment horizontal="center" vertical="center"/>
    </xf>
    <xf numFmtId="164" fontId="0" fillId="2" borderId="138" xfId="0" applyNumberFormat="1" applyFill="1" applyBorder="1" applyAlignment="1">
      <alignment horizontal="center" vertical="center"/>
    </xf>
    <xf numFmtId="165" fontId="0" fillId="2" borderId="143" xfId="0" applyNumberFormat="1" applyFill="1" applyBorder="1" applyAlignment="1">
      <alignment horizontal="center" vertical="center"/>
    </xf>
    <xf numFmtId="3" fontId="16" fillId="2" borderId="141" xfId="0" applyNumberFormat="1" applyFont="1" applyFill="1" applyBorder="1" applyAlignment="1">
      <alignment horizontal="center" vertical="center"/>
    </xf>
    <xf numFmtId="3" fontId="0" fillId="2" borderId="142" xfId="0" applyNumberFormat="1" applyFill="1" applyBorder="1" applyAlignment="1">
      <alignment horizontal="center" vertical="center"/>
    </xf>
    <xf numFmtId="3" fontId="0" fillId="2" borderId="143" xfId="0" applyNumberFormat="1" applyFill="1" applyBorder="1" applyAlignment="1">
      <alignment horizontal="center" vertical="center"/>
    </xf>
    <xf numFmtId="3" fontId="16" fillId="2" borderId="138" xfId="0" applyNumberFormat="1" applyFont="1" applyFill="1" applyBorder="1" applyAlignment="1">
      <alignment horizontal="center" vertical="center"/>
    </xf>
    <xf numFmtId="3" fontId="0" fillId="2" borderId="141" xfId="0" applyNumberFormat="1" applyFill="1" applyBorder="1" applyAlignment="1">
      <alignment horizontal="center" vertical="center"/>
    </xf>
    <xf numFmtId="164" fontId="0" fillId="2" borderId="75" xfId="0" applyNumberFormat="1" applyFill="1" applyBorder="1" applyAlignment="1">
      <alignment horizontal="center" vertical="center"/>
    </xf>
    <xf numFmtId="165" fontId="0" fillId="2" borderId="60" xfId="0" applyNumberFormat="1" applyFill="1" applyBorder="1" applyAlignment="1">
      <alignment horizontal="center" vertical="center"/>
    </xf>
    <xf numFmtId="3" fontId="16" fillId="2" borderId="81" xfId="0" applyNumberFormat="1" applyFont="1" applyFill="1" applyBorder="1" applyAlignment="1">
      <alignment horizontal="center" vertical="center"/>
    </xf>
    <xf numFmtId="3" fontId="0" fillId="2" borderId="60" xfId="0" applyNumberFormat="1" applyFill="1" applyBorder="1" applyAlignment="1">
      <alignment horizontal="center" vertical="center"/>
    </xf>
    <xf numFmtId="3" fontId="16" fillId="2" borderId="75" xfId="0" applyNumberFormat="1" applyFont="1" applyFill="1" applyBorder="1" applyAlignment="1">
      <alignment horizontal="center" vertical="center"/>
    </xf>
    <xf numFmtId="3" fontId="0" fillId="2" borderId="81" xfId="0" applyNumberFormat="1" applyFill="1" applyBorder="1" applyAlignment="1">
      <alignment horizontal="center" vertical="center"/>
    </xf>
    <xf numFmtId="165" fontId="0" fillId="2" borderId="68" xfId="0" applyNumberFormat="1" applyFill="1" applyBorder="1" applyAlignment="1">
      <alignment horizontal="center" vertical="center"/>
    </xf>
    <xf numFmtId="3" fontId="16" fillId="2" borderId="67" xfId="0" applyNumberFormat="1" applyFont="1" applyFill="1" applyBorder="1" applyAlignment="1">
      <alignment horizontal="center" vertical="center"/>
    </xf>
    <xf numFmtId="3" fontId="0" fillId="2" borderId="68" xfId="0" applyNumberFormat="1" applyFill="1" applyBorder="1" applyAlignment="1">
      <alignment horizontal="center" vertical="center"/>
    </xf>
    <xf numFmtId="3" fontId="16" fillId="2" borderId="70" xfId="0" applyNumberFormat="1" applyFont="1" applyFill="1" applyBorder="1" applyAlignment="1">
      <alignment horizontal="center" vertical="center"/>
    </xf>
    <xf numFmtId="3" fontId="0" fillId="2" borderId="67" xfId="0" applyNumberFormat="1" applyFill="1" applyBorder="1" applyAlignment="1">
      <alignment horizontal="center" vertical="center"/>
    </xf>
    <xf numFmtId="164" fontId="0" fillId="2" borderId="145" xfId="0" applyNumberFormat="1" applyFill="1" applyBorder="1" applyAlignment="1">
      <alignment horizontal="center" vertical="center"/>
    </xf>
    <xf numFmtId="165" fontId="0" fillId="2" borderId="150" xfId="0" applyNumberFormat="1" applyFill="1" applyBorder="1" applyAlignment="1">
      <alignment horizontal="center" vertical="center"/>
    </xf>
    <xf numFmtId="3" fontId="16" fillId="2" borderId="148" xfId="0" applyNumberFormat="1" applyFont="1" applyFill="1" applyBorder="1" applyAlignment="1">
      <alignment horizontal="center" vertical="center"/>
    </xf>
    <xf numFmtId="3" fontId="0" fillId="2" borderId="149" xfId="0" applyNumberFormat="1" applyFill="1" applyBorder="1" applyAlignment="1">
      <alignment horizontal="center" vertical="center"/>
    </xf>
    <xf numFmtId="3" fontId="0" fillId="2" borderId="150" xfId="0" applyNumberFormat="1" applyFill="1" applyBorder="1" applyAlignment="1">
      <alignment horizontal="center" vertical="center"/>
    </xf>
    <xf numFmtId="3" fontId="16" fillId="2" borderId="145" xfId="0" applyNumberFormat="1" applyFont="1" applyFill="1" applyBorder="1" applyAlignment="1">
      <alignment horizontal="center" vertical="center"/>
    </xf>
    <xf numFmtId="3" fontId="0" fillId="2" borderId="148" xfId="0" applyNumberFormat="1" applyFill="1" applyBorder="1" applyAlignment="1">
      <alignment horizontal="center" vertical="center"/>
    </xf>
    <xf numFmtId="164" fontId="0" fillId="7" borderId="75" xfId="0" applyNumberFormat="1" applyFill="1" applyBorder="1" applyAlignment="1">
      <alignment horizontal="center" vertical="center"/>
    </xf>
    <xf numFmtId="3" fontId="16" fillId="7" borderId="61" xfId="0" applyNumberFormat="1" applyFont="1" applyFill="1" applyBorder="1" applyAlignment="1">
      <alignment horizontal="center" vertical="center"/>
    </xf>
    <xf numFmtId="3" fontId="0" fillId="7" borderId="71" xfId="0" applyNumberFormat="1" applyFill="1" applyBorder="1" applyAlignment="1">
      <alignment horizontal="center" vertical="center"/>
    </xf>
    <xf numFmtId="3" fontId="0" fillId="7" borderId="75" xfId="0" applyNumberFormat="1" applyFill="1" applyBorder="1" applyAlignment="1">
      <alignment horizontal="center" vertical="center"/>
    </xf>
    <xf numFmtId="3" fontId="16" fillId="7" borderId="62" xfId="0" applyNumberFormat="1" applyFont="1" applyFill="1" applyBorder="1" applyAlignment="1">
      <alignment horizontal="center" vertical="center"/>
    </xf>
    <xf numFmtId="3" fontId="0" fillId="7" borderId="83" xfId="0" applyNumberFormat="1" applyFill="1" applyBorder="1" applyAlignment="1">
      <alignment horizontal="center" vertical="center"/>
    </xf>
    <xf numFmtId="3" fontId="0" fillId="7" borderId="62" xfId="0" applyNumberFormat="1" applyFill="1" applyBorder="1" applyAlignment="1">
      <alignment horizontal="center" vertical="center"/>
    </xf>
    <xf numFmtId="3" fontId="0" fillId="2" borderId="62" xfId="0" applyNumberFormat="1" applyFill="1" applyBorder="1" applyAlignment="1">
      <alignment horizontal="center" vertical="center"/>
    </xf>
    <xf numFmtId="3" fontId="16" fillId="2" borderId="154" xfId="0" applyNumberFormat="1" applyFont="1" applyFill="1" applyBorder="1" applyAlignment="1">
      <alignment horizontal="center" vertical="center"/>
    </xf>
    <xf numFmtId="3" fontId="0" fillId="6" borderId="145" xfId="0" applyNumberFormat="1" applyFill="1" applyBorder="1" applyAlignment="1">
      <alignment horizontal="center" vertical="center"/>
    </xf>
    <xf numFmtId="3" fontId="16" fillId="6" borderId="147" xfId="0" applyNumberFormat="1" applyFont="1" applyFill="1" applyBorder="1" applyAlignment="1">
      <alignment horizontal="center" vertical="center"/>
    </xf>
    <xf numFmtId="3" fontId="0" fillId="6" borderId="155" xfId="0" applyNumberFormat="1" applyFill="1" applyBorder="1" applyAlignment="1">
      <alignment horizontal="center" vertical="center"/>
    </xf>
    <xf numFmtId="3" fontId="0" fillId="0" borderId="145" xfId="0" applyNumberFormat="1" applyBorder="1" applyAlignment="1">
      <alignment horizontal="center" vertical="center"/>
    </xf>
    <xf numFmtId="3" fontId="0" fillId="2" borderId="145" xfId="0" applyNumberFormat="1" applyFill="1" applyBorder="1" applyAlignment="1">
      <alignment horizontal="center" vertical="center"/>
    </xf>
    <xf numFmtId="3" fontId="0" fillId="2" borderId="156" xfId="0" applyNumberFormat="1" applyFill="1" applyBorder="1" applyAlignment="1">
      <alignment horizontal="center" vertical="center"/>
    </xf>
    <xf numFmtId="3" fontId="0" fillId="7" borderId="138" xfId="0" applyNumberFormat="1" applyFill="1" applyBorder="1" applyAlignment="1">
      <alignment horizontal="center" vertical="center"/>
    </xf>
    <xf numFmtId="3" fontId="0" fillId="7" borderId="70" xfId="0" applyNumberFormat="1" applyFill="1" applyBorder="1" applyAlignment="1">
      <alignment horizontal="center" vertical="center"/>
    </xf>
    <xf numFmtId="164" fontId="0" fillId="2" borderId="133" xfId="0" applyNumberFormat="1" applyFill="1" applyBorder="1" applyAlignment="1">
      <alignment horizontal="center" vertical="center"/>
    </xf>
    <xf numFmtId="3" fontId="0" fillId="2" borderId="133" xfId="0" applyNumberFormat="1" applyFill="1" applyBorder="1" applyAlignment="1">
      <alignment horizontal="center" vertical="center"/>
    </xf>
    <xf numFmtId="3" fontId="0" fillId="2" borderId="136" xfId="0" applyNumberFormat="1" applyFill="1" applyBorder="1" applyAlignment="1">
      <alignment horizontal="center" vertical="center"/>
    </xf>
    <xf numFmtId="3" fontId="7" fillId="2" borderId="120" xfId="0" applyNumberFormat="1" applyFont="1" applyFill="1" applyBorder="1" applyAlignment="1">
      <alignment horizontal="center" vertical="center"/>
    </xf>
    <xf numFmtId="3" fontId="7" fillId="2" borderId="130" xfId="0" applyNumberFormat="1" applyFont="1" applyFill="1" applyBorder="1" applyAlignment="1">
      <alignment horizontal="center" vertical="center"/>
    </xf>
    <xf numFmtId="3" fontId="7" fillId="2" borderId="133" xfId="0" applyNumberFormat="1" applyFont="1" applyFill="1" applyBorder="1" applyAlignment="1">
      <alignment horizontal="center" vertical="center"/>
    </xf>
    <xf numFmtId="3" fontId="7" fillId="2" borderId="136" xfId="0" applyNumberFormat="1" applyFont="1" applyFill="1" applyBorder="1" applyAlignment="1">
      <alignment horizontal="center" vertical="center"/>
    </xf>
    <xf numFmtId="3" fontId="7" fillId="2" borderId="124" xfId="0" applyNumberFormat="1" applyFont="1" applyFill="1" applyBorder="1" applyAlignment="1">
      <alignment horizontal="center" vertical="center"/>
    </xf>
    <xf numFmtId="165" fontId="0" fillId="2" borderId="75" xfId="0" applyNumberFormat="1" applyFill="1" applyBorder="1" applyAlignment="1">
      <alignment horizontal="center" vertical="center"/>
    </xf>
    <xf numFmtId="165" fontId="0" fillId="2" borderId="71" xfId="0" applyNumberFormat="1" applyFill="1" applyBorder="1" applyAlignment="1">
      <alignment horizontal="center" vertical="center"/>
    </xf>
    <xf numFmtId="164" fontId="7" fillId="4" borderId="163" xfId="0" applyNumberFormat="1" applyFont="1" applyFill="1" applyBorder="1" applyAlignment="1">
      <alignment horizontal="center" vertical="center"/>
    </xf>
    <xf numFmtId="3" fontId="7" fillId="4" borderId="163" xfId="0" applyNumberFormat="1" applyFont="1" applyFill="1" applyBorder="1" applyAlignment="1">
      <alignment horizontal="center" vertical="center"/>
    </xf>
    <xf numFmtId="3" fontId="7" fillId="4" borderId="164" xfId="0" applyNumberFormat="1" applyFont="1" applyFill="1" applyBorder="1" applyAlignment="1">
      <alignment horizontal="center" vertical="center"/>
    </xf>
    <xf numFmtId="3" fontId="7" fillId="4" borderId="162" xfId="0" applyNumberFormat="1" applyFont="1" applyFill="1" applyBorder="1" applyAlignment="1">
      <alignment horizontal="center" vertical="center"/>
    </xf>
    <xf numFmtId="3" fontId="7" fillId="4" borderId="165" xfId="0" applyNumberFormat="1" applyFont="1" applyFill="1" applyBorder="1" applyAlignment="1">
      <alignment horizontal="center" vertical="center"/>
    </xf>
    <xf numFmtId="3" fontId="7" fillId="4" borderId="166" xfId="0" applyNumberFormat="1" applyFont="1" applyFill="1" applyBorder="1" applyAlignment="1">
      <alignment horizontal="center" vertical="center"/>
    </xf>
    <xf numFmtId="164" fontId="0" fillId="2" borderId="117" xfId="0" applyNumberFormat="1" applyFill="1" applyBorder="1" applyAlignment="1">
      <alignment horizontal="center" vertical="center"/>
    </xf>
    <xf numFmtId="164" fontId="0" fillId="2" borderId="114" xfId="0" applyNumberFormat="1" applyFill="1" applyBorder="1" applyAlignment="1">
      <alignment horizontal="center" vertical="center"/>
    </xf>
    <xf numFmtId="3" fontId="0" fillId="2" borderId="102" xfId="0" applyNumberFormat="1" applyFill="1" applyBorder="1" applyAlignment="1">
      <alignment horizontal="center" vertical="center"/>
    </xf>
    <xf numFmtId="3" fontId="0" fillId="2" borderId="101" xfId="0" applyNumberFormat="1" applyFill="1" applyBorder="1" applyAlignment="1">
      <alignment horizontal="center" vertical="center"/>
    </xf>
    <xf numFmtId="3" fontId="16" fillId="2" borderId="101" xfId="0" applyNumberFormat="1" applyFont="1" applyFill="1" applyBorder="1" applyAlignment="1">
      <alignment horizontal="center" vertical="center"/>
    </xf>
    <xf numFmtId="165" fontId="0" fillId="2" borderId="103" xfId="0" applyNumberFormat="1" applyFill="1" applyBorder="1" applyAlignment="1">
      <alignment horizontal="center" vertical="center"/>
    </xf>
    <xf numFmtId="165" fontId="0" fillId="2" borderId="104" xfId="0" applyNumberFormat="1" applyFill="1" applyBorder="1" applyAlignment="1">
      <alignment horizontal="center" vertical="center"/>
    </xf>
    <xf numFmtId="3" fontId="0" fillId="2" borderId="138" xfId="0" applyNumberFormat="1" applyFill="1" applyBorder="1" applyAlignment="1">
      <alignment horizontal="center" vertical="center"/>
    </xf>
    <xf numFmtId="165" fontId="0" fillId="0" borderId="70" xfId="0" applyNumberFormat="1" applyBorder="1" applyAlignment="1">
      <alignment horizontal="center" vertical="center"/>
    </xf>
    <xf numFmtId="3" fontId="16" fillId="2" borderId="175" xfId="0" applyNumberFormat="1" applyFont="1" applyFill="1" applyBorder="1" applyAlignment="1">
      <alignment horizontal="center" vertical="center"/>
    </xf>
    <xf numFmtId="3" fontId="0" fillId="2" borderId="176" xfId="0" applyNumberFormat="1" applyFill="1" applyBorder="1" applyAlignment="1">
      <alignment horizontal="center" vertical="center"/>
    </xf>
    <xf numFmtId="165" fontId="0" fillId="2" borderId="145" xfId="0" applyNumberFormat="1" applyFill="1" applyBorder="1" applyAlignment="1">
      <alignment horizontal="center" vertical="center"/>
    </xf>
    <xf numFmtId="165" fontId="0" fillId="2" borderId="149" xfId="0" applyNumberFormat="1" applyFill="1" applyBorder="1" applyAlignment="1">
      <alignment horizontal="center" vertical="center"/>
    </xf>
    <xf numFmtId="164" fontId="7" fillId="3" borderId="182" xfId="0" applyNumberFormat="1" applyFont="1" applyFill="1" applyBorder="1" applyAlignment="1">
      <alignment horizontal="center" vertical="center"/>
    </xf>
    <xf numFmtId="164" fontId="7" fillId="3" borderId="183" xfId="0" applyNumberFormat="1" applyFont="1" applyFill="1" applyBorder="1" applyAlignment="1">
      <alignment horizontal="center" vertical="center"/>
    </xf>
    <xf numFmtId="3" fontId="7" fillId="3" borderId="184" xfId="0" applyNumberFormat="1" applyFont="1" applyFill="1" applyBorder="1" applyAlignment="1">
      <alignment horizontal="center" vertical="center"/>
    </xf>
    <xf numFmtId="3" fontId="7" fillId="3" borderId="183" xfId="0" applyNumberFormat="1" applyFont="1" applyFill="1" applyBorder="1" applyAlignment="1">
      <alignment horizontal="center" vertical="center"/>
    </xf>
    <xf numFmtId="3" fontId="7" fillId="3" borderId="182" xfId="0" applyNumberFormat="1" applyFont="1" applyFill="1" applyBorder="1" applyAlignment="1">
      <alignment horizontal="center" vertical="center"/>
    </xf>
    <xf numFmtId="3" fontId="7" fillId="3" borderId="187" xfId="0" applyNumberFormat="1" applyFont="1" applyFill="1" applyBorder="1" applyAlignment="1">
      <alignment horizontal="center" vertical="center"/>
    </xf>
    <xf numFmtId="3" fontId="7" fillId="3" borderId="180" xfId="0" applyNumberFormat="1" applyFont="1" applyFill="1" applyBorder="1" applyAlignment="1">
      <alignment horizontal="center" vertical="center"/>
    </xf>
    <xf numFmtId="3" fontId="7" fillId="3" borderId="188" xfId="0" applyNumberFormat="1" applyFont="1" applyFill="1" applyBorder="1" applyAlignment="1">
      <alignment horizontal="center" vertical="center"/>
    </xf>
    <xf numFmtId="164" fontId="0" fillId="4" borderId="123" xfId="0" applyNumberFormat="1" applyFill="1" applyBorder="1" applyAlignment="1">
      <alignment horizontal="center" vertical="center"/>
    </xf>
    <xf numFmtId="3" fontId="0" fillId="4" borderId="123" xfId="0" applyNumberFormat="1" applyFill="1" applyBorder="1" applyAlignment="1">
      <alignment horizontal="center" vertical="center"/>
    </xf>
    <xf numFmtId="3" fontId="0" fillId="4" borderId="195" xfId="0" applyNumberFormat="1" applyFill="1" applyBorder="1" applyAlignment="1">
      <alignment horizontal="center" vertical="center"/>
    </xf>
    <xf numFmtId="3" fontId="7" fillId="4" borderId="196" xfId="0" applyNumberFormat="1" applyFont="1" applyFill="1" applyBorder="1" applyAlignment="1">
      <alignment horizontal="center" vertical="center"/>
    </xf>
    <xf numFmtId="3" fontId="7" fillId="4" borderId="197" xfId="0" applyNumberFormat="1" applyFont="1" applyFill="1" applyBorder="1" applyAlignment="1">
      <alignment horizontal="center" vertical="center"/>
    </xf>
    <xf numFmtId="3" fontId="7" fillId="4" borderId="199" xfId="0" applyNumberFormat="1" applyFont="1" applyFill="1" applyBorder="1" applyAlignment="1">
      <alignment horizontal="center" vertical="center"/>
    </xf>
    <xf numFmtId="3" fontId="7" fillId="4" borderId="200" xfId="0" applyNumberFormat="1" applyFont="1" applyFill="1" applyBorder="1" applyAlignment="1">
      <alignment horizontal="center" vertical="center"/>
    </xf>
    <xf numFmtId="3" fontId="7" fillId="4" borderId="201" xfId="0" applyNumberFormat="1" applyFont="1" applyFill="1" applyBorder="1" applyAlignment="1">
      <alignment horizontal="center" vertical="center"/>
    </xf>
    <xf numFmtId="164" fontId="0" fillId="2" borderId="207" xfId="0" applyNumberFormat="1" applyFill="1" applyBorder="1" applyAlignment="1">
      <alignment horizontal="center" vertical="center"/>
    </xf>
    <xf numFmtId="3" fontId="0" fillId="2" borderId="207" xfId="0" applyNumberFormat="1" applyFill="1" applyBorder="1" applyAlignment="1">
      <alignment horizontal="center" vertical="center"/>
    </xf>
    <xf numFmtId="3" fontId="7" fillId="2" borderId="207" xfId="0" applyNumberFormat="1" applyFont="1" applyFill="1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165" fontId="0" fillId="2" borderId="70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4" fontId="0" fillId="4" borderId="31" xfId="0" applyNumberFormat="1" applyFill="1" applyBorder="1" applyAlignment="1">
      <alignment horizontal="center" vertical="center" wrapText="1"/>
    </xf>
    <xf numFmtId="164" fontId="0" fillId="4" borderId="32" xfId="0" applyNumberFormat="1" applyFill="1" applyBorder="1" applyAlignment="1">
      <alignment horizontal="center" vertical="center" wrapText="1"/>
    </xf>
    <xf numFmtId="165" fontId="0" fillId="4" borderId="32" xfId="0" applyNumberFormat="1" applyFill="1" applyBorder="1" applyAlignment="1">
      <alignment horizontal="center" vertical="center" wrapText="1"/>
    </xf>
    <xf numFmtId="3" fontId="0" fillId="4" borderId="17" xfId="0" applyNumberFormat="1" applyFill="1" applyBorder="1" applyAlignment="1">
      <alignment horizontal="center" vertical="center" wrapText="1"/>
    </xf>
    <xf numFmtId="3" fontId="0" fillId="4" borderId="32" xfId="0" applyNumberForma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164" fontId="0" fillId="4" borderId="39" xfId="0" applyNumberFormat="1" applyFill="1" applyBorder="1" applyAlignment="1">
      <alignment horizontal="center" vertical="center" wrapText="1"/>
    </xf>
    <xf numFmtId="164" fontId="0" fillId="4" borderId="219" xfId="0" applyNumberFormat="1" applyFill="1" applyBorder="1" applyAlignment="1">
      <alignment horizontal="center" vertical="center" wrapText="1"/>
    </xf>
    <xf numFmtId="0" fontId="0" fillId="4" borderId="219" xfId="0" applyFill="1" applyBorder="1" applyAlignment="1">
      <alignment horizontal="center" vertical="center"/>
    </xf>
    <xf numFmtId="165" fontId="0" fillId="4" borderId="219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 wrapText="1"/>
    </xf>
    <xf numFmtId="3" fontId="0" fillId="4" borderId="220" xfId="0" applyNumberFormat="1" applyFill="1" applyBorder="1" applyAlignment="1">
      <alignment horizontal="center" vertical="center" wrapText="1"/>
    </xf>
    <xf numFmtId="3" fontId="0" fillId="4" borderId="219" xfId="0" applyNumberForma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164" fontId="0" fillId="4" borderId="13" xfId="0" applyNumberForma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3" fontId="0" fillId="4" borderId="221" xfId="0" applyNumberFormat="1" applyFill="1" applyBorder="1" applyAlignment="1">
      <alignment horizontal="center" vertical="center" wrapText="1"/>
    </xf>
    <xf numFmtId="3" fontId="0" fillId="4" borderId="15" xfId="0" applyNumberFormat="1" applyFill="1" applyBorder="1" applyAlignment="1">
      <alignment horizontal="center" vertical="center" wrapText="1"/>
    </xf>
    <xf numFmtId="164" fontId="0" fillId="5" borderId="51" xfId="0" applyNumberFormat="1" applyFill="1" applyBorder="1" applyAlignment="1">
      <alignment horizontal="center" vertical="center"/>
    </xf>
    <xf numFmtId="3" fontId="0" fillId="5" borderId="53" xfId="0" applyNumberFormat="1" applyFill="1" applyBorder="1" applyAlignment="1">
      <alignment horizontal="center" vertical="center"/>
    </xf>
    <xf numFmtId="3" fontId="0" fillId="5" borderId="49" xfId="0" applyNumberFormat="1" applyFill="1" applyBorder="1" applyAlignment="1">
      <alignment horizontal="center" vertical="center"/>
    </xf>
    <xf numFmtId="164" fontId="0" fillId="2" borderId="69" xfId="0" applyNumberFormat="1" applyFill="1" applyBorder="1" applyAlignment="1">
      <alignment horizontal="center" vertical="center"/>
    </xf>
    <xf numFmtId="3" fontId="0" fillId="2" borderId="61" xfId="0" applyNumberFormat="1" applyFill="1" applyBorder="1" applyAlignment="1">
      <alignment horizontal="center" vertical="center"/>
    </xf>
    <xf numFmtId="3" fontId="0" fillId="2" borderId="74" xfId="0" applyNumberFormat="1" applyFill="1" applyBorder="1" applyAlignment="1">
      <alignment horizontal="center" vertical="center"/>
    </xf>
    <xf numFmtId="164" fontId="0" fillId="5" borderId="69" xfId="0" applyNumberFormat="1" applyFill="1" applyBorder="1" applyAlignment="1">
      <alignment horizontal="center" vertical="center"/>
    </xf>
    <xf numFmtId="3" fontId="0" fillId="5" borderId="61" xfId="0" applyNumberFormat="1" applyFill="1" applyBorder="1" applyAlignment="1">
      <alignment horizontal="center" vertical="center"/>
    </xf>
    <xf numFmtId="3" fontId="0" fillId="5" borderId="62" xfId="0" applyNumberFormat="1" applyFill="1" applyBorder="1" applyAlignment="1">
      <alignment horizontal="center" vertical="center"/>
    </xf>
    <xf numFmtId="3" fontId="0" fillId="5" borderId="67" xfId="0" applyNumberFormat="1" applyFill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3" fontId="0" fillId="6" borderId="67" xfId="0" applyNumberFormat="1" applyFill="1" applyBorder="1" applyAlignment="1">
      <alignment horizontal="center" vertical="center"/>
    </xf>
    <xf numFmtId="3" fontId="0" fillId="6" borderId="74" xfId="0" applyNumberFormat="1" applyFill="1" applyBorder="1" applyAlignment="1">
      <alignment horizontal="center" vertical="center"/>
    </xf>
    <xf numFmtId="3" fontId="0" fillId="6" borderId="72" xfId="0" applyNumberFormat="1" applyFill="1" applyBorder="1" applyAlignment="1">
      <alignment horizontal="center" vertical="center"/>
    </xf>
    <xf numFmtId="164" fontId="7" fillId="3" borderId="23" xfId="0" applyNumberFormat="1" applyFont="1" applyFill="1" applyBorder="1" applyAlignment="1">
      <alignment horizontal="center" vertical="center"/>
    </xf>
    <xf numFmtId="3" fontId="7" fillId="3" borderId="26" xfId="0" applyNumberFormat="1" applyFon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3" fontId="0" fillId="2" borderId="26" xfId="0" applyNumberFormat="1" applyFill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3" fontId="0" fillId="6" borderId="26" xfId="0" applyNumberFormat="1" applyFill="1" applyBorder="1" applyAlignment="1">
      <alignment horizontal="center" vertical="center"/>
    </xf>
    <xf numFmtId="3" fontId="0" fillId="6" borderId="109" xfId="0" applyNumberFormat="1" applyFill="1" applyBorder="1" applyAlignment="1">
      <alignment horizontal="center" vertical="center"/>
    </xf>
    <xf numFmtId="3" fontId="0" fillId="6" borderId="116" xfId="0" applyNumberFormat="1" applyFill="1" applyBorder="1" applyAlignment="1">
      <alignment horizontal="center" vertical="center"/>
    </xf>
    <xf numFmtId="3" fontId="0" fillId="6" borderId="111" xfId="0" applyNumberFormat="1" applyFill="1" applyBorder="1" applyAlignment="1">
      <alignment horizontal="center" vertical="center"/>
    </xf>
    <xf numFmtId="164" fontId="7" fillId="3" borderId="128" xfId="0" applyNumberFormat="1" applyFon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3" fontId="0" fillId="7" borderId="9" xfId="0" applyNumberFormat="1" applyFill="1" applyBorder="1" applyAlignment="1">
      <alignment horizontal="center" vertical="center"/>
    </xf>
    <xf numFmtId="3" fontId="0" fillId="7" borderId="103" xfId="0" applyNumberFormat="1" applyFill="1" applyBorder="1" applyAlignment="1">
      <alignment horizontal="center" vertical="center"/>
    </xf>
    <xf numFmtId="164" fontId="0" fillId="2" borderId="137" xfId="0" applyNumberFormat="1" applyFill="1" applyBorder="1" applyAlignment="1">
      <alignment horizontal="center" vertical="center"/>
    </xf>
    <xf numFmtId="3" fontId="0" fillId="2" borderId="140" xfId="0" applyNumberForma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 vertical="center"/>
    </xf>
    <xf numFmtId="164" fontId="0" fillId="2" borderId="77" xfId="0" applyNumberFormat="1" applyFill="1" applyBorder="1" applyAlignment="1">
      <alignment horizontal="center" vertical="center"/>
    </xf>
    <xf numFmtId="164" fontId="0" fillId="2" borderId="144" xfId="0" applyNumberFormat="1" applyFill="1" applyBorder="1" applyAlignment="1">
      <alignment horizontal="center" vertical="center"/>
    </xf>
    <xf numFmtId="3" fontId="0" fillId="2" borderId="147" xfId="0" applyNumberFormat="1" applyFill="1" applyBorder="1" applyAlignment="1">
      <alignment horizontal="center" vertical="center"/>
    </xf>
    <xf numFmtId="164" fontId="0" fillId="7" borderId="151" xfId="0" applyNumberFormat="1" applyFill="1" applyBorder="1" applyAlignment="1">
      <alignment horizontal="center" vertical="center"/>
    </xf>
    <xf numFmtId="3" fontId="0" fillId="7" borderId="61" xfId="0" applyNumberFormat="1" applyFill="1" applyBorder="1" applyAlignment="1">
      <alignment horizontal="center" vertical="center"/>
    </xf>
    <xf numFmtId="3" fontId="0" fillId="7" borderId="81" xfId="0" applyNumberFormat="1" applyFill="1" applyBorder="1" applyAlignment="1">
      <alignment horizontal="center" vertical="center"/>
    </xf>
    <xf numFmtId="164" fontId="0" fillId="2" borderId="153" xfId="0" applyNumberFormat="1" applyFill="1" applyBorder="1" applyAlignment="1">
      <alignment horizontal="center" vertical="center"/>
    </xf>
    <xf numFmtId="3" fontId="0" fillId="2" borderId="154" xfId="0" applyNumberFormat="1" applyFill="1" applyBorder="1" applyAlignment="1">
      <alignment horizontal="center" vertical="center"/>
    </xf>
    <xf numFmtId="3" fontId="0" fillId="6" borderId="154" xfId="0" applyNumberFormat="1" applyFill="1" applyBorder="1" applyAlignment="1">
      <alignment horizontal="center" vertical="center"/>
    </xf>
    <xf numFmtId="3" fontId="0" fillId="6" borderId="147" xfId="0" applyNumberFormat="1" applyFill="1" applyBorder="1" applyAlignment="1">
      <alignment horizontal="center" vertical="center"/>
    </xf>
    <xf numFmtId="3" fontId="0" fillId="7" borderId="141" xfId="0" applyNumberFormat="1" applyFill="1" applyBorder="1" applyAlignment="1">
      <alignment horizontal="center" vertical="center"/>
    </xf>
    <xf numFmtId="3" fontId="0" fillId="7" borderId="67" xfId="0" applyNumberFormat="1" applyFill="1" applyBorder="1" applyAlignment="1">
      <alignment horizontal="center" vertical="center"/>
    </xf>
    <xf numFmtId="164" fontId="0" fillId="2" borderId="135" xfId="0" applyNumberFormat="1" applyFill="1" applyBorder="1" applyAlignment="1">
      <alignment horizontal="center" vertical="center"/>
    </xf>
    <xf numFmtId="3" fontId="7" fillId="2" borderId="125" xfId="0" applyNumberFormat="1" applyFont="1" applyFill="1" applyBorder="1" applyAlignment="1">
      <alignment horizontal="center" vertical="center"/>
    </xf>
    <xf numFmtId="3" fontId="7" fillId="0" borderId="125" xfId="0" applyNumberFormat="1" applyFont="1" applyBorder="1" applyAlignment="1">
      <alignment horizontal="center" vertical="center"/>
    </xf>
    <xf numFmtId="3" fontId="7" fillId="2" borderId="131" xfId="0" applyNumberFormat="1" applyFont="1" applyFill="1" applyBorder="1" applyAlignment="1">
      <alignment horizontal="center" vertical="center"/>
    </xf>
    <xf numFmtId="164" fontId="7" fillId="4" borderId="161" xfId="0" applyNumberFormat="1" applyFont="1" applyFill="1" applyBorder="1" applyAlignment="1">
      <alignment horizontal="center" vertical="center"/>
    </xf>
    <xf numFmtId="3" fontId="0" fillId="2" borderId="103" xfId="0" applyNumberFormat="1" applyFill="1" applyBorder="1" applyAlignment="1">
      <alignment horizontal="center" vertical="center"/>
    </xf>
    <xf numFmtId="3" fontId="0" fillId="2" borderId="105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164" fontId="0" fillId="2" borderId="151" xfId="0" applyNumberFormat="1" applyFill="1" applyBorder="1" applyAlignment="1">
      <alignment horizontal="center" vertical="center"/>
    </xf>
    <xf numFmtId="165" fontId="0" fillId="2" borderId="141" xfId="0" applyNumberFormat="1" applyFill="1" applyBorder="1" applyAlignment="1">
      <alignment horizontal="center" vertical="center"/>
    </xf>
    <xf numFmtId="165" fontId="0" fillId="2" borderId="76" xfId="0" applyNumberFormat="1" applyFill="1" applyBorder="1" applyAlignment="1">
      <alignment horizontal="center" vertical="center"/>
    </xf>
    <xf numFmtId="3" fontId="0" fillId="2" borderId="175" xfId="0" applyNumberFormat="1" applyFill="1" applyBorder="1" applyAlignment="1">
      <alignment horizontal="center" vertical="center"/>
    </xf>
    <xf numFmtId="164" fontId="7" fillId="3" borderId="181" xfId="0" applyNumberFormat="1" applyFont="1" applyFill="1" applyBorder="1" applyAlignment="1">
      <alignment horizontal="center" vertical="center"/>
    </xf>
    <xf numFmtId="3" fontId="7" fillId="3" borderId="179" xfId="0" applyNumberFormat="1" applyFont="1" applyFill="1" applyBorder="1" applyAlignment="1">
      <alignment horizontal="center" vertical="center"/>
    </xf>
    <xf numFmtId="164" fontId="0" fillId="4" borderId="128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5" fontId="0" fillId="4" borderId="15" xfId="0" applyNumberFormat="1" applyFill="1" applyBorder="1" applyAlignment="1">
      <alignment horizontal="center" vertical="center"/>
    </xf>
    <xf numFmtId="3" fontId="0" fillId="5" borderId="57" xfId="0" applyNumberFormat="1" applyFill="1" applyBorder="1" applyAlignment="1">
      <alignment horizontal="center" vertical="center"/>
    </xf>
    <xf numFmtId="3" fontId="0" fillId="5" borderId="58" xfId="0" applyNumberFormat="1" applyFill="1" applyBorder="1" applyAlignment="1">
      <alignment horizontal="center" vertical="center"/>
    </xf>
    <xf numFmtId="166" fontId="0" fillId="2" borderId="75" xfId="1" applyNumberFormat="1" applyFont="1" applyFill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164" fontId="0" fillId="5" borderId="59" xfId="0" applyNumberFormat="1" applyFill="1" applyBorder="1" applyAlignment="1">
      <alignment horizontal="center" vertical="center"/>
    </xf>
    <xf numFmtId="3" fontId="0" fillId="5" borderId="82" xfId="0" applyNumberFormat="1" applyFill="1" applyBorder="1" applyAlignment="1">
      <alignment horizontal="center" vertical="center"/>
    </xf>
    <xf numFmtId="3" fontId="0" fillId="5" borderId="60" xfId="0" applyNumberFormat="1" applyFill="1" applyBorder="1" applyAlignment="1">
      <alignment horizontal="center" vertical="center"/>
    </xf>
    <xf numFmtId="0" fontId="10" fillId="5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3" fontId="0" fillId="0" borderId="82" xfId="0" applyNumberForma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 wrapText="1"/>
    </xf>
    <xf numFmtId="164" fontId="7" fillId="3" borderId="110" xfId="0" applyNumberFormat="1" applyFont="1" applyFill="1" applyBorder="1" applyAlignment="1">
      <alignment horizontal="center" vertical="center"/>
    </xf>
    <xf numFmtId="164" fontId="7" fillId="3" borderId="112" xfId="0" applyNumberFormat="1" applyFont="1" applyFill="1" applyBorder="1" applyAlignment="1">
      <alignment horizontal="center" vertical="center"/>
    </xf>
    <xf numFmtId="3" fontId="7" fillId="3" borderId="116" xfId="0" applyNumberFormat="1" applyFont="1" applyFill="1" applyBorder="1" applyAlignment="1">
      <alignment horizontal="center" vertical="center"/>
    </xf>
    <xf numFmtId="3" fontId="7" fillId="3" borderId="107" xfId="0" applyNumberFormat="1" applyFont="1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165" fontId="0" fillId="2" borderId="106" xfId="0" applyNumberFormat="1" applyFill="1" applyBorder="1" applyAlignment="1">
      <alignment horizontal="center" vertical="center"/>
    </xf>
    <xf numFmtId="3" fontId="0" fillId="2" borderId="107" xfId="0" applyNumberFormat="1" applyFill="1" applyBorder="1" applyAlignment="1">
      <alignment horizontal="center" vertical="center"/>
    </xf>
    <xf numFmtId="3" fontId="0" fillId="2" borderId="108" xfId="0" applyNumberFormat="1" applyFill="1" applyBorder="1" applyAlignment="1">
      <alignment horizontal="center" vertical="center"/>
    </xf>
    <xf numFmtId="164" fontId="0" fillId="2" borderId="110" xfId="0" applyNumberFormat="1" applyFill="1" applyBorder="1" applyAlignment="1">
      <alignment horizontal="center" vertical="center"/>
    </xf>
    <xf numFmtId="166" fontId="0" fillId="2" borderId="106" xfId="1" applyNumberFormat="1" applyFont="1" applyFill="1" applyBorder="1" applyAlignment="1">
      <alignment horizontal="center" vertical="center"/>
    </xf>
    <xf numFmtId="3" fontId="0" fillId="2" borderId="109" xfId="0" applyNumberFormat="1" applyFill="1" applyBorder="1" applyAlignment="1">
      <alignment horizontal="center" vertical="center"/>
    </xf>
    <xf numFmtId="3" fontId="0" fillId="2" borderId="117" xfId="0" applyNumberFormat="1" applyFill="1" applyBorder="1" applyAlignment="1">
      <alignment horizontal="center" vertical="center"/>
    </xf>
    <xf numFmtId="3" fontId="0" fillId="2" borderId="114" xfId="0" applyNumberFormat="1" applyFill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164" fontId="7" fillId="3" borderId="122" xfId="0" applyNumberFormat="1" applyFont="1" applyFill="1" applyBorder="1" applyAlignment="1">
      <alignment horizontal="center" vertical="center"/>
    </xf>
    <xf numFmtId="166" fontId="7" fillId="3" borderId="124" xfId="1" applyNumberFormat="1" applyFont="1" applyFill="1" applyBorder="1" applyAlignment="1">
      <alignment horizontal="center" vertical="center"/>
    </xf>
    <xf numFmtId="3" fontId="7" fillId="3" borderId="130" xfId="0" applyNumberFormat="1" applyFont="1" applyFill="1" applyBorder="1" applyAlignment="1">
      <alignment horizontal="center" vertical="center"/>
    </xf>
    <xf numFmtId="3" fontId="7" fillId="3" borderId="131" xfId="0" applyNumberFormat="1" applyFont="1" applyFill="1" applyBorder="1" applyAlignment="1">
      <alignment horizontal="center" vertical="center"/>
    </xf>
    <xf numFmtId="3" fontId="0" fillId="3" borderId="132" xfId="0" applyNumberFormat="1" applyFill="1" applyBorder="1" applyAlignment="1">
      <alignment horizontal="center" vertical="center"/>
    </xf>
    <xf numFmtId="165" fontId="0" fillId="7" borderId="101" xfId="0" applyNumberFormat="1" applyFill="1" applyBorder="1" applyAlignment="1">
      <alignment horizontal="center" vertical="center"/>
    </xf>
    <xf numFmtId="166" fontId="0" fillId="7" borderId="101" xfId="1" applyNumberFormat="1" applyFont="1" applyFill="1" applyBorder="1" applyAlignment="1">
      <alignment horizontal="center" vertical="center"/>
    </xf>
    <xf numFmtId="164" fontId="0" fillId="7" borderId="102" xfId="0" applyNumberFormat="1" applyFill="1" applyBorder="1" applyAlignment="1">
      <alignment horizontal="center" vertical="center"/>
    </xf>
    <xf numFmtId="3" fontId="0" fillId="7" borderId="105" xfId="0" applyNumberFormat="1" applyFill="1" applyBorder="1" applyAlignment="1">
      <alignment horizontal="center" vertical="center"/>
    </xf>
    <xf numFmtId="3" fontId="0" fillId="7" borderId="104" xfId="0" applyNumberFormat="1" applyFill="1" applyBorder="1" applyAlignment="1">
      <alignment horizontal="center" vertical="center"/>
    </xf>
    <xf numFmtId="165" fontId="0" fillId="2" borderId="138" xfId="0" applyNumberFormat="1" applyFill="1" applyBorder="1" applyAlignment="1">
      <alignment horizontal="center" vertical="center"/>
    </xf>
    <xf numFmtId="166" fontId="0" fillId="2" borderId="138" xfId="1" applyNumberFormat="1" applyFont="1" applyFill="1" applyBorder="1" applyAlignment="1">
      <alignment horizontal="center" vertical="center"/>
    </xf>
    <xf numFmtId="164" fontId="0" fillId="2" borderId="143" xfId="0" applyNumberFormat="1" applyFill="1" applyBorder="1" applyAlignment="1">
      <alignment horizontal="center" vertical="center"/>
    </xf>
    <xf numFmtId="3" fontId="0" fillId="2" borderId="139" xfId="0" applyNumberFormat="1" applyFill="1" applyBorder="1" applyAlignment="1">
      <alignment horizontal="center" vertical="center"/>
    </xf>
    <xf numFmtId="164" fontId="0" fillId="2" borderId="60" xfId="0" applyNumberFormat="1" applyFill="1" applyBorder="1" applyAlignment="1">
      <alignment horizontal="center" vertical="center"/>
    </xf>
    <xf numFmtId="3" fontId="0" fillId="2" borderId="76" xfId="0" applyNumberFormat="1" applyFill="1" applyBorder="1" applyAlignment="1">
      <alignment horizontal="center" vertical="center"/>
    </xf>
    <xf numFmtId="164" fontId="0" fillId="2" borderId="68" xfId="0" applyNumberFormat="1" applyFill="1" applyBorder="1" applyAlignment="1">
      <alignment horizontal="center" vertical="center"/>
    </xf>
    <xf numFmtId="3" fontId="0" fillId="2" borderId="80" xfId="0" applyNumberFormat="1" applyFill="1" applyBorder="1" applyAlignment="1">
      <alignment horizontal="center" vertical="center"/>
    </xf>
    <xf numFmtId="166" fontId="0" fillId="2" borderId="145" xfId="1" applyNumberFormat="1" applyFont="1" applyFill="1" applyBorder="1" applyAlignment="1">
      <alignment horizontal="center" vertical="center"/>
    </xf>
    <xf numFmtId="164" fontId="0" fillId="2" borderId="150" xfId="0" applyNumberFormat="1" applyFill="1" applyBorder="1" applyAlignment="1">
      <alignment horizontal="center" vertical="center"/>
    </xf>
    <xf numFmtId="3" fontId="0" fillId="2" borderId="146" xfId="0" applyNumberFormat="1" applyFill="1" applyBorder="1" applyAlignment="1">
      <alignment horizontal="center" vertical="center"/>
    </xf>
    <xf numFmtId="166" fontId="0" fillId="7" borderId="75" xfId="1" applyNumberFormat="1" applyFont="1" applyFill="1" applyBorder="1" applyAlignment="1">
      <alignment horizontal="center" vertical="center"/>
    </xf>
    <xf numFmtId="166" fontId="0" fillId="7" borderId="60" xfId="0" applyNumberFormat="1" applyFill="1" applyBorder="1" applyAlignment="1">
      <alignment horizontal="center" vertical="center"/>
    </xf>
    <xf numFmtId="3" fontId="0" fillId="7" borderId="60" xfId="0" applyNumberFormat="1" applyFill="1" applyBorder="1" applyAlignment="1">
      <alignment horizontal="center" vertical="center"/>
    </xf>
    <xf numFmtId="0" fontId="0" fillId="7" borderId="76" xfId="0" applyFill="1" applyBorder="1" applyAlignment="1">
      <alignment horizontal="center" vertical="center"/>
    </xf>
    <xf numFmtId="3" fontId="0" fillId="0" borderId="149" xfId="0" applyNumberFormat="1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166" fontId="0" fillId="7" borderId="71" xfId="0" applyNumberFormat="1" applyFill="1" applyBorder="1" applyAlignment="1">
      <alignment horizontal="center" vertical="center"/>
    </xf>
    <xf numFmtId="164" fontId="0" fillId="7" borderId="69" xfId="0" applyNumberFormat="1" applyFill="1" applyBorder="1" applyAlignment="1">
      <alignment horizontal="center" vertical="center"/>
    </xf>
    <xf numFmtId="166" fontId="0" fillId="7" borderId="70" xfId="1" applyNumberFormat="1" applyFont="1" applyFill="1" applyBorder="1" applyAlignment="1">
      <alignment horizontal="center" vertical="center"/>
    </xf>
    <xf numFmtId="166" fontId="0" fillId="7" borderId="82" xfId="0" applyNumberFormat="1" applyFill="1" applyBorder="1" applyAlignment="1">
      <alignment horizontal="center" vertical="center"/>
    </xf>
    <xf numFmtId="3" fontId="0" fillId="7" borderId="68" xfId="0" applyNumberFormat="1" applyFill="1" applyBorder="1" applyAlignment="1">
      <alignment horizontal="center" vertical="center"/>
    </xf>
    <xf numFmtId="3" fontId="0" fillId="7" borderId="72" xfId="0" applyNumberFormat="1" applyFill="1" applyBorder="1" applyAlignment="1">
      <alignment horizontal="center" vertical="center"/>
    </xf>
    <xf numFmtId="0" fontId="0" fillId="7" borderId="80" xfId="0" applyFill="1" applyBorder="1" applyAlignment="1">
      <alignment horizontal="center" vertical="center"/>
    </xf>
    <xf numFmtId="3" fontId="7" fillId="2" borderId="42" xfId="0" applyNumberFormat="1" applyFont="1" applyFill="1" applyBorder="1" applyAlignment="1">
      <alignment horizontal="center" vertical="center"/>
    </xf>
    <xf numFmtId="3" fontId="7" fillId="2" borderId="134" xfId="0" applyNumberFormat="1" applyFont="1" applyFill="1" applyBorder="1" applyAlignment="1">
      <alignment horizontal="center" vertical="center"/>
    </xf>
    <xf numFmtId="165" fontId="0" fillId="2" borderId="125" xfId="0" applyNumberFormat="1" applyFill="1" applyBorder="1" applyAlignment="1">
      <alignment horizontal="center" vertical="center"/>
    </xf>
    <xf numFmtId="164" fontId="7" fillId="4" borderId="162" xfId="0" applyNumberFormat="1" applyFont="1" applyFill="1" applyBorder="1" applyAlignment="1">
      <alignment horizontal="center" vertical="center"/>
    </xf>
    <xf numFmtId="3" fontId="7" fillId="4" borderId="167" xfId="0" applyNumberFormat="1" applyFont="1" applyFill="1" applyBorder="1" applyAlignment="1">
      <alignment horizontal="center" vertical="center"/>
    </xf>
    <xf numFmtId="3" fontId="0" fillId="2" borderId="159" xfId="0" applyNumberFormat="1" applyFill="1" applyBorder="1" applyAlignment="1">
      <alignment horizontal="center" vertical="center"/>
    </xf>
    <xf numFmtId="165" fontId="0" fillId="2" borderId="81" xfId="0" applyNumberFormat="1" applyFill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165" fontId="0" fillId="0" borderId="82" xfId="0" applyNumberFormat="1" applyBorder="1" applyAlignment="1">
      <alignment horizontal="center" vertical="center"/>
    </xf>
    <xf numFmtId="164" fontId="0" fillId="0" borderId="84" xfId="0" applyNumberFormat="1" applyBorder="1" applyAlignment="1">
      <alignment horizontal="center" vertical="center"/>
    </xf>
    <xf numFmtId="165" fontId="0" fillId="0" borderId="177" xfId="0" applyNumberFormat="1" applyBorder="1" applyAlignment="1">
      <alignment horizontal="center" vertical="center"/>
    </xf>
    <xf numFmtId="165" fontId="0" fillId="0" borderId="176" xfId="0" applyNumberFormat="1" applyBorder="1" applyAlignment="1">
      <alignment horizontal="center" vertical="center"/>
    </xf>
    <xf numFmtId="164" fontId="7" fillId="3" borderId="189" xfId="0" applyNumberFormat="1" applyFont="1" applyFill="1" applyBorder="1" applyAlignment="1">
      <alignment horizontal="center" vertical="center"/>
    </xf>
    <xf numFmtId="3" fontId="7" fillId="3" borderId="190" xfId="0" applyNumberFormat="1" applyFont="1" applyFill="1" applyBorder="1" applyAlignment="1">
      <alignment horizontal="center" vertical="center"/>
    </xf>
    <xf numFmtId="3" fontId="7" fillId="3" borderId="191" xfId="0" applyNumberFormat="1" applyFont="1" applyFill="1" applyBorder="1" applyAlignment="1">
      <alignment horizontal="center" vertical="center"/>
    </xf>
    <xf numFmtId="3" fontId="7" fillId="3" borderId="192" xfId="0" applyNumberFormat="1" applyFont="1" applyFill="1" applyBorder="1" applyAlignment="1">
      <alignment horizontal="center" vertical="center"/>
    </xf>
    <xf numFmtId="3" fontId="7" fillId="3" borderId="193" xfId="0" applyNumberFormat="1" applyFont="1" applyFill="1" applyBorder="1" applyAlignment="1">
      <alignment horizontal="center" vertical="center"/>
    </xf>
    <xf numFmtId="164" fontId="7" fillId="4" borderId="202" xfId="0" applyNumberFormat="1" applyFont="1" applyFill="1" applyBorder="1" applyAlignment="1">
      <alignment horizontal="center" vertical="center"/>
    </xf>
    <xf numFmtId="3" fontId="7" fillId="4" borderId="203" xfId="0" applyNumberFormat="1" applyFont="1" applyFill="1" applyBorder="1" applyAlignment="1">
      <alignment horizontal="center" vertical="center"/>
    </xf>
    <xf numFmtId="3" fontId="7" fillId="4" borderId="204" xfId="0" applyNumberFormat="1" applyFont="1" applyFill="1" applyBorder="1" applyAlignment="1">
      <alignment horizontal="center" vertical="center"/>
    </xf>
    <xf numFmtId="3" fontId="7" fillId="4" borderId="205" xfId="0" applyNumberFormat="1" applyFont="1" applyFill="1" applyBorder="1" applyAlignment="1">
      <alignment horizontal="center" vertical="center"/>
    </xf>
    <xf numFmtId="164" fontId="7" fillId="2" borderId="207" xfId="0" applyNumberFormat="1" applyFont="1" applyFill="1" applyBorder="1" applyAlignment="1">
      <alignment horizontal="center" vertical="center"/>
    </xf>
    <xf numFmtId="164" fontId="16" fillId="5" borderId="51" xfId="0" applyNumberFormat="1" applyFont="1" applyFill="1" applyBorder="1" applyAlignment="1">
      <alignment horizontal="center" vertical="center"/>
    </xf>
    <xf numFmtId="164" fontId="16" fillId="5" borderId="52" xfId="0" applyNumberFormat="1" applyFont="1" applyFill="1" applyBorder="1" applyAlignment="1">
      <alignment horizontal="center" vertical="center"/>
    </xf>
    <xf numFmtId="166" fontId="16" fillId="5" borderId="52" xfId="1" applyNumberFormat="1" applyFont="1" applyFill="1" applyBorder="1" applyAlignment="1">
      <alignment horizontal="center" vertical="center"/>
    </xf>
    <xf numFmtId="3" fontId="16" fillId="5" borderId="54" xfId="0" applyNumberFormat="1" applyFont="1" applyFill="1" applyBorder="1" applyAlignment="1">
      <alignment horizontal="center" vertical="center"/>
    </xf>
    <xf numFmtId="3" fontId="16" fillId="5" borderId="56" xfId="0" applyNumberFormat="1" applyFont="1" applyFill="1" applyBorder="1" applyAlignment="1">
      <alignment horizontal="center" vertical="center"/>
    </xf>
    <xf numFmtId="3" fontId="16" fillId="5" borderId="49" xfId="0" applyNumberFormat="1" applyFont="1" applyFill="1" applyBorder="1" applyAlignment="1">
      <alignment horizontal="center" vertical="center"/>
    </xf>
    <xf numFmtId="3" fontId="16" fillId="5" borderId="57" xfId="0" applyNumberFormat="1" applyFont="1" applyFill="1" applyBorder="1" applyAlignment="1">
      <alignment horizontal="center" vertical="center"/>
    </xf>
    <xf numFmtId="3" fontId="16" fillId="5" borderId="52" xfId="0" applyNumberFormat="1" applyFont="1" applyFill="1" applyBorder="1" applyAlignment="1">
      <alignment horizontal="center" vertical="center"/>
    </xf>
    <xf numFmtId="3" fontId="16" fillId="5" borderId="58" xfId="0" applyNumberFormat="1" applyFont="1" applyFill="1" applyBorder="1" applyAlignment="1">
      <alignment horizontal="center" vertical="center"/>
    </xf>
    <xf numFmtId="164" fontId="16" fillId="2" borderId="69" xfId="0" applyNumberFormat="1" applyFont="1" applyFill="1" applyBorder="1" applyAlignment="1">
      <alignment horizontal="center" vertical="center"/>
    </xf>
    <xf numFmtId="164" fontId="16" fillId="2" borderId="70" xfId="0" applyNumberFormat="1" applyFont="1" applyFill="1" applyBorder="1" applyAlignment="1">
      <alignment horizontal="center" vertical="center"/>
    </xf>
    <xf numFmtId="166" fontId="16" fillId="2" borderId="70" xfId="1" applyNumberFormat="1" applyFont="1" applyFill="1" applyBorder="1" applyAlignment="1">
      <alignment horizontal="center" vertical="center"/>
    </xf>
    <xf numFmtId="3" fontId="16" fillId="2" borderId="71" xfId="0" applyNumberFormat="1" applyFont="1" applyFill="1" applyBorder="1" applyAlignment="1">
      <alignment horizontal="center" vertical="center"/>
    </xf>
    <xf numFmtId="164" fontId="16" fillId="2" borderId="59" xfId="0" applyNumberFormat="1" applyFont="1" applyFill="1" applyBorder="1" applyAlignment="1">
      <alignment horizontal="center" vertical="center"/>
    </xf>
    <xf numFmtId="166" fontId="16" fillId="2" borderId="75" xfId="1" applyNumberFormat="1" applyFont="1" applyFill="1" applyBorder="1" applyAlignment="1">
      <alignment horizontal="center" vertical="center"/>
    </xf>
    <xf numFmtId="3" fontId="16" fillId="2" borderId="73" xfId="0" applyNumberFormat="1" applyFont="1" applyFill="1" applyBorder="1" applyAlignment="1">
      <alignment horizontal="center" vertical="center"/>
    </xf>
    <xf numFmtId="3" fontId="16" fillId="2" borderId="60" xfId="0" applyNumberFormat="1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3" fontId="16" fillId="2" borderId="82" xfId="0" applyNumberFormat="1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/>
    </xf>
    <xf numFmtId="164" fontId="16" fillId="5" borderId="69" xfId="0" applyNumberFormat="1" applyFont="1" applyFill="1" applyBorder="1" applyAlignment="1">
      <alignment horizontal="center" vertical="center"/>
    </xf>
    <xf numFmtId="164" fontId="16" fillId="5" borderId="70" xfId="0" applyNumberFormat="1" applyFont="1" applyFill="1" applyBorder="1" applyAlignment="1">
      <alignment horizontal="center" vertical="center"/>
    </xf>
    <xf numFmtId="166" fontId="16" fillId="5" borderId="70" xfId="1" applyNumberFormat="1" applyFont="1" applyFill="1" applyBorder="1" applyAlignment="1">
      <alignment horizontal="center" vertical="center"/>
    </xf>
    <xf numFmtId="3" fontId="16" fillId="5" borderId="71" xfId="0" applyNumberFormat="1" applyFont="1" applyFill="1" applyBorder="1" applyAlignment="1">
      <alignment horizontal="center" vertical="center"/>
    </xf>
    <xf numFmtId="164" fontId="16" fillId="5" borderId="59" xfId="0" applyNumberFormat="1" applyFont="1" applyFill="1" applyBorder="1" applyAlignment="1">
      <alignment horizontal="center" vertical="center"/>
    </xf>
    <xf numFmtId="3" fontId="16" fillId="5" borderId="82" xfId="0" applyNumberFormat="1" applyFont="1" applyFill="1" applyBorder="1" applyAlignment="1">
      <alignment horizontal="center" vertical="center"/>
    </xf>
    <xf numFmtId="3" fontId="16" fillId="5" borderId="83" xfId="0" applyNumberFormat="1" applyFont="1" applyFill="1" applyBorder="1" applyAlignment="1">
      <alignment horizontal="center" vertical="center"/>
    </xf>
    <xf numFmtId="3" fontId="16" fillId="5" borderId="67" xfId="0" applyNumberFormat="1" applyFont="1" applyFill="1" applyBorder="1" applyAlignment="1">
      <alignment horizontal="center" vertical="center"/>
    </xf>
    <xf numFmtId="3" fontId="16" fillId="5" borderId="60" xfId="0" applyNumberFormat="1" applyFont="1" applyFill="1" applyBorder="1" applyAlignment="1">
      <alignment horizontal="center" vertical="center"/>
    </xf>
    <xf numFmtId="3" fontId="16" fillId="5" borderId="75" xfId="0" applyNumberFormat="1" applyFont="1" applyFill="1" applyBorder="1" applyAlignment="1">
      <alignment horizontal="center" vertical="center"/>
    </xf>
    <xf numFmtId="3" fontId="16" fillId="5" borderId="70" xfId="0" applyNumberFormat="1" applyFont="1" applyFill="1" applyBorder="1" applyAlignment="1">
      <alignment horizontal="center" vertical="center"/>
    </xf>
    <xf numFmtId="3" fontId="16" fillId="2" borderId="83" xfId="0" applyNumberFormat="1" applyFont="1" applyFill="1" applyBorder="1" applyAlignment="1">
      <alignment horizontal="center" vertical="center"/>
    </xf>
    <xf numFmtId="3" fontId="16" fillId="5" borderId="73" xfId="0" applyNumberFormat="1" applyFont="1" applyFill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2" borderId="80" xfId="0" applyFont="1" applyFill="1" applyBorder="1" applyAlignment="1">
      <alignment horizontal="center" vertical="center"/>
    </xf>
    <xf numFmtId="0" fontId="16" fillId="5" borderId="80" xfId="0" applyFont="1" applyFill="1" applyBorder="1" applyAlignment="1">
      <alignment horizontal="center" vertical="center"/>
    </xf>
    <xf numFmtId="3" fontId="16" fillId="0" borderId="82" xfId="0" applyNumberFormat="1" applyFont="1" applyBorder="1" applyAlignment="1">
      <alignment horizontal="center" vertical="center"/>
    </xf>
    <xf numFmtId="3" fontId="16" fillId="6" borderId="73" xfId="0" applyNumberFormat="1" applyFont="1" applyFill="1" applyBorder="1" applyAlignment="1">
      <alignment horizontal="center" vertical="center"/>
    </xf>
    <xf numFmtId="3" fontId="16" fillId="6" borderId="70" xfId="0" applyNumberFormat="1" applyFont="1" applyFill="1" applyBorder="1" applyAlignment="1">
      <alignment horizontal="center" vertical="center"/>
    </xf>
    <xf numFmtId="164" fontId="7" fillId="3" borderId="28" xfId="0" applyNumberFormat="1" applyFont="1" applyFill="1" applyBorder="1" applyAlignment="1">
      <alignment horizontal="center" vertical="center"/>
    </xf>
    <xf numFmtId="164" fontId="7" fillId="3" borderId="85" xfId="0" applyNumberFormat="1" applyFont="1" applyFill="1" applyBorder="1" applyAlignment="1">
      <alignment horizontal="center" vertical="center"/>
    </xf>
    <xf numFmtId="166" fontId="7" fillId="3" borderId="85" xfId="1" applyNumberFormat="1" applyFont="1" applyFill="1" applyBorder="1" applyAlignment="1">
      <alignment horizontal="center" vertical="center"/>
    </xf>
    <xf numFmtId="164" fontId="7" fillId="3" borderId="47" xfId="0" applyNumberFormat="1" applyFont="1" applyFill="1" applyBorder="1" applyAlignment="1">
      <alignment horizontal="center" vertical="center"/>
    </xf>
    <xf numFmtId="164" fontId="7" fillId="3" borderId="86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85" xfId="0" applyNumberFormat="1" applyFont="1" applyFill="1" applyBorder="1" applyAlignment="1">
      <alignment horizontal="center" vertical="center"/>
    </xf>
    <xf numFmtId="3" fontId="7" fillId="3" borderId="87" xfId="0" applyNumberFormat="1" applyFont="1" applyFill="1" applyBorder="1" applyAlignment="1">
      <alignment horizontal="center" vertical="center"/>
    </xf>
    <xf numFmtId="3" fontId="7" fillId="3" borderId="29" xfId="0" applyNumberFormat="1" applyFont="1" applyFill="1" applyBorder="1" applyAlignment="1">
      <alignment horizontal="center" vertical="center"/>
    </xf>
    <xf numFmtId="3" fontId="7" fillId="3" borderId="72" xfId="0" applyNumberFormat="1" applyFont="1" applyFill="1" applyBorder="1" applyAlignment="1">
      <alignment horizontal="center" vertical="center"/>
    </xf>
    <xf numFmtId="3" fontId="7" fillId="3" borderId="78" xfId="0" applyNumberFormat="1" applyFont="1" applyFill="1" applyBorder="1" applyAlignment="1">
      <alignment horizontal="center" vertical="center"/>
    </xf>
    <xf numFmtId="164" fontId="7" fillId="3" borderId="89" xfId="0" applyNumberFormat="1" applyFont="1" applyFill="1" applyBorder="1" applyAlignment="1">
      <alignment horizontal="center" vertical="center"/>
    </xf>
    <xf numFmtId="164" fontId="7" fillId="3" borderId="90" xfId="0" applyNumberFormat="1" applyFont="1" applyFill="1" applyBorder="1" applyAlignment="1">
      <alignment horizontal="center" vertical="center"/>
    </xf>
    <xf numFmtId="3" fontId="7" fillId="3" borderId="46" xfId="0" applyNumberFormat="1" applyFont="1" applyFill="1" applyBorder="1" applyAlignment="1">
      <alignment horizontal="center" vertical="center"/>
    </xf>
    <xf numFmtId="3" fontId="7" fillId="3" borderId="47" xfId="0" applyNumberFormat="1" applyFont="1" applyFill="1" applyBorder="1" applyAlignment="1">
      <alignment horizontal="center" vertical="center"/>
    </xf>
    <xf numFmtId="0" fontId="16" fillId="3" borderId="91" xfId="0" applyFont="1" applyFill="1" applyBorder="1" applyAlignment="1">
      <alignment horizontal="center" vertical="center"/>
    </xf>
    <xf numFmtId="164" fontId="16" fillId="2" borderId="5" xfId="0" applyNumberFormat="1" applyFont="1" applyFill="1" applyBorder="1" applyAlignment="1">
      <alignment horizontal="center" vertical="center"/>
    </xf>
    <xf numFmtId="164" fontId="16" fillId="2" borderId="101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3" fontId="16" fillId="2" borderId="102" xfId="0" applyNumberFormat="1" applyFont="1" applyFill="1" applyBorder="1" applyAlignment="1">
      <alignment horizontal="center" vertical="center"/>
    </xf>
    <xf numFmtId="3" fontId="16" fillId="2" borderId="100" xfId="0" applyNumberFormat="1" applyFont="1" applyFill="1" applyBorder="1" applyAlignment="1">
      <alignment horizontal="center" vertical="center"/>
    </xf>
    <xf numFmtId="165" fontId="16" fillId="2" borderId="101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6" fillId="2" borderId="105" xfId="0" applyNumberFormat="1" applyFont="1" applyFill="1" applyBorder="1" applyAlignment="1">
      <alignment horizontal="center" vertical="center"/>
    </xf>
    <xf numFmtId="3" fontId="16" fillId="2" borderId="103" xfId="0" applyNumberFormat="1" applyFont="1" applyFill="1" applyBorder="1" applyAlignment="1">
      <alignment horizontal="center" vertical="center"/>
    </xf>
    <xf numFmtId="3" fontId="16" fillId="2" borderId="104" xfId="0" applyNumberFormat="1" applyFont="1" applyFill="1" applyBorder="1" applyAlignment="1">
      <alignment horizontal="center" vertical="center"/>
    </xf>
    <xf numFmtId="164" fontId="16" fillId="0" borderId="23" xfId="0" applyNumberFormat="1" applyFont="1" applyBorder="1" applyAlignment="1">
      <alignment horizontal="center" vertical="center"/>
    </xf>
    <xf numFmtId="164" fontId="16" fillId="2" borderId="106" xfId="0" applyNumberFormat="1" applyFont="1" applyFill="1" applyBorder="1" applyAlignment="1">
      <alignment horizontal="center" vertical="center"/>
    </xf>
    <xf numFmtId="166" fontId="16" fillId="2" borderId="106" xfId="1" applyNumberFormat="1" applyFont="1" applyFill="1" applyBorder="1" applyAlignment="1">
      <alignment horizontal="center" vertical="center"/>
    </xf>
    <xf numFmtId="3" fontId="16" fillId="2" borderId="112" xfId="0" applyNumberFormat="1" applyFont="1" applyFill="1" applyBorder="1" applyAlignment="1">
      <alignment horizontal="center" vertical="center"/>
    </xf>
    <xf numFmtId="3" fontId="16" fillId="2" borderId="109" xfId="0" applyNumberFormat="1" applyFont="1" applyFill="1" applyBorder="1" applyAlignment="1">
      <alignment horizontal="center" vertical="center"/>
    </xf>
    <xf numFmtId="3" fontId="16" fillId="2" borderId="114" xfId="0" applyNumberFormat="1" applyFont="1" applyFill="1" applyBorder="1" applyAlignment="1">
      <alignment horizontal="center" vertical="center"/>
    </xf>
    <xf numFmtId="164" fontId="16" fillId="2" borderId="110" xfId="0" applyNumberFormat="1" applyFont="1" applyFill="1" applyBorder="1" applyAlignment="1">
      <alignment horizontal="center" vertical="center"/>
    </xf>
    <xf numFmtId="3" fontId="16" fillId="6" borderId="112" xfId="0" applyNumberFormat="1" applyFont="1" applyFill="1" applyBorder="1" applyAlignment="1">
      <alignment horizontal="center" vertical="center"/>
    </xf>
    <xf numFmtId="3" fontId="16" fillId="6" borderId="115" xfId="0" applyNumberFormat="1" applyFont="1" applyFill="1" applyBorder="1" applyAlignment="1">
      <alignment horizontal="center" vertical="center"/>
    </xf>
    <xf numFmtId="3" fontId="16" fillId="2" borderId="117" xfId="0" applyNumberFormat="1" applyFont="1" applyFill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3" fontId="7" fillId="3" borderId="134" xfId="0" applyNumberFormat="1" applyFont="1" applyFill="1" applyBorder="1" applyAlignment="1">
      <alignment horizontal="center" vertical="center"/>
    </xf>
    <xf numFmtId="9" fontId="7" fillId="3" borderId="124" xfId="1" applyFont="1" applyFill="1" applyBorder="1" applyAlignment="1">
      <alignment horizontal="center" vertical="center"/>
    </xf>
    <xf numFmtId="3" fontId="16" fillId="3" borderId="132" xfId="0" applyNumberFormat="1" applyFont="1" applyFill="1" applyBorder="1" applyAlignment="1">
      <alignment horizontal="center" vertical="center"/>
    </xf>
    <xf numFmtId="164" fontId="16" fillId="7" borderId="5" xfId="0" applyNumberFormat="1" applyFont="1" applyFill="1" applyBorder="1" applyAlignment="1">
      <alignment horizontal="center" vertical="center"/>
    </xf>
    <xf numFmtId="164" fontId="16" fillId="7" borderId="101" xfId="0" applyNumberFormat="1" applyFont="1" applyFill="1" applyBorder="1" applyAlignment="1">
      <alignment horizontal="center" vertical="center"/>
    </xf>
    <xf numFmtId="166" fontId="19" fillId="7" borderId="101" xfId="1" applyNumberFormat="1" applyFont="1" applyFill="1" applyBorder="1" applyAlignment="1">
      <alignment horizontal="center" vertical="center"/>
    </xf>
    <xf numFmtId="165" fontId="16" fillId="7" borderId="102" xfId="0" applyNumberFormat="1" applyFont="1" applyFill="1" applyBorder="1" applyAlignment="1">
      <alignment horizontal="center" vertical="center"/>
    </xf>
    <xf numFmtId="3" fontId="16" fillId="7" borderId="102" xfId="0" applyNumberFormat="1" applyFont="1" applyFill="1" applyBorder="1" applyAlignment="1">
      <alignment horizontal="center" vertical="center"/>
    </xf>
    <xf numFmtId="165" fontId="16" fillId="7" borderId="101" xfId="0" applyNumberFormat="1" applyFont="1" applyFill="1" applyBorder="1" applyAlignment="1">
      <alignment horizontal="center" vertical="center"/>
    </xf>
    <xf numFmtId="166" fontId="16" fillId="7" borderId="101" xfId="1" applyNumberFormat="1" applyFont="1" applyFill="1" applyBorder="1" applyAlignment="1">
      <alignment horizontal="center" vertical="center"/>
    </xf>
    <xf numFmtId="164" fontId="16" fillId="7" borderId="102" xfId="0" applyNumberFormat="1" applyFont="1" applyFill="1" applyBorder="1" applyAlignment="1">
      <alignment horizontal="center" vertical="center"/>
    </xf>
    <xf numFmtId="3" fontId="16" fillId="7" borderId="8" xfId="0" applyNumberFormat="1" applyFont="1" applyFill="1" applyBorder="1" applyAlignment="1">
      <alignment horizontal="center" vertical="center"/>
    </xf>
    <xf numFmtId="3" fontId="16" fillId="7" borderId="105" xfId="0" applyNumberFormat="1" applyFont="1" applyFill="1" applyBorder="1" applyAlignment="1">
      <alignment horizontal="center" vertical="center"/>
    </xf>
    <xf numFmtId="3" fontId="16" fillId="7" borderId="101" xfId="0" applyNumberFormat="1" applyFont="1" applyFill="1" applyBorder="1" applyAlignment="1">
      <alignment horizontal="center" vertical="center"/>
    </xf>
    <xf numFmtId="3" fontId="16" fillId="7" borderId="103" xfId="0" applyNumberFormat="1" applyFont="1" applyFill="1" applyBorder="1" applyAlignment="1">
      <alignment horizontal="center" vertical="center"/>
    </xf>
    <xf numFmtId="3" fontId="16" fillId="7" borderId="104" xfId="0" applyNumberFormat="1" applyFont="1" applyFill="1" applyBorder="1" applyAlignment="1">
      <alignment horizontal="center" vertical="center"/>
    </xf>
    <xf numFmtId="164" fontId="16" fillId="8" borderId="137" xfId="0" applyNumberFormat="1" applyFont="1" applyFill="1" applyBorder="1" applyAlignment="1">
      <alignment horizontal="center" vertical="center"/>
    </xf>
    <xf numFmtId="164" fontId="16" fillId="8" borderId="138" xfId="0" applyNumberFormat="1" applyFont="1" applyFill="1" applyBorder="1" applyAlignment="1">
      <alignment horizontal="center" vertical="center"/>
    </xf>
    <xf numFmtId="166" fontId="16" fillId="8" borderId="138" xfId="1" applyNumberFormat="1" applyFont="1" applyFill="1" applyBorder="1" applyAlignment="1">
      <alignment horizontal="center" vertical="center"/>
    </xf>
    <xf numFmtId="165" fontId="16" fillId="8" borderId="143" xfId="0" applyNumberFormat="1" applyFont="1" applyFill="1" applyBorder="1" applyAlignment="1">
      <alignment horizontal="center" vertical="center"/>
    </xf>
    <xf numFmtId="3" fontId="16" fillId="8" borderId="141" xfId="0" applyNumberFormat="1" applyFont="1" applyFill="1" applyBorder="1" applyAlignment="1">
      <alignment horizontal="center" vertical="center"/>
    </xf>
    <xf numFmtId="3" fontId="16" fillId="8" borderId="142" xfId="0" applyNumberFormat="1" applyFont="1" applyFill="1" applyBorder="1" applyAlignment="1">
      <alignment horizontal="center" vertical="center"/>
    </xf>
    <xf numFmtId="3" fontId="16" fillId="8" borderId="140" xfId="0" applyNumberFormat="1" applyFont="1" applyFill="1" applyBorder="1" applyAlignment="1">
      <alignment horizontal="center" vertical="center"/>
    </xf>
    <xf numFmtId="3" fontId="16" fillId="8" borderId="138" xfId="0" applyNumberFormat="1" applyFont="1" applyFill="1" applyBorder="1" applyAlignment="1">
      <alignment horizontal="center" vertical="center"/>
    </xf>
    <xf numFmtId="165" fontId="16" fillId="8" borderId="138" xfId="0" applyNumberFormat="1" applyFont="1" applyFill="1" applyBorder="1" applyAlignment="1">
      <alignment horizontal="center" vertical="center"/>
    </xf>
    <xf numFmtId="164" fontId="16" fillId="8" borderId="143" xfId="0" applyNumberFormat="1" applyFont="1" applyFill="1" applyBorder="1" applyAlignment="1">
      <alignment horizontal="center" vertical="center"/>
    </xf>
    <xf numFmtId="3" fontId="16" fillId="8" borderId="139" xfId="0" applyNumberFormat="1" applyFont="1" applyFill="1" applyBorder="1" applyAlignment="1">
      <alignment horizontal="center" vertical="center"/>
    </xf>
    <xf numFmtId="164" fontId="16" fillId="8" borderId="59" xfId="0" applyNumberFormat="1" applyFont="1" applyFill="1" applyBorder="1" applyAlignment="1">
      <alignment horizontal="center" vertical="center"/>
    </xf>
    <xf numFmtId="164" fontId="16" fillId="8" borderId="75" xfId="0" applyNumberFormat="1" applyFont="1" applyFill="1" applyBorder="1" applyAlignment="1">
      <alignment horizontal="center" vertical="center"/>
    </xf>
    <xf numFmtId="166" fontId="16" fillId="8" borderId="75" xfId="1" applyNumberFormat="1" applyFont="1" applyFill="1" applyBorder="1" applyAlignment="1">
      <alignment horizontal="center" vertical="center"/>
    </xf>
    <xf numFmtId="165" fontId="16" fillId="8" borderId="60" xfId="0" applyNumberFormat="1" applyFont="1" applyFill="1" applyBorder="1" applyAlignment="1">
      <alignment horizontal="center" vertical="center"/>
    </xf>
    <xf numFmtId="3" fontId="16" fillId="8" borderId="81" xfId="0" applyNumberFormat="1" applyFont="1" applyFill="1" applyBorder="1" applyAlignment="1">
      <alignment horizontal="center" vertical="center"/>
    </xf>
    <xf numFmtId="3" fontId="16" fillId="8" borderId="71" xfId="0" applyNumberFormat="1" applyFont="1" applyFill="1" applyBorder="1" applyAlignment="1">
      <alignment horizontal="center" vertical="center"/>
    </xf>
    <xf numFmtId="3" fontId="16" fillId="8" borderId="62" xfId="0" applyNumberFormat="1" applyFont="1" applyFill="1" applyBorder="1" applyAlignment="1">
      <alignment horizontal="center" vertical="center"/>
    </xf>
    <xf numFmtId="3" fontId="16" fillId="8" borderId="75" xfId="0" applyNumberFormat="1" applyFont="1" applyFill="1" applyBorder="1" applyAlignment="1">
      <alignment horizontal="center" vertical="center"/>
    </xf>
    <xf numFmtId="165" fontId="16" fillId="8" borderId="75" xfId="0" applyNumberFormat="1" applyFont="1" applyFill="1" applyBorder="1" applyAlignment="1">
      <alignment horizontal="center" vertical="center"/>
    </xf>
    <xf numFmtId="164" fontId="16" fillId="8" borderId="60" xfId="0" applyNumberFormat="1" applyFont="1" applyFill="1" applyBorder="1" applyAlignment="1">
      <alignment horizontal="center" vertical="center"/>
    </xf>
    <xf numFmtId="3" fontId="16" fillId="8" borderId="67" xfId="0" applyNumberFormat="1" applyFont="1" applyFill="1" applyBorder="1" applyAlignment="1">
      <alignment horizontal="center" vertical="center"/>
    </xf>
    <xf numFmtId="3" fontId="16" fillId="8" borderId="76" xfId="0" applyNumberFormat="1" applyFont="1" applyFill="1" applyBorder="1" applyAlignment="1">
      <alignment horizontal="center" vertical="center"/>
    </xf>
    <xf numFmtId="164" fontId="16" fillId="8" borderId="77" xfId="0" applyNumberFormat="1" applyFont="1" applyFill="1" applyBorder="1" applyAlignment="1">
      <alignment horizontal="center" vertical="center"/>
    </xf>
    <xf numFmtId="164" fontId="16" fillId="8" borderId="70" xfId="0" applyNumberFormat="1" applyFont="1" applyFill="1" applyBorder="1" applyAlignment="1">
      <alignment horizontal="center" vertical="center"/>
    </xf>
    <xf numFmtId="166" fontId="16" fillId="8" borderId="70" xfId="1" applyNumberFormat="1" applyFont="1" applyFill="1" applyBorder="1" applyAlignment="1">
      <alignment horizontal="center" vertical="center"/>
    </xf>
    <xf numFmtId="165" fontId="16" fillId="8" borderId="68" xfId="0" applyNumberFormat="1" applyFont="1" applyFill="1" applyBorder="1" applyAlignment="1">
      <alignment horizontal="center" vertical="center"/>
    </xf>
    <xf numFmtId="3" fontId="16" fillId="8" borderId="82" xfId="0" applyNumberFormat="1" applyFont="1" applyFill="1" applyBorder="1" applyAlignment="1">
      <alignment horizontal="center" vertical="center"/>
    </xf>
    <xf numFmtId="3" fontId="16" fillId="8" borderId="70" xfId="0" applyNumberFormat="1" applyFont="1" applyFill="1" applyBorder="1" applyAlignment="1">
      <alignment horizontal="center" vertical="center"/>
    </xf>
    <xf numFmtId="165" fontId="16" fillId="8" borderId="70" xfId="0" applyNumberFormat="1" applyFont="1" applyFill="1" applyBorder="1" applyAlignment="1">
      <alignment horizontal="center" vertical="center"/>
    </xf>
    <xf numFmtId="164" fontId="16" fillId="8" borderId="68" xfId="0" applyNumberFormat="1" applyFont="1" applyFill="1" applyBorder="1" applyAlignment="1">
      <alignment horizontal="center" vertical="center"/>
    </xf>
    <xf numFmtId="3" fontId="16" fillId="8" borderId="72" xfId="0" applyNumberFormat="1" applyFont="1" applyFill="1" applyBorder="1" applyAlignment="1">
      <alignment horizontal="center" vertical="center"/>
    </xf>
    <xf numFmtId="3" fontId="16" fillId="8" borderId="80" xfId="0" applyNumberFormat="1" applyFont="1" applyFill="1" applyBorder="1" applyAlignment="1">
      <alignment horizontal="center" vertical="center"/>
    </xf>
    <xf numFmtId="164" fontId="16" fillId="8" borderId="144" xfId="0" applyNumberFormat="1" applyFont="1" applyFill="1" applyBorder="1" applyAlignment="1">
      <alignment horizontal="center" vertical="center"/>
    </xf>
    <xf numFmtId="164" fontId="16" fillId="8" borderId="145" xfId="0" applyNumberFormat="1" applyFont="1" applyFill="1" applyBorder="1" applyAlignment="1">
      <alignment horizontal="center" vertical="center"/>
    </xf>
    <xf numFmtId="166" fontId="16" fillId="8" borderId="145" xfId="1" applyNumberFormat="1" applyFont="1" applyFill="1" applyBorder="1" applyAlignment="1">
      <alignment horizontal="center" vertical="center"/>
    </xf>
    <xf numFmtId="165" fontId="16" fillId="8" borderId="150" xfId="0" applyNumberFormat="1" applyFont="1" applyFill="1" applyBorder="1" applyAlignment="1">
      <alignment horizontal="center" vertical="center"/>
    </xf>
    <xf numFmtId="3" fontId="16" fillId="8" borderId="148" xfId="0" applyNumberFormat="1" applyFont="1" applyFill="1" applyBorder="1" applyAlignment="1">
      <alignment horizontal="center" vertical="center"/>
    </xf>
    <xf numFmtId="3" fontId="16" fillId="8" borderId="149" xfId="0" applyNumberFormat="1" applyFont="1" applyFill="1" applyBorder="1" applyAlignment="1">
      <alignment horizontal="center" vertical="center"/>
    </xf>
    <xf numFmtId="3" fontId="16" fillId="8" borderId="147" xfId="0" applyNumberFormat="1" applyFont="1" applyFill="1" applyBorder="1" applyAlignment="1">
      <alignment horizontal="center" vertical="center"/>
    </xf>
    <xf numFmtId="3" fontId="16" fillId="8" borderId="145" xfId="0" applyNumberFormat="1" applyFont="1" applyFill="1" applyBorder="1" applyAlignment="1">
      <alignment horizontal="center" vertical="center"/>
    </xf>
    <xf numFmtId="165" fontId="16" fillId="8" borderId="145" xfId="0" applyNumberFormat="1" applyFont="1" applyFill="1" applyBorder="1" applyAlignment="1">
      <alignment horizontal="center" vertical="center"/>
    </xf>
    <xf numFmtId="164" fontId="16" fillId="8" borderId="150" xfId="0" applyNumberFormat="1" applyFont="1" applyFill="1" applyBorder="1" applyAlignment="1">
      <alignment horizontal="center" vertical="center"/>
    </xf>
    <xf numFmtId="3" fontId="16" fillId="8" borderId="146" xfId="0" applyNumberFormat="1" applyFont="1" applyFill="1" applyBorder="1" applyAlignment="1">
      <alignment horizontal="center" vertical="center"/>
    </xf>
    <xf numFmtId="164" fontId="16" fillId="7" borderId="151" xfId="0" applyNumberFormat="1" applyFont="1" applyFill="1" applyBorder="1" applyAlignment="1">
      <alignment horizontal="center" vertical="center"/>
    </xf>
    <xf numFmtId="164" fontId="16" fillId="7" borderId="75" xfId="0" applyNumberFormat="1" applyFont="1" applyFill="1" applyBorder="1" applyAlignment="1">
      <alignment horizontal="center" vertical="center"/>
    </xf>
    <xf numFmtId="166" fontId="17" fillId="7" borderId="75" xfId="1" applyNumberFormat="1" applyFont="1" applyFill="1" applyBorder="1" applyAlignment="1">
      <alignment horizontal="center" vertical="center"/>
    </xf>
    <xf numFmtId="3" fontId="16" fillId="7" borderId="71" xfId="0" applyNumberFormat="1" applyFont="1" applyFill="1" applyBorder="1" applyAlignment="1">
      <alignment horizontal="center" vertical="center"/>
    </xf>
    <xf numFmtId="3" fontId="16" fillId="7" borderId="75" xfId="0" applyNumberFormat="1" applyFont="1" applyFill="1" applyBorder="1" applyAlignment="1">
      <alignment horizontal="center" vertical="center"/>
    </xf>
    <xf numFmtId="166" fontId="16" fillId="7" borderId="75" xfId="1" applyNumberFormat="1" applyFont="1" applyFill="1" applyBorder="1" applyAlignment="1">
      <alignment horizontal="center" vertical="center"/>
    </xf>
    <xf numFmtId="166" fontId="16" fillId="7" borderId="60" xfId="0" applyNumberFormat="1" applyFont="1" applyFill="1" applyBorder="1" applyAlignment="1">
      <alignment horizontal="center" vertical="center"/>
    </xf>
    <xf numFmtId="3" fontId="16" fillId="7" borderId="81" xfId="0" applyNumberFormat="1" applyFont="1" applyFill="1" applyBorder="1" applyAlignment="1">
      <alignment horizontal="center" vertical="center"/>
    </xf>
    <xf numFmtId="3" fontId="16" fillId="7" borderId="83" xfId="0" applyNumberFormat="1" applyFont="1" applyFill="1" applyBorder="1" applyAlignment="1">
      <alignment horizontal="center" vertical="center"/>
    </xf>
    <xf numFmtId="3" fontId="16" fillId="7" borderId="60" xfId="0" applyNumberFormat="1" applyFont="1" applyFill="1" applyBorder="1" applyAlignment="1">
      <alignment horizontal="center" vertical="center"/>
    </xf>
    <xf numFmtId="0" fontId="16" fillId="7" borderId="76" xfId="0" applyFont="1" applyFill="1" applyBorder="1" applyAlignment="1">
      <alignment horizontal="center" vertical="center"/>
    </xf>
    <xf numFmtId="164" fontId="16" fillId="2" borderId="151" xfId="0" applyNumberFormat="1" applyFont="1" applyFill="1" applyBorder="1" applyAlignment="1">
      <alignment horizontal="center" vertical="center"/>
    </xf>
    <xf numFmtId="164" fontId="16" fillId="2" borderId="153" xfId="0" applyNumberFormat="1" applyFont="1" applyFill="1" applyBorder="1" applyAlignment="1">
      <alignment horizontal="center" vertical="center"/>
    </xf>
    <xf numFmtId="164" fontId="16" fillId="2" borderId="145" xfId="0" applyNumberFormat="1" applyFont="1" applyFill="1" applyBorder="1" applyAlignment="1">
      <alignment horizontal="center" vertical="center"/>
    </xf>
    <xf numFmtId="166" fontId="16" fillId="2" borderId="145" xfId="1" applyNumberFormat="1" applyFont="1" applyFill="1" applyBorder="1" applyAlignment="1">
      <alignment horizontal="center" vertical="center"/>
    </xf>
    <xf numFmtId="3" fontId="16" fillId="2" borderId="149" xfId="0" applyNumberFormat="1" applyFont="1" applyFill="1" applyBorder="1" applyAlignment="1">
      <alignment horizontal="center" vertical="center"/>
    </xf>
    <xf numFmtId="3" fontId="16" fillId="2" borderId="147" xfId="0" applyNumberFormat="1" applyFont="1" applyFill="1" applyBorder="1" applyAlignment="1">
      <alignment horizontal="center" vertical="center"/>
    </xf>
    <xf numFmtId="3" fontId="16" fillId="6" borderId="154" xfId="0" applyNumberFormat="1" applyFont="1" applyFill="1" applyBorder="1" applyAlignment="1">
      <alignment horizontal="center" vertical="center"/>
    </xf>
    <xf numFmtId="164" fontId="16" fillId="2" borderId="23" xfId="0" applyNumberFormat="1" applyFont="1" applyFill="1" applyBorder="1" applyAlignment="1">
      <alignment horizontal="center" vertical="center"/>
    </xf>
    <xf numFmtId="3" fontId="16" fillId="0" borderId="149" xfId="0" applyNumberFormat="1" applyFont="1" applyBorder="1" applyAlignment="1">
      <alignment horizontal="center" vertical="center"/>
    </xf>
    <xf numFmtId="3" fontId="16" fillId="6" borderId="155" xfId="0" applyNumberFormat="1" applyFont="1" applyFill="1" applyBorder="1" applyAlignment="1">
      <alignment horizontal="center" vertical="center"/>
    </xf>
    <xf numFmtId="3" fontId="16" fillId="2" borderId="107" xfId="0" applyNumberFormat="1" applyFont="1" applyFill="1" applyBorder="1" applyAlignment="1">
      <alignment horizontal="center" vertical="center"/>
    </xf>
    <xf numFmtId="3" fontId="16" fillId="6" borderId="145" xfId="0" applyNumberFormat="1" applyFont="1" applyFill="1" applyBorder="1" applyAlignment="1">
      <alignment horizontal="center" vertical="center"/>
    </xf>
    <xf numFmtId="0" fontId="16" fillId="0" borderId="146" xfId="0" applyFont="1" applyBorder="1" applyAlignment="1">
      <alignment horizontal="center" vertical="center"/>
    </xf>
    <xf numFmtId="166" fontId="16" fillId="7" borderId="71" xfId="0" applyNumberFormat="1" applyFont="1" applyFill="1" applyBorder="1" applyAlignment="1">
      <alignment horizontal="center" vertical="center"/>
    </xf>
    <xf numFmtId="164" fontId="16" fillId="7" borderId="69" xfId="0" applyNumberFormat="1" applyFont="1" applyFill="1" applyBorder="1" applyAlignment="1">
      <alignment horizontal="center" vertical="center"/>
    </xf>
    <xf numFmtId="3" fontId="16" fillId="7" borderId="70" xfId="0" applyNumberFormat="1" applyFont="1" applyFill="1" applyBorder="1" applyAlignment="1">
      <alignment horizontal="center" vertical="center"/>
    </xf>
    <xf numFmtId="166" fontId="16" fillId="7" borderId="70" xfId="1" applyNumberFormat="1" applyFont="1" applyFill="1" applyBorder="1" applyAlignment="1">
      <alignment horizontal="center" vertical="center"/>
    </xf>
    <xf numFmtId="166" fontId="16" fillId="7" borderId="82" xfId="0" applyNumberFormat="1" applyFont="1" applyFill="1" applyBorder="1" applyAlignment="1">
      <alignment horizontal="center" vertical="center"/>
    </xf>
    <xf numFmtId="3" fontId="16" fillId="7" borderId="67" xfId="0" applyNumberFormat="1" applyFont="1" applyFill="1" applyBorder="1" applyAlignment="1">
      <alignment horizontal="center" vertical="center"/>
    </xf>
    <xf numFmtId="3" fontId="16" fillId="7" borderId="68" xfId="0" applyNumberFormat="1" applyFont="1" applyFill="1" applyBorder="1" applyAlignment="1">
      <alignment horizontal="center" vertical="center"/>
    </xf>
    <xf numFmtId="3" fontId="16" fillId="7" borderId="72" xfId="0" applyNumberFormat="1" applyFont="1" applyFill="1" applyBorder="1" applyAlignment="1">
      <alignment horizontal="center" vertical="center"/>
    </xf>
    <xf numFmtId="0" fontId="16" fillId="7" borderId="80" xfId="0" applyFont="1" applyFill="1" applyBorder="1" applyAlignment="1">
      <alignment horizontal="center" vertical="center"/>
    </xf>
    <xf numFmtId="3" fontId="16" fillId="2" borderId="59" xfId="0" applyNumberFormat="1" applyFont="1" applyFill="1" applyBorder="1" applyAlignment="1">
      <alignment horizontal="center" vertical="center"/>
    </xf>
    <xf numFmtId="164" fontId="16" fillId="2" borderId="135" xfId="0" applyNumberFormat="1" applyFont="1" applyFill="1" applyBorder="1" applyAlignment="1">
      <alignment horizontal="center" vertical="center"/>
    </xf>
    <xf numFmtId="164" fontId="16" fillId="2" borderId="133" xfId="0" applyNumberFormat="1" applyFont="1" applyFill="1" applyBorder="1" applyAlignment="1">
      <alignment horizontal="center" vertical="center"/>
    </xf>
    <xf numFmtId="3" fontId="16" fillId="2" borderId="133" xfId="0" applyNumberFormat="1" applyFont="1" applyFill="1" applyBorder="1" applyAlignment="1">
      <alignment horizontal="center" vertical="center"/>
    </xf>
    <xf numFmtId="3" fontId="16" fillId="2" borderId="136" xfId="0" applyNumberFormat="1" applyFont="1" applyFill="1" applyBorder="1" applyAlignment="1">
      <alignment horizontal="center" vertical="center"/>
    </xf>
    <xf numFmtId="165" fontId="16" fillId="2" borderId="125" xfId="0" applyNumberFormat="1" applyFont="1" applyFill="1" applyBorder="1" applyAlignment="1">
      <alignment horizontal="center" vertical="center"/>
    </xf>
    <xf numFmtId="165" fontId="16" fillId="2" borderId="76" xfId="0" applyNumberFormat="1" applyFont="1" applyFill="1" applyBorder="1" applyAlignment="1">
      <alignment horizontal="center" vertical="center"/>
    </xf>
    <xf numFmtId="9" fontId="7" fillId="4" borderId="163" xfId="1" applyFont="1" applyFill="1" applyBorder="1" applyAlignment="1">
      <alignment horizontal="center" vertical="center"/>
    </xf>
    <xf numFmtId="164" fontId="16" fillId="9" borderId="23" xfId="0" applyNumberFormat="1" applyFont="1" applyFill="1" applyBorder="1" applyAlignment="1">
      <alignment horizontal="center" vertical="center"/>
    </xf>
    <xf numFmtId="164" fontId="16" fillId="9" borderId="117" xfId="0" applyNumberFormat="1" applyFont="1" applyFill="1" applyBorder="1" applyAlignment="1">
      <alignment horizontal="center" vertical="center"/>
    </xf>
    <xf numFmtId="164" fontId="16" fillId="9" borderId="114" xfId="0" applyNumberFormat="1" applyFont="1" applyFill="1" applyBorder="1" applyAlignment="1">
      <alignment horizontal="center" vertical="center"/>
    </xf>
    <xf numFmtId="3" fontId="16" fillId="9" borderId="25" xfId="0" applyNumberFormat="1" applyFont="1" applyFill="1" applyBorder="1" applyAlignment="1">
      <alignment horizontal="center" vertical="center"/>
    </xf>
    <xf numFmtId="3" fontId="16" fillId="9" borderId="26" xfId="0" applyNumberFormat="1" applyFont="1" applyFill="1" applyBorder="1" applyAlignment="1">
      <alignment horizontal="center" vertical="center"/>
    </xf>
    <xf numFmtId="3" fontId="16" fillId="9" borderId="102" xfId="0" applyNumberFormat="1" applyFont="1" applyFill="1" applyBorder="1" applyAlignment="1">
      <alignment horizontal="center" vertical="center"/>
    </xf>
    <xf numFmtId="3" fontId="16" fillId="9" borderId="103" xfId="0" applyNumberFormat="1" applyFont="1" applyFill="1" applyBorder="1" applyAlignment="1">
      <alignment horizontal="center" vertical="center"/>
    </xf>
    <xf numFmtId="3" fontId="16" fillId="9" borderId="101" xfId="0" applyNumberFormat="1" applyFont="1" applyFill="1" applyBorder="1" applyAlignment="1">
      <alignment horizontal="center" vertical="center"/>
    </xf>
    <xf numFmtId="3" fontId="16" fillId="9" borderId="117" xfId="0" applyNumberFormat="1" applyFont="1" applyFill="1" applyBorder="1" applyAlignment="1">
      <alignment horizontal="center" vertical="center"/>
    </xf>
    <xf numFmtId="3" fontId="16" fillId="9" borderId="24" xfId="0" applyNumberFormat="1" applyFont="1" applyFill="1" applyBorder="1" applyAlignment="1">
      <alignment horizontal="center" vertical="center"/>
    </xf>
    <xf numFmtId="3" fontId="16" fillId="9" borderId="116" xfId="0" applyNumberFormat="1" applyFont="1" applyFill="1" applyBorder="1" applyAlignment="1">
      <alignment horizontal="center" vertical="center"/>
    </xf>
    <xf numFmtId="3" fontId="16" fillId="9" borderId="111" xfId="0" applyNumberFormat="1" applyFont="1" applyFill="1" applyBorder="1" applyAlignment="1">
      <alignment horizontal="center" vertical="center"/>
    </xf>
    <xf numFmtId="165" fontId="16" fillId="9" borderId="103" xfId="0" applyNumberFormat="1" applyFont="1" applyFill="1" applyBorder="1" applyAlignment="1">
      <alignment horizontal="center" vertical="center"/>
    </xf>
    <xf numFmtId="165" fontId="16" fillId="9" borderId="104" xfId="0" applyNumberFormat="1" applyFont="1" applyFill="1" applyBorder="1" applyAlignment="1">
      <alignment horizontal="center" vertical="center"/>
    </xf>
    <xf numFmtId="164" fontId="16" fillId="9" borderId="151" xfId="0" applyNumberFormat="1" applyFont="1" applyFill="1" applyBorder="1" applyAlignment="1">
      <alignment horizontal="center" vertical="center"/>
    </xf>
    <xf numFmtId="164" fontId="16" fillId="9" borderId="138" xfId="0" applyNumberFormat="1" applyFont="1" applyFill="1" applyBorder="1" applyAlignment="1">
      <alignment horizontal="center" vertical="center"/>
    </xf>
    <xf numFmtId="165" fontId="16" fillId="9" borderId="75" xfId="0" applyNumberFormat="1" applyFont="1" applyFill="1" applyBorder="1" applyAlignment="1">
      <alignment horizontal="center" vertical="center"/>
    </xf>
    <xf numFmtId="3" fontId="16" fillId="9" borderId="81" xfId="0" applyNumberFormat="1" applyFont="1" applyFill="1" applyBorder="1" applyAlignment="1">
      <alignment horizontal="center" vertical="center"/>
    </xf>
    <xf numFmtId="3" fontId="16" fillId="9" borderId="71" xfId="0" applyNumberFormat="1" applyFont="1" applyFill="1" applyBorder="1" applyAlignment="1">
      <alignment horizontal="center" vertical="center"/>
    </xf>
    <xf numFmtId="3" fontId="16" fillId="9" borderId="75" xfId="0" applyNumberFormat="1" applyFont="1" applyFill="1" applyBorder="1" applyAlignment="1">
      <alignment horizontal="center" vertical="center"/>
    </xf>
    <xf numFmtId="164" fontId="16" fillId="9" borderId="59" xfId="0" applyNumberFormat="1" applyFont="1" applyFill="1" applyBorder="1" applyAlignment="1">
      <alignment horizontal="center" vertical="center"/>
    </xf>
    <xf numFmtId="165" fontId="16" fillId="9" borderId="71" xfId="0" applyNumberFormat="1" applyFont="1" applyFill="1" applyBorder="1" applyAlignment="1">
      <alignment horizontal="center" vertical="center"/>
    </xf>
    <xf numFmtId="3" fontId="16" fillId="9" borderId="159" xfId="0" applyNumberFormat="1" applyFont="1" applyFill="1" applyBorder="1" applyAlignment="1">
      <alignment horizontal="center" vertical="center"/>
    </xf>
    <xf numFmtId="3" fontId="16" fillId="9" borderId="62" xfId="0" applyNumberFormat="1" applyFont="1" applyFill="1" applyBorder="1" applyAlignment="1">
      <alignment horizontal="center" vertical="center"/>
    </xf>
    <xf numFmtId="165" fontId="16" fillId="9" borderId="81" xfId="0" applyNumberFormat="1" applyFont="1" applyFill="1" applyBorder="1" applyAlignment="1">
      <alignment horizontal="center" vertical="center"/>
    </xf>
    <xf numFmtId="165" fontId="16" fillId="9" borderId="76" xfId="0" applyNumberFormat="1" applyFont="1" applyFill="1" applyBorder="1" applyAlignment="1">
      <alignment horizontal="center" vertical="center"/>
    </xf>
    <xf numFmtId="164" fontId="16" fillId="0" borderId="69" xfId="0" applyNumberFormat="1" applyFont="1" applyBorder="1" applyAlignment="1">
      <alignment horizontal="center" vertical="center"/>
    </xf>
    <xf numFmtId="164" fontId="16" fillId="0" borderId="70" xfId="0" applyNumberFormat="1" applyFont="1" applyBorder="1" applyAlignment="1">
      <alignment horizontal="center" vertical="center"/>
    </xf>
    <xf numFmtId="165" fontId="16" fillId="0" borderId="70" xfId="0" applyNumberFormat="1" applyFont="1" applyBorder="1" applyAlignment="1">
      <alignment horizontal="center" vertical="center"/>
    </xf>
    <xf numFmtId="164" fontId="16" fillId="0" borderId="77" xfId="0" applyNumberFormat="1" applyFont="1" applyBorder="1" applyAlignment="1">
      <alignment horizontal="center" vertical="center"/>
    </xf>
    <xf numFmtId="165" fontId="16" fillId="0" borderId="82" xfId="0" applyNumberFormat="1" applyFont="1" applyBorder="1" applyAlignment="1">
      <alignment horizontal="center" vertical="center"/>
    </xf>
    <xf numFmtId="3" fontId="16" fillId="2" borderId="80" xfId="0" applyNumberFormat="1" applyFont="1" applyFill="1" applyBorder="1" applyAlignment="1">
      <alignment horizontal="center" vertical="center"/>
    </xf>
    <xf numFmtId="3" fontId="16" fillId="2" borderId="176" xfId="0" applyNumberFormat="1" applyFont="1" applyFill="1" applyBorder="1" applyAlignment="1">
      <alignment horizontal="center" vertical="center"/>
    </xf>
    <xf numFmtId="164" fontId="16" fillId="0" borderId="84" xfId="0" applyNumberFormat="1" applyFont="1" applyBorder="1" applyAlignment="1">
      <alignment horizontal="center" vertical="center"/>
    </xf>
    <xf numFmtId="165" fontId="16" fillId="0" borderId="177" xfId="0" applyNumberFormat="1" applyFont="1" applyBorder="1" applyAlignment="1">
      <alignment horizontal="center" vertical="center"/>
    </xf>
    <xf numFmtId="165" fontId="16" fillId="0" borderId="176" xfId="0" applyNumberFormat="1" applyFont="1" applyBorder="1" applyAlignment="1">
      <alignment horizontal="center" vertical="center"/>
    </xf>
    <xf numFmtId="164" fontId="16" fillId="2" borderId="144" xfId="0" applyNumberFormat="1" applyFont="1" applyFill="1" applyBorder="1" applyAlignment="1">
      <alignment horizontal="center" vertical="center"/>
    </xf>
    <xf numFmtId="165" fontId="16" fillId="2" borderId="145" xfId="0" applyNumberFormat="1" applyFont="1" applyFill="1" applyBorder="1" applyAlignment="1">
      <alignment horizontal="center" vertical="center"/>
    </xf>
    <xf numFmtId="165" fontId="16" fillId="2" borderId="149" xfId="0" applyNumberFormat="1" applyFont="1" applyFill="1" applyBorder="1" applyAlignment="1">
      <alignment horizontal="center" vertical="center"/>
    </xf>
    <xf numFmtId="3" fontId="16" fillId="2" borderId="146" xfId="0" applyNumberFormat="1" applyFont="1" applyFill="1" applyBorder="1" applyAlignment="1">
      <alignment horizontal="center" vertical="center"/>
    </xf>
    <xf numFmtId="164" fontId="16" fillId="4" borderId="128" xfId="0" applyNumberFormat="1" applyFont="1" applyFill="1" applyBorder="1" applyAlignment="1">
      <alignment horizontal="center" vertical="center"/>
    </xf>
    <xf numFmtId="164" fontId="16" fillId="4" borderId="123" xfId="0" applyNumberFormat="1" applyFont="1" applyFill="1" applyBorder="1" applyAlignment="1">
      <alignment horizontal="center" vertical="center"/>
    </xf>
    <xf numFmtId="3" fontId="16" fillId="4" borderId="123" xfId="0" applyNumberFormat="1" applyFont="1" applyFill="1" applyBorder="1" applyAlignment="1">
      <alignment horizontal="center" vertical="center"/>
    </xf>
    <xf numFmtId="3" fontId="16" fillId="4" borderId="195" xfId="0" applyNumberFormat="1" applyFont="1" applyFill="1" applyBorder="1" applyAlignment="1">
      <alignment horizontal="center" vertical="center"/>
    </xf>
    <xf numFmtId="164" fontId="16" fillId="2" borderId="207" xfId="0" applyNumberFormat="1" applyFont="1" applyFill="1" applyBorder="1" applyAlignment="1">
      <alignment horizontal="center" vertical="center"/>
    </xf>
    <xf numFmtId="3" fontId="16" fillId="2" borderId="207" xfId="0" applyNumberFormat="1" applyFont="1" applyFill="1" applyBorder="1" applyAlignment="1">
      <alignment horizontal="center" vertical="center"/>
    </xf>
    <xf numFmtId="0" fontId="16" fillId="0" borderId="168" xfId="0" applyFont="1" applyBorder="1" applyAlignment="1">
      <alignment horizontal="center" vertical="center"/>
    </xf>
    <xf numFmtId="164" fontId="16" fillId="2" borderId="77" xfId="0" applyNumberFormat="1" applyFont="1" applyFill="1" applyBorder="1" applyAlignment="1">
      <alignment horizontal="center" vertical="center"/>
    </xf>
    <xf numFmtId="3" fontId="16" fillId="0" borderId="70" xfId="0" applyNumberFormat="1" applyFont="1" applyBorder="1" applyAlignment="1">
      <alignment horizontal="center" vertical="center"/>
    </xf>
    <xf numFmtId="3" fontId="16" fillId="6" borderId="67" xfId="0" applyNumberFormat="1" applyFont="1" applyFill="1" applyBorder="1" applyAlignment="1">
      <alignment horizontal="center" vertical="center"/>
    </xf>
    <xf numFmtId="3" fontId="16" fillId="6" borderId="82" xfId="0" applyNumberFormat="1" applyFont="1" applyFill="1" applyBorder="1" applyAlignment="1">
      <alignment horizontal="center" vertical="center"/>
    </xf>
    <xf numFmtId="3" fontId="7" fillId="3" borderId="86" xfId="0" applyNumberFormat="1" applyFont="1" applyFill="1" applyBorder="1" applyAlignment="1">
      <alignment horizontal="center" vertical="center"/>
    </xf>
    <xf numFmtId="3" fontId="7" fillId="3" borderId="88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3" fontId="16" fillId="2" borderId="115" xfId="0" applyNumberFormat="1" applyFont="1" applyFill="1" applyBorder="1" applyAlignment="1">
      <alignment horizontal="center" vertical="center"/>
    </xf>
    <xf numFmtId="3" fontId="16" fillId="2" borderId="116" xfId="0" applyNumberFormat="1" applyFont="1" applyFill="1" applyBorder="1" applyAlignment="1">
      <alignment horizontal="center" vertical="center"/>
    </xf>
    <xf numFmtId="3" fontId="16" fillId="2" borderId="106" xfId="0" applyNumberFormat="1" applyFont="1" applyFill="1" applyBorder="1" applyAlignment="1">
      <alignment horizontal="center" vertical="center"/>
    </xf>
    <xf numFmtId="3" fontId="16" fillId="7" borderId="6" xfId="0" applyNumberFormat="1" applyFont="1" applyFill="1" applyBorder="1" applyAlignment="1">
      <alignment horizontal="center" vertical="center"/>
    </xf>
    <xf numFmtId="164" fontId="16" fillId="7" borderId="9" xfId="0" applyNumberFormat="1" applyFont="1" applyFill="1" applyBorder="1" applyAlignment="1">
      <alignment horizontal="center" vertical="center"/>
    </xf>
    <xf numFmtId="3" fontId="16" fillId="8" borderId="143" xfId="0" applyNumberFormat="1" applyFont="1" applyFill="1" applyBorder="1" applyAlignment="1">
      <alignment horizontal="center" vertical="center"/>
    </xf>
    <xf numFmtId="3" fontId="16" fillId="8" borderId="60" xfId="0" applyNumberFormat="1" applyFont="1" applyFill="1" applyBorder="1" applyAlignment="1">
      <alignment horizontal="center" vertical="center"/>
    </xf>
    <xf numFmtId="3" fontId="16" fillId="8" borderId="68" xfId="0" applyNumberFormat="1" applyFont="1" applyFill="1" applyBorder="1" applyAlignment="1">
      <alignment horizontal="center" vertical="center"/>
    </xf>
    <xf numFmtId="3" fontId="16" fillId="8" borderId="150" xfId="0" applyNumberFormat="1" applyFont="1" applyFill="1" applyBorder="1" applyAlignment="1">
      <alignment horizontal="center" vertical="center"/>
    </xf>
    <xf numFmtId="3" fontId="16" fillId="7" borderId="63" xfId="0" applyNumberFormat="1" applyFont="1" applyFill="1" applyBorder="1" applyAlignment="1">
      <alignment horizontal="center" vertical="center"/>
    </xf>
    <xf numFmtId="164" fontId="16" fillId="7" borderId="141" xfId="0" applyNumberFormat="1" applyFont="1" applyFill="1" applyBorder="1" applyAlignment="1">
      <alignment horizontal="center" vertical="center"/>
    </xf>
    <xf numFmtId="3" fontId="16" fillId="2" borderId="155" xfId="0" applyNumberFormat="1" applyFont="1" applyFill="1" applyBorder="1" applyAlignment="1">
      <alignment horizontal="center" vertical="center"/>
    </xf>
    <xf numFmtId="3" fontId="16" fillId="0" borderId="145" xfId="0" applyNumberFormat="1" applyFont="1" applyBorder="1" applyAlignment="1">
      <alignment horizontal="center" vertical="center"/>
    </xf>
    <xf numFmtId="3" fontId="16" fillId="2" borderId="156" xfId="0" applyNumberFormat="1" applyFont="1" applyFill="1" applyBorder="1" applyAlignment="1">
      <alignment horizontal="center" vertical="center"/>
    </xf>
    <xf numFmtId="3" fontId="16" fillId="7" borderId="142" xfId="0" applyNumberFormat="1" applyFont="1" applyFill="1" applyBorder="1" applyAlignment="1">
      <alignment horizontal="center" vertical="center"/>
    </xf>
    <xf numFmtId="164" fontId="16" fillId="7" borderId="63" xfId="0" applyNumberFormat="1" applyFont="1" applyFill="1" applyBorder="1" applyAlignment="1">
      <alignment horizontal="center" vertical="center"/>
    </xf>
    <xf numFmtId="3" fontId="16" fillId="7" borderId="138" xfId="0" applyNumberFormat="1" applyFont="1" applyFill="1" applyBorder="1" applyAlignment="1">
      <alignment horizontal="center" vertical="center"/>
    </xf>
    <xf numFmtId="3" fontId="16" fillId="7" borderId="141" xfId="0" applyNumberFormat="1" applyFont="1" applyFill="1" applyBorder="1" applyAlignment="1">
      <alignment horizontal="center" vertical="center"/>
    </xf>
    <xf numFmtId="3" fontId="16" fillId="7" borderId="82" xfId="0" applyNumberFormat="1" applyFont="1" applyFill="1" applyBorder="1" applyAlignment="1">
      <alignment horizontal="center" vertical="center"/>
    </xf>
    <xf numFmtId="165" fontId="16" fillId="2" borderId="75" xfId="0" applyNumberFormat="1" applyFont="1" applyFill="1" applyBorder="1" applyAlignment="1">
      <alignment horizontal="center" vertical="center"/>
    </xf>
    <xf numFmtId="165" fontId="16" fillId="2" borderId="71" xfId="0" applyNumberFormat="1" applyFont="1" applyFill="1" applyBorder="1" applyAlignment="1">
      <alignment horizontal="center" vertical="center"/>
    </xf>
    <xf numFmtId="3" fontId="16" fillId="9" borderId="141" xfId="0" applyNumberFormat="1" applyFont="1" applyFill="1" applyBorder="1" applyAlignment="1">
      <alignment horizontal="center" vertical="center"/>
    </xf>
    <xf numFmtId="3" fontId="16" fillId="9" borderId="138" xfId="0" applyNumberFormat="1" applyFont="1" applyFill="1" applyBorder="1" applyAlignment="1">
      <alignment horizontal="center" vertical="center"/>
    </xf>
    <xf numFmtId="165" fontId="16" fillId="9" borderId="141" xfId="0" applyNumberFormat="1" applyFont="1" applyFill="1" applyBorder="1" applyAlignment="1">
      <alignment horizontal="center" vertical="center"/>
    </xf>
    <xf numFmtId="3" fontId="16" fillId="5" borderId="50" xfId="0" applyNumberFormat="1" applyFont="1" applyFill="1" applyBorder="1" applyAlignment="1">
      <alignment horizontal="center" vertical="center"/>
    </xf>
    <xf numFmtId="3" fontId="16" fillId="2" borderId="78" xfId="0" applyNumberFormat="1" applyFont="1" applyFill="1" applyBorder="1" applyAlignment="1">
      <alignment horizontal="center" vertical="center"/>
    </xf>
    <xf numFmtId="3" fontId="16" fillId="5" borderId="78" xfId="0" applyNumberFormat="1" applyFont="1" applyFill="1" applyBorder="1" applyAlignment="1">
      <alignment horizontal="center" vertical="center"/>
    </xf>
    <xf numFmtId="3" fontId="16" fillId="2" borderId="24" xfId="0" applyNumberFormat="1" applyFont="1" applyFill="1" applyBorder="1" applyAlignment="1">
      <alignment horizontal="center" vertical="center"/>
    </xf>
    <xf numFmtId="3" fontId="16" fillId="2" borderId="63" xfId="0" applyNumberFormat="1" applyFont="1" applyFill="1" applyBorder="1" applyAlignment="1">
      <alignment horizontal="center" vertical="center"/>
    </xf>
    <xf numFmtId="3" fontId="16" fillId="2" borderId="218" xfId="0" applyNumberFormat="1" applyFont="1" applyFill="1" applyBorder="1" applyAlignment="1">
      <alignment horizontal="center" vertical="center"/>
    </xf>
    <xf numFmtId="165" fontId="16" fillId="2" borderId="60" xfId="0" applyNumberFormat="1" applyFont="1" applyFill="1" applyBorder="1" applyAlignment="1">
      <alignment horizontal="center" vertical="center"/>
    </xf>
    <xf numFmtId="165" fontId="16" fillId="9" borderId="105" xfId="0" applyNumberFormat="1" applyFont="1" applyFill="1" applyBorder="1" applyAlignment="1">
      <alignment horizontal="center" vertical="center"/>
    </xf>
    <xf numFmtId="165" fontId="16" fillId="9" borderId="60" xfId="0" applyNumberFormat="1" applyFont="1" applyFill="1" applyBorder="1" applyAlignment="1">
      <alignment horizontal="center" vertical="center"/>
    </xf>
    <xf numFmtId="3" fontId="16" fillId="2" borderId="150" xfId="0" applyNumberFormat="1" applyFont="1" applyFill="1" applyBorder="1" applyAlignment="1">
      <alignment horizontal="center" vertical="center"/>
    </xf>
    <xf numFmtId="3" fontId="16" fillId="2" borderId="25" xfId="0" applyNumberFormat="1" applyFont="1" applyFill="1" applyBorder="1" applyAlignment="1">
      <alignment horizontal="center" vertical="center"/>
    </xf>
    <xf numFmtId="3" fontId="16" fillId="6" borderId="109" xfId="0" applyNumberFormat="1" applyFont="1" applyFill="1" applyBorder="1" applyAlignment="1">
      <alignment horizontal="center" vertical="center"/>
    </xf>
    <xf numFmtId="3" fontId="16" fillId="6" borderId="116" xfId="0" applyNumberFormat="1" applyFont="1" applyFill="1" applyBorder="1" applyAlignment="1">
      <alignment horizontal="center" vertical="center"/>
    </xf>
    <xf numFmtId="3" fontId="16" fillId="6" borderId="111" xfId="0" applyNumberFormat="1" applyFont="1" applyFill="1" applyBorder="1" applyAlignment="1">
      <alignment horizontal="center" vertical="center"/>
    </xf>
    <xf numFmtId="3" fontId="16" fillId="6" borderId="106" xfId="0" applyNumberFormat="1" applyFont="1" applyFill="1" applyBorder="1" applyAlignment="1">
      <alignment horizontal="center" vertical="center"/>
    </xf>
    <xf numFmtId="164" fontId="16" fillId="2" borderId="137" xfId="0" applyNumberFormat="1" applyFont="1" applyFill="1" applyBorder="1" applyAlignment="1">
      <alignment horizontal="center" vertical="center"/>
    </xf>
    <xf numFmtId="164" fontId="16" fillId="2" borderId="138" xfId="0" applyNumberFormat="1" applyFont="1" applyFill="1" applyBorder="1" applyAlignment="1">
      <alignment horizontal="center" vertical="center"/>
    </xf>
    <xf numFmtId="165" fontId="16" fillId="2" borderId="143" xfId="0" applyNumberFormat="1" applyFont="1" applyFill="1" applyBorder="1" applyAlignment="1">
      <alignment horizontal="center" vertical="center"/>
    </xf>
    <xf numFmtId="3" fontId="16" fillId="2" borderId="142" xfId="0" applyNumberFormat="1" applyFont="1" applyFill="1" applyBorder="1" applyAlignment="1">
      <alignment horizontal="center" vertical="center"/>
    </xf>
    <xf numFmtId="3" fontId="16" fillId="2" borderId="140" xfId="0" applyNumberFormat="1" applyFont="1" applyFill="1" applyBorder="1" applyAlignment="1">
      <alignment horizontal="center" vertical="center"/>
    </xf>
    <xf numFmtId="3" fontId="16" fillId="2" borderId="143" xfId="0" applyNumberFormat="1" applyFont="1" applyFill="1" applyBorder="1" applyAlignment="1">
      <alignment horizontal="center" vertical="center"/>
    </xf>
    <xf numFmtId="164" fontId="16" fillId="2" borderId="75" xfId="0" applyNumberFormat="1" applyFont="1" applyFill="1" applyBorder="1" applyAlignment="1">
      <alignment horizontal="center" vertical="center"/>
    </xf>
    <xf numFmtId="165" fontId="16" fillId="2" borderId="68" xfId="0" applyNumberFormat="1" applyFont="1" applyFill="1" applyBorder="1" applyAlignment="1">
      <alignment horizontal="center" vertical="center"/>
    </xf>
    <xf numFmtId="165" fontId="16" fillId="2" borderId="150" xfId="0" applyNumberFormat="1" applyFont="1" applyFill="1" applyBorder="1" applyAlignment="1">
      <alignment horizontal="center" vertical="center"/>
    </xf>
    <xf numFmtId="164" fontId="16" fillId="2" borderId="117" xfId="0" applyNumberFormat="1" applyFont="1" applyFill="1" applyBorder="1" applyAlignment="1">
      <alignment horizontal="center" vertical="center"/>
    </xf>
    <xf numFmtId="164" fontId="16" fillId="2" borderId="114" xfId="0" applyNumberFormat="1" applyFont="1" applyFill="1" applyBorder="1" applyAlignment="1">
      <alignment horizontal="center" vertical="center"/>
    </xf>
    <xf numFmtId="165" fontId="16" fillId="2" borderId="103" xfId="0" applyNumberFormat="1" applyFont="1" applyFill="1" applyBorder="1" applyAlignment="1">
      <alignment horizontal="center" vertical="center"/>
    </xf>
    <xf numFmtId="165" fontId="16" fillId="2" borderId="104" xfId="0" applyNumberFormat="1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wrapText="1"/>
    </xf>
    <xf numFmtId="0" fontId="16" fillId="4" borderId="15" xfId="0" applyFont="1" applyFill="1" applyBorder="1" applyAlignment="1">
      <alignment horizontal="center" wrapText="1"/>
    </xf>
    <xf numFmtId="164" fontId="16" fillId="4" borderId="39" xfId="0" applyNumberFormat="1" applyFont="1" applyFill="1" applyBorder="1" applyAlignment="1">
      <alignment horizontal="center" wrapText="1"/>
    </xf>
    <xf numFmtId="164" fontId="16" fillId="4" borderId="219" xfId="0" applyNumberFormat="1" applyFont="1" applyFill="1" applyBorder="1" applyAlignment="1">
      <alignment horizontal="center" wrapText="1"/>
    </xf>
    <xf numFmtId="0" fontId="16" fillId="4" borderId="219" xfId="0" applyFont="1" applyFill="1" applyBorder="1" applyAlignment="1">
      <alignment horizontal="center"/>
    </xf>
    <xf numFmtId="165" fontId="16" fillId="4" borderId="219" xfId="0" applyNumberFormat="1" applyFont="1" applyFill="1" applyBorder="1" applyAlignment="1">
      <alignment horizontal="center"/>
    </xf>
    <xf numFmtId="0" fontId="16" fillId="4" borderId="219" xfId="0" applyFont="1" applyFill="1" applyBorder="1" applyAlignment="1">
      <alignment horizontal="center" wrapText="1"/>
    </xf>
    <xf numFmtId="0" fontId="16" fillId="4" borderId="40" xfId="0" applyFont="1" applyFill="1" applyBorder="1" applyAlignment="1">
      <alignment horizontal="center" wrapText="1"/>
    </xf>
    <xf numFmtId="3" fontId="16" fillId="4" borderId="220" xfId="0" applyNumberFormat="1" applyFont="1" applyFill="1" applyBorder="1" applyAlignment="1">
      <alignment horizontal="center" wrapText="1"/>
    </xf>
    <xf numFmtId="3" fontId="16" fillId="4" borderId="219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16" fillId="10" borderId="225" xfId="0" applyFont="1" applyFill="1" applyBorder="1"/>
    <xf numFmtId="3" fontId="7" fillId="10" borderId="55" xfId="0" applyNumberFormat="1" applyFont="1" applyFill="1" applyBorder="1" applyAlignment="1">
      <alignment horizontal="left" vertical="center" wrapText="1"/>
    </xf>
    <xf numFmtId="3" fontId="16" fillId="10" borderId="58" xfId="0" applyNumberFormat="1" applyFont="1" applyFill="1" applyBorder="1"/>
    <xf numFmtId="164" fontId="16" fillId="10" borderId="224" xfId="0" applyNumberFormat="1" applyFont="1" applyFill="1" applyBorder="1" applyAlignment="1">
      <alignment horizontal="center"/>
    </xf>
    <xf numFmtId="164" fontId="16" fillId="10" borderId="52" xfId="0" applyNumberFormat="1" applyFont="1" applyFill="1" applyBorder="1" applyAlignment="1">
      <alignment horizontal="center"/>
    </xf>
    <xf numFmtId="3" fontId="16" fillId="10" borderId="52" xfId="0" applyNumberFormat="1" applyFont="1" applyFill="1" applyBorder="1" applyAlignment="1">
      <alignment horizontal="center"/>
    </xf>
    <xf numFmtId="3" fontId="16" fillId="10" borderId="54" xfId="0" applyNumberFormat="1" applyFont="1" applyFill="1" applyBorder="1" applyAlignment="1">
      <alignment horizontal="center"/>
    </xf>
    <xf numFmtId="3" fontId="7" fillId="10" borderId="49" xfId="0" applyNumberFormat="1" applyFont="1" applyFill="1" applyBorder="1" applyAlignment="1">
      <alignment horizontal="center"/>
    </xf>
    <xf numFmtId="3" fontId="7" fillId="10" borderId="54" xfId="0" applyNumberFormat="1" applyFont="1" applyFill="1" applyBorder="1" applyAlignment="1">
      <alignment horizontal="center"/>
    </xf>
    <xf numFmtId="3" fontId="7" fillId="10" borderId="55" xfId="0" applyNumberFormat="1" applyFont="1" applyFill="1" applyBorder="1" applyAlignment="1">
      <alignment horizontal="center"/>
    </xf>
    <xf numFmtId="0" fontId="16" fillId="10" borderId="55" xfId="0" applyFont="1" applyFill="1" applyBorder="1" applyAlignment="1">
      <alignment horizontal="center"/>
    </xf>
    <xf numFmtId="0" fontId="16" fillId="10" borderId="58" xfId="0" applyFont="1" applyFill="1" applyBorder="1" applyAlignment="1">
      <alignment horizontal="center"/>
    </xf>
    <xf numFmtId="0" fontId="31" fillId="8" borderId="226" xfId="0" applyFont="1" applyFill="1" applyBorder="1"/>
    <xf numFmtId="4" fontId="31" fillId="8" borderId="77" xfId="0" applyNumberFormat="1" applyFont="1" applyFill="1" applyBorder="1" applyAlignment="1">
      <alignment horizontal="center"/>
    </xf>
    <xf numFmtId="164" fontId="31" fillId="8" borderId="70" xfId="0" applyNumberFormat="1" applyFont="1" applyFill="1" applyBorder="1" applyAlignment="1">
      <alignment horizontal="center"/>
    </xf>
    <xf numFmtId="9" fontId="31" fillId="8" borderId="70" xfId="1" applyFont="1" applyFill="1" applyBorder="1" applyAlignment="1">
      <alignment horizontal="center"/>
    </xf>
    <xf numFmtId="9" fontId="31" fillId="8" borderId="82" xfId="1" applyFont="1" applyFill="1" applyBorder="1" applyAlignment="1">
      <alignment horizontal="center"/>
    </xf>
    <xf numFmtId="3" fontId="31" fillId="8" borderId="67" xfId="0" applyNumberFormat="1" applyFont="1" applyFill="1" applyBorder="1" applyAlignment="1">
      <alignment horizontal="center"/>
    </xf>
    <xf numFmtId="3" fontId="31" fillId="8" borderId="82" xfId="0" applyNumberFormat="1" applyFont="1" applyFill="1" applyBorder="1" applyAlignment="1">
      <alignment horizontal="center"/>
    </xf>
    <xf numFmtId="3" fontId="31" fillId="8" borderId="72" xfId="0" applyNumberFormat="1" applyFont="1" applyFill="1" applyBorder="1" applyAlignment="1">
      <alignment horizontal="center"/>
    </xf>
    <xf numFmtId="1" fontId="31" fillId="8" borderId="72" xfId="0" applyNumberFormat="1" applyFont="1" applyFill="1" applyBorder="1" applyAlignment="1">
      <alignment horizontal="center"/>
    </xf>
    <xf numFmtId="1" fontId="31" fillId="8" borderId="80" xfId="0" applyNumberFormat="1" applyFont="1" applyFill="1" applyBorder="1" applyAlignment="1">
      <alignment horizontal="center"/>
    </xf>
    <xf numFmtId="0" fontId="16" fillId="2" borderId="226" xfId="0" applyFont="1" applyFill="1" applyBorder="1"/>
    <xf numFmtId="4" fontId="16" fillId="2" borderId="77" xfId="0" applyNumberFormat="1" applyFont="1" applyFill="1" applyBorder="1" applyAlignment="1">
      <alignment horizontal="center"/>
    </xf>
    <xf numFmtId="164" fontId="16" fillId="2" borderId="70" xfId="0" applyNumberFormat="1" applyFont="1" applyFill="1" applyBorder="1" applyAlignment="1">
      <alignment horizontal="center"/>
    </xf>
    <xf numFmtId="9" fontId="16" fillId="2" borderId="70" xfId="1" applyFont="1" applyFill="1" applyBorder="1" applyAlignment="1">
      <alignment horizontal="center"/>
    </xf>
    <xf numFmtId="9" fontId="16" fillId="2" borderId="82" xfId="1" applyFont="1" applyFill="1" applyBorder="1" applyAlignment="1">
      <alignment horizontal="center"/>
    </xf>
    <xf numFmtId="1" fontId="16" fillId="0" borderId="72" xfId="0" applyNumberFormat="1" applyFont="1" applyBorder="1" applyAlignment="1">
      <alignment horizontal="center"/>
    </xf>
    <xf numFmtId="1" fontId="16" fillId="0" borderId="80" xfId="0" applyNumberFormat="1" applyFont="1" applyBorder="1" applyAlignment="1">
      <alignment horizontal="center"/>
    </xf>
    <xf numFmtId="1" fontId="16" fillId="2" borderId="72" xfId="0" applyNumberFormat="1" applyFont="1" applyFill="1" applyBorder="1" applyAlignment="1">
      <alignment horizontal="center"/>
    </xf>
    <xf numFmtId="0" fontId="16" fillId="8" borderId="226" xfId="0" applyFont="1" applyFill="1" applyBorder="1"/>
    <xf numFmtId="4" fontId="16" fillId="8" borderId="77" xfId="0" applyNumberFormat="1" applyFont="1" applyFill="1" applyBorder="1" applyAlignment="1">
      <alignment horizontal="center"/>
    </xf>
    <xf numFmtId="164" fontId="16" fillId="8" borderId="70" xfId="0" applyNumberFormat="1" applyFont="1" applyFill="1" applyBorder="1" applyAlignment="1">
      <alignment horizontal="center"/>
    </xf>
    <xf numFmtId="9" fontId="16" fillId="8" borderId="70" xfId="1" applyFont="1" applyFill="1" applyBorder="1" applyAlignment="1">
      <alignment horizontal="center"/>
    </xf>
    <xf numFmtId="9" fontId="16" fillId="8" borderId="82" xfId="1" applyFont="1" applyFill="1" applyBorder="1" applyAlignment="1">
      <alignment horizontal="center"/>
    </xf>
    <xf numFmtId="1" fontId="16" fillId="8" borderId="72" xfId="0" applyNumberFormat="1" applyFont="1" applyFill="1" applyBorder="1" applyAlignment="1">
      <alignment horizontal="center"/>
    </xf>
    <xf numFmtId="1" fontId="16" fillId="8" borderId="80" xfId="0" applyNumberFormat="1" applyFont="1" applyFill="1" applyBorder="1" applyAlignment="1">
      <alignment horizontal="center"/>
    </xf>
    <xf numFmtId="0" fontId="16" fillId="2" borderId="227" xfId="0" applyFont="1" applyFill="1" applyBorder="1"/>
    <xf numFmtId="4" fontId="16" fillId="2" borderId="59" xfId="0" applyNumberFormat="1" applyFont="1" applyFill="1" applyBorder="1" applyAlignment="1">
      <alignment horizontal="center"/>
    </xf>
    <xf numFmtId="164" fontId="16" fillId="2" borderId="75" xfId="0" applyNumberFormat="1" applyFont="1" applyFill="1" applyBorder="1" applyAlignment="1">
      <alignment horizontal="center"/>
    </xf>
    <xf numFmtId="9" fontId="16" fillId="2" borderId="75" xfId="1" applyFont="1" applyFill="1" applyBorder="1" applyAlignment="1">
      <alignment horizontal="center"/>
    </xf>
    <xf numFmtId="9" fontId="16" fillId="2" borderId="71" xfId="1" applyFont="1" applyFill="1" applyBorder="1" applyAlignment="1">
      <alignment horizontal="center"/>
    </xf>
    <xf numFmtId="3" fontId="16" fillId="2" borderId="81" xfId="0" applyNumberFormat="1" applyFont="1" applyFill="1" applyBorder="1" applyAlignment="1">
      <alignment horizontal="center"/>
    </xf>
    <xf numFmtId="1" fontId="16" fillId="0" borderId="62" xfId="0" applyNumberFormat="1" applyFont="1" applyBorder="1" applyAlignment="1">
      <alignment horizontal="center"/>
    </xf>
    <xf numFmtId="1" fontId="16" fillId="0" borderId="76" xfId="0" applyNumberFormat="1" applyFont="1" applyBorder="1" applyAlignment="1">
      <alignment horizontal="center"/>
    </xf>
    <xf numFmtId="0" fontId="16" fillId="2" borderId="228" xfId="0" applyFont="1" applyFill="1" applyBorder="1"/>
    <xf numFmtId="4" fontId="16" fillId="2" borderId="94" xfId="0" applyNumberFormat="1" applyFont="1" applyFill="1" applyBorder="1" applyAlignment="1">
      <alignment horizontal="center"/>
    </xf>
    <xf numFmtId="164" fontId="16" fillId="2" borderId="88" xfId="0" applyNumberFormat="1" applyFont="1" applyFill="1" applyBorder="1" applyAlignment="1">
      <alignment horizontal="center"/>
    </xf>
    <xf numFmtId="9" fontId="16" fillId="2" borderId="88" xfId="1" applyFont="1" applyFill="1" applyBorder="1" applyAlignment="1">
      <alignment horizontal="center"/>
    </xf>
    <xf numFmtId="9" fontId="16" fillId="2" borderId="95" xfId="1" applyFont="1" applyFill="1" applyBorder="1" applyAlignment="1">
      <alignment horizontal="center"/>
    </xf>
    <xf numFmtId="1" fontId="16" fillId="2" borderId="96" xfId="0" applyNumberFormat="1" applyFont="1" applyFill="1" applyBorder="1" applyAlignment="1">
      <alignment horizontal="center"/>
    </xf>
    <xf numFmtId="1" fontId="16" fillId="2" borderId="98" xfId="0" applyNumberFormat="1" applyFont="1" applyFill="1" applyBorder="1" applyAlignment="1">
      <alignment horizontal="center"/>
    </xf>
    <xf numFmtId="164" fontId="0" fillId="10" borderId="224" xfId="0" applyNumberFormat="1" applyFill="1" applyBorder="1" applyAlignment="1">
      <alignment horizontal="center"/>
    </xf>
    <xf numFmtId="164" fontId="0" fillId="10" borderId="52" xfId="0" applyNumberFormat="1" applyFill="1" applyBorder="1" applyAlignment="1">
      <alignment horizontal="center"/>
    </xf>
    <xf numFmtId="3" fontId="0" fillId="10" borderId="52" xfId="0" applyNumberFormat="1" applyFill="1" applyBorder="1" applyAlignment="1">
      <alignment horizontal="center"/>
    </xf>
    <xf numFmtId="3" fontId="0" fillId="10" borderId="54" xfId="0" applyNumberFormat="1" applyFill="1" applyBorder="1" applyAlignment="1">
      <alignment horizontal="center"/>
    </xf>
    <xf numFmtId="3" fontId="32" fillId="10" borderId="49" xfId="0" applyNumberFormat="1" applyFont="1" applyFill="1" applyBorder="1" applyAlignment="1">
      <alignment horizontal="center"/>
    </xf>
    <xf numFmtId="0" fontId="24" fillId="10" borderId="55" xfId="0" applyFont="1" applyFill="1" applyBorder="1" applyAlignment="1">
      <alignment horizontal="center"/>
    </xf>
    <xf numFmtId="0" fontId="0" fillId="10" borderId="58" xfId="0" applyFill="1" applyBorder="1" applyAlignment="1">
      <alignment horizontal="center"/>
    </xf>
    <xf numFmtId="164" fontId="33" fillId="8" borderId="77" xfId="0" applyNumberFormat="1" applyFont="1" applyFill="1" applyBorder="1" applyAlignment="1">
      <alignment horizontal="center"/>
    </xf>
    <xf numFmtId="164" fontId="33" fillId="8" borderId="72" xfId="0" applyNumberFormat="1" applyFont="1" applyFill="1" applyBorder="1" applyAlignment="1">
      <alignment horizontal="center"/>
    </xf>
    <xf numFmtId="9" fontId="33" fillId="8" borderId="70" xfId="1" applyFont="1" applyFill="1" applyBorder="1" applyAlignment="1">
      <alignment horizontal="center"/>
    </xf>
    <xf numFmtId="3" fontId="33" fillId="8" borderId="82" xfId="0" applyNumberFormat="1" applyFont="1" applyFill="1" applyBorder="1" applyAlignment="1">
      <alignment horizontal="center"/>
    </xf>
    <xf numFmtId="3" fontId="33" fillId="8" borderId="67" xfId="0" applyNumberFormat="1" applyFont="1" applyFill="1" applyBorder="1" applyAlignment="1">
      <alignment horizontal="center"/>
    </xf>
    <xf numFmtId="164" fontId="34" fillId="2" borderId="77" xfId="0" applyNumberFormat="1" applyFont="1" applyFill="1" applyBorder="1" applyAlignment="1">
      <alignment horizontal="center"/>
    </xf>
    <xf numFmtId="164" fontId="34" fillId="2" borderId="72" xfId="0" applyNumberFormat="1" applyFont="1" applyFill="1" applyBorder="1" applyAlignment="1">
      <alignment horizontal="center"/>
    </xf>
    <xf numFmtId="9" fontId="34" fillId="2" borderId="70" xfId="1" applyFont="1" applyFill="1" applyBorder="1" applyAlignment="1">
      <alignment horizontal="center"/>
    </xf>
    <xf numFmtId="9" fontId="34" fillId="2" borderId="82" xfId="1" applyFont="1" applyFill="1" applyBorder="1" applyAlignment="1">
      <alignment horizontal="center"/>
    </xf>
    <xf numFmtId="3" fontId="34" fillId="2" borderId="67" xfId="0" applyNumberFormat="1" applyFont="1" applyFill="1" applyBorder="1" applyAlignment="1">
      <alignment horizontal="center"/>
    </xf>
    <xf numFmtId="3" fontId="34" fillId="2" borderId="82" xfId="0" applyNumberFormat="1" applyFont="1" applyFill="1" applyBorder="1" applyAlignment="1">
      <alignment horizontal="center"/>
    </xf>
    <xf numFmtId="3" fontId="34" fillId="2" borderId="72" xfId="0" applyNumberFormat="1" applyFont="1" applyFill="1" applyBorder="1" applyAlignment="1">
      <alignment horizontal="center"/>
    </xf>
    <xf numFmtId="3" fontId="34" fillId="2" borderId="70" xfId="0" applyNumberFormat="1" applyFont="1" applyFill="1" applyBorder="1" applyAlignment="1">
      <alignment horizontal="center"/>
    </xf>
    <xf numFmtId="1" fontId="34" fillId="0" borderId="72" xfId="0" applyNumberFormat="1" applyFont="1" applyBorder="1" applyAlignment="1">
      <alignment horizontal="center"/>
    </xf>
    <xf numFmtId="1" fontId="34" fillId="0" borderId="80" xfId="0" applyNumberFormat="1" applyFont="1" applyBorder="1" applyAlignment="1">
      <alignment horizontal="center"/>
    </xf>
    <xf numFmtId="164" fontId="34" fillId="8" borderId="77" xfId="0" applyNumberFormat="1" applyFont="1" applyFill="1" applyBorder="1" applyAlignment="1">
      <alignment horizontal="center"/>
    </xf>
    <xf numFmtId="164" fontId="34" fillId="8" borderId="72" xfId="0" applyNumberFormat="1" applyFont="1" applyFill="1" applyBorder="1" applyAlignment="1">
      <alignment horizontal="center"/>
    </xf>
    <xf numFmtId="9" fontId="34" fillId="8" borderId="70" xfId="1" applyFont="1" applyFill="1" applyBorder="1" applyAlignment="1">
      <alignment horizontal="center"/>
    </xf>
    <xf numFmtId="3" fontId="34" fillId="8" borderId="82" xfId="0" applyNumberFormat="1" applyFont="1" applyFill="1" applyBorder="1" applyAlignment="1">
      <alignment horizontal="center"/>
    </xf>
    <xf numFmtId="3" fontId="34" fillId="8" borderId="72" xfId="0" applyNumberFormat="1" applyFont="1" applyFill="1" applyBorder="1" applyAlignment="1">
      <alignment horizontal="center"/>
    </xf>
    <xf numFmtId="3" fontId="34" fillId="8" borderId="70" xfId="0" applyNumberFormat="1" applyFont="1" applyFill="1" applyBorder="1" applyAlignment="1">
      <alignment horizontal="center"/>
    </xf>
    <xf numFmtId="3" fontId="34" fillId="8" borderId="67" xfId="0" applyNumberFormat="1" applyFont="1" applyFill="1" applyBorder="1" applyAlignment="1">
      <alignment horizontal="center"/>
    </xf>
    <xf numFmtId="164" fontId="34" fillId="2" borderId="59" xfId="0" applyNumberFormat="1" applyFont="1" applyFill="1" applyBorder="1" applyAlignment="1">
      <alignment horizontal="center"/>
    </xf>
    <xf numFmtId="164" fontId="34" fillId="2" borderId="62" xfId="0" applyNumberFormat="1" applyFont="1" applyFill="1" applyBorder="1" applyAlignment="1">
      <alignment horizontal="center"/>
    </xf>
    <xf numFmtId="9" fontId="34" fillId="2" borderId="75" xfId="1" applyFont="1" applyFill="1" applyBorder="1" applyAlignment="1">
      <alignment horizontal="center"/>
    </xf>
    <xf numFmtId="3" fontId="34" fillId="2" borderId="81" xfId="0" applyNumberFormat="1" applyFont="1" applyFill="1" applyBorder="1" applyAlignment="1">
      <alignment horizontal="center"/>
    </xf>
    <xf numFmtId="3" fontId="34" fillId="2" borderId="71" xfId="0" applyNumberFormat="1" applyFont="1" applyFill="1" applyBorder="1" applyAlignment="1">
      <alignment horizontal="center"/>
    </xf>
    <xf numFmtId="1" fontId="34" fillId="0" borderId="62" xfId="0" applyNumberFormat="1" applyFont="1" applyBorder="1" applyAlignment="1">
      <alignment horizontal="center"/>
    </xf>
    <xf numFmtId="1" fontId="34" fillId="0" borderId="76" xfId="0" applyNumberFormat="1" applyFont="1" applyBorder="1" applyAlignment="1">
      <alignment horizontal="center"/>
    </xf>
    <xf numFmtId="164" fontId="34" fillId="2" borderId="94" xfId="0" applyNumberFormat="1" applyFont="1" applyFill="1" applyBorder="1" applyAlignment="1">
      <alignment horizontal="center"/>
    </xf>
    <xf numFmtId="164" fontId="34" fillId="2" borderId="96" xfId="0" applyNumberFormat="1" applyFont="1" applyFill="1" applyBorder="1" applyAlignment="1">
      <alignment horizontal="center"/>
    </xf>
    <xf numFmtId="9" fontId="34" fillId="2" borderId="88" xfId="1" applyFont="1" applyFill="1" applyBorder="1" applyAlignment="1">
      <alignment horizontal="center"/>
    </xf>
    <xf numFmtId="3" fontId="34" fillId="2" borderId="88" xfId="0" applyNumberFormat="1" applyFont="1" applyFill="1" applyBorder="1" applyAlignment="1">
      <alignment horizontal="center"/>
    </xf>
    <xf numFmtId="3" fontId="34" fillId="2" borderId="86" xfId="0" applyNumberFormat="1" applyFont="1" applyFill="1" applyBorder="1" applyAlignment="1">
      <alignment horizontal="center"/>
    </xf>
    <xf numFmtId="3" fontId="34" fillId="2" borderId="95" xfId="0" applyNumberFormat="1" applyFont="1" applyFill="1" applyBorder="1" applyAlignment="1">
      <alignment horizontal="center"/>
    </xf>
    <xf numFmtId="1" fontId="34" fillId="0" borderId="96" xfId="0" applyNumberFormat="1" applyFont="1" applyBorder="1" applyAlignment="1">
      <alignment horizontal="center"/>
    </xf>
    <xf numFmtId="1" fontId="34" fillId="0" borderId="98" xfId="0" applyNumberFormat="1" applyFont="1" applyBorder="1" applyAlignment="1">
      <alignment horizontal="center"/>
    </xf>
    <xf numFmtId="3" fontId="16" fillId="10" borderId="63" xfId="0" applyNumberFormat="1" applyFont="1" applyFill="1" applyBorder="1"/>
    <xf numFmtId="3" fontId="16" fillId="2" borderId="78" xfId="0" applyNumberFormat="1" applyFont="1" applyFill="1" applyBorder="1"/>
    <xf numFmtId="164" fontId="16" fillId="2" borderId="78" xfId="0" applyNumberFormat="1" applyFont="1" applyFill="1" applyBorder="1"/>
    <xf numFmtId="3" fontId="16" fillId="2" borderId="229" xfId="0" applyNumberFormat="1" applyFont="1" applyFill="1" applyBorder="1"/>
    <xf numFmtId="0" fontId="24" fillId="10" borderId="49" xfId="0" applyFont="1" applyFill="1" applyBorder="1" applyAlignment="1">
      <alignment horizontal="center"/>
    </xf>
    <xf numFmtId="3" fontId="33" fillId="8" borderId="80" xfId="0" applyNumberFormat="1" applyFont="1" applyFill="1" applyBorder="1" applyAlignment="1">
      <alignment horizontal="center"/>
    </xf>
    <xf numFmtId="1" fontId="34" fillId="0" borderId="67" xfId="0" applyNumberFormat="1" applyFont="1" applyBorder="1" applyAlignment="1">
      <alignment horizontal="center"/>
    </xf>
    <xf numFmtId="1" fontId="34" fillId="0" borderId="81" xfId="0" applyNumberFormat="1" applyFont="1" applyBorder="1" applyAlignment="1">
      <alignment horizontal="center"/>
    </xf>
    <xf numFmtId="1" fontId="34" fillId="0" borderId="86" xfId="0" applyNumberFormat="1" applyFont="1" applyBorder="1" applyAlignment="1">
      <alignment horizontal="center"/>
    </xf>
    <xf numFmtId="0" fontId="31" fillId="0" borderId="0" xfId="0" applyFont="1"/>
    <xf numFmtId="0" fontId="35" fillId="0" borderId="0" xfId="0" applyFont="1"/>
    <xf numFmtId="164" fontId="36" fillId="0" borderId="0" xfId="0" applyNumberFormat="1" applyFont="1"/>
    <xf numFmtId="0" fontId="36" fillId="0" borderId="0" xfId="0" applyFont="1"/>
    <xf numFmtId="164" fontId="37" fillId="2" borderId="0" xfId="0" applyNumberFormat="1" applyFont="1" applyFill="1"/>
    <xf numFmtId="0" fontId="37" fillId="2" borderId="0" xfId="0" applyFont="1" applyFill="1"/>
    <xf numFmtId="164" fontId="38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40" fillId="3" borderId="9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37" fillId="4" borderId="14" xfId="0" applyFont="1" applyFill="1" applyBorder="1" applyAlignment="1">
      <alignment horizontal="center" vertical="center" wrapText="1"/>
    </xf>
    <xf numFmtId="0" fontId="37" fillId="4" borderId="15" xfId="0" applyFont="1" applyFill="1" applyBorder="1" applyAlignment="1">
      <alignment horizontal="center" vertical="center" wrapText="1"/>
    </xf>
    <xf numFmtId="0" fontId="37" fillId="4" borderId="16" xfId="0" applyFont="1" applyFill="1" applyBorder="1" applyAlignment="1">
      <alignment horizontal="center" vertical="center" wrapText="1"/>
    </xf>
    <xf numFmtId="0" fontId="37" fillId="4" borderId="17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center" vertical="center" wrapText="1"/>
    </xf>
    <xf numFmtId="164" fontId="37" fillId="4" borderId="31" xfId="0" applyNumberFormat="1" applyFont="1" applyFill="1" applyBorder="1" applyAlignment="1">
      <alignment horizontal="center" vertical="center" wrapText="1"/>
    </xf>
    <xf numFmtId="164" fontId="37" fillId="4" borderId="32" xfId="0" applyNumberFormat="1" applyFont="1" applyFill="1" applyBorder="1" applyAlignment="1">
      <alignment horizontal="center" vertical="center" wrapText="1"/>
    </xf>
    <xf numFmtId="0" fontId="37" fillId="4" borderId="32" xfId="0" applyFont="1" applyFill="1" applyBorder="1" applyAlignment="1">
      <alignment horizontal="center" vertical="center" wrapText="1"/>
    </xf>
    <xf numFmtId="165" fontId="37" fillId="4" borderId="32" xfId="0" applyNumberFormat="1" applyFont="1" applyFill="1" applyBorder="1" applyAlignment="1">
      <alignment horizontal="center" vertical="center" wrapText="1"/>
    </xf>
    <xf numFmtId="3" fontId="37" fillId="4" borderId="17" xfId="0" applyNumberFormat="1" applyFont="1" applyFill="1" applyBorder="1" applyAlignment="1">
      <alignment horizontal="center" vertical="center" wrapText="1"/>
    </xf>
    <xf numFmtId="3" fontId="37" fillId="4" borderId="32" xfId="0" applyNumberFormat="1" applyFont="1" applyFill="1" applyBorder="1" applyAlignment="1">
      <alignment horizontal="center" vertical="center" wrapText="1"/>
    </xf>
    <xf numFmtId="0" fontId="37" fillId="4" borderId="33" xfId="0" applyFont="1" applyFill="1" applyBorder="1" applyAlignment="1">
      <alignment horizontal="center" vertical="center" wrapText="1"/>
    </xf>
    <xf numFmtId="164" fontId="37" fillId="4" borderId="39" xfId="0" applyNumberFormat="1" applyFont="1" applyFill="1" applyBorder="1" applyAlignment="1">
      <alignment horizontal="center" vertical="center" wrapText="1"/>
    </xf>
    <xf numFmtId="164" fontId="37" fillId="4" borderId="219" xfId="0" applyNumberFormat="1" applyFont="1" applyFill="1" applyBorder="1" applyAlignment="1">
      <alignment horizontal="center" vertical="center" wrapText="1"/>
    </xf>
    <xf numFmtId="0" fontId="37" fillId="4" borderId="219" xfId="0" applyFont="1" applyFill="1" applyBorder="1" applyAlignment="1">
      <alignment horizontal="center" vertical="center"/>
    </xf>
    <xf numFmtId="165" fontId="37" fillId="4" borderId="219" xfId="0" applyNumberFormat="1" applyFont="1" applyFill="1" applyBorder="1" applyAlignment="1">
      <alignment horizontal="center" vertical="center"/>
    </xf>
    <xf numFmtId="0" fontId="37" fillId="4" borderId="219" xfId="0" applyFont="1" applyFill="1" applyBorder="1" applyAlignment="1">
      <alignment horizontal="center" vertical="center" wrapText="1"/>
    </xf>
    <xf numFmtId="0" fontId="37" fillId="4" borderId="40" xfId="0" applyFont="1" applyFill="1" applyBorder="1" applyAlignment="1">
      <alignment horizontal="center" vertical="center" wrapText="1"/>
    </xf>
    <xf numFmtId="3" fontId="37" fillId="4" borderId="220" xfId="0" applyNumberFormat="1" applyFont="1" applyFill="1" applyBorder="1" applyAlignment="1">
      <alignment horizontal="center" vertical="center" wrapText="1"/>
    </xf>
    <xf numFmtId="3" fontId="37" fillId="4" borderId="219" xfId="0" applyNumberFormat="1" applyFont="1" applyFill="1" applyBorder="1" applyAlignment="1">
      <alignment horizontal="center" vertical="center" wrapText="1"/>
    </xf>
    <xf numFmtId="0" fontId="37" fillId="4" borderId="22" xfId="0" applyFont="1" applyFill="1" applyBorder="1" applyAlignment="1">
      <alignment horizontal="center" vertical="center" wrapText="1"/>
    </xf>
    <xf numFmtId="164" fontId="37" fillId="4" borderId="13" xfId="0" applyNumberFormat="1" applyFont="1" applyFill="1" applyBorder="1" applyAlignment="1">
      <alignment horizontal="center" vertical="center" wrapText="1"/>
    </xf>
    <xf numFmtId="164" fontId="37" fillId="4" borderId="14" xfId="0" applyNumberFormat="1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center"/>
    </xf>
    <xf numFmtId="165" fontId="37" fillId="4" borderId="15" xfId="0" applyNumberFormat="1" applyFont="1" applyFill="1" applyBorder="1" applyAlignment="1">
      <alignment horizontal="center" vertical="center"/>
    </xf>
    <xf numFmtId="3" fontId="37" fillId="4" borderId="221" xfId="0" applyNumberFormat="1" applyFont="1" applyFill="1" applyBorder="1" applyAlignment="1">
      <alignment horizontal="center" vertical="center" wrapText="1"/>
    </xf>
    <xf numFmtId="3" fontId="37" fillId="4" borderId="15" xfId="0" applyNumberFormat="1" applyFont="1" applyFill="1" applyBorder="1" applyAlignment="1">
      <alignment horizontal="center" vertical="center" wrapText="1"/>
    </xf>
    <xf numFmtId="9" fontId="37" fillId="5" borderId="51" xfId="1" applyFont="1" applyFill="1" applyBorder="1" applyAlignment="1">
      <alignment horizontal="center" vertical="center"/>
    </xf>
    <xf numFmtId="3" fontId="37" fillId="5" borderId="55" xfId="0" applyNumberFormat="1" applyFont="1" applyFill="1" applyBorder="1" applyAlignment="1">
      <alignment horizontal="center" vertical="center"/>
    </xf>
    <xf numFmtId="166" fontId="37" fillId="5" borderId="52" xfId="1" applyNumberFormat="1" applyFont="1" applyFill="1" applyBorder="1" applyAlignment="1">
      <alignment horizontal="center" vertical="center"/>
    </xf>
    <xf numFmtId="3" fontId="37" fillId="5" borderId="54" xfId="0" applyNumberFormat="1" applyFont="1" applyFill="1" applyBorder="1" applyAlignment="1">
      <alignment horizontal="center" vertical="center"/>
    </xf>
    <xf numFmtId="3" fontId="37" fillId="5" borderId="56" xfId="0" applyNumberFormat="1" applyFont="1" applyFill="1" applyBorder="1" applyAlignment="1">
      <alignment horizontal="center" vertical="center"/>
    </xf>
    <xf numFmtId="9" fontId="37" fillId="5" borderId="49" xfId="1" applyFont="1" applyFill="1" applyBorder="1" applyAlignment="1">
      <alignment horizontal="center" vertical="center"/>
    </xf>
    <xf numFmtId="3" fontId="37" fillId="5" borderId="57" xfId="0" applyNumberFormat="1" applyFont="1" applyFill="1" applyBorder="1" applyAlignment="1">
      <alignment horizontal="center" vertical="center"/>
    </xf>
    <xf numFmtId="3" fontId="37" fillId="5" borderId="52" xfId="0" applyNumberFormat="1" applyFont="1" applyFill="1" applyBorder="1" applyAlignment="1">
      <alignment horizontal="center" vertical="center"/>
    </xf>
    <xf numFmtId="3" fontId="37" fillId="5" borderId="58" xfId="0" applyNumberFormat="1" applyFont="1" applyFill="1" applyBorder="1" applyAlignment="1">
      <alignment horizontal="center" vertical="center"/>
    </xf>
    <xf numFmtId="9" fontId="37" fillId="2" borderId="59" xfId="1" applyFont="1" applyFill="1" applyBorder="1" applyAlignment="1">
      <alignment horizontal="center" vertical="center"/>
    </xf>
    <xf numFmtId="3" fontId="37" fillId="2" borderId="62" xfId="0" applyNumberFormat="1" applyFont="1" applyFill="1" applyBorder="1" applyAlignment="1">
      <alignment horizontal="center" vertical="center"/>
    </xf>
    <xf numFmtId="166" fontId="37" fillId="2" borderId="75" xfId="1" applyNumberFormat="1" applyFont="1" applyFill="1" applyBorder="1" applyAlignment="1">
      <alignment horizontal="center" vertical="center"/>
    </xf>
    <xf numFmtId="3" fontId="37" fillId="2" borderId="71" xfId="0" applyNumberFormat="1" applyFont="1" applyFill="1" applyBorder="1" applyAlignment="1">
      <alignment horizontal="center" vertical="center"/>
    </xf>
    <xf numFmtId="3" fontId="37" fillId="2" borderId="72" xfId="0" applyNumberFormat="1" applyFont="1" applyFill="1" applyBorder="1" applyAlignment="1">
      <alignment horizontal="center" vertical="center"/>
    </xf>
    <xf numFmtId="3" fontId="37" fillId="2" borderId="73" xfId="0" applyNumberFormat="1" applyFont="1" applyFill="1" applyBorder="1" applyAlignment="1">
      <alignment horizontal="center" vertical="center"/>
    </xf>
    <xf numFmtId="9" fontId="37" fillId="2" borderId="67" xfId="1" applyFont="1" applyFill="1" applyBorder="1" applyAlignment="1">
      <alignment horizontal="center" vertical="center"/>
    </xf>
    <xf numFmtId="3" fontId="37" fillId="2" borderId="60" xfId="0" applyNumberFormat="1" applyFont="1" applyFill="1" applyBorder="1" applyAlignment="1">
      <alignment horizontal="center" vertical="center"/>
    </xf>
    <xf numFmtId="3" fontId="37" fillId="2" borderId="70" xfId="0" applyNumberFormat="1" applyFont="1" applyFill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3" fontId="37" fillId="2" borderId="82" xfId="0" applyNumberFormat="1" applyFont="1" applyFill="1" applyBorder="1" applyAlignment="1">
      <alignment horizontal="center" vertical="center"/>
    </xf>
    <xf numFmtId="3" fontId="37" fillId="2" borderId="67" xfId="0" applyNumberFormat="1" applyFont="1" applyFill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9" fontId="37" fillId="5" borderId="59" xfId="1" applyFont="1" applyFill="1" applyBorder="1" applyAlignment="1">
      <alignment horizontal="center" vertical="center"/>
    </xf>
    <xf numFmtId="3" fontId="37" fillId="5" borderId="72" xfId="0" applyNumberFormat="1" applyFont="1" applyFill="1" applyBorder="1" applyAlignment="1">
      <alignment horizontal="center" vertical="center"/>
    </xf>
    <xf numFmtId="166" fontId="37" fillId="5" borderId="70" xfId="1" applyNumberFormat="1" applyFont="1" applyFill="1" applyBorder="1" applyAlignment="1">
      <alignment horizontal="center" vertical="center"/>
    </xf>
    <xf numFmtId="3" fontId="37" fillId="5" borderId="82" xfId="0" applyNumberFormat="1" applyFont="1" applyFill="1" applyBorder="1" applyAlignment="1">
      <alignment horizontal="center" vertical="center"/>
    </xf>
    <xf numFmtId="3" fontId="37" fillId="5" borderId="62" xfId="0" applyNumberFormat="1" applyFont="1" applyFill="1" applyBorder="1" applyAlignment="1">
      <alignment horizontal="center" vertical="center"/>
    </xf>
    <xf numFmtId="3" fontId="37" fillId="5" borderId="83" xfId="0" applyNumberFormat="1" applyFont="1" applyFill="1" applyBorder="1" applyAlignment="1">
      <alignment horizontal="center" vertical="center"/>
    </xf>
    <xf numFmtId="9" fontId="37" fillId="5" borderId="67" xfId="1" applyFont="1" applyFill="1" applyBorder="1" applyAlignment="1">
      <alignment horizontal="center" vertical="center"/>
    </xf>
    <xf numFmtId="3" fontId="37" fillId="5" borderId="60" xfId="0" applyNumberFormat="1" applyFont="1" applyFill="1" applyBorder="1" applyAlignment="1">
      <alignment horizontal="center" vertical="center"/>
    </xf>
    <xf numFmtId="3" fontId="37" fillId="5" borderId="75" xfId="0" applyNumberFormat="1" applyFont="1" applyFill="1" applyBorder="1" applyAlignment="1">
      <alignment horizontal="center" vertical="center"/>
    </xf>
    <xf numFmtId="3" fontId="37" fillId="5" borderId="70" xfId="0" applyNumberFormat="1" applyFont="1" applyFill="1" applyBorder="1" applyAlignment="1">
      <alignment horizontal="center" vertical="center"/>
    </xf>
    <xf numFmtId="3" fontId="37" fillId="5" borderId="67" xfId="0" applyNumberFormat="1" applyFont="1" applyFill="1" applyBorder="1" applyAlignment="1">
      <alignment horizontal="center" vertical="center"/>
    </xf>
    <xf numFmtId="0" fontId="42" fillId="5" borderId="80" xfId="0" applyFont="1" applyFill="1" applyBorder="1" applyAlignment="1">
      <alignment horizontal="center" vertical="center"/>
    </xf>
    <xf numFmtId="166" fontId="37" fillId="2" borderId="70" xfId="1" applyNumberFormat="1" applyFont="1" applyFill="1" applyBorder="1" applyAlignment="1">
      <alignment horizontal="center" vertical="center"/>
    </xf>
    <xf numFmtId="3" fontId="37" fillId="2" borderId="83" xfId="0" applyNumberFormat="1" applyFont="1" applyFill="1" applyBorder="1" applyAlignment="1">
      <alignment horizontal="center" vertical="center"/>
    </xf>
    <xf numFmtId="3" fontId="37" fillId="2" borderId="75" xfId="0" applyNumberFormat="1" applyFont="1" applyFill="1" applyBorder="1" applyAlignment="1">
      <alignment horizontal="center" vertical="center"/>
    </xf>
    <xf numFmtId="3" fontId="37" fillId="5" borderId="73" xfId="0" applyNumberFormat="1" applyFont="1" applyFill="1" applyBorder="1" applyAlignment="1">
      <alignment horizontal="center" vertical="center"/>
    </xf>
    <xf numFmtId="0" fontId="37" fillId="0" borderId="80" xfId="0" applyFont="1" applyBorder="1" applyAlignment="1">
      <alignment horizontal="center" vertical="center"/>
    </xf>
    <xf numFmtId="0" fontId="37" fillId="5" borderId="80" xfId="0" applyFont="1" applyFill="1" applyBorder="1" applyAlignment="1">
      <alignment horizontal="center" vertical="center"/>
    </xf>
    <xf numFmtId="9" fontId="37" fillId="9" borderId="59" xfId="1" applyFont="1" applyFill="1" applyBorder="1" applyAlignment="1">
      <alignment horizontal="center" vertical="center"/>
    </xf>
    <xf numFmtId="3" fontId="37" fillId="9" borderId="72" xfId="0" applyNumberFormat="1" applyFont="1" applyFill="1" applyBorder="1" applyAlignment="1">
      <alignment horizontal="center" vertical="center"/>
    </xf>
    <xf numFmtId="166" fontId="37" fillId="9" borderId="70" xfId="1" applyNumberFormat="1" applyFont="1" applyFill="1" applyBorder="1" applyAlignment="1">
      <alignment horizontal="center" vertical="center"/>
    </xf>
    <xf numFmtId="3" fontId="37" fillId="0" borderId="82" xfId="0" applyNumberFormat="1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 wrapText="1"/>
    </xf>
    <xf numFmtId="9" fontId="37" fillId="9" borderId="67" xfId="1" applyFont="1" applyFill="1" applyBorder="1" applyAlignment="1">
      <alignment horizontal="center" vertical="center"/>
    </xf>
    <xf numFmtId="3" fontId="37" fillId="6" borderId="72" xfId="0" applyNumberFormat="1" applyFont="1" applyFill="1" applyBorder="1" applyAlignment="1">
      <alignment horizontal="center" vertical="center"/>
    </xf>
    <xf numFmtId="3" fontId="37" fillId="6" borderId="73" xfId="0" applyNumberFormat="1" applyFont="1" applyFill="1" applyBorder="1" applyAlignment="1">
      <alignment horizontal="center" vertical="center"/>
    </xf>
    <xf numFmtId="3" fontId="37" fillId="6" borderId="70" xfId="0" applyNumberFormat="1" applyFont="1" applyFill="1" applyBorder="1" applyAlignment="1">
      <alignment horizontal="center" vertical="center"/>
    </xf>
    <xf numFmtId="9" fontId="40" fillId="3" borderId="110" xfId="1" applyFont="1" applyFill="1" applyBorder="1" applyAlignment="1">
      <alignment horizontal="center" vertical="center"/>
    </xf>
    <xf numFmtId="3" fontId="40" fillId="3" borderId="106" xfId="0" applyNumberFormat="1" applyFont="1" applyFill="1" applyBorder="1" applyAlignment="1">
      <alignment horizontal="center" vertical="center"/>
    </xf>
    <xf numFmtId="166" fontId="40" fillId="3" borderId="106" xfId="1" applyNumberFormat="1" applyFont="1" applyFill="1" applyBorder="1" applyAlignment="1">
      <alignment horizontal="center" vertical="center"/>
    </xf>
    <xf numFmtId="164" fontId="40" fillId="3" borderId="112" xfId="0" applyNumberFormat="1" applyFont="1" applyFill="1" applyBorder="1" applyAlignment="1">
      <alignment horizontal="center" vertical="center"/>
    </xf>
    <xf numFmtId="3" fontId="40" fillId="3" borderId="111" xfId="0" applyNumberFormat="1" applyFont="1" applyFill="1" applyBorder="1" applyAlignment="1">
      <alignment horizontal="center" vertical="center"/>
    </xf>
    <xf numFmtId="3" fontId="40" fillId="3" borderId="25" xfId="0" applyNumberFormat="1" applyFont="1" applyFill="1" applyBorder="1" applyAlignment="1">
      <alignment horizontal="center" vertical="center"/>
    </xf>
    <xf numFmtId="9" fontId="40" fillId="3" borderId="116" xfId="1" applyFont="1" applyFill="1" applyBorder="1" applyAlignment="1">
      <alignment horizontal="center" vertical="center"/>
    </xf>
    <xf numFmtId="3" fontId="40" fillId="3" borderId="107" xfId="0" applyNumberFormat="1" applyFont="1" applyFill="1" applyBorder="1" applyAlignment="1">
      <alignment horizontal="center" vertical="center"/>
    </xf>
    <xf numFmtId="3" fontId="40" fillId="3" borderId="116" xfId="0" applyNumberFormat="1" applyFont="1" applyFill="1" applyBorder="1" applyAlignment="1">
      <alignment horizontal="center" vertical="center"/>
    </xf>
    <xf numFmtId="0" fontId="37" fillId="3" borderId="108" xfId="0" applyFont="1" applyFill="1" applyBorder="1" applyAlignment="1">
      <alignment horizontal="center" vertical="center"/>
    </xf>
    <xf numFmtId="9" fontId="37" fillId="2" borderId="23" xfId="1" applyFont="1" applyFill="1" applyBorder="1" applyAlignment="1">
      <alignment horizontal="center" vertical="center"/>
    </xf>
    <xf numFmtId="165" fontId="37" fillId="2" borderId="106" xfId="0" applyNumberFormat="1" applyFont="1" applyFill="1" applyBorder="1" applyAlignment="1">
      <alignment horizontal="center" vertical="center"/>
    </xf>
    <xf numFmtId="164" fontId="37" fillId="2" borderId="106" xfId="0" applyNumberFormat="1" applyFont="1" applyFill="1" applyBorder="1" applyAlignment="1">
      <alignment horizontal="center" vertical="center"/>
    </xf>
    <xf numFmtId="3" fontId="37" fillId="2" borderId="111" xfId="0" applyNumberFormat="1" applyFont="1" applyFill="1" applyBorder="1" applyAlignment="1">
      <alignment horizontal="center" vertical="center"/>
    </xf>
    <xf numFmtId="3" fontId="37" fillId="2" borderId="25" xfId="0" applyNumberFormat="1" applyFont="1" applyFill="1" applyBorder="1" applyAlignment="1">
      <alignment horizontal="center" vertical="center"/>
    </xf>
    <xf numFmtId="3" fontId="37" fillId="2" borderId="26" xfId="0" applyNumberFormat="1" applyFont="1" applyFill="1" applyBorder="1" applyAlignment="1">
      <alignment horizontal="center" vertical="center"/>
    </xf>
    <xf numFmtId="3" fontId="37" fillId="2" borderId="107" xfId="0" applyNumberFormat="1" applyFont="1" applyFill="1" applyBorder="1" applyAlignment="1">
      <alignment horizontal="center" vertical="center"/>
    </xf>
    <xf numFmtId="3" fontId="37" fillId="2" borderId="106" xfId="0" applyNumberFormat="1" applyFont="1" applyFill="1" applyBorder="1" applyAlignment="1">
      <alignment horizontal="center" vertical="center"/>
    </xf>
    <xf numFmtId="9" fontId="37" fillId="2" borderId="116" xfId="1" applyFont="1" applyFill="1" applyBorder="1" applyAlignment="1">
      <alignment horizontal="center" vertical="center"/>
    </xf>
    <xf numFmtId="3" fontId="37" fillId="2" borderId="108" xfId="0" applyNumberFormat="1" applyFont="1" applyFill="1" applyBorder="1" applyAlignment="1">
      <alignment horizontal="center" vertical="center"/>
    </xf>
    <xf numFmtId="9" fontId="37" fillId="2" borderId="110" xfId="1" applyFont="1" applyFill="1" applyBorder="1" applyAlignment="1">
      <alignment horizontal="center" vertical="center"/>
    </xf>
    <xf numFmtId="166" fontId="37" fillId="2" borderId="106" xfId="1" applyNumberFormat="1" applyFont="1" applyFill="1" applyBorder="1" applyAlignment="1">
      <alignment horizontal="center" vertical="center"/>
    </xf>
    <xf numFmtId="3" fontId="37" fillId="6" borderId="112" xfId="0" applyNumberFormat="1" applyFont="1" applyFill="1" applyBorder="1" applyAlignment="1">
      <alignment horizontal="center" vertical="center"/>
    </xf>
    <xf numFmtId="3" fontId="37" fillId="6" borderId="114" xfId="0" applyNumberFormat="1" applyFont="1" applyFill="1" applyBorder="1" applyAlignment="1">
      <alignment horizontal="center" vertical="center"/>
    </xf>
    <xf numFmtId="3" fontId="37" fillId="6" borderId="115" xfId="0" applyNumberFormat="1" applyFont="1" applyFill="1" applyBorder="1" applyAlignment="1">
      <alignment horizontal="center" vertical="center"/>
    </xf>
    <xf numFmtId="9" fontId="37" fillId="2" borderId="109" xfId="1" applyFont="1" applyFill="1" applyBorder="1" applyAlignment="1">
      <alignment horizontal="center" vertical="center"/>
    </xf>
    <xf numFmtId="3" fontId="37" fillId="2" borderId="117" xfId="0" applyNumberFormat="1" applyFont="1" applyFill="1" applyBorder="1" applyAlignment="1">
      <alignment horizontal="center" vertical="center"/>
    </xf>
    <xf numFmtId="3" fontId="37" fillId="2" borderId="114" xfId="0" applyNumberFormat="1" applyFont="1" applyFill="1" applyBorder="1" applyAlignment="1">
      <alignment horizontal="center" vertical="center"/>
    </xf>
    <xf numFmtId="3" fontId="37" fillId="2" borderId="109" xfId="0" applyNumberFormat="1" applyFont="1" applyFill="1" applyBorder="1" applyAlignment="1">
      <alignment horizontal="center" vertical="center"/>
    </xf>
    <xf numFmtId="0" fontId="37" fillId="0" borderId="108" xfId="0" applyFont="1" applyBorder="1" applyAlignment="1">
      <alignment horizontal="center" vertical="center"/>
    </xf>
    <xf numFmtId="9" fontId="40" fillId="3" borderId="122" xfId="1" applyFont="1" applyFill="1" applyBorder="1" applyAlignment="1">
      <alignment horizontal="center" vertical="center"/>
    </xf>
    <xf numFmtId="3" fontId="40" fillId="3" borderId="124" xfId="0" applyNumberFormat="1" applyFont="1" applyFill="1" applyBorder="1" applyAlignment="1">
      <alignment horizontal="center" vertical="center"/>
    </xf>
    <xf numFmtId="166" fontId="40" fillId="3" borderId="124" xfId="1" applyNumberFormat="1" applyFont="1" applyFill="1" applyBorder="1" applyAlignment="1">
      <alignment horizontal="center" vertical="center"/>
    </xf>
    <xf numFmtId="3" fontId="40" fillId="3" borderId="130" xfId="0" applyNumberFormat="1" applyFont="1" applyFill="1" applyBorder="1" applyAlignment="1">
      <alignment horizontal="center" vertical="center"/>
    </xf>
    <xf numFmtId="3" fontId="40" fillId="3" borderId="126" xfId="0" applyNumberFormat="1" applyFont="1" applyFill="1" applyBorder="1" applyAlignment="1">
      <alignment horizontal="center" vertical="center"/>
    </xf>
    <xf numFmtId="9" fontId="40" fillId="3" borderId="131" xfId="1" applyFont="1" applyFill="1" applyBorder="1" applyAlignment="1">
      <alignment horizontal="center" vertical="center"/>
    </xf>
    <xf numFmtId="9" fontId="40" fillId="3" borderId="125" xfId="1" applyFont="1" applyFill="1" applyBorder="1" applyAlignment="1">
      <alignment horizontal="center" vertical="center"/>
    </xf>
    <xf numFmtId="3" fontId="40" fillId="3" borderId="131" xfId="0" applyNumberFormat="1" applyFont="1" applyFill="1" applyBorder="1" applyAlignment="1">
      <alignment horizontal="center" vertical="center"/>
    </xf>
    <xf numFmtId="3" fontId="37" fillId="3" borderId="132" xfId="0" applyNumberFormat="1" applyFont="1" applyFill="1" applyBorder="1" applyAlignment="1">
      <alignment horizontal="center" vertical="center"/>
    </xf>
    <xf numFmtId="9" fontId="37" fillId="7" borderId="5" xfId="1" applyFont="1" applyFill="1" applyBorder="1" applyAlignment="1">
      <alignment horizontal="center" vertical="center"/>
    </xf>
    <xf numFmtId="165" fontId="37" fillId="7" borderId="101" xfId="0" applyNumberFormat="1" applyFont="1" applyFill="1" applyBorder="1" applyAlignment="1">
      <alignment horizontal="center" vertical="center"/>
    </xf>
    <xf numFmtId="166" fontId="37" fillId="7" borderId="101" xfId="1" applyNumberFormat="1" applyFont="1" applyFill="1" applyBorder="1" applyAlignment="1">
      <alignment horizontal="center" vertical="center"/>
    </xf>
    <xf numFmtId="164" fontId="37" fillId="7" borderId="102" xfId="0" applyNumberFormat="1" applyFont="1" applyFill="1" applyBorder="1" applyAlignment="1">
      <alignment horizontal="center" vertical="center"/>
    </xf>
    <xf numFmtId="3" fontId="37" fillId="7" borderId="100" xfId="0" applyNumberFormat="1" applyFont="1" applyFill="1" applyBorder="1" applyAlignment="1">
      <alignment horizontal="center" vertical="center"/>
    </xf>
    <xf numFmtId="3" fontId="37" fillId="7" borderId="8" xfId="0" applyNumberFormat="1" applyFont="1" applyFill="1" applyBorder="1" applyAlignment="1">
      <alignment horizontal="center" vertical="center"/>
    </xf>
    <xf numFmtId="9" fontId="37" fillId="7" borderId="9" xfId="1" applyFont="1" applyFill="1" applyBorder="1" applyAlignment="1">
      <alignment horizontal="center" vertical="center"/>
    </xf>
    <xf numFmtId="3" fontId="37" fillId="7" borderId="105" xfId="0" applyNumberFormat="1" applyFont="1" applyFill="1" applyBorder="1" applyAlignment="1">
      <alignment horizontal="center" vertical="center"/>
    </xf>
    <xf numFmtId="3" fontId="37" fillId="7" borderId="101" xfId="0" applyNumberFormat="1" applyFont="1" applyFill="1" applyBorder="1" applyAlignment="1">
      <alignment horizontal="center" vertical="center"/>
    </xf>
    <xf numFmtId="9" fontId="37" fillId="7" borderId="103" xfId="1" applyFont="1" applyFill="1" applyBorder="1" applyAlignment="1">
      <alignment horizontal="center" vertical="center"/>
    </xf>
    <xf numFmtId="3" fontId="37" fillId="7" borderId="104" xfId="0" applyNumberFormat="1" applyFont="1" applyFill="1" applyBorder="1" applyAlignment="1">
      <alignment horizontal="center" vertical="center"/>
    </xf>
    <xf numFmtId="9" fontId="37" fillId="2" borderId="137" xfId="1" applyFont="1" applyFill="1" applyBorder="1" applyAlignment="1">
      <alignment horizontal="center" vertical="center"/>
    </xf>
    <xf numFmtId="165" fontId="37" fillId="2" borderId="138" xfId="0" applyNumberFormat="1" applyFont="1" applyFill="1" applyBorder="1" applyAlignment="1">
      <alignment horizontal="center" vertical="center"/>
    </xf>
    <xf numFmtId="166" fontId="37" fillId="2" borderId="138" xfId="1" applyNumberFormat="1" applyFont="1" applyFill="1" applyBorder="1" applyAlignment="1">
      <alignment horizontal="center" vertical="center"/>
    </xf>
    <xf numFmtId="164" fontId="37" fillId="2" borderId="143" xfId="0" applyNumberFormat="1" applyFont="1" applyFill="1" applyBorder="1" applyAlignment="1">
      <alignment horizontal="center" vertical="center"/>
    </xf>
    <xf numFmtId="3" fontId="37" fillId="2" borderId="141" xfId="0" applyNumberFormat="1" applyFont="1" applyFill="1" applyBorder="1" applyAlignment="1">
      <alignment horizontal="center" vertical="center"/>
    </xf>
    <xf numFmtId="3" fontId="37" fillId="2" borderId="142" xfId="0" applyNumberFormat="1" applyFont="1" applyFill="1" applyBorder="1" applyAlignment="1">
      <alignment horizontal="center" vertical="center"/>
    </xf>
    <xf numFmtId="9" fontId="37" fillId="2" borderId="140" xfId="1" applyFont="1" applyFill="1" applyBorder="1" applyAlignment="1">
      <alignment horizontal="center" vertical="center"/>
    </xf>
    <xf numFmtId="3" fontId="37" fillId="2" borderId="138" xfId="0" applyNumberFormat="1" applyFont="1" applyFill="1" applyBorder="1" applyAlignment="1">
      <alignment horizontal="center" vertical="center"/>
    </xf>
    <xf numFmtId="9" fontId="37" fillId="2" borderId="141" xfId="1" applyFont="1" applyFill="1" applyBorder="1" applyAlignment="1">
      <alignment horizontal="center" vertical="center"/>
    </xf>
    <xf numFmtId="3" fontId="37" fillId="2" borderId="140" xfId="0" applyNumberFormat="1" applyFont="1" applyFill="1" applyBorder="1" applyAlignment="1">
      <alignment horizontal="center" vertical="center"/>
    </xf>
    <xf numFmtId="3" fontId="37" fillId="2" borderId="139" xfId="0" applyNumberFormat="1" applyFont="1" applyFill="1" applyBorder="1" applyAlignment="1">
      <alignment horizontal="center" vertical="center"/>
    </xf>
    <xf numFmtId="165" fontId="37" fillId="2" borderId="75" xfId="0" applyNumberFormat="1" applyFont="1" applyFill="1" applyBorder="1" applyAlignment="1">
      <alignment horizontal="center" vertical="center"/>
    </xf>
    <xf numFmtId="164" fontId="37" fillId="2" borderId="60" xfId="0" applyNumberFormat="1" applyFont="1" applyFill="1" applyBorder="1" applyAlignment="1">
      <alignment horizontal="center" vertical="center"/>
    </xf>
    <xf numFmtId="3" fontId="37" fillId="2" borderId="81" xfId="0" applyNumberFormat="1" applyFont="1" applyFill="1" applyBorder="1" applyAlignment="1">
      <alignment horizontal="center" vertical="center"/>
    </xf>
    <xf numFmtId="9" fontId="37" fillId="2" borderId="62" xfId="1" applyFont="1" applyFill="1" applyBorder="1" applyAlignment="1">
      <alignment horizontal="center" vertical="center"/>
    </xf>
    <xf numFmtId="9" fontId="37" fillId="2" borderId="81" xfId="1" applyFont="1" applyFill="1" applyBorder="1" applyAlignment="1">
      <alignment horizontal="center" vertical="center"/>
    </xf>
    <xf numFmtId="3" fontId="37" fillId="2" borderId="76" xfId="0" applyNumberFormat="1" applyFont="1" applyFill="1" applyBorder="1" applyAlignment="1">
      <alignment horizontal="center" vertical="center"/>
    </xf>
    <xf numFmtId="9" fontId="37" fillId="2" borderId="77" xfId="1" applyFont="1" applyFill="1" applyBorder="1" applyAlignment="1">
      <alignment horizontal="center" vertical="center"/>
    </xf>
    <xf numFmtId="165" fontId="37" fillId="2" borderId="70" xfId="0" applyNumberFormat="1" applyFont="1" applyFill="1" applyBorder="1" applyAlignment="1">
      <alignment horizontal="center" vertical="center"/>
    </xf>
    <xf numFmtId="164" fontId="37" fillId="2" borderId="68" xfId="0" applyNumberFormat="1" applyFont="1" applyFill="1" applyBorder="1" applyAlignment="1">
      <alignment horizontal="center" vertical="center"/>
    </xf>
    <xf numFmtId="9" fontId="37" fillId="2" borderId="72" xfId="1" applyFont="1" applyFill="1" applyBorder="1" applyAlignment="1">
      <alignment horizontal="center" vertical="center"/>
    </xf>
    <xf numFmtId="3" fontId="37" fillId="2" borderId="80" xfId="0" applyNumberFormat="1" applyFont="1" applyFill="1" applyBorder="1" applyAlignment="1">
      <alignment horizontal="center" vertical="center"/>
    </xf>
    <xf numFmtId="9" fontId="37" fillId="9" borderId="144" xfId="1" applyFont="1" applyFill="1" applyBorder="1" applyAlignment="1">
      <alignment horizontal="center" vertical="center"/>
    </xf>
    <xf numFmtId="165" fontId="37" fillId="9" borderId="145" xfId="0" applyNumberFormat="1" applyFont="1" applyFill="1" applyBorder="1" applyAlignment="1">
      <alignment horizontal="center" vertical="center"/>
    </xf>
    <xf numFmtId="166" fontId="37" fillId="9" borderId="145" xfId="1" applyNumberFormat="1" applyFont="1" applyFill="1" applyBorder="1" applyAlignment="1">
      <alignment horizontal="center" vertical="center"/>
    </xf>
    <xf numFmtId="164" fontId="37" fillId="2" borderId="150" xfId="0" applyNumberFormat="1" applyFont="1" applyFill="1" applyBorder="1" applyAlignment="1">
      <alignment horizontal="center" vertical="center"/>
    </xf>
    <xf numFmtId="3" fontId="37" fillId="2" borderId="148" xfId="0" applyNumberFormat="1" applyFont="1" applyFill="1" applyBorder="1" applyAlignment="1">
      <alignment horizontal="center" vertical="center"/>
    </xf>
    <xf numFmtId="3" fontId="37" fillId="2" borderId="149" xfId="0" applyNumberFormat="1" applyFont="1" applyFill="1" applyBorder="1" applyAlignment="1">
      <alignment horizontal="center" vertical="center"/>
    </xf>
    <xf numFmtId="9" fontId="37" fillId="9" borderId="147" xfId="1" applyFont="1" applyFill="1" applyBorder="1" applyAlignment="1">
      <alignment horizontal="center" vertical="center"/>
    </xf>
    <xf numFmtId="3" fontId="37" fillId="9" borderId="145" xfId="0" applyNumberFormat="1" applyFont="1" applyFill="1" applyBorder="1" applyAlignment="1">
      <alignment horizontal="center" vertical="center"/>
    </xf>
    <xf numFmtId="3" fontId="37" fillId="9" borderId="149" xfId="0" applyNumberFormat="1" applyFont="1" applyFill="1" applyBorder="1" applyAlignment="1">
      <alignment horizontal="center" vertical="center"/>
    </xf>
    <xf numFmtId="9" fontId="37" fillId="9" borderId="148" xfId="1" applyFont="1" applyFill="1" applyBorder="1" applyAlignment="1">
      <alignment horizontal="center" vertical="center"/>
    </xf>
    <xf numFmtId="3" fontId="37" fillId="2" borderId="145" xfId="0" applyNumberFormat="1" applyFont="1" applyFill="1" applyBorder="1" applyAlignment="1">
      <alignment horizontal="center" vertical="center"/>
    </xf>
    <xf numFmtId="3" fontId="37" fillId="2" borderId="147" xfId="0" applyNumberFormat="1" applyFont="1" applyFill="1" applyBorder="1" applyAlignment="1">
      <alignment horizontal="center" vertical="center"/>
    </xf>
    <xf numFmtId="9" fontId="37" fillId="2" borderId="148" xfId="1" applyFont="1" applyFill="1" applyBorder="1" applyAlignment="1">
      <alignment horizontal="center" vertical="center"/>
    </xf>
    <xf numFmtId="3" fontId="37" fillId="2" borderId="146" xfId="0" applyNumberFormat="1" applyFont="1" applyFill="1" applyBorder="1" applyAlignment="1">
      <alignment horizontal="center" vertical="center"/>
    </xf>
    <xf numFmtId="9" fontId="37" fillId="7" borderId="151" xfId="1" applyFont="1" applyFill="1" applyBorder="1" applyAlignment="1">
      <alignment horizontal="center" vertical="center"/>
    </xf>
    <xf numFmtId="3" fontId="37" fillId="7" borderId="75" xfId="0" applyNumberFormat="1" applyFont="1" applyFill="1" applyBorder="1" applyAlignment="1">
      <alignment horizontal="center" vertical="center"/>
    </xf>
    <xf numFmtId="166" fontId="37" fillId="7" borderId="75" xfId="1" applyNumberFormat="1" applyFont="1" applyFill="1" applyBorder="1" applyAlignment="1">
      <alignment horizontal="center" vertical="center"/>
    </xf>
    <xf numFmtId="166" fontId="37" fillId="7" borderId="60" xfId="0" applyNumberFormat="1" applyFont="1" applyFill="1" applyBorder="1" applyAlignment="1">
      <alignment horizontal="center" vertical="center"/>
    </xf>
    <xf numFmtId="3" fontId="37" fillId="7" borderId="81" xfId="0" applyNumberFormat="1" applyFont="1" applyFill="1" applyBorder="1" applyAlignment="1">
      <alignment horizontal="center" vertical="center"/>
    </xf>
    <xf numFmtId="3" fontId="37" fillId="7" borderId="83" xfId="0" applyNumberFormat="1" applyFont="1" applyFill="1" applyBorder="1" applyAlignment="1">
      <alignment horizontal="center" vertical="center"/>
    </xf>
    <xf numFmtId="9" fontId="37" fillId="7" borderId="81" xfId="1" applyFont="1" applyFill="1" applyBorder="1" applyAlignment="1">
      <alignment horizontal="center" vertical="center"/>
    </xf>
    <xf numFmtId="3" fontId="37" fillId="7" borderId="60" xfId="0" applyNumberFormat="1" applyFont="1" applyFill="1" applyBorder="1" applyAlignment="1">
      <alignment horizontal="center" vertical="center"/>
    </xf>
    <xf numFmtId="9" fontId="37" fillId="7" borderId="62" xfId="1" applyFont="1" applyFill="1" applyBorder="1" applyAlignment="1">
      <alignment horizontal="center" vertical="center"/>
    </xf>
    <xf numFmtId="3" fontId="37" fillId="7" borderId="62" xfId="0" applyNumberFormat="1" applyFont="1" applyFill="1" applyBorder="1" applyAlignment="1">
      <alignment horizontal="center" vertical="center"/>
    </xf>
    <xf numFmtId="0" fontId="37" fillId="7" borderId="76" xfId="0" applyFont="1" applyFill="1" applyBorder="1" applyAlignment="1">
      <alignment horizontal="center" vertical="center"/>
    </xf>
    <xf numFmtId="9" fontId="37" fillId="2" borderId="151" xfId="1" applyFont="1" applyFill="1" applyBorder="1" applyAlignment="1">
      <alignment horizontal="center" vertical="center"/>
    </xf>
    <xf numFmtId="166" fontId="37" fillId="2" borderId="145" xfId="1" applyNumberFormat="1" applyFont="1" applyFill="1" applyBorder="1" applyAlignment="1">
      <alignment horizontal="center" vertical="center"/>
    </xf>
    <xf numFmtId="3" fontId="37" fillId="0" borderId="149" xfId="0" applyNumberFormat="1" applyFont="1" applyBorder="1" applyAlignment="1">
      <alignment horizontal="center" vertical="center"/>
    </xf>
    <xf numFmtId="3" fontId="37" fillId="6" borderId="147" xfId="0" applyNumberFormat="1" applyFont="1" applyFill="1" applyBorder="1" applyAlignment="1">
      <alignment horizontal="center" vertical="center"/>
    </xf>
    <xf numFmtId="3" fontId="37" fillId="6" borderId="155" xfId="0" applyNumberFormat="1" applyFont="1" applyFill="1" applyBorder="1" applyAlignment="1">
      <alignment horizontal="center" vertical="center"/>
    </xf>
    <xf numFmtId="3" fontId="37" fillId="6" borderId="145" xfId="0" applyNumberFormat="1" applyFont="1" applyFill="1" applyBorder="1" applyAlignment="1">
      <alignment horizontal="center" vertical="center"/>
    </xf>
    <xf numFmtId="9" fontId="37" fillId="2" borderId="147" xfId="1" applyFont="1" applyFill="1" applyBorder="1" applyAlignment="1">
      <alignment horizontal="center" vertical="center"/>
    </xf>
    <xf numFmtId="0" fontId="37" fillId="0" borderId="146" xfId="0" applyFont="1" applyBorder="1" applyAlignment="1">
      <alignment horizontal="center" vertical="center"/>
    </xf>
    <xf numFmtId="166" fontId="37" fillId="7" borderId="71" xfId="0" applyNumberFormat="1" applyFont="1" applyFill="1" applyBorder="1" applyAlignment="1">
      <alignment horizontal="center" vertical="center"/>
    </xf>
    <xf numFmtId="9" fontId="37" fillId="7" borderId="69" xfId="1" applyFont="1" applyFill="1" applyBorder="1" applyAlignment="1">
      <alignment horizontal="center" vertical="center"/>
    </xf>
    <xf numFmtId="3" fontId="37" fillId="7" borderId="70" xfId="0" applyNumberFormat="1" applyFont="1" applyFill="1" applyBorder="1" applyAlignment="1">
      <alignment horizontal="center" vertical="center"/>
    </xf>
    <xf numFmtId="166" fontId="37" fillId="7" borderId="70" xfId="1" applyNumberFormat="1" applyFont="1" applyFill="1" applyBorder="1" applyAlignment="1">
      <alignment horizontal="center" vertical="center"/>
    </xf>
    <xf numFmtId="166" fontId="37" fillId="7" borderId="82" xfId="0" applyNumberFormat="1" applyFont="1" applyFill="1" applyBorder="1" applyAlignment="1">
      <alignment horizontal="center" vertical="center"/>
    </xf>
    <xf numFmtId="9" fontId="37" fillId="7" borderId="67" xfId="1" applyFont="1" applyFill="1" applyBorder="1" applyAlignment="1">
      <alignment horizontal="center" vertical="center"/>
    </xf>
    <xf numFmtId="3" fontId="37" fillId="7" borderId="68" xfId="0" applyNumberFormat="1" applyFont="1" applyFill="1" applyBorder="1" applyAlignment="1">
      <alignment horizontal="center" vertical="center"/>
    </xf>
    <xf numFmtId="9" fontId="37" fillId="7" borderId="72" xfId="1" applyFont="1" applyFill="1" applyBorder="1" applyAlignment="1">
      <alignment horizontal="center" vertical="center"/>
    </xf>
    <xf numFmtId="3" fontId="37" fillId="7" borderId="67" xfId="0" applyNumberFormat="1" applyFont="1" applyFill="1" applyBorder="1" applyAlignment="1">
      <alignment horizontal="center" vertical="center"/>
    </xf>
    <xf numFmtId="0" fontId="37" fillId="7" borderId="80" xfId="0" applyFont="1" applyFill="1" applyBorder="1" applyAlignment="1">
      <alignment horizontal="center" vertical="center"/>
    </xf>
    <xf numFmtId="9" fontId="37" fillId="2" borderId="135" xfId="1" applyFont="1" applyFill="1" applyBorder="1" applyAlignment="1">
      <alignment horizontal="center" vertical="center"/>
    </xf>
    <xf numFmtId="3" fontId="37" fillId="2" borderId="133" xfId="0" applyNumberFormat="1" applyFont="1" applyFill="1" applyBorder="1" applyAlignment="1">
      <alignment horizontal="center" vertical="center"/>
    </xf>
    <xf numFmtId="3" fontId="37" fillId="2" borderId="136" xfId="0" applyNumberFormat="1" applyFont="1" applyFill="1" applyBorder="1" applyAlignment="1">
      <alignment horizontal="center" vertical="center"/>
    </xf>
    <xf numFmtId="3" fontId="40" fillId="2" borderId="133" xfId="0" applyNumberFormat="1" applyFont="1" applyFill="1" applyBorder="1" applyAlignment="1">
      <alignment horizontal="center" vertical="center"/>
    </xf>
    <xf numFmtId="3" fontId="40" fillId="2" borderId="136" xfId="0" applyNumberFormat="1" applyFont="1" applyFill="1" applyBorder="1" applyAlignment="1">
      <alignment horizontal="center" vertical="center"/>
    </xf>
    <xf numFmtId="9" fontId="40" fillId="2" borderId="42" xfId="1" applyFont="1" applyFill="1" applyBorder="1" applyAlignment="1">
      <alignment horizontal="center" vertical="center"/>
    </xf>
    <xf numFmtId="3" fontId="40" fillId="2" borderId="134" xfId="0" applyNumberFormat="1" applyFont="1" applyFill="1" applyBorder="1" applyAlignment="1">
      <alignment horizontal="center" vertical="center"/>
    </xf>
    <xf numFmtId="9" fontId="40" fillId="2" borderId="133" xfId="1" applyFont="1" applyFill="1" applyBorder="1" applyAlignment="1">
      <alignment horizontal="center" vertical="center"/>
    </xf>
    <xf numFmtId="9" fontId="40" fillId="2" borderId="125" xfId="1" applyFont="1" applyFill="1" applyBorder="1" applyAlignment="1">
      <alignment horizontal="center" vertical="center"/>
    </xf>
    <xf numFmtId="3" fontId="40" fillId="2" borderId="124" xfId="0" applyNumberFormat="1" applyFont="1" applyFill="1" applyBorder="1" applyAlignment="1">
      <alignment horizontal="center" vertical="center"/>
    </xf>
    <xf numFmtId="3" fontId="40" fillId="2" borderId="125" xfId="0" applyNumberFormat="1" applyFont="1" applyFill="1" applyBorder="1" applyAlignment="1">
      <alignment horizontal="center" vertical="center"/>
    </xf>
    <xf numFmtId="165" fontId="37" fillId="2" borderId="125" xfId="0" applyNumberFormat="1" applyFont="1" applyFill="1" applyBorder="1" applyAlignment="1">
      <alignment horizontal="center" vertical="center"/>
    </xf>
    <xf numFmtId="165" fontId="37" fillId="2" borderId="76" xfId="0" applyNumberFormat="1" applyFont="1" applyFill="1" applyBorder="1" applyAlignment="1">
      <alignment horizontal="center" vertical="center"/>
    </xf>
    <xf numFmtId="9" fontId="40" fillId="4" borderId="162" xfId="1" applyFont="1" applyFill="1" applyBorder="1" applyAlignment="1">
      <alignment horizontal="center" vertical="center"/>
    </xf>
    <xf numFmtId="3" fontId="40" fillId="4" borderId="163" xfId="0" applyNumberFormat="1" applyFont="1" applyFill="1" applyBorder="1" applyAlignment="1">
      <alignment horizontal="center" vertical="center"/>
    </xf>
    <xf numFmtId="9" fontId="40" fillId="4" borderId="163" xfId="1" applyFont="1" applyFill="1" applyBorder="1" applyAlignment="1">
      <alignment horizontal="center" vertical="center"/>
    </xf>
    <xf numFmtId="3" fontId="40" fillId="4" borderId="165" xfId="0" applyNumberFormat="1" applyFont="1" applyFill="1" applyBorder="1" applyAlignment="1">
      <alignment horizontal="center" vertical="center"/>
    </xf>
    <xf numFmtId="9" fontId="40" fillId="4" borderId="164" xfId="1" applyFont="1" applyFill="1" applyBorder="1" applyAlignment="1">
      <alignment horizontal="center" vertical="center"/>
    </xf>
    <xf numFmtId="3" fontId="40" fillId="4" borderId="167" xfId="0" applyNumberFormat="1" applyFont="1" applyFill="1" applyBorder="1" applyAlignment="1">
      <alignment horizontal="center" vertical="center"/>
    </xf>
    <xf numFmtId="3" fontId="40" fillId="4" borderId="164" xfId="0" applyNumberFormat="1" applyFont="1" applyFill="1" applyBorder="1" applyAlignment="1">
      <alignment horizontal="center" vertical="center"/>
    </xf>
    <xf numFmtId="3" fontId="40" fillId="4" borderId="166" xfId="0" applyNumberFormat="1" applyFont="1" applyFill="1" applyBorder="1" applyAlignment="1">
      <alignment horizontal="center" vertical="center"/>
    </xf>
    <xf numFmtId="164" fontId="37" fillId="2" borderId="114" xfId="0" applyNumberFormat="1" applyFont="1" applyFill="1" applyBorder="1" applyAlignment="1">
      <alignment horizontal="center" vertical="center"/>
    </xf>
    <xf numFmtId="9" fontId="37" fillId="2" borderId="101" xfId="1" applyFont="1" applyFill="1" applyBorder="1" applyAlignment="1">
      <alignment horizontal="center" vertical="center"/>
    </xf>
    <xf numFmtId="3" fontId="37" fillId="2" borderId="102" xfId="0" applyNumberFormat="1" applyFont="1" applyFill="1" applyBorder="1" applyAlignment="1">
      <alignment horizontal="center" vertical="center"/>
    </xf>
    <xf numFmtId="9" fontId="37" fillId="2" borderId="103" xfId="1" applyFont="1" applyFill="1" applyBorder="1" applyAlignment="1">
      <alignment horizontal="center" vertical="center"/>
    </xf>
    <xf numFmtId="3" fontId="37" fillId="2" borderId="24" xfId="0" applyNumberFormat="1" applyFont="1" applyFill="1" applyBorder="1" applyAlignment="1">
      <alignment horizontal="center" vertical="center"/>
    </xf>
    <xf numFmtId="3" fontId="37" fillId="2" borderId="101" xfId="0" applyNumberFormat="1" applyFont="1" applyFill="1" applyBorder="1" applyAlignment="1">
      <alignment horizontal="center" vertical="center"/>
    </xf>
    <xf numFmtId="3" fontId="37" fillId="2" borderId="103" xfId="0" applyNumberFormat="1" applyFont="1" applyFill="1" applyBorder="1" applyAlignment="1">
      <alignment horizontal="center" vertical="center"/>
    </xf>
    <xf numFmtId="165" fontId="37" fillId="2" borderId="103" xfId="0" applyNumberFormat="1" applyFont="1" applyFill="1" applyBorder="1" applyAlignment="1">
      <alignment horizontal="center" vertical="center"/>
    </xf>
    <xf numFmtId="165" fontId="37" fillId="2" borderId="104" xfId="0" applyNumberFormat="1" applyFont="1" applyFill="1" applyBorder="1" applyAlignment="1">
      <alignment horizontal="center" vertical="center"/>
    </xf>
    <xf numFmtId="165" fontId="37" fillId="2" borderId="71" xfId="0" applyNumberFormat="1" applyFont="1" applyFill="1" applyBorder="1" applyAlignment="1">
      <alignment horizontal="center" vertical="center"/>
    </xf>
    <xf numFmtId="3" fontId="37" fillId="2" borderId="159" xfId="0" applyNumberFormat="1" applyFont="1" applyFill="1" applyBorder="1" applyAlignment="1">
      <alignment horizontal="center" vertical="center"/>
    </xf>
    <xf numFmtId="165" fontId="37" fillId="2" borderId="81" xfId="0" applyNumberFormat="1" applyFont="1" applyFill="1" applyBorder="1" applyAlignment="1">
      <alignment horizontal="center" vertical="center"/>
    </xf>
    <xf numFmtId="9" fontId="37" fillId="0" borderId="77" xfId="1" applyFont="1" applyBorder="1" applyAlignment="1">
      <alignment horizontal="center" vertical="center"/>
    </xf>
    <xf numFmtId="165" fontId="37" fillId="0" borderId="70" xfId="0" applyNumberFormat="1" applyFont="1" applyBorder="1" applyAlignment="1">
      <alignment horizontal="center" vertical="center"/>
    </xf>
    <xf numFmtId="165" fontId="37" fillId="0" borderId="82" xfId="0" applyNumberFormat="1" applyFont="1" applyBorder="1" applyAlignment="1">
      <alignment horizontal="center" vertical="center"/>
    </xf>
    <xf numFmtId="9" fontId="37" fillId="0" borderId="84" xfId="1" applyFont="1" applyBorder="1" applyAlignment="1">
      <alignment horizontal="center" vertical="center"/>
    </xf>
    <xf numFmtId="165" fontId="37" fillId="0" borderId="177" xfId="0" applyNumberFormat="1" applyFont="1" applyBorder="1" applyAlignment="1">
      <alignment horizontal="center" vertical="center"/>
    </xf>
    <xf numFmtId="165" fontId="37" fillId="0" borderId="176" xfId="0" applyNumberFormat="1" applyFont="1" applyBorder="1" applyAlignment="1">
      <alignment horizontal="center" vertical="center"/>
    </xf>
    <xf numFmtId="9" fontId="37" fillId="2" borderId="144" xfId="1" applyFont="1" applyFill="1" applyBorder="1" applyAlignment="1">
      <alignment horizontal="center" vertical="center"/>
    </xf>
    <xf numFmtId="165" fontId="37" fillId="2" borderId="145" xfId="0" applyNumberFormat="1" applyFont="1" applyFill="1" applyBorder="1" applyAlignment="1">
      <alignment horizontal="center" vertical="center"/>
    </xf>
    <xf numFmtId="165" fontId="37" fillId="2" borderId="149" xfId="0" applyNumberFormat="1" applyFont="1" applyFill="1" applyBorder="1" applyAlignment="1">
      <alignment horizontal="center" vertical="center"/>
    </xf>
    <xf numFmtId="9" fontId="40" fillId="3" borderId="189" xfId="1" applyFont="1" applyFill="1" applyBorder="1" applyAlignment="1">
      <alignment horizontal="center" vertical="center"/>
    </xf>
    <xf numFmtId="3" fontId="40" fillId="3" borderId="190" xfId="0" applyNumberFormat="1" applyFont="1" applyFill="1" applyBorder="1" applyAlignment="1">
      <alignment horizontal="center" vertical="center"/>
    </xf>
    <xf numFmtId="3" fontId="40" fillId="3" borderId="191" xfId="0" applyNumberFormat="1" applyFont="1" applyFill="1" applyBorder="1" applyAlignment="1">
      <alignment horizontal="center" vertical="center"/>
    </xf>
    <xf numFmtId="9" fontId="40" fillId="3" borderId="182" xfId="1" applyFont="1" applyFill="1" applyBorder="1" applyAlignment="1">
      <alignment horizontal="center" vertical="center"/>
    </xf>
    <xf numFmtId="3" fontId="40" fillId="3" borderId="183" xfId="0" applyNumberFormat="1" applyFont="1" applyFill="1" applyBorder="1" applyAlignment="1">
      <alignment horizontal="center" vertical="center"/>
    </xf>
    <xf numFmtId="9" fontId="40" fillId="3" borderId="184" xfId="1" applyFont="1" applyFill="1" applyBorder="1" applyAlignment="1">
      <alignment horizontal="center" vertical="center"/>
    </xf>
    <xf numFmtId="3" fontId="40" fillId="3" borderId="192" xfId="0" applyNumberFormat="1" applyFont="1" applyFill="1" applyBorder="1" applyAlignment="1">
      <alignment horizontal="center" vertical="center"/>
    </xf>
    <xf numFmtId="3" fontId="40" fillId="3" borderId="182" xfId="0" applyNumberFormat="1" applyFont="1" applyFill="1" applyBorder="1" applyAlignment="1">
      <alignment horizontal="center" vertical="center"/>
    </xf>
    <xf numFmtId="3" fontId="40" fillId="3" borderId="184" xfId="0" applyNumberFormat="1" applyFont="1" applyFill="1" applyBorder="1" applyAlignment="1">
      <alignment horizontal="center" vertical="center"/>
    </xf>
    <xf numFmtId="3" fontId="40" fillId="3" borderId="193" xfId="0" applyNumberFormat="1" applyFont="1" applyFill="1" applyBorder="1" applyAlignment="1">
      <alignment horizontal="center" vertical="center"/>
    </xf>
    <xf numFmtId="9" fontId="40" fillId="4" borderId="202" xfId="1" applyFont="1" applyFill="1" applyBorder="1" applyAlignment="1">
      <alignment horizontal="center" vertical="center"/>
    </xf>
    <xf numFmtId="3" fontId="40" fillId="4" borderId="203" xfId="0" applyNumberFormat="1" applyFont="1" applyFill="1" applyBorder="1" applyAlignment="1">
      <alignment horizontal="center" vertical="center"/>
    </xf>
    <xf numFmtId="3" fontId="40" fillId="4" borderId="204" xfId="0" applyNumberFormat="1" applyFont="1" applyFill="1" applyBorder="1" applyAlignment="1">
      <alignment horizontal="center" vertical="center"/>
    </xf>
    <xf numFmtId="9" fontId="40" fillId="4" borderId="199" xfId="1" applyFont="1" applyFill="1" applyBorder="1" applyAlignment="1">
      <alignment horizontal="center" vertical="center"/>
    </xf>
    <xf numFmtId="3" fontId="40" fillId="4" borderId="197" xfId="0" applyNumberFormat="1" applyFont="1" applyFill="1" applyBorder="1" applyAlignment="1">
      <alignment horizontal="center" vertical="center"/>
    </xf>
    <xf numFmtId="9" fontId="40" fillId="4" borderId="196" xfId="1" applyFont="1" applyFill="1" applyBorder="1" applyAlignment="1">
      <alignment horizontal="center" vertical="center"/>
    </xf>
    <xf numFmtId="3" fontId="40" fillId="4" borderId="205" xfId="0" applyNumberFormat="1" applyFont="1" applyFill="1" applyBorder="1" applyAlignment="1">
      <alignment horizontal="center" vertical="center"/>
    </xf>
    <xf numFmtId="3" fontId="40" fillId="4" borderId="199" xfId="0" applyNumberFormat="1" applyFont="1" applyFill="1" applyBorder="1" applyAlignment="1">
      <alignment horizontal="center" vertical="center"/>
    </xf>
    <xf numFmtId="3" fontId="40" fillId="4" borderId="196" xfId="0" applyNumberFormat="1" applyFont="1" applyFill="1" applyBorder="1" applyAlignment="1">
      <alignment horizontal="center" vertical="center"/>
    </xf>
    <xf numFmtId="3" fontId="40" fillId="4" borderId="201" xfId="0" applyNumberFormat="1" applyFont="1" applyFill="1" applyBorder="1" applyAlignment="1">
      <alignment horizontal="center" vertical="center"/>
    </xf>
    <xf numFmtId="9" fontId="40" fillId="2" borderId="207" xfId="1" applyFont="1" applyFill="1" applyBorder="1" applyAlignment="1">
      <alignment horizontal="center" vertical="center"/>
    </xf>
    <xf numFmtId="3" fontId="40" fillId="2" borderId="207" xfId="0" applyNumberFormat="1" applyFont="1" applyFill="1" applyBorder="1" applyAlignment="1">
      <alignment horizontal="center" vertical="center"/>
    </xf>
    <xf numFmtId="3" fontId="37" fillId="2" borderId="207" xfId="0" applyNumberFormat="1" applyFont="1" applyFill="1" applyBorder="1" applyAlignment="1">
      <alignment horizontal="center" vertical="center"/>
    </xf>
    <xf numFmtId="0" fontId="37" fillId="0" borderId="168" xfId="0" applyFont="1" applyBorder="1" applyAlignment="1">
      <alignment horizontal="center" vertical="center"/>
    </xf>
    <xf numFmtId="164" fontId="37" fillId="10" borderId="224" xfId="0" applyNumberFormat="1" applyFont="1" applyFill="1" applyBorder="1" applyAlignment="1">
      <alignment horizontal="center"/>
    </xf>
    <xf numFmtId="164" fontId="37" fillId="10" borderId="52" xfId="0" applyNumberFormat="1" applyFont="1" applyFill="1" applyBorder="1" applyAlignment="1">
      <alignment horizontal="center"/>
    </xf>
    <xf numFmtId="3" fontId="37" fillId="10" borderId="52" xfId="0" applyNumberFormat="1" applyFont="1" applyFill="1" applyBorder="1" applyAlignment="1">
      <alignment horizontal="center"/>
    </xf>
    <xf numFmtId="3" fontId="37" fillId="10" borderId="54" xfId="0" applyNumberFormat="1" applyFont="1" applyFill="1" applyBorder="1" applyAlignment="1">
      <alignment horizontal="center"/>
    </xf>
    <xf numFmtId="3" fontId="40" fillId="10" borderId="49" xfId="0" applyNumberFormat="1" applyFont="1" applyFill="1" applyBorder="1" applyAlignment="1">
      <alignment horizontal="center"/>
    </xf>
    <xf numFmtId="3" fontId="40" fillId="10" borderId="54" xfId="0" applyNumberFormat="1" applyFont="1" applyFill="1" applyBorder="1" applyAlignment="1">
      <alignment horizontal="center"/>
    </xf>
    <xf numFmtId="0" fontId="37" fillId="10" borderId="49" xfId="0" applyFont="1" applyFill="1" applyBorder="1" applyAlignment="1">
      <alignment horizontal="center"/>
    </xf>
    <xf numFmtId="0" fontId="37" fillId="10" borderId="58" xfId="0" applyFont="1" applyFill="1" applyBorder="1" applyAlignment="1">
      <alignment horizontal="center"/>
    </xf>
    <xf numFmtId="4" fontId="44" fillId="8" borderId="77" xfId="0" applyNumberFormat="1" applyFont="1" applyFill="1" applyBorder="1" applyAlignment="1">
      <alignment horizontal="center"/>
    </xf>
    <xf numFmtId="164" fontId="44" fillId="8" borderId="70" xfId="0" applyNumberFormat="1" applyFont="1" applyFill="1" applyBorder="1" applyAlignment="1">
      <alignment horizontal="center"/>
    </xf>
    <xf numFmtId="9" fontId="44" fillId="8" borderId="70" xfId="1" applyFont="1" applyFill="1" applyBorder="1" applyAlignment="1">
      <alignment horizontal="center"/>
    </xf>
    <xf numFmtId="9" fontId="44" fillId="8" borderId="82" xfId="1" applyFont="1" applyFill="1" applyBorder="1" applyAlignment="1">
      <alignment horizontal="center"/>
    </xf>
    <xf numFmtId="3" fontId="44" fillId="8" borderId="67" xfId="0" applyNumberFormat="1" applyFont="1" applyFill="1" applyBorder="1" applyAlignment="1">
      <alignment horizontal="center"/>
    </xf>
    <xf numFmtId="3" fontId="44" fillId="8" borderId="82" xfId="0" applyNumberFormat="1" applyFont="1" applyFill="1" applyBorder="1" applyAlignment="1">
      <alignment horizontal="center"/>
    </xf>
    <xf numFmtId="9" fontId="44" fillId="8" borderId="72" xfId="1" applyFont="1" applyFill="1" applyBorder="1" applyAlignment="1">
      <alignment horizontal="center"/>
    </xf>
    <xf numFmtId="3" fontId="44" fillId="8" borderId="72" xfId="0" applyNumberFormat="1" applyFont="1" applyFill="1" applyBorder="1" applyAlignment="1">
      <alignment horizontal="center"/>
    </xf>
    <xf numFmtId="9" fontId="44" fillId="8" borderId="67" xfId="1" applyFont="1" applyFill="1" applyBorder="1" applyAlignment="1">
      <alignment horizontal="center"/>
    </xf>
    <xf numFmtId="1" fontId="44" fillId="8" borderId="67" xfId="0" applyNumberFormat="1" applyFont="1" applyFill="1" applyBorder="1" applyAlignment="1">
      <alignment horizontal="center"/>
    </xf>
    <xf numFmtId="1" fontId="44" fillId="8" borderId="80" xfId="0" applyNumberFormat="1" applyFont="1" applyFill="1" applyBorder="1" applyAlignment="1">
      <alignment horizontal="center"/>
    </xf>
    <xf numFmtId="164" fontId="37" fillId="2" borderId="70" xfId="0" applyNumberFormat="1" applyFont="1" applyFill="1" applyBorder="1" applyAlignment="1">
      <alignment horizontal="center"/>
    </xf>
    <xf numFmtId="9" fontId="37" fillId="2" borderId="70" xfId="1" applyFont="1" applyFill="1" applyBorder="1" applyAlignment="1">
      <alignment horizontal="center"/>
    </xf>
    <xf numFmtId="9" fontId="37" fillId="2" borderId="82" xfId="1" applyFont="1" applyFill="1" applyBorder="1" applyAlignment="1">
      <alignment horizontal="center"/>
    </xf>
    <xf numFmtId="3" fontId="37" fillId="2" borderId="67" xfId="0" applyNumberFormat="1" applyFont="1" applyFill="1" applyBorder="1" applyAlignment="1">
      <alignment horizontal="center"/>
    </xf>
    <xf numFmtId="3" fontId="37" fillId="2" borderId="82" xfId="0" applyNumberFormat="1" applyFont="1" applyFill="1" applyBorder="1" applyAlignment="1">
      <alignment horizontal="center"/>
    </xf>
    <xf numFmtId="9" fontId="37" fillId="2" borderId="72" xfId="1" applyFont="1" applyFill="1" applyBorder="1" applyAlignment="1">
      <alignment horizontal="center"/>
    </xf>
    <xf numFmtId="3" fontId="37" fillId="2" borderId="72" xfId="0" applyNumberFormat="1" applyFont="1" applyFill="1" applyBorder="1" applyAlignment="1">
      <alignment horizontal="center"/>
    </xf>
    <xf numFmtId="9" fontId="37" fillId="2" borderId="67" xfId="1" applyFont="1" applyFill="1" applyBorder="1" applyAlignment="1">
      <alignment horizontal="center"/>
    </xf>
    <xf numFmtId="1" fontId="37" fillId="0" borderId="80" xfId="0" applyNumberFormat="1" applyFont="1" applyBorder="1" applyAlignment="1">
      <alignment horizontal="center"/>
    </xf>
    <xf numFmtId="4" fontId="37" fillId="2" borderId="59" xfId="0" applyNumberFormat="1" applyFont="1" applyFill="1" applyBorder="1" applyAlignment="1">
      <alignment horizontal="center"/>
    </xf>
    <xf numFmtId="1" fontId="37" fillId="2" borderId="67" xfId="0" applyNumberFormat="1" applyFont="1" applyFill="1" applyBorder="1" applyAlignment="1">
      <alignment horizontal="center"/>
    </xf>
    <xf numFmtId="1" fontId="37" fillId="2" borderId="79" xfId="0" applyNumberFormat="1" applyFont="1" applyFill="1" applyBorder="1" applyAlignment="1">
      <alignment horizontal="center"/>
    </xf>
    <xf numFmtId="9" fontId="37" fillId="2" borderId="77" xfId="1" applyFont="1" applyFill="1" applyBorder="1" applyAlignment="1">
      <alignment horizontal="center"/>
    </xf>
    <xf numFmtId="4" fontId="37" fillId="2" borderId="77" xfId="0" applyNumberFormat="1" applyFont="1" applyFill="1" applyBorder="1" applyAlignment="1">
      <alignment horizontal="center"/>
    </xf>
    <xf numFmtId="9" fontId="37" fillId="2" borderId="59" xfId="1" applyFont="1" applyFill="1" applyBorder="1" applyAlignment="1">
      <alignment horizontal="center"/>
    </xf>
    <xf numFmtId="164" fontId="37" fillId="2" borderId="75" xfId="0" applyNumberFormat="1" applyFont="1" applyFill="1" applyBorder="1" applyAlignment="1">
      <alignment horizontal="center"/>
    </xf>
    <xf numFmtId="9" fontId="37" fillId="2" borderId="75" xfId="1" applyFont="1" applyFill="1" applyBorder="1" applyAlignment="1">
      <alignment horizontal="center"/>
    </xf>
    <xf numFmtId="9" fontId="37" fillId="2" borderId="71" xfId="1" applyFont="1" applyFill="1" applyBorder="1" applyAlignment="1">
      <alignment horizontal="center"/>
    </xf>
    <xf numFmtId="3" fontId="37" fillId="2" borderId="81" xfId="0" applyNumberFormat="1" applyFont="1" applyFill="1" applyBorder="1" applyAlignment="1">
      <alignment horizontal="center"/>
    </xf>
    <xf numFmtId="3" fontId="37" fillId="2" borderId="71" xfId="0" applyNumberFormat="1" applyFont="1" applyFill="1" applyBorder="1" applyAlignment="1">
      <alignment horizontal="center"/>
    </xf>
    <xf numFmtId="9" fontId="37" fillId="2" borderId="62" xfId="1" applyFont="1" applyFill="1" applyBorder="1" applyAlignment="1">
      <alignment horizontal="center"/>
    </xf>
    <xf numFmtId="3" fontId="37" fillId="2" borderId="62" xfId="0" applyNumberFormat="1" applyFont="1" applyFill="1" applyBorder="1" applyAlignment="1">
      <alignment horizontal="center"/>
    </xf>
    <xf numFmtId="9" fontId="37" fillId="2" borderId="81" xfId="1" applyFont="1" applyFill="1" applyBorder="1" applyAlignment="1">
      <alignment horizontal="center"/>
    </xf>
    <xf numFmtId="1" fontId="37" fillId="0" borderId="76" xfId="0" applyNumberFormat="1" applyFont="1" applyBorder="1" applyAlignment="1">
      <alignment horizontal="center"/>
    </xf>
    <xf numFmtId="4" fontId="37" fillId="2" borderId="94" xfId="0" applyNumberFormat="1" applyFont="1" applyFill="1" applyBorder="1" applyAlignment="1">
      <alignment horizontal="center"/>
    </xf>
    <xf numFmtId="164" fontId="37" fillId="2" borderId="88" xfId="0" applyNumberFormat="1" applyFont="1" applyFill="1" applyBorder="1" applyAlignment="1">
      <alignment horizontal="center"/>
    </xf>
    <xf numFmtId="9" fontId="37" fillId="2" borderId="88" xfId="1" applyFont="1" applyFill="1" applyBorder="1" applyAlignment="1">
      <alignment horizontal="center"/>
    </xf>
    <xf numFmtId="9" fontId="37" fillId="2" borderId="95" xfId="1" applyFont="1" applyFill="1" applyBorder="1" applyAlignment="1">
      <alignment horizontal="center"/>
    </xf>
    <xf numFmtId="3" fontId="37" fillId="2" borderId="86" xfId="0" applyNumberFormat="1" applyFont="1" applyFill="1" applyBorder="1" applyAlignment="1">
      <alignment horizontal="center"/>
    </xf>
    <xf numFmtId="3" fontId="37" fillId="2" borderId="95" xfId="0" applyNumberFormat="1" applyFont="1" applyFill="1" applyBorder="1" applyAlignment="1">
      <alignment horizontal="center"/>
    </xf>
    <xf numFmtId="9" fontId="37" fillId="2" borderId="96" xfId="1" applyFont="1" applyFill="1" applyBorder="1" applyAlignment="1">
      <alignment horizontal="center"/>
    </xf>
    <xf numFmtId="3" fontId="37" fillId="2" borderId="96" xfId="0" applyNumberFormat="1" applyFont="1" applyFill="1" applyBorder="1" applyAlignment="1">
      <alignment horizontal="center"/>
    </xf>
    <xf numFmtId="9" fontId="37" fillId="2" borderId="86" xfId="1" applyFont="1" applyFill="1" applyBorder="1" applyAlignment="1">
      <alignment horizontal="center"/>
    </xf>
    <xf numFmtId="1" fontId="37" fillId="2" borderId="86" xfId="0" applyNumberFormat="1" applyFont="1" applyFill="1" applyBorder="1" applyAlignment="1">
      <alignment horizontal="center"/>
    </xf>
    <xf numFmtId="1" fontId="37" fillId="2" borderId="98" xfId="0" applyNumberFormat="1" applyFont="1" applyFill="1" applyBorder="1" applyAlignment="1">
      <alignment horizontal="center"/>
    </xf>
    <xf numFmtId="3" fontId="37" fillId="2" borderId="0" xfId="0" applyNumberFormat="1" applyFont="1" applyFill="1"/>
    <xf numFmtId="3" fontId="37" fillId="2" borderId="0" xfId="0" applyNumberFormat="1" applyFont="1" applyFill="1" applyAlignment="1">
      <alignment horizontal="center"/>
    </xf>
    <xf numFmtId="1" fontId="37" fillId="0" borderId="0" xfId="0" applyNumberFormat="1" applyFont="1"/>
    <xf numFmtId="0" fontId="37" fillId="0" borderId="0" xfId="0" applyFont="1"/>
    <xf numFmtId="164" fontId="37" fillId="0" borderId="0" xfId="0" applyNumberFormat="1" applyFont="1"/>
    <xf numFmtId="3" fontId="37" fillId="0" borderId="0" xfId="0" applyNumberFormat="1" applyFont="1"/>
    <xf numFmtId="164" fontId="45" fillId="0" borderId="0" xfId="0" applyNumberFormat="1" applyFont="1"/>
    <xf numFmtId="0" fontId="45" fillId="0" borderId="0" xfId="0" applyFont="1"/>
    <xf numFmtId="164" fontId="45" fillId="2" borderId="0" xfId="0" applyNumberFormat="1" applyFont="1" applyFill="1"/>
    <xf numFmtId="0" fontId="45" fillId="2" borderId="0" xfId="0" applyFont="1" applyFill="1"/>
    <xf numFmtId="3" fontId="10" fillId="2" borderId="0" xfId="0" applyNumberFormat="1" applyFont="1" applyFill="1" applyAlignment="1">
      <alignment vertical="center"/>
    </xf>
    <xf numFmtId="3" fontId="10" fillId="0" borderId="0" xfId="0" applyNumberFormat="1" applyFont="1" applyAlignment="1">
      <alignment vertical="center"/>
    </xf>
    <xf numFmtId="164" fontId="10" fillId="2" borderId="0" xfId="0" applyNumberFormat="1" applyFont="1" applyFill="1" applyAlignment="1">
      <alignment vertical="center"/>
    </xf>
    <xf numFmtId="3" fontId="0" fillId="2" borderId="177" xfId="0" applyNumberFormat="1" applyFill="1" applyBorder="1" applyAlignment="1">
      <alignment horizontal="center" vertical="center"/>
    </xf>
    <xf numFmtId="3" fontId="7" fillId="2" borderId="103" xfId="0" applyNumberFormat="1" applyFont="1" applyFill="1" applyBorder="1" applyAlignment="1">
      <alignment horizontal="center" vertical="center"/>
    </xf>
    <xf numFmtId="9" fontId="16" fillId="7" borderId="101" xfId="1" applyFont="1" applyFill="1" applyBorder="1" applyAlignment="1">
      <alignment horizontal="center" vertical="center"/>
    </xf>
    <xf numFmtId="9" fontId="16" fillId="2" borderId="138" xfId="1" applyFont="1" applyFill="1" applyBorder="1" applyAlignment="1">
      <alignment horizontal="center" vertical="center"/>
    </xf>
    <xf numFmtId="9" fontId="16" fillId="2" borderId="75" xfId="1" applyFont="1" applyFill="1" applyBorder="1" applyAlignment="1">
      <alignment horizontal="center" vertical="center"/>
    </xf>
    <xf numFmtId="9" fontId="16" fillId="2" borderId="70" xfId="1" applyFont="1" applyFill="1" applyBorder="1" applyAlignment="1">
      <alignment horizontal="center" vertical="center"/>
    </xf>
    <xf numFmtId="9" fontId="16" fillId="2" borderId="145" xfId="1" applyFont="1" applyFill="1" applyBorder="1" applyAlignment="1">
      <alignment horizontal="center" vertical="center"/>
    </xf>
    <xf numFmtId="9" fontId="16" fillId="7" borderId="75" xfId="1" applyFont="1" applyFill="1" applyBorder="1" applyAlignment="1">
      <alignment horizontal="center" vertical="center"/>
    </xf>
    <xf numFmtId="3" fontId="17" fillId="8" borderId="72" xfId="0" applyNumberFormat="1" applyFont="1" applyFill="1" applyBorder="1" applyAlignment="1">
      <alignment horizontal="right" vertical="center" wrapText="1"/>
    </xf>
    <xf numFmtId="3" fontId="17" fillId="8" borderId="80" xfId="0" applyNumberFormat="1" applyFont="1" applyFill="1" applyBorder="1" applyAlignment="1">
      <alignment horizontal="right" vertical="center" wrapText="1"/>
    </xf>
    <xf numFmtId="3" fontId="17" fillId="2" borderId="62" xfId="0" applyNumberFormat="1" applyFont="1" applyFill="1" applyBorder="1" applyAlignment="1">
      <alignment horizontal="right" vertical="center" wrapText="1"/>
    </xf>
    <xf numFmtId="3" fontId="17" fillId="2" borderId="76" xfId="0" applyNumberFormat="1" applyFont="1" applyFill="1" applyBorder="1" applyAlignment="1">
      <alignment horizontal="right" vertical="center" wrapText="1"/>
    </xf>
    <xf numFmtId="3" fontId="17" fillId="2" borderId="96" xfId="0" applyNumberFormat="1" applyFont="1" applyFill="1" applyBorder="1" applyAlignment="1">
      <alignment horizontal="right" vertical="center" wrapText="1"/>
    </xf>
    <xf numFmtId="3" fontId="17" fillId="2" borderId="98" xfId="0" applyNumberFormat="1" applyFont="1" applyFill="1" applyBorder="1" applyAlignment="1">
      <alignment horizontal="right" vertical="center" wrapText="1"/>
    </xf>
    <xf numFmtId="3" fontId="17" fillId="2" borderId="72" xfId="0" applyNumberFormat="1" applyFont="1" applyFill="1" applyBorder="1" applyAlignment="1">
      <alignment horizontal="right" vertical="center" wrapText="1"/>
    </xf>
    <xf numFmtId="3" fontId="17" fillId="2" borderId="80" xfId="0" applyNumberFormat="1" applyFont="1" applyFill="1" applyBorder="1" applyAlignment="1">
      <alignment horizontal="right" vertical="center" wrapText="1"/>
    </xf>
    <xf numFmtId="3" fontId="7" fillId="4" borderId="202" xfId="0" applyNumberFormat="1" applyFont="1" applyFill="1" applyBorder="1" applyAlignment="1">
      <alignment horizontal="center"/>
    </xf>
    <xf numFmtId="3" fontId="7" fillId="4" borderId="203" xfId="0" applyNumberFormat="1" applyFont="1" applyFill="1" applyBorder="1" applyAlignment="1">
      <alignment horizontal="center"/>
    </xf>
    <xf numFmtId="3" fontId="7" fillId="4" borderId="204" xfId="0" applyNumberFormat="1" applyFont="1" applyFill="1" applyBorder="1" applyAlignment="1">
      <alignment horizontal="center"/>
    </xf>
    <xf numFmtId="3" fontId="7" fillId="5" borderId="74" xfId="0" applyNumberFormat="1" applyFont="1" applyFill="1" applyBorder="1" applyAlignment="1">
      <alignment horizontal="center" vertical="center" wrapText="1"/>
    </xf>
    <xf numFmtId="3" fontId="7" fillId="5" borderId="79" xfId="0" applyNumberFormat="1" applyFont="1" applyFill="1" applyBorder="1" applyAlignment="1">
      <alignment horizontal="center" vertical="center" wrapText="1"/>
    </xf>
    <xf numFmtId="3" fontId="7" fillId="5" borderId="74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79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53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2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 wrapText="1"/>
    </xf>
    <xf numFmtId="0" fontId="16" fillId="4" borderId="21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 wrapText="1"/>
    </xf>
    <xf numFmtId="0" fontId="16" fillId="4" borderId="15" xfId="0" applyFont="1" applyFill="1" applyBorder="1" applyAlignment="1">
      <alignment horizontal="center" wrapText="1"/>
    </xf>
    <xf numFmtId="0" fontId="16" fillId="4" borderId="24" xfId="0" applyFont="1" applyFill="1" applyBorder="1" applyAlignment="1">
      <alignment horizontal="center" wrapText="1"/>
    </xf>
    <xf numFmtId="0" fontId="16" fillId="4" borderId="2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26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4" borderId="19" xfId="0" applyFont="1" applyFill="1" applyBorder="1" applyAlignment="1">
      <alignment horizontal="center" wrapText="1"/>
    </xf>
    <xf numFmtId="0" fontId="16" fillId="4" borderId="13" xfId="0" applyFont="1" applyFill="1" applyBorder="1" applyAlignment="1">
      <alignment horizontal="center" wrapText="1"/>
    </xf>
    <xf numFmtId="0" fontId="16" fillId="4" borderId="23" xfId="0" applyFont="1" applyFill="1" applyBorder="1" applyAlignment="1">
      <alignment horizontal="center" wrapText="1"/>
    </xf>
    <xf numFmtId="0" fontId="16" fillId="4" borderId="22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6" fillId="4" borderId="27" xfId="0" applyFont="1" applyFill="1" applyBorder="1" applyAlignment="1">
      <alignment horizontal="center" wrapText="1"/>
    </xf>
    <xf numFmtId="0" fontId="16" fillId="4" borderId="30" xfId="0" applyFont="1" applyFill="1" applyBorder="1" applyAlignment="1">
      <alignment horizont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/>
    </xf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3" fontId="7" fillId="7" borderId="74" xfId="0" applyNumberFormat="1" applyFont="1" applyFill="1" applyBorder="1" applyAlignment="1">
      <alignment horizontal="left" vertical="center" wrapText="1"/>
    </xf>
    <xf numFmtId="3" fontId="7" fillId="7" borderId="79" xfId="0" applyNumberFormat="1" applyFont="1" applyFill="1" applyBorder="1" applyAlignment="1">
      <alignment horizontal="left" vertical="center" wrapText="1"/>
    </xf>
    <xf numFmtId="3" fontId="16" fillId="9" borderId="9" xfId="0" applyNumberFormat="1" applyFont="1" applyFill="1" applyBorder="1" applyAlignment="1">
      <alignment horizontal="left" vertical="center" wrapText="1"/>
    </xf>
    <xf numFmtId="3" fontId="16" fillId="9" borderId="7" xfId="0" applyNumberFormat="1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4" fillId="2" borderId="0" xfId="0" applyFont="1" applyFill="1" applyAlignment="1">
      <alignment horizontal="left" wrapText="1"/>
    </xf>
    <xf numFmtId="3" fontId="16" fillId="9" borderId="172" xfId="0" applyNumberFormat="1" applyFont="1" applyFill="1" applyBorder="1" applyAlignment="1">
      <alignment horizontal="left" vertical="center" wrapText="1"/>
    </xf>
    <xf numFmtId="3" fontId="16" fillId="9" borderId="173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wrapText="1"/>
    </xf>
    <xf numFmtId="0" fontId="20" fillId="2" borderId="0" xfId="0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3" fontId="2" fillId="0" borderId="0" xfId="0" applyNumberFormat="1" applyFont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3" fontId="7" fillId="8" borderId="72" xfId="0" applyNumberFormat="1" applyFont="1" applyFill="1" applyBorder="1" applyAlignment="1">
      <alignment horizontal="right" vertical="center" wrapText="1"/>
    </xf>
    <xf numFmtId="3" fontId="7" fillId="8" borderId="8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7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0" fontId="0" fillId="4" borderId="26" xfId="0" applyFill="1" applyBorder="1" applyAlignment="1">
      <alignment horizontal="center" wrapText="1"/>
    </xf>
    <xf numFmtId="0" fontId="0" fillId="4" borderId="2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4" borderId="13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0" fillId="4" borderId="30" xfId="0" applyFill="1" applyBorder="1" applyAlignment="1">
      <alignment horizont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8" xfId="0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center" wrapText="1"/>
    </xf>
    <xf numFmtId="0" fontId="37" fillId="4" borderId="15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 wrapText="1"/>
    </xf>
    <xf numFmtId="0" fontId="37" fillId="4" borderId="25" xfId="0" applyFont="1" applyFill="1" applyBorder="1" applyAlignment="1">
      <alignment horizontal="center" vertical="center" wrapText="1"/>
    </xf>
    <xf numFmtId="0" fontId="37" fillId="4" borderId="16" xfId="0" applyFont="1" applyFill="1" applyBorder="1" applyAlignment="1">
      <alignment horizontal="center" vertical="center" wrapText="1"/>
    </xf>
    <xf numFmtId="0" fontId="37" fillId="4" borderId="26" xfId="0" applyFont="1" applyFill="1" applyBorder="1" applyAlignment="1">
      <alignment horizontal="center" vertical="center" wrapText="1"/>
    </xf>
    <xf numFmtId="0" fontId="37" fillId="4" borderId="17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center" vertical="center" wrapText="1"/>
    </xf>
    <xf numFmtId="0" fontId="37" fillId="4" borderId="19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27" xfId="0" applyFont="1" applyFill="1" applyBorder="1" applyAlignment="1">
      <alignment horizontal="center" vertical="center" wrapText="1"/>
    </xf>
    <xf numFmtId="0" fontId="37" fillId="4" borderId="30" xfId="0" applyFont="1" applyFill="1" applyBorder="1" applyAlignment="1">
      <alignment horizontal="center" vertical="center" wrapText="1"/>
    </xf>
    <xf numFmtId="0" fontId="37" fillId="4" borderId="21" xfId="0" applyFont="1" applyFill="1" applyBorder="1" applyAlignment="1">
      <alignment horizontal="center" vertical="center" wrapText="1"/>
    </xf>
    <xf numFmtId="0" fontId="37" fillId="4" borderId="2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LANI\FINANSES_2020\Julija\2024\Sabiedriskais_pas&#363;t&#299;jums\2024_I.CET\Pielikums_Nr.1_Sabiedrisk&#257;_pas&#363;t&#299;juma_pl&#257;ns_DARBA_preciz&#275;ts_04.JUN.xlsx" TargetMode="External"/><Relationship Id="rId1" Type="http://schemas.openxmlformats.org/officeDocument/2006/relationships/externalLinkPath" Target="file:///R:\PLANI\FINANSES_2020\Julija\2024\Sabiedriskais_pas&#363;t&#299;jums\2024_I.CET\Pielikums_Nr.1_Sabiedrisk&#257;_pas&#363;t&#299;juma_pl&#257;ns_DARBA_preciz&#275;ts_04.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kopā"/>
      <sheetName val="Netiešās_aprēķins"/>
      <sheetName val="Netiešās uz grozījumiem"/>
      <sheetName val="PZ"/>
      <sheetName val="digitalais"/>
      <sheetName val="ārpus_ētera"/>
      <sheetName val="Teterevu"/>
      <sheetName val="2.atkārtojums"/>
      <sheetName val="Apraide"/>
    </sheetNames>
    <sheetDataSet>
      <sheetData sheetId="0">
        <row r="14">
          <cell r="DL14">
            <v>25064.012999999999</v>
          </cell>
        </row>
      </sheetData>
      <sheetData sheetId="1"/>
      <sheetData sheetId="2"/>
      <sheetData sheetId="3">
        <row r="17">
          <cell r="C17">
            <v>-3330000</v>
          </cell>
        </row>
      </sheetData>
      <sheetData sheetId="4">
        <row r="7">
          <cell r="F7">
            <v>7456.363636363636</v>
          </cell>
        </row>
        <row r="16">
          <cell r="J16">
            <v>192697.47727272729</v>
          </cell>
          <cell r="K16">
            <v>192697.47727272729</v>
          </cell>
        </row>
        <row r="17">
          <cell r="J17">
            <v>1864.090909090909</v>
          </cell>
          <cell r="K17">
            <v>1864.090909090909</v>
          </cell>
        </row>
      </sheetData>
      <sheetData sheetId="5">
        <row r="2">
          <cell r="C2">
            <v>117100</v>
          </cell>
        </row>
        <row r="5">
          <cell r="E5">
            <v>2055.333333333333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AD79-BDFC-4D5D-B049-62B6D5EB3CB5}">
  <sheetPr>
    <tabColor rgb="FF00B0F0"/>
    <outlinePr summaryRight="0"/>
  </sheetPr>
  <dimension ref="A1:EJ148"/>
  <sheetViews>
    <sheetView topLeftCell="BQ1" zoomScale="71" zoomScaleNormal="71" workbookViewId="0">
      <pane ySplit="11" topLeftCell="A83" activePane="bottomLeft" state="frozen"/>
      <selection activeCell="S1" sqref="S1"/>
      <selection pane="bottomLeft" activeCell="D134" sqref="D134"/>
    </sheetView>
  </sheetViews>
  <sheetFormatPr defaultColWidth="8.85546875" defaultRowHeight="15" outlineLevelCol="1" x14ac:dyDescent="0.25"/>
  <cols>
    <col min="1" max="1" width="10" style="204" customWidth="1"/>
    <col min="2" max="2" width="20.5703125" style="937" customWidth="1"/>
    <col min="3" max="3" width="13.42578125" style="250" customWidth="1"/>
    <col min="4" max="4" width="10.140625" style="400" customWidth="1" outlineLevel="1"/>
    <col min="5" max="5" width="10" style="400" customWidth="1" outlineLevel="1"/>
    <col min="6" max="6" width="8.5703125" style="250" customWidth="1" outlineLevel="1"/>
    <col min="7" max="7" width="7.28515625" style="250" customWidth="1" outlineLevel="1"/>
    <col min="8" max="8" width="12" style="250" customWidth="1" outlineLevel="1"/>
    <col min="9" max="10" width="11.42578125" style="250" customWidth="1" outlineLevel="1"/>
    <col min="11" max="12" width="11.28515625" style="250" customWidth="1" outlineLevel="1"/>
    <col min="13" max="13" width="12" style="250" customWidth="1" outlineLevel="1"/>
    <col min="14" max="14" width="13.7109375" style="250" customWidth="1" outlineLevel="1"/>
    <col min="15" max="15" width="11.5703125" style="210" customWidth="1" outlineLevel="1"/>
    <col min="16" max="16" width="11.5703125" style="250" customWidth="1" outlineLevel="1"/>
    <col min="17" max="17" width="11.28515625" style="250" customWidth="1" outlineLevel="1"/>
    <col min="18" max="18" width="8.28515625" style="250" customWidth="1" outlineLevel="1"/>
    <col min="19" max="19" width="8.7109375" style="250" customWidth="1" outlineLevel="1"/>
    <col min="20" max="20" width="9.42578125" style="250" customWidth="1" outlineLevel="1"/>
    <col min="21" max="21" width="9.85546875" style="210" customWidth="1" outlineLevel="1"/>
    <col min="22" max="22" width="8.42578125" style="250" customWidth="1" outlineLevel="1"/>
    <col min="23" max="23" width="7.7109375" style="250" customWidth="1" outlineLevel="1"/>
    <col min="24" max="24" width="9.42578125" style="400" customWidth="1" outlineLevel="1"/>
    <col min="25" max="25" width="8.28515625" style="400" customWidth="1" outlineLevel="1"/>
    <col min="26" max="26" width="8.5703125" style="250" customWidth="1" outlineLevel="1"/>
    <col min="27" max="27" width="9.140625" style="250" customWidth="1" outlineLevel="1"/>
    <col min="28" max="28" width="10" style="250" customWidth="1" outlineLevel="1"/>
    <col min="29" max="29" width="10.7109375" style="250" customWidth="1" outlineLevel="1"/>
    <col min="30" max="30" width="11" style="250" customWidth="1" outlineLevel="1"/>
    <col min="31" max="31" width="12.7109375" style="250" customWidth="1" outlineLevel="1"/>
    <col min="32" max="32" width="9.5703125" style="250" customWidth="1" outlineLevel="1"/>
    <col min="33" max="33" width="12.42578125" style="250" customWidth="1" outlineLevel="1"/>
    <col min="34" max="34" width="9.7109375" style="210" customWidth="1" outlineLevel="1"/>
    <col min="35" max="35" width="12.7109375" style="210" customWidth="1" outlineLevel="1"/>
    <col min="36" max="36" width="11.140625" style="250" customWidth="1" outlineLevel="1"/>
    <col min="37" max="37" width="11.7109375" style="250" customWidth="1" outlineLevel="1"/>
    <col min="38" max="40" width="9.7109375" style="250" customWidth="1" outlineLevel="1"/>
    <col min="41" max="41" width="10.42578125" style="210" customWidth="1" outlineLevel="1"/>
    <col min="42" max="42" width="9.5703125" style="250" customWidth="1" outlineLevel="1"/>
    <col min="43" max="43" width="7.140625" style="250" customWidth="1" outlineLevel="1"/>
    <col min="44" max="44" width="9.140625" style="400" customWidth="1"/>
    <col min="45" max="45" width="9.7109375" style="401" customWidth="1"/>
    <col min="46" max="46" width="9.140625" style="401" customWidth="1"/>
    <col min="47" max="47" width="7.42578125" style="250" customWidth="1"/>
    <col min="48" max="49" width="9.5703125" style="250" customWidth="1"/>
    <col min="50" max="50" width="10.28515625" style="250" customWidth="1"/>
    <col min="51" max="51" width="9.5703125" style="250" customWidth="1"/>
    <col min="52" max="52" width="10.42578125" style="250" customWidth="1"/>
    <col min="53" max="53" width="9.28515625" style="250" customWidth="1"/>
    <col min="54" max="54" width="11" style="210" customWidth="1"/>
    <col min="55" max="55" width="9.140625" style="210" customWidth="1"/>
    <col min="56" max="56" width="12.7109375" style="250" customWidth="1"/>
    <col min="57" max="57" width="9.5703125" style="250" customWidth="1"/>
    <col min="58" max="59" width="8.42578125" style="250" customWidth="1"/>
    <col min="60" max="60" width="7.42578125" style="250" customWidth="1"/>
    <col min="61" max="61" width="7.42578125" style="210" customWidth="1"/>
    <col min="62" max="63" width="7.42578125" style="250" customWidth="1"/>
    <col min="64" max="64" width="9.140625" style="400" customWidth="1"/>
    <col min="65" max="67" width="7.42578125" style="250" customWidth="1"/>
    <col min="68" max="68" width="10.28515625" style="250" customWidth="1"/>
    <col min="69" max="69" width="9.7109375" style="250" customWidth="1"/>
    <col min="70" max="70" width="11.42578125" style="250" customWidth="1"/>
    <col min="71" max="71" width="9" style="250" customWidth="1"/>
    <col min="72" max="72" width="9.85546875" style="250" customWidth="1"/>
    <col min="73" max="73" width="9.42578125" style="250" customWidth="1"/>
    <col min="74" max="74" width="9.7109375" style="210" customWidth="1"/>
    <col min="75" max="75" width="8.140625" style="250" customWidth="1"/>
    <col min="76" max="76" width="10.42578125" style="250" customWidth="1"/>
    <col min="77" max="77" width="10.140625" style="250" customWidth="1"/>
    <col min="78" max="79" width="8.85546875" style="250" customWidth="1"/>
    <col min="80" max="81" width="8.42578125" style="250" customWidth="1"/>
    <col min="82" max="83" width="7.42578125" style="250" customWidth="1"/>
    <col min="84" max="84" width="8.85546875" style="400" customWidth="1"/>
    <col min="85" max="87" width="7.42578125" style="250" customWidth="1"/>
    <col min="88" max="88" width="12.140625" style="250" customWidth="1"/>
    <col min="89" max="89" width="10" style="250" customWidth="1"/>
    <col min="90" max="90" width="11.140625" style="250" customWidth="1"/>
    <col min="91" max="91" width="9.140625" style="250" customWidth="1"/>
    <col min="92" max="92" width="10" style="250" customWidth="1"/>
    <col min="93" max="93" width="9.140625" style="250" customWidth="1"/>
    <col min="94" max="94" width="9.5703125" style="250" customWidth="1"/>
    <col min="95" max="95" width="9.140625" style="250" customWidth="1"/>
    <col min="96" max="97" width="9.5703125" style="250" customWidth="1"/>
    <col min="98" max="101" width="9.28515625" style="250" customWidth="1"/>
    <col min="102" max="103" width="7.42578125" style="250" customWidth="1"/>
    <col min="104" max="104" width="9.5703125" style="204" hidden="1" customWidth="1"/>
    <col min="105" max="105" width="8.85546875" style="402" hidden="1" customWidth="1"/>
    <col min="106" max="107" width="7.42578125" style="204" hidden="1" customWidth="1"/>
    <col min="108" max="108" width="10.28515625" style="204" hidden="1" customWidth="1"/>
    <col min="109" max="109" width="10.7109375" style="204" hidden="1" customWidth="1"/>
    <col min="110" max="110" width="9.85546875" style="204" hidden="1" customWidth="1"/>
    <col min="111" max="111" width="11.85546875" style="204" hidden="1" customWidth="1"/>
    <col min="112" max="113" width="9.42578125" style="204" hidden="1" customWidth="1"/>
    <col min="114" max="114" width="10.28515625" style="204" hidden="1" customWidth="1"/>
    <col min="115" max="115" width="12.140625" style="204" hidden="1" customWidth="1"/>
    <col min="116" max="116" width="10.28515625" style="204" hidden="1" customWidth="1"/>
    <col min="117" max="117" width="7.42578125" style="204" hidden="1" customWidth="1"/>
    <col min="118" max="119" width="9" style="204" hidden="1" customWidth="1"/>
    <col min="120" max="121" width="7.28515625" style="250" hidden="1" customWidth="1"/>
    <col min="122" max="122" width="8.42578125" style="430" hidden="1" customWidth="1" collapsed="1"/>
    <col min="123" max="123" width="9.5703125" style="431" hidden="1" customWidth="1"/>
    <col min="124" max="124" width="10.140625" style="204" hidden="1" customWidth="1"/>
    <col min="125" max="125" width="9.5703125" style="204" hidden="1" customWidth="1"/>
    <col min="126" max="126" width="11.42578125" style="204" hidden="1" customWidth="1"/>
    <col min="127" max="127" width="9.140625" style="432" hidden="1" customWidth="1"/>
    <col min="128" max="128" width="10" style="272" hidden="1" customWidth="1"/>
    <col min="129" max="129" width="7.7109375" style="272" hidden="1" customWidth="1"/>
    <col min="130" max="130" width="10.140625" style="204" hidden="1" customWidth="1"/>
    <col min="131" max="131" width="8.85546875" style="204" hidden="1" customWidth="1"/>
    <col min="132" max="132" width="10.140625" style="204" hidden="1" customWidth="1"/>
    <col min="133" max="133" width="7.7109375" style="204" hidden="1" customWidth="1"/>
    <col min="134" max="134" width="7" style="204" hidden="1" customWidth="1"/>
    <col min="135" max="135" width="8.85546875" style="204" hidden="1" customWidth="1"/>
    <col min="136" max="136" width="9.140625" style="204" hidden="1" customWidth="1"/>
    <col min="137" max="137" width="9" style="204" hidden="1" customWidth="1"/>
    <col min="138" max="138" width="8.5703125" style="204" hidden="1" customWidth="1"/>
    <col min="139" max="139" width="7.42578125" style="250" hidden="1" customWidth="1"/>
    <col min="140" max="16384" width="8.85546875" style="250"/>
  </cols>
  <sheetData>
    <row r="1" spans="1:139" x14ac:dyDescent="0.25">
      <c r="A1" s="1" t="s">
        <v>0</v>
      </c>
      <c r="B1" s="1"/>
      <c r="C1" s="1"/>
      <c r="D1" s="1"/>
      <c r="E1" s="2"/>
      <c r="F1" s="2"/>
      <c r="G1" s="2"/>
      <c r="H1" s="257"/>
      <c r="I1" s="2"/>
      <c r="J1" s="2"/>
      <c r="K1" s="2"/>
      <c r="L1" s="2"/>
      <c r="M1" s="2"/>
      <c r="N1" s="2"/>
      <c r="O1" s="192"/>
      <c r="P1" s="19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12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427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3"/>
      <c r="DT1" s="1"/>
      <c r="DU1" s="1"/>
      <c r="DV1" s="1"/>
      <c r="DW1" s="4"/>
      <c r="DX1" s="5"/>
      <c r="DY1" s="5"/>
      <c r="DZ1" s="1"/>
      <c r="EA1" s="1"/>
      <c r="EB1" s="1"/>
      <c r="EC1" s="1"/>
      <c r="ED1" s="1"/>
      <c r="EE1" s="1"/>
      <c r="EF1" s="1"/>
      <c r="EG1" s="1"/>
      <c r="EH1" s="1"/>
      <c r="EI1" s="1"/>
    </row>
    <row r="2" spans="1:139" x14ac:dyDescent="0.25">
      <c r="A2" s="2190" t="s">
        <v>1</v>
      </c>
      <c r="B2" s="2190"/>
      <c r="C2" s="2190"/>
      <c r="D2" s="2190"/>
      <c r="E2" s="2190"/>
      <c r="F2" s="2190"/>
      <c r="G2" s="2190"/>
      <c r="H2" s="2190"/>
      <c r="I2" s="2190"/>
      <c r="J2" s="2190"/>
      <c r="K2" s="2190"/>
      <c r="L2" s="2190"/>
      <c r="M2" s="2190"/>
      <c r="N2" s="2190"/>
      <c r="O2" s="2190"/>
      <c r="P2" s="2190"/>
      <c r="Q2" s="2190"/>
      <c r="R2" s="2190"/>
      <c r="S2" s="2190"/>
      <c r="T2" s="1"/>
      <c r="U2" s="1"/>
      <c r="V2" s="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12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6"/>
      <c r="BD2" s="428"/>
      <c r="BE2" s="224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427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3"/>
      <c r="DT2" s="1"/>
      <c r="DU2" s="1"/>
      <c r="DV2" s="1"/>
      <c r="DW2" s="4"/>
      <c r="DX2" s="5"/>
      <c r="DY2" s="5"/>
      <c r="DZ2" s="1"/>
      <c r="EA2" s="1"/>
      <c r="EB2" s="1"/>
      <c r="EC2" s="1"/>
      <c r="ED2" s="1"/>
      <c r="EE2" s="1"/>
      <c r="EF2" s="1"/>
      <c r="EG2" s="1"/>
      <c r="EH2" s="1"/>
      <c r="EI2" s="1"/>
    </row>
    <row r="3" spans="1:139" ht="15.75" x14ac:dyDescent="0.25">
      <c r="B3" s="7"/>
      <c r="C3" s="7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429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429"/>
      <c r="BT3" s="429"/>
      <c r="BU3" s="429"/>
      <c r="BV3" s="429"/>
      <c r="BW3" s="204"/>
      <c r="BX3" s="204"/>
      <c r="BY3" s="204"/>
      <c r="BZ3" s="204"/>
      <c r="CA3" s="204"/>
      <c r="CB3" s="204"/>
      <c r="CC3" s="204"/>
      <c r="CD3" s="204"/>
      <c r="CE3" s="204"/>
      <c r="CF3" s="402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DI3" s="429"/>
      <c r="DP3" s="204"/>
      <c r="DQ3" s="204"/>
      <c r="EI3" s="204"/>
    </row>
    <row r="4" spans="1:139" ht="57" customHeight="1" x14ac:dyDescent="0.25">
      <c r="A4" s="2191" t="s">
        <v>115</v>
      </c>
      <c r="B4" s="2191"/>
      <c r="C4" s="2191"/>
      <c r="D4" s="2191"/>
      <c r="E4" s="2191"/>
      <c r="F4" s="2191"/>
      <c r="G4" s="2191"/>
      <c r="H4" s="2191"/>
      <c r="I4" s="2191"/>
      <c r="J4" s="2191"/>
      <c r="K4" s="2191"/>
      <c r="L4" s="2191"/>
      <c r="M4" s="2191"/>
      <c r="N4" s="2191"/>
      <c r="O4" s="2191"/>
      <c r="P4" s="2191"/>
      <c r="Q4" s="2191"/>
      <c r="R4" s="2191"/>
      <c r="S4" s="2191"/>
      <c r="T4" s="2191"/>
      <c r="U4" s="2191"/>
      <c r="V4" s="2191"/>
      <c r="W4" s="2191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433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429"/>
      <c r="BT4" s="429"/>
      <c r="BU4" s="429"/>
      <c r="BV4" s="429"/>
      <c r="BW4" s="204"/>
      <c r="BX4" s="204"/>
      <c r="BY4" s="204"/>
      <c r="BZ4" s="204"/>
      <c r="CA4" s="204"/>
      <c r="CB4" s="204"/>
      <c r="CC4" s="204"/>
      <c r="CD4" s="204"/>
      <c r="CE4" s="204"/>
      <c r="CF4" s="402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DD4" s="429"/>
      <c r="DE4" s="429"/>
      <c r="DH4" s="429"/>
      <c r="DI4" s="429"/>
      <c r="DP4" s="204"/>
      <c r="DQ4" s="204"/>
      <c r="EI4" s="204"/>
    </row>
    <row r="5" spans="1:139" ht="21" thickBot="1" x14ac:dyDescent="0.35">
      <c r="B5" s="8"/>
      <c r="C5" s="9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11"/>
      <c r="V5" s="12"/>
      <c r="W5" s="12"/>
      <c r="X5" s="10"/>
      <c r="Y5" s="10"/>
      <c r="Z5" s="9"/>
      <c r="AA5" s="9"/>
      <c r="AB5" s="9"/>
      <c r="AC5" s="9"/>
      <c r="AD5" s="9"/>
      <c r="AE5" s="9"/>
      <c r="AF5" s="9"/>
      <c r="AG5" s="9"/>
      <c r="AH5" s="11"/>
      <c r="AI5" s="11"/>
      <c r="AJ5" s="434"/>
      <c r="AK5" s="9"/>
      <c r="AL5" s="9"/>
      <c r="AM5" s="9"/>
      <c r="AN5" s="9"/>
      <c r="AO5" s="11"/>
      <c r="AP5" s="12"/>
      <c r="AQ5" s="12"/>
      <c r="AR5" s="10"/>
      <c r="AS5" s="13"/>
      <c r="AT5" s="13"/>
      <c r="AU5" s="9"/>
      <c r="AV5" s="9"/>
      <c r="AW5" s="9"/>
      <c r="AX5" s="9"/>
      <c r="AY5" s="9"/>
      <c r="AZ5" s="9"/>
      <c r="BA5" s="9"/>
      <c r="BB5" s="11"/>
      <c r="BC5" s="11"/>
      <c r="BD5" s="9"/>
      <c r="BE5" s="9"/>
      <c r="BF5" s="9"/>
      <c r="BG5" s="9"/>
      <c r="BH5" s="9"/>
      <c r="BI5" s="11"/>
      <c r="BJ5" s="12"/>
      <c r="BK5" s="12"/>
      <c r="BL5" s="10"/>
      <c r="BM5" s="9"/>
      <c r="BN5" s="9"/>
      <c r="BO5" s="9"/>
      <c r="BP5" s="9"/>
      <c r="BQ5" s="9"/>
      <c r="BR5" s="9"/>
      <c r="BS5" s="9"/>
      <c r="BT5" s="9"/>
      <c r="BU5" s="9"/>
      <c r="BV5" s="11"/>
      <c r="BW5" s="9"/>
      <c r="BX5" s="9"/>
      <c r="BY5" s="9"/>
      <c r="BZ5" s="9"/>
      <c r="CA5" s="9"/>
      <c r="CB5" s="9"/>
      <c r="CC5" s="9"/>
      <c r="CD5" s="12"/>
      <c r="CE5" s="12"/>
      <c r="CF5" s="10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12"/>
      <c r="CY5" s="12"/>
      <c r="DP5" s="12"/>
      <c r="DQ5" s="12"/>
      <c r="DT5" s="435"/>
      <c r="EI5" s="204"/>
    </row>
    <row r="6" spans="1:139" x14ac:dyDescent="0.25">
      <c r="A6" s="436"/>
      <c r="B6" s="2192" t="s">
        <v>2</v>
      </c>
      <c r="C6" s="2195" t="s">
        <v>3</v>
      </c>
      <c r="D6" s="2198" t="s">
        <v>4</v>
      </c>
      <c r="E6" s="2198"/>
      <c r="F6" s="2198"/>
      <c r="G6" s="2198"/>
      <c r="H6" s="2198"/>
      <c r="I6" s="2198"/>
      <c r="J6" s="2198"/>
      <c r="K6" s="2198"/>
      <c r="L6" s="2198"/>
      <c r="M6" s="2198"/>
      <c r="N6" s="2198"/>
      <c r="O6" s="2198"/>
      <c r="P6" s="2198"/>
      <c r="Q6" s="2198"/>
      <c r="R6" s="2198"/>
      <c r="S6" s="2198"/>
      <c r="T6" s="2198"/>
      <c r="U6" s="2198"/>
      <c r="V6" s="2198"/>
      <c r="W6" s="2199"/>
      <c r="X6" s="2202" t="s">
        <v>5</v>
      </c>
      <c r="Y6" s="2198"/>
      <c r="Z6" s="2198"/>
      <c r="AA6" s="2198"/>
      <c r="AB6" s="2198"/>
      <c r="AC6" s="2198"/>
      <c r="AD6" s="2198"/>
      <c r="AE6" s="2198"/>
      <c r="AF6" s="2198"/>
      <c r="AG6" s="2198"/>
      <c r="AH6" s="2198"/>
      <c r="AI6" s="2198"/>
      <c r="AJ6" s="2198"/>
      <c r="AK6" s="2198"/>
      <c r="AL6" s="2198"/>
      <c r="AM6" s="2198"/>
      <c r="AN6" s="2198"/>
      <c r="AO6" s="2198"/>
      <c r="AP6" s="2198"/>
      <c r="AQ6" s="2199"/>
      <c r="AR6" s="2202" t="s">
        <v>6</v>
      </c>
      <c r="AS6" s="2198"/>
      <c r="AT6" s="2198"/>
      <c r="AU6" s="2198"/>
      <c r="AV6" s="2198"/>
      <c r="AW6" s="2198"/>
      <c r="AX6" s="2198"/>
      <c r="AY6" s="2198"/>
      <c r="AZ6" s="2198"/>
      <c r="BA6" s="2198"/>
      <c r="BB6" s="2198"/>
      <c r="BC6" s="2198"/>
      <c r="BD6" s="2198"/>
      <c r="BE6" s="2198"/>
      <c r="BF6" s="2198"/>
      <c r="BG6" s="2198"/>
      <c r="BH6" s="2198"/>
      <c r="BI6" s="2198"/>
      <c r="BJ6" s="2198"/>
      <c r="BK6" s="14"/>
      <c r="BL6" s="2202" t="s">
        <v>7</v>
      </c>
      <c r="BM6" s="2198"/>
      <c r="BN6" s="2198"/>
      <c r="BO6" s="2198"/>
      <c r="BP6" s="2198"/>
      <c r="BQ6" s="2198"/>
      <c r="BR6" s="2198"/>
      <c r="BS6" s="2198"/>
      <c r="BT6" s="2198"/>
      <c r="BU6" s="2198"/>
      <c r="BV6" s="2198"/>
      <c r="BW6" s="2198"/>
      <c r="BX6" s="2198"/>
      <c r="BY6" s="2198"/>
      <c r="BZ6" s="2198"/>
      <c r="CA6" s="2198"/>
      <c r="CB6" s="2198"/>
      <c r="CC6" s="2203"/>
      <c r="CD6" s="424"/>
      <c r="CE6" s="14"/>
      <c r="CF6" s="2202" t="s">
        <v>98</v>
      </c>
      <c r="CG6" s="2198"/>
      <c r="CH6" s="2198"/>
      <c r="CI6" s="2198"/>
      <c r="CJ6" s="2198"/>
      <c r="CK6" s="2198"/>
      <c r="CL6" s="2198"/>
      <c r="CM6" s="2198"/>
      <c r="CN6" s="2198"/>
      <c r="CO6" s="2198"/>
      <c r="CP6" s="2198"/>
      <c r="CQ6" s="2198"/>
      <c r="CR6" s="2198"/>
      <c r="CS6" s="2198"/>
      <c r="CT6" s="2198"/>
      <c r="CU6" s="2198"/>
      <c r="CV6" s="2198"/>
      <c r="CW6" s="2203"/>
      <c r="CX6" s="437"/>
      <c r="CY6" s="14"/>
      <c r="CZ6" s="2204" t="s">
        <v>97</v>
      </c>
      <c r="DA6" s="2205"/>
      <c r="DB6" s="2205"/>
      <c r="DC6" s="2205"/>
      <c r="DD6" s="2205"/>
      <c r="DE6" s="2205"/>
      <c r="DF6" s="2205"/>
      <c r="DG6" s="2205"/>
      <c r="DH6" s="2205"/>
      <c r="DI6" s="2205"/>
      <c r="DJ6" s="2205"/>
      <c r="DK6" s="2205"/>
      <c r="DL6" s="2205"/>
      <c r="DM6" s="2205"/>
      <c r="DN6" s="2205"/>
      <c r="DO6" s="2205"/>
      <c r="DP6" s="16"/>
      <c r="DQ6" s="15"/>
      <c r="DR6" s="2204" t="s">
        <v>8</v>
      </c>
      <c r="DS6" s="2205"/>
      <c r="DT6" s="2205"/>
      <c r="DU6" s="2205"/>
      <c r="DV6" s="2205"/>
      <c r="DW6" s="2205"/>
      <c r="DX6" s="2205"/>
      <c r="DY6" s="2205"/>
      <c r="DZ6" s="2205"/>
      <c r="EA6" s="2205"/>
      <c r="EB6" s="2205"/>
      <c r="EC6" s="2205"/>
      <c r="ED6" s="2205"/>
      <c r="EE6" s="2205"/>
      <c r="EF6" s="2205"/>
      <c r="EG6" s="2205"/>
      <c r="EH6" s="2205"/>
      <c r="EI6" s="2206"/>
    </row>
    <row r="7" spans="1:139" x14ac:dyDescent="0.25">
      <c r="A7" s="2207" t="s">
        <v>9</v>
      </c>
      <c r="B7" s="2193"/>
      <c r="C7" s="2196"/>
      <c r="D7" s="2209" t="s">
        <v>101</v>
      </c>
      <c r="E7" s="2209"/>
      <c r="F7" s="2209"/>
      <c r="G7" s="2210"/>
      <c r="H7" s="2213" t="s">
        <v>10</v>
      </c>
      <c r="I7" s="2209"/>
      <c r="J7" s="2209"/>
      <c r="K7" s="2209"/>
      <c r="L7" s="2209"/>
      <c r="M7" s="2210"/>
      <c r="N7" s="2200"/>
      <c r="O7" s="2215"/>
      <c r="P7" s="2215"/>
      <c r="Q7" s="2215"/>
      <c r="R7" s="2215"/>
      <c r="S7" s="2215"/>
      <c r="T7" s="2215"/>
      <c r="U7" s="2215"/>
      <c r="V7" s="2215"/>
      <c r="W7" s="2216"/>
      <c r="X7" s="2217" t="s">
        <v>101</v>
      </c>
      <c r="Y7" s="2209"/>
      <c r="Z7" s="2209"/>
      <c r="AA7" s="2210"/>
      <c r="AB7" s="2213" t="s">
        <v>10</v>
      </c>
      <c r="AC7" s="2209"/>
      <c r="AD7" s="2209"/>
      <c r="AE7" s="2209"/>
      <c r="AF7" s="2209"/>
      <c r="AG7" s="2210"/>
      <c r="AH7" s="2200"/>
      <c r="AI7" s="2215"/>
      <c r="AJ7" s="2215"/>
      <c r="AK7" s="2215"/>
      <c r="AL7" s="2215"/>
      <c r="AM7" s="2215"/>
      <c r="AN7" s="2215"/>
      <c r="AO7" s="2215"/>
      <c r="AP7" s="2215"/>
      <c r="AQ7" s="2216"/>
      <c r="AR7" s="2217" t="s">
        <v>101</v>
      </c>
      <c r="AS7" s="2209"/>
      <c r="AT7" s="2209"/>
      <c r="AU7" s="2210"/>
      <c r="AV7" s="2213" t="s">
        <v>10</v>
      </c>
      <c r="AW7" s="2209"/>
      <c r="AX7" s="2209"/>
      <c r="AY7" s="2209"/>
      <c r="AZ7" s="2209"/>
      <c r="BA7" s="2210"/>
      <c r="BB7" s="2200"/>
      <c r="BC7" s="2215"/>
      <c r="BD7" s="2215"/>
      <c r="BE7" s="2215"/>
      <c r="BF7" s="2215"/>
      <c r="BG7" s="2215"/>
      <c r="BH7" s="2215"/>
      <c r="BI7" s="2215"/>
      <c r="BJ7" s="2215"/>
      <c r="BK7" s="2216"/>
      <c r="BL7" s="2217" t="s">
        <v>101</v>
      </c>
      <c r="BM7" s="2209"/>
      <c r="BN7" s="2209"/>
      <c r="BO7" s="2210"/>
      <c r="BP7" s="2213" t="s">
        <v>10</v>
      </c>
      <c r="BQ7" s="2209"/>
      <c r="BR7" s="2209"/>
      <c r="BS7" s="2209"/>
      <c r="BT7" s="2209"/>
      <c r="BU7" s="2210"/>
      <c r="BV7" s="2200"/>
      <c r="BW7" s="2215"/>
      <c r="BX7" s="2215"/>
      <c r="BY7" s="2215"/>
      <c r="BZ7" s="2215"/>
      <c r="CA7" s="2215"/>
      <c r="CB7" s="2215"/>
      <c r="CC7" s="2215"/>
      <c r="CD7" s="2215"/>
      <c r="CE7" s="2216"/>
      <c r="CF7" s="2217" t="s">
        <v>101</v>
      </c>
      <c r="CG7" s="2209"/>
      <c r="CH7" s="2209"/>
      <c r="CI7" s="2210"/>
      <c r="CJ7" s="2213" t="s">
        <v>10</v>
      </c>
      <c r="CK7" s="2209"/>
      <c r="CL7" s="2209"/>
      <c r="CM7" s="2209"/>
      <c r="CN7" s="2209"/>
      <c r="CO7" s="2210"/>
      <c r="CP7" s="2200"/>
      <c r="CQ7" s="2215"/>
      <c r="CR7" s="2215"/>
      <c r="CS7" s="2215"/>
      <c r="CT7" s="2215"/>
      <c r="CU7" s="2215"/>
      <c r="CV7" s="2215"/>
      <c r="CW7" s="2215"/>
      <c r="CX7" s="2215"/>
      <c r="CY7" s="2216"/>
      <c r="CZ7" s="2223" t="s">
        <v>11</v>
      </c>
      <c r="DA7" s="2224"/>
      <c r="DB7" s="2224"/>
      <c r="DC7" s="2225"/>
      <c r="DD7" s="2226" t="s">
        <v>10</v>
      </c>
      <c r="DE7" s="2224"/>
      <c r="DF7" s="2224"/>
      <c r="DG7" s="2225"/>
      <c r="DH7" s="2226" t="s">
        <v>12</v>
      </c>
      <c r="DI7" s="2224"/>
      <c r="DJ7" s="2224"/>
      <c r="DK7" s="2224"/>
      <c r="DL7" s="2224"/>
      <c r="DM7" s="2224"/>
      <c r="DN7" s="2224"/>
      <c r="DO7" s="2224"/>
      <c r="DP7" s="2213" t="s">
        <v>13</v>
      </c>
      <c r="DQ7" s="2219"/>
      <c r="DR7" s="2233" t="s">
        <v>11</v>
      </c>
      <c r="DS7" s="2228"/>
      <c r="DT7" s="2227" t="s">
        <v>10</v>
      </c>
      <c r="DU7" s="2228"/>
      <c r="DV7" s="2226" t="s">
        <v>12</v>
      </c>
      <c r="DW7" s="2224"/>
      <c r="DX7" s="2224"/>
      <c r="DY7" s="2224"/>
      <c r="DZ7" s="2224"/>
      <c r="EA7" s="2224"/>
      <c r="EB7" s="2224"/>
      <c r="EC7" s="2224"/>
      <c r="ED7" s="2224"/>
      <c r="EE7" s="2224"/>
      <c r="EF7" s="2224"/>
      <c r="EG7" s="2224"/>
      <c r="EH7" s="2213" t="s">
        <v>14</v>
      </c>
      <c r="EI7" s="2219"/>
    </row>
    <row r="8" spans="1:139" x14ac:dyDescent="0.25">
      <c r="A8" s="2207"/>
      <c r="B8" s="2193"/>
      <c r="C8" s="2196"/>
      <c r="D8" s="2211"/>
      <c r="E8" s="2211"/>
      <c r="F8" s="2211"/>
      <c r="G8" s="2212"/>
      <c r="H8" s="2214"/>
      <c r="I8" s="2211"/>
      <c r="J8" s="2211"/>
      <c r="K8" s="2211"/>
      <c r="L8" s="2211"/>
      <c r="M8" s="2212"/>
      <c r="N8" s="2214" t="s">
        <v>15</v>
      </c>
      <c r="O8" s="2211"/>
      <c r="P8" s="2211"/>
      <c r="Q8" s="2212"/>
      <c r="R8" s="2214" t="s">
        <v>16</v>
      </c>
      <c r="S8" s="2211"/>
      <c r="T8" s="2211"/>
      <c r="U8" s="2212"/>
      <c r="V8" s="2220" t="s">
        <v>17</v>
      </c>
      <c r="W8" s="2221"/>
      <c r="X8" s="2218"/>
      <c r="Y8" s="2211"/>
      <c r="Z8" s="2211"/>
      <c r="AA8" s="2212"/>
      <c r="AB8" s="2214"/>
      <c r="AC8" s="2211"/>
      <c r="AD8" s="2211"/>
      <c r="AE8" s="2211"/>
      <c r="AF8" s="2211"/>
      <c r="AG8" s="2212"/>
      <c r="AH8" s="2200" t="s">
        <v>15</v>
      </c>
      <c r="AI8" s="2215"/>
      <c r="AJ8" s="2215"/>
      <c r="AK8" s="2201"/>
      <c r="AL8" s="2200" t="s">
        <v>16</v>
      </c>
      <c r="AM8" s="2215"/>
      <c r="AN8" s="2215"/>
      <c r="AO8" s="2201"/>
      <c r="AP8" s="2213" t="s">
        <v>17</v>
      </c>
      <c r="AQ8" s="2219"/>
      <c r="AR8" s="2218"/>
      <c r="AS8" s="2211"/>
      <c r="AT8" s="2211"/>
      <c r="AU8" s="2212"/>
      <c r="AV8" s="2214"/>
      <c r="AW8" s="2211"/>
      <c r="AX8" s="2211"/>
      <c r="AY8" s="2211"/>
      <c r="AZ8" s="2211"/>
      <c r="BA8" s="2212"/>
      <c r="BB8" s="2200" t="s">
        <v>15</v>
      </c>
      <c r="BC8" s="2215"/>
      <c r="BD8" s="2215"/>
      <c r="BE8" s="2201"/>
      <c r="BF8" s="2200" t="s">
        <v>16</v>
      </c>
      <c r="BG8" s="2215"/>
      <c r="BH8" s="2215"/>
      <c r="BI8" s="2201"/>
      <c r="BJ8" s="2213" t="s">
        <v>17</v>
      </c>
      <c r="BK8" s="2219"/>
      <c r="BL8" s="2218"/>
      <c r="BM8" s="2211"/>
      <c r="BN8" s="2211"/>
      <c r="BO8" s="2212"/>
      <c r="BP8" s="2214"/>
      <c r="BQ8" s="2211"/>
      <c r="BR8" s="2211"/>
      <c r="BS8" s="2211"/>
      <c r="BT8" s="2211"/>
      <c r="BU8" s="2212"/>
      <c r="BV8" s="2200" t="s">
        <v>15</v>
      </c>
      <c r="BW8" s="2215"/>
      <c r="BX8" s="2215"/>
      <c r="BY8" s="2201"/>
      <c r="BZ8" s="2200" t="s">
        <v>16</v>
      </c>
      <c r="CA8" s="2215"/>
      <c r="CB8" s="2215"/>
      <c r="CC8" s="2201"/>
      <c r="CD8" s="2213" t="s">
        <v>17</v>
      </c>
      <c r="CE8" s="2219"/>
      <c r="CF8" s="2218"/>
      <c r="CG8" s="2211"/>
      <c r="CH8" s="2211"/>
      <c r="CI8" s="2212"/>
      <c r="CJ8" s="2214"/>
      <c r="CK8" s="2211"/>
      <c r="CL8" s="2211"/>
      <c r="CM8" s="2211"/>
      <c r="CN8" s="2211"/>
      <c r="CO8" s="2212"/>
      <c r="CP8" s="2214" t="s">
        <v>15</v>
      </c>
      <c r="CQ8" s="2211"/>
      <c r="CR8" s="2211"/>
      <c r="CS8" s="2212"/>
      <c r="CT8" s="2214" t="s">
        <v>16</v>
      </c>
      <c r="CU8" s="2211"/>
      <c r="CV8" s="2211"/>
      <c r="CW8" s="2212"/>
      <c r="CX8" s="2220" t="s">
        <v>17</v>
      </c>
      <c r="CY8" s="2221"/>
      <c r="CZ8" s="2233" t="s">
        <v>18</v>
      </c>
      <c r="DA8" s="2228"/>
      <c r="DB8" s="2227" t="s">
        <v>19</v>
      </c>
      <c r="DC8" s="2228"/>
      <c r="DD8" s="2227" t="s">
        <v>20</v>
      </c>
      <c r="DE8" s="2228"/>
      <c r="DF8" s="2227" t="s">
        <v>21</v>
      </c>
      <c r="DG8" s="2228"/>
      <c r="DH8" s="2226" t="s">
        <v>15</v>
      </c>
      <c r="DI8" s="2224"/>
      <c r="DJ8" s="2224"/>
      <c r="DK8" s="2225"/>
      <c r="DL8" s="2226" t="s">
        <v>22</v>
      </c>
      <c r="DM8" s="2224"/>
      <c r="DN8" s="2224"/>
      <c r="DO8" s="2224"/>
      <c r="DP8" s="2220"/>
      <c r="DQ8" s="2221"/>
      <c r="DR8" s="2236"/>
      <c r="DS8" s="2237"/>
      <c r="DT8" s="2238"/>
      <c r="DU8" s="2237"/>
      <c r="DV8" s="2227" t="s">
        <v>23</v>
      </c>
      <c r="DW8" s="2228"/>
      <c r="DX8" s="2227" t="s">
        <v>24</v>
      </c>
      <c r="DY8" s="2228"/>
      <c r="DZ8" s="2226" t="s">
        <v>15</v>
      </c>
      <c r="EA8" s="2224"/>
      <c r="EB8" s="2224"/>
      <c r="EC8" s="2225"/>
      <c r="ED8" s="2226" t="s">
        <v>22</v>
      </c>
      <c r="EE8" s="2224"/>
      <c r="EF8" s="2224"/>
      <c r="EG8" s="2224"/>
      <c r="EH8" s="2220"/>
      <c r="EI8" s="2221"/>
    </row>
    <row r="9" spans="1:139" ht="56.45" customHeight="1" x14ac:dyDescent="0.25">
      <c r="A9" s="2207"/>
      <c r="B9" s="2193"/>
      <c r="C9" s="2196"/>
      <c r="D9" s="2231" t="s">
        <v>18</v>
      </c>
      <c r="E9" s="2232"/>
      <c r="F9" s="2200" t="s">
        <v>19</v>
      </c>
      <c r="G9" s="2201"/>
      <c r="H9" s="2214" t="s">
        <v>25</v>
      </c>
      <c r="I9" s="2212"/>
      <c r="J9" s="2214" t="s">
        <v>20</v>
      </c>
      <c r="K9" s="2212"/>
      <c r="L9" s="2214" t="s">
        <v>21</v>
      </c>
      <c r="M9" s="2212"/>
      <c r="N9" s="2200" t="s">
        <v>20</v>
      </c>
      <c r="O9" s="2201"/>
      <c r="P9" s="2200" t="s">
        <v>21</v>
      </c>
      <c r="Q9" s="2201"/>
      <c r="R9" s="2200" t="s">
        <v>20</v>
      </c>
      <c r="S9" s="2201"/>
      <c r="T9" s="2200" t="s">
        <v>21</v>
      </c>
      <c r="U9" s="2201"/>
      <c r="V9" s="2214"/>
      <c r="W9" s="2222"/>
      <c r="X9" s="2235" t="s">
        <v>18</v>
      </c>
      <c r="Y9" s="2232"/>
      <c r="Z9" s="2200" t="s">
        <v>19</v>
      </c>
      <c r="AA9" s="2201"/>
      <c r="AB9" s="2200" t="s">
        <v>25</v>
      </c>
      <c r="AC9" s="2201"/>
      <c r="AD9" s="2200" t="s">
        <v>20</v>
      </c>
      <c r="AE9" s="2201"/>
      <c r="AF9" s="2200" t="s">
        <v>21</v>
      </c>
      <c r="AG9" s="2201"/>
      <c r="AH9" s="2200" t="s">
        <v>20</v>
      </c>
      <c r="AI9" s="2201"/>
      <c r="AJ9" s="2200" t="s">
        <v>21</v>
      </c>
      <c r="AK9" s="2201"/>
      <c r="AL9" s="2200" t="s">
        <v>20</v>
      </c>
      <c r="AM9" s="2201"/>
      <c r="AN9" s="2200" t="s">
        <v>21</v>
      </c>
      <c r="AO9" s="2201"/>
      <c r="AP9" s="2214"/>
      <c r="AQ9" s="2222"/>
      <c r="AR9" s="2235" t="s">
        <v>18</v>
      </c>
      <c r="AS9" s="2232"/>
      <c r="AT9" s="2200" t="s">
        <v>19</v>
      </c>
      <c r="AU9" s="2201"/>
      <c r="AV9" s="2200" t="s">
        <v>25</v>
      </c>
      <c r="AW9" s="2201"/>
      <c r="AX9" s="2200" t="s">
        <v>20</v>
      </c>
      <c r="AY9" s="2201"/>
      <c r="AZ9" s="2200" t="s">
        <v>21</v>
      </c>
      <c r="BA9" s="2201"/>
      <c r="BB9" s="2200" t="s">
        <v>20</v>
      </c>
      <c r="BC9" s="2201"/>
      <c r="BD9" s="2200" t="s">
        <v>21</v>
      </c>
      <c r="BE9" s="2201"/>
      <c r="BF9" s="2200" t="s">
        <v>20</v>
      </c>
      <c r="BG9" s="2201"/>
      <c r="BH9" s="2200" t="s">
        <v>21</v>
      </c>
      <c r="BI9" s="2201"/>
      <c r="BJ9" s="2214"/>
      <c r="BK9" s="2222"/>
      <c r="BL9" s="2235" t="s">
        <v>18</v>
      </c>
      <c r="BM9" s="2232"/>
      <c r="BN9" s="2200" t="s">
        <v>19</v>
      </c>
      <c r="BO9" s="2201"/>
      <c r="BP9" s="2200" t="s">
        <v>25</v>
      </c>
      <c r="BQ9" s="2201"/>
      <c r="BR9" s="2200" t="s">
        <v>20</v>
      </c>
      <c r="BS9" s="2201"/>
      <c r="BT9" s="2200" t="s">
        <v>21</v>
      </c>
      <c r="BU9" s="2201"/>
      <c r="BV9" s="2200" t="s">
        <v>20</v>
      </c>
      <c r="BW9" s="2201"/>
      <c r="BX9" s="2200" t="s">
        <v>21</v>
      </c>
      <c r="BY9" s="2201"/>
      <c r="BZ9" s="2200" t="s">
        <v>20</v>
      </c>
      <c r="CA9" s="2201"/>
      <c r="CB9" s="2200" t="s">
        <v>21</v>
      </c>
      <c r="CC9" s="2201"/>
      <c r="CD9" s="2214"/>
      <c r="CE9" s="2222"/>
      <c r="CF9" s="2235" t="s">
        <v>18</v>
      </c>
      <c r="CG9" s="2232"/>
      <c r="CH9" s="2200" t="s">
        <v>19</v>
      </c>
      <c r="CI9" s="2201"/>
      <c r="CJ9" s="2214" t="s">
        <v>25</v>
      </c>
      <c r="CK9" s="2212"/>
      <c r="CL9" s="2214" t="s">
        <v>20</v>
      </c>
      <c r="CM9" s="2212"/>
      <c r="CN9" s="2214" t="s">
        <v>21</v>
      </c>
      <c r="CO9" s="2212"/>
      <c r="CP9" s="2200" t="s">
        <v>20</v>
      </c>
      <c r="CQ9" s="2201"/>
      <c r="CR9" s="2200" t="s">
        <v>21</v>
      </c>
      <c r="CS9" s="2201"/>
      <c r="CT9" s="2200" t="s">
        <v>20</v>
      </c>
      <c r="CU9" s="2201"/>
      <c r="CV9" s="2200" t="s">
        <v>21</v>
      </c>
      <c r="CW9" s="2201"/>
      <c r="CX9" s="2214"/>
      <c r="CY9" s="2222"/>
      <c r="CZ9" s="2234"/>
      <c r="DA9" s="2230"/>
      <c r="DB9" s="2229"/>
      <c r="DC9" s="2230"/>
      <c r="DD9" s="2229"/>
      <c r="DE9" s="2230"/>
      <c r="DF9" s="2229"/>
      <c r="DG9" s="2230"/>
      <c r="DH9" s="2226" t="s">
        <v>20</v>
      </c>
      <c r="DI9" s="2225"/>
      <c r="DJ9" s="2226" t="s">
        <v>21</v>
      </c>
      <c r="DK9" s="2225"/>
      <c r="DL9" s="2226" t="s">
        <v>20</v>
      </c>
      <c r="DM9" s="2225"/>
      <c r="DN9" s="2226" t="s">
        <v>21</v>
      </c>
      <c r="DO9" s="2224"/>
      <c r="DP9" s="2214"/>
      <c r="DQ9" s="2222"/>
      <c r="DR9" s="2234"/>
      <c r="DS9" s="2230"/>
      <c r="DT9" s="2229"/>
      <c r="DU9" s="2230"/>
      <c r="DV9" s="2229"/>
      <c r="DW9" s="2230"/>
      <c r="DX9" s="2229"/>
      <c r="DY9" s="2230"/>
      <c r="DZ9" s="2226" t="s">
        <v>20</v>
      </c>
      <c r="EA9" s="2225"/>
      <c r="EB9" s="2226" t="s">
        <v>21</v>
      </c>
      <c r="EC9" s="2225"/>
      <c r="ED9" s="2226" t="s">
        <v>20</v>
      </c>
      <c r="EE9" s="2225"/>
      <c r="EF9" s="2226" t="s">
        <v>21</v>
      </c>
      <c r="EG9" s="2224"/>
      <c r="EH9" s="2214"/>
      <c r="EI9" s="2222"/>
    </row>
    <row r="10" spans="1:139" ht="14.45" customHeight="1" x14ac:dyDescent="0.25">
      <c r="A10" s="2207"/>
      <c r="B10" s="2193"/>
      <c r="C10" s="2196"/>
      <c r="D10" s="259" t="s">
        <v>26</v>
      </c>
      <c r="E10" s="260" t="s">
        <v>27</v>
      </c>
      <c r="F10" s="261" t="s">
        <v>26</v>
      </c>
      <c r="G10" s="262" t="s">
        <v>27</v>
      </c>
      <c r="H10" s="258" t="s">
        <v>26</v>
      </c>
      <c r="I10" s="258" t="s">
        <v>28</v>
      </c>
      <c r="J10" s="258" t="s">
        <v>26</v>
      </c>
      <c r="K10" s="258" t="s">
        <v>28</v>
      </c>
      <c r="L10" s="258" t="s">
        <v>26</v>
      </c>
      <c r="M10" s="261" t="s">
        <v>28</v>
      </c>
      <c r="N10" s="258" t="s">
        <v>26</v>
      </c>
      <c r="O10" s="205" t="s">
        <v>28</v>
      </c>
      <c r="P10" s="258" t="s">
        <v>26</v>
      </c>
      <c r="Q10" s="261" t="s">
        <v>28</v>
      </c>
      <c r="R10" s="439" t="s">
        <v>26</v>
      </c>
      <c r="S10" s="258" t="s">
        <v>28</v>
      </c>
      <c r="T10" s="258" t="s">
        <v>26</v>
      </c>
      <c r="U10" s="444" t="s">
        <v>28</v>
      </c>
      <c r="V10" s="439" t="s">
        <v>26</v>
      </c>
      <c r="W10" s="445" t="s">
        <v>28</v>
      </c>
      <c r="X10" s="446" t="s">
        <v>26</v>
      </c>
      <c r="Y10" s="260" t="s">
        <v>27</v>
      </c>
      <c r="Z10" s="261" t="s">
        <v>26</v>
      </c>
      <c r="AA10" s="262" t="s">
        <v>27</v>
      </c>
      <c r="AB10" s="258" t="s">
        <v>26</v>
      </c>
      <c r="AC10" s="258" t="s">
        <v>28</v>
      </c>
      <c r="AD10" s="258" t="s">
        <v>26</v>
      </c>
      <c r="AE10" s="258" t="s">
        <v>28</v>
      </c>
      <c r="AF10" s="258" t="s">
        <v>26</v>
      </c>
      <c r="AG10" s="261" t="s">
        <v>28</v>
      </c>
      <c r="AH10" s="258" t="s">
        <v>26</v>
      </c>
      <c r="AI10" s="205" t="s">
        <v>28</v>
      </c>
      <c r="AJ10" s="258" t="s">
        <v>26</v>
      </c>
      <c r="AK10" s="261" t="s">
        <v>28</v>
      </c>
      <c r="AL10" s="439" t="s">
        <v>26</v>
      </c>
      <c r="AM10" s="258" t="s">
        <v>28</v>
      </c>
      <c r="AN10" s="258" t="s">
        <v>26</v>
      </c>
      <c r="AO10" s="444" t="s">
        <v>28</v>
      </c>
      <c r="AP10" s="439" t="s">
        <v>26</v>
      </c>
      <c r="AQ10" s="445" t="s">
        <v>28</v>
      </c>
      <c r="AR10" s="259" t="s">
        <v>26</v>
      </c>
      <c r="AS10" s="260" t="s">
        <v>27</v>
      </c>
      <c r="AT10" s="261" t="s">
        <v>26</v>
      </c>
      <c r="AU10" s="262" t="s">
        <v>27</v>
      </c>
      <c r="AV10" s="258" t="s">
        <v>26</v>
      </c>
      <c r="AW10" s="258" t="s">
        <v>28</v>
      </c>
      <c r="AX10" s="258" t="s">
        <v>26</v>
      </c>
      <c r="AY10" s="258" t="s">
        <v>28</v>
      </c>
      <c r="AZ10" s="258" t="s">
        <v>26</v>
      </c>
      <c r="BA10" s="261" t="s">
        <v>28</v>
      </c>
      <c r="BB10" s="258" t="s">
        <v>26</v>
      </c>
      <c r="BC10" s="205" t="s">
        <v>28</v>
      </c>
      <c r="BD10" s="258" t="s">
        <v>26</v>
      </c>
      <c r="BE10" s="261" t="s">
        <v>28</v>
      </c>
      <c r="BF10" s="439" t="s">
        <v>26</v>
      </c>
      <c r="BG10" s="258" t="s">
        <v>28</v>
      </c>
      <c r="BH10" s="258" t="s">
        <v>26</v>
      </c>
      <c r="BI10" s="444" t="s">
        <v>28</v>
      </c>
      <c r="BJ10" s="439" t="s">
        <v>26</v>
      </c>
      <c r="BK10" s="445" t="s">
        <v>28</v>
      </c>
      <c r="BL10" s="446" t="s">
        <v>26</v>
      </c>
      <c r="BM10" s="260" t="s">
        <v>27</v>
      </c>
      <c r="BN10" s="261" t="s">
        <v>26</v>
      </c>
      <c r="BO10" s="262" t="s">
        <v>27</v>
      </c>
      <c r="BP10" s="258" t="s">
        <v>26</v>
      </c>
      <c r="BQ10" s="258" t="s">
        <v>28</v>
      </c>
      <c r="BR10" s="258" t="s">
        <v>26</v>
      </c>
      <c r="BS10" s="258" t="s">
        <v>28</v>
      </c>
      <c r="BT10" s="258" t="s">
        <v>26</v>
      </c>
      <c r="BU10" s="261" t="s">
        <v>28</v>
      </c>
      <c r="BV10" s="258" t="s">
        <v>26</v>
      </c>
      <c r="BW10" s="205" t="s">
        <v>28</v>
      </c>
      <c r="BX10" s="258" t="s">
        <v>26</v>
      </c>
      <c r="BY10" s="261" t="s">
        <v>28</v>
      </c>
      <c r="BZ10" s="439" t="s">
        <v>26</v>
      </c>
      <c r="CA10" s="258" t="s">
        <v>28</v>
      </c>
      <c r="CB10" s="258" t="s">
        <v>26</v>
      </c>
      <c r="CC10" s="444" t="s">
        <v>28</v>
      </c>
      <c r="CD10" s="439" t="s">
        <v>26</v>
      </c>
      <c r="CE10" s="445" t="s">
        <v>28</v>
      </c>
      <c r="CF10" s="446" t="s">
        <v>26</v>
      </c>
      <c r="CG10" s="260" t="s">
        <v>27</v>
      </c>
      <c r="CH10" s="261" t="s">
        <v>26</v>
      </c>
      <c r="CI10" s="262" t="s">
        <v>27</v>
      </c>
      <c r="CJ10" s="258" t="s">
        <v>26</v>
      </c>
      <c r="CK10" s="258" t="s">
        <v>28</v>
      </c>
      <c r="CL10" s="258" t="s">
        <v>26</v>
      </c>
      <c r="CM10" s="258" t="s">
        <v>28</v>
      </c>
      <c r="CN10" s="258" t="s">
        <v>26</v>
      </c>
      <c r="CO10" s="261" t="s">
        <v>28</v>
      </c>
      <c r="CP10" s="258" t="s">
        <v>26</v>
      </c>
      <c r="CQ10" s="205" t="s">
        <v>28</v>
      </c>
      <c r="CR10" s="258" t="s">
        <v>26</v>
      </c>
      <c r="CS10" s="261" t="s">
        <v>28</v>
      </c>
      <c r="CT10" s="439" t="s">
        <v>26</v>
      </c>
      <c r="CU10" s="258" t="s">
        <v>28</v>
      </c>
      <c r="CV10" s="258" t="s">
        <v>26</v>
      </c>
      <c r="CW10" s="444" t="s">
        <v>28</v>
      </c>
      <c r="CX10" s="439" t="s">
        <v>26</v>
      </c>
      <c r="CY10" s="445" t="s">
        <v>28</v>
      </c>
      <c r="CZ10" s="447" t="s">
        <v>26</v>
      </c>
      <c r="DA10" s="448" t="s">
        <v>28</v>
      </c>
      <c r="DB10" s="449" t="s">
        <v>26</v>
      </c>
      <c r="DC10" s="449" t="s">
        <v>28</v>
      </c>
      <c r="DD10" s="443" t="s">
        <v>29</v>
      </c>
      <c r="DE10" s="443" t="s">
        <v>28</v>
      </c>
      <c r="DF10" s="443" t="s">
        <v>29</v>
      </c>
      <c r="DG10" s="443" t="s">
        <v>28</v>
      </c>
      <c r="DH10" s="440" t="s">
        <v>26</v>
      </c>
      <c r="DI10" s="450" t="s">
        <v>28</v>
      </c>
      <c r="DJ10" s="442" t="s">
        <v>26</v>
      </c>
      <c r="DK10" s="451" t="s">
        <v>28</v>
      </c>
      <c r="DL10" s="443" t="s">
        <v>26</v>
      </c>
      <c r="DM10" s="449" t="s">
        <v>28</v>
      </c>
      <c r="DN10" s="442" t="s">
        <v>26</v>
      </c>
      <c r="DO10" s="441" t="s">
        <v>28</v>
      </c>
      <c r="DP10" s="258" t="s">
        <v>26</v>
      </c>
      <c r="DQ10" s="445" t="s">
        <v>28</v>
      </c>
      <c r="DR10" s="2250" t="s">
        <v>95</v>
      </c>
      <c r="DS10" s="2240"/>
      <c r="DT10" s="2239" t="s">
        <v>95</v>
      </c>
      <c r="DU10" s="2240"/>
      <c r="DV10" s="2239" t="s">
        <v>95</v>
      </c>
      <c r="DW10" s="2240"/>
      <c r="DX10" s="2239" t="s">
        <v>95</v>
      </c>
      <c r="DY10" s="2240"/>
      <c r="DZ10" s="2239" t="s">
        <v>95</v>
      </c>
      <c r="EA10" s="2240"/>
      <c r="EB10" s="2239" t="s">
        <v>95</v>
      </c>
      <c r="EC10" s="2240"/>
      <c r="ED10" s="2239" t="s">
        <v>95</v>
      </c>
      <c r="EE10" s="2240"/>
      <c r="EF10" s="2239" t="s">
        <v>95</v>
      </c>
      <c r="EG10" s="2240"/>
      <c r="EH10" s="2239" t="s">
        <v>95</v>
      </c>
      <c r="EI10" s="2240"/>
    </row>
    <row r="11" spans="1:139" ht="45.75" thickBot="1" x14ac:dyDescent="0.3">
      <c r="A11" s="2208"/>
      <c r="B11" s="2194"/>
      <c r="C11" s="2197"/>
      <c r="D11" s="263" t="s">
        <v>30</v>
      </c>
      <c r="E11" s="264" t="s">
        <v>30</v>
      </c>
      <c r="F11" s="265" t="s">
        <v>31</v>
      </c>
      <c r="G11" s="266" t="s">
        <v>31</v>
      </c>
      <c r="H11" s="267" t="s">
        <v>32</v>
      </c>
      <c r="I11" s="268" t="s">
        <v>32</v>
      </c>
      <c r="J11" s="269" t="s">
        <v>32</v>
      </c>
      <c r="K11" s="267" t="s">
        <v>32</v>
      </c>
      <c r="L11" s="267" t="s">
        <v>32</v>
      </c>
      <c r="M11" s="268" t="s">
        <v>32</v>
      </c>
      <c r="N11" s="452" t="s">
        <v>32</v>
      </c>
      <c r="O11" s="206" t="s">
        <v>32</v>
      </c>
      <c r="P11" s="269" t="s">
        <v>32</v>
      </c>
      <c r="Q11" s="268" t="s">
        <v>32</v>
      </c>
      <c r="R11" s="269" t="s">
        <v>32</v>
      </c>
      <c r="S11" s="267" t="s">
        <v>32</v>
      </c>
      <c r="T11" s="267" t="s">
        <v>32</v>
      </c>
      <c r="U11" s="453" t="s">
        <v>32</v>
      </c>
      <c r="V11" s="454" t="s">
        <v>32</v>
      </c>
      <c r="W11" s="455" t="s">
        <v>32</v>
      </c>
      <c r="X11" s="263" t="s">
        <v>30</v>
      </c>
      <c r="Y11" s="264" t="s">
        <v>30</v>
      </c>
      <c r="Z11" s="265" t="s">
        <v>31</v>
      </c>
      <c r="AA11" s="266" t="s">
        <v>31</v>
      </c>
      <c r="AB11" s="267" t="s">
        <v>32</v>
      </c>
      <c r="AC11" s="268" t="s">
        <v>32</v>
      </c>
      <c r="AD11" s="269" t="s">
        <v>32</v>
      </c>
      <c r="AE11" s="267" t="s">
        <v>32</v>
      </c>
      <c r="AF11" s="267" t="s">
        <v>32</v>
      </c>
      <c r="AG11" s="268" t="s">
        <v>32</v>
      </c>
      <c r="AH11" s="452" t="s">
        <v>32</v>
      </c>
      <c r="AI11" s="206" t="s">
        <v>32</v>
      </c>
      <c r="AJ11" s="269" t="s">
        <v>32</v>
      </c>
      <c r="AK11" s="268" t="s">
        <v>32</v>
      </c>
      <c r="AL11" s="269" t="s">
        <v>32</v>
      </c>
      <c r="AM11" s="267" t="s">
        <v>32</v>
      </c>
      <c r="AN11" s="267" t="s">
        <v>32</v>
      </c>
      <c r="AO11" s="453" t="s">
        <v>32</v>
      </c>
      <c r="AP11" s="454" t="s">
        <v>32</v>
      </c>
      <c r="AQ11" s="455" t="s">
        <v>32</v>
      </c>
      <c r="AR11" s="403" t="s">
        <v>30</v>
      </c>
      <c r="AS11" s="264" t="s">
        <v>30</v>
      </c>
      <c r="AT11" s="265" t="s">
        <v>31</v>
      </c>
      <c r="AU11" s="266" t="s">
        <v>31</v>
      </c>
      <c r="AV11" s="267" t="s">
        <v>32</v>
      </c>
      <c r="AW11" s="268" t="s">
        <v>32</v>
      </c>
      <c r="AX11" s="269" t="s">
        <v>32</v>
      </c>
      <c r="AY11" s="267" t="s">
        <v>32</v>
      </c>
      <c r="AZ11" s="267" t="s">
        <v>32</v>
      </c>
      <c r="BA11" s="268" t="s">
        <v>32</v>
      </c>
      <c r="BB11" s="452" t="s">
        <v>32</v>
      </c>
      <c r="BC11" s="206" t="s">
        <v>32</v>
      </c>
      <c r="BD11" s="269" t="s">
        <v>32</v>
      </c>
      <c r="BE11" s="268" t="s">
        <v>32</v>
      </c>
      <c r="BF11" s="269" t="s">
        <v>32</v>
      </c>
      <c r="BG11" s="267" t="s">
        <v>32</v>
      </c>
      <c r="BH11" s="267" t="s">
        <v>32</v>
      </c>
      <c r="BI11" s="453" t="s">
        <v>32</v>
      </c>
      <c r="BJ11" s="454" t="s">
        <v>32</v>
      </c>
      <c r="BK11" s="455" t="s">
        <v>32</v>
      </c>
      <c r="BL11" s="263" t="s">
        <v>30</v>
      </c>
      <c r="BM11" s="264" t="s">
        <v>30</v>
      </c>
      <c r="BN11" s="265" t="s">
        <v>31</v>
      </c>
      <c r="BO11" s="266" t="s">
        <v>31</v>
      </c>
      <c r="BP11" s="267" t="s">
        <v>32</v>
      </c>
      <c r="BQ11" s="268" t="s">
        <v>32</v>
      </c>
      <c r="BR11" s="269" t="s">
        <v>32</v>
      </c>
      <c r="BS11" s="267" t="s">
        <v>32</v>
      </c>
      <c r="BT11" s="267" t="s">
        <v>32</v>
      </c>
      <c r="BU11" s="268" t="s">
        <v>32</v>
      </c>
      <c r="BV11" s="452" t="s">
        <v>32</v>
      </c>
      <c r="BW11" s="206" t="s">
        <v>32</v>
      </c>
      <c r="BX11" s="269" t="s">
        <v>32</v>
      </c>
      <c r="BY11" s="268" t="s">
        <v>32</v>
      </c>
      <c r="BZ11" s="269" t="s">
        <v>32</v>
      </c>
      <c r="CA11" s="267" t="s">
        <v>32</v>
      </c>
      <c r="CB11" s="267" t="s">
        <v>32</v>
      </c>
      <c r="CC11" s="453" t="s">
        <v>32</v>
      </c>
      <c r="CD11" s="454" t="s">
        <v>32</v>
      </c>
      <c r="CE11" s="455" t="s">
        <v>32</v>
      </c>
      <c r="CF11" s="263" t="s">
        <v>30</v>
      </c>
      <c r="CG11" s="264" t="s">
        <v>30</v>
      </c>
      <c r="CH11" s="265" t="s">
        <v>31</v>
      </c>
      <c r="CI11" s="266" t="s">
        <v>31</v>
      </c>
      <c r="CJ11" s="267" t="s">
        <v>32</v>
      </c>
      <c r="CK11" s="268" t="s">
        <v>32</v>
      </c>
      <c r="CL11" s="269" t="s">
        <v>32</v>
      </c>
      <c r="CM11" s="267" t="s">
        <v>32</v>
      </c>
      <c r="CN11" s="267" t="s">
        <v>32</v>
      </c>
      <c r="CO11" s="268" t="s">
        <v>32</v>
      </c>
      <c r="CP11" s="452" t="s">
        <v>32</v>
      </c>
      <c r="CQ11" s="206" t="s">
        <v>32</v>
      </c>
      <c r="CR11" s="269" t="s">
        <v>32</v>
      </c>
      <c r="CS11" s="268" t="s">
        <v>32</v>
      </c>
      <c r="CT11" s="269" t="s">
        <v>32</v>
      </c>
      <c r="CU11" s="267" t="s">
        <v>32</v>
      </c>
      <c r="CV11" s="267" t="s">
        <v>32</v>
      </c>
      <c r="CW11" s="453" t="s">
        <v>32</v>
      </c>
      <c r="CX11" s="454" t="s">
        <v>32</v>
      </c>
      <c r="CY11" s="455" t="s">
        <v>32</v>
      </c>
      <c r="CZ11" s="456" t="s">
        <v>33</v>
      </c>
      <c r="DA11" s="457" t="s">
        <v>33</v>
      </c>
      <c r="DB11" s="458" t="s">
        <v>31</v>
      </c>
      <c r="DC11" s="458" t="s">
        <v>31</v>
      </c>
      <c r="DD11" s="459" t="s">
        <v>34</v>
      </c>
      <c r="DE11" s="458" t="s">
        <v>34</v>
      </c>
      <c r="DF11" s="458" t="s">
        <v>34</v>
      </c>
      <c r="DG11" s="458" t="s">
        <v>34</v>
      </c>
      <c r="DH11" s="459" t="s">
        <v>34</v>
      </c>
      <c r="DI11" s="458" t="s">
        <v>34</v>
      </c>
      <c r="DJ11" s="458" t="s">
        <v>34</v>
      </c>
      <c r="DK11" s="458" t="s">
        <v>34</v>
      </c>
      <c r="DL11" s="459" t="s">
        <v>34</v>
      </c>
      <c r="DM11" s="458" t="s">
        <v>34</v>
      </c>
      <c r="DN11" s="458" t="s">
        <v>34</v>
      </c>
      <c r="DO11" s="460" t="s">
        <v>34</v>
      </c>
      <c r="DP11" s="268" t="s">
        <v>32</v>
      </c>
      <c r="DQ11" s="455" t="s">
        <v>32</v>
      </c>
      <c r="DR11" s="461" t="s">
        <v>35</v>
      </c>
      <c r="DS11" s="462" t="s">
        <v>31</v>
      </c>
      <c r="DT11" s="459" t="s">
        <v>34</v>
      </c>
      <c r="DU11" s="458" t="s">
        <v>31</v>
      </c>
      <c r="DV11" s="459" t="s">
        <v>34</v>
      </c>
      <c r="DW11" s="463" t="s">
        <v>31</v>
      </c>
      <c r="DX11" s="458" t="s">
        <v>34</v>
      </c>
      <c r="DY11" s="458" t="s">
        <v>31</v>
      </c>
      <c r="DZ11" s="459" t="s">
        <v>34</v>
      </c>
      <c r="EA11" s="458" t="s">
        <v>31</v>
      </c>
      <c r="EB11" s="458" t="s">
        <v>34</v>
      </c>
      <c r="EC11" s="458" t="s">
        <v>31</v>
      </c>
      <c r="ED11" s="459" t="s">
        <v>34</v>
      </c>
      <c r="EE11" s="458" t="s">
        <v>31</v>
      </c>
      <c r="EF11" s="458" t="s">
        <v>34</v>
      </c>
      <c r="EG11" s="460" t="s">
        <v>31</v>
      </c>
      <c r="EH11" s="460" t="s">
        <v>34</v>
      </c>
      <c r="EI11" s="464" t="s">
        <v>31</v>
      </c>
    </row>
    <row r="12" spans="1:139" ht="15.75" thickBot="1" x14ac:dyDescent="0.3">
      <c r="A12" s="438"/>
      <c r="B12" s="274"/>
      <c r="C12" s="276"/>
      <c r="D12" s="270"/>
      <c r="E12" s="271"/>
      <c r="F12" s="272"/>
      <c r="G12" s="273"/>
      <c r="H12" s="274"/>
      <c r="I12" s="275"/>
      <c r="J12" s="276"/>
      <c r="K12" s="276"/>
      <c r="L12" s="276"/>
      <c r="M12" s="275"/>
      <c r="N12" s="465"/>
      <c r="O12" s="466"/>
      <c r="P12" s="276"/>
      <c r="Q12" s="275"/>
      <c r="R12" s="467"/>
      <c r="S12" s="468"/>
      <c r="T12" s="276"/>
      <c r="U12" s="469"/>
      <c r="V12" s="276"/>
      <c r="W12" s="276"/>
      <c r="X12" s="270"/>
      <c r="Y12" s="271"/>
      <c r="Z12" s="272"/>
      <c r="AA12" s="273"/>
      <c r="AB12" s="274"/>
      <c r="AC12" s="275"/>
      <c r="AD12" s="276"/>
      <c r="AE12" s="276"/>
      <c r="AF12" s="276"/>
      <c r="AG12" s="275"/>
      <c r="AH12" s="465"/>
      <c r="AI12" s="207"/>
      <c r="AJ12" s="276"/>
      <c r="AK12" s="275"/>
      <c r="AL12" s="276"/>
      <c r="AM12" s="276"/>
      <c r="AN12" s="274"/>
      <c r="AO12" s="469"/>
      <c r="AP12" s="276"/>
      <c r="AQ12" s="470"/>
      <c r="AR12" s="271"/>
      <c r="AS12" s="271"/>
      <c r="AT12" s="272"/>
      <c r="AU12" s="273"/>
      <c r="AV12" s="274"/>
      <c r="AW12" s="275"/>
      <c r="AX12" s="276"/>
      <c r="AY12" s="276"/>
      <c r="AZ12" s="276"/>
      <c r="BA12" s="275"/>
      <c r="BB12" s="465"/>
      <c r="BC12" s="207"/>
      <c r="BD12" s="276"/>
      <c r="BE12" s="275"/>
      <c r="BF12" s="276"/>
      <c r="BG12" s="276"/>
      <c r="BH12" s="274"/>
      <c r="BI12" s="469"/>
      <c r="BJ12" s="276"/>
      <c r="BK12" s="276"/>
      <c r="BL12" s="270"/>
      <c r="BM12" s="271"/>
      <c r="BN12" s="272"/>
      <c r="BO12" s="273"/>
      <c r="BP12" s="274"/>
      <c r="BQ12" s="275"/>
      <c r="BR12" s="276"/>
      <c r="BS12" s="276"/>
      <c r="BT12" s="276"/>
      <c r="BU12" s="275"/>
      <c r="BV12" s="465"/>
      <c r="BW12" s="207"/>
      <c r="BX12" s="276"/>
      <c r="BY12" s="275"/>
      <c r="BZ12" s="276"/>
      <c r="CA12" s="276"/>
      <c r="CB12" s="274"/>
      <c r="CC12" s="469"/>
      <c r="CD12" s="276"/>
      <c r="CE12" s="276"/>
      <c r="CF12" s="270"/>
      <c r="CG12" s="271"/>
      <c r="CH12" s="272"/>
      <c r="CI12" s="471"/>
      <c r="CJ12" s="276"/>
      <c r="CK12" s="275"/>
      <c r="CL12" s="276"/>
      <c r="CM12" s="276"/>
      <c r="CN12" s="276"/>
      <c r="CO12" s="275"/>
      <c r="CP12" s="465"/>
      <c r="CQ12" s="207"/>
      <c r="CR12" s="276"/>
      <c r="CS12" s="275"/>
      <c r="CT12" s="276"/>
      <c r="CU12" s="276"/>
      <c r="CV12" s="276"/>
      <c r="CW12" s="469"/>
      <c r="CX12" s="276"/>
      <c r="CY12" s="470"/>
      <c r="CZ12" s="472"/>
      <c r="DA12" s="473"/>
      <c r="DB12" s="474"/>
      <c r="DC12" s="475"/>
      <c r="DD12" s="476"/>
      <c r="DE12" s="476"/>
      <c r="DF12" s="476"/>
      <c r="DG12" s="476"/>
      <c r="DH12" s="475"/>
      <c r="DI12" s="475"/>
      <c r="DJ12" s="475"/>
      <c r="DK12" s="475"/>
      <c r="DL12" s="475"/>
      <c r="DM12" s="475"/>
      <c r="DN12" s="475"/>
      <c r="DO12" s="475"/>
      <c r="DP12" s="274"/>
      <c r="DQ12" s="470"/>
      <c r="DR12" s="477"/>
      <c r="DS12" s="478"/>
      <c r="DT12" s="475"/>
      <c r="DU12" s="479"/>
      <c r="DV12" s="475"/>
      <c r="DW12" s="480"/>
      <c r="DX12" s="475"/>
      <c r="DY12" s="479"/>
      <c r="DZ12" s="475"/>
      <c r="EA12" s="475"/>
      <c r="EB12" s="481"/>
      <c r="EC12" s="479"/>
      <c r="ED12" s="475"/>
      <c r="EE12" s="475"/>
      <c r="EF12" s="475"/>
      <c r="EG12" s="475"/>
      <c r="EH12" s="481"/>
      <c r="EI12" s="482"/>
    </row>
    <row r="13" spans="1:139" x14ac:dyDescent="0.25">
      <c r="A13" s="2241" t="s">
        <v>36</v>
      </c>
      <c r="B13" s="2188" t="s">
        <v>37</v>
      </c>
      <c r="C13" s="2189"/>
      <c r="D13" s="277">
        <v>809.69999999999993</v>
      </c>
      <c r="E13" s="278"/>
      <c r="F13" s="279">
        <v>7.3629841137047708E-2</v>
      </c>
      <c r="G13" s="278"/>
      <c r="H13" s="280" t="s">
        <v>38</v>
      </c>
      <c r="I13" s="281" t="s">
        <v>38</v>
      </c>
      <c r="J13" s="282">
        <v>369375.13299999997</v>
      </c>
      <c r="K13" s="483"/>
      <c r="L13" s="405" t="s">
        <v>38</v>
      </c>
      <c r="M13" s="484" t="s">
        <v>38</v>
      </c>
      <c r="N13" s="485">
        <v>363109.12</v>
      </c>
      <c r="O13" s="483"/>
      <c r="P13" s="280" t="s">
        <v>38</v>
      </c>
      <c r="Q13" s="281" t="s">
        <v>38</v>
      </c>
      <c r="R13" s="485">
        <v>6266.0130000000008</v>
      </c>
      <c r="S13" s="483"/>
      <c r="T13" s="280" t="s">
        <v>38</v>
      </c>
      <c r="U13" s="281" t="s">
        <v>38</v>
      </c>
      <c r="V13" s="486">
        <v>456.18764110164261</v>
      </c>
      <c r="W13" s="486"/>
      <c r="X13" s="277">
        <v>807.39999999999986</v>
      </c>
      <c r="Y13" s="278"/>
      <c r="Z13" s="279">
        <v>7.3387324007671395E-2</v>
      </c>
      <c r="AA13" s="278"/>
      <c r="AB13" s="280" t="s">
        <v>38</v>
      </c>
      <c r="AC13" s="281" t="s">
        <v>38</v>
      </c>
      <c r="AD13" s="282">
        <v>347608.8</v>
      </c>
      <c r="AE13" s="483"/>
      <c r="AF13" s="405" t="s">
        <v>38</v>
      </c>
      <c r="AG13" s="484" t="s">
        <v>38</v>
      </c>
      <c r="AH13" s="485">
        <v>341342.8</v>
      </c>
      <c r="AI13" s="483"/>
      <c r="AJ13" s="280" t="s">
        <v>38</v>
      </c>
      <c r="AK13" s="281" t="s">
        <v>38</v>
      </c>
      <c r="AL13" s="485">
        <v>6266</v>
      </c>
      <c r="AM13" s="483"/>
      <c r="AN13" s="280" t="s">
        <v>38</v>
      </c>
      <c r="AO13" s="281" t="s">
        <v>38</v>
      </c>
      <c r="AP13" s="486">
        <v>430.52861035422347</v>
      </c>
      <c r="AQ13" s="486"/>
      <c r="AR13" s="277">
        <v>824.09999999999991</v>
      </c>
      <c r="AS13" s="278"/>
      <c r="AT13" s="279">
        <v>7.4197120708748607E-2</v>
      </c>
      <c r="AU13" s="278"/>
      <c r="AV13" s="280" t="s">
        <v>38</v>
      </c>
      <c r="AW13" s="281" t="s">
        <v>38</v>
      </c>
      <c r="AX13" s="282">
        <v>364388</v>
      </c>
      <c r="AY13" s="483"/>
      <c r="AZ13" s="405" t="s">
        <v>38</v>
      </c>
      <c r="BA13" s="484" t="s">
        <v>38</v>
      </c>
      <c r="BB13" s="485">
        <v>358122</v>
      </c>
      <c r="BC13" s="483"/>
      <c r="BD13" s="280" t="s">
        <v>38</v>
      </c>
      <c r="BE13" s="281" t="s">
        <v>38</v>
      </c>
      <c r="BF13" s="485">
        <v>6266</v>
      </c>
      <c r="BG13" s="483"/>
      <c r="BH13" s="280" t="s">
        <v>38</v>
      </c>
      <c r="BI13" s="281" t="s">
        <v>38</v>
      </c>
      <c r="BJ13" s="486">
        <v>442.16478582696277</v>
      </c>
      <c r="BK13" s="486"/>
      <c r="BL13" s="277">
        <v>813.1</v>
      </c>
      <c r="BM13" s="278"/>
      <c r="BN13" s="279">
        <v>7.3272715803512703E-2</v>
      </c>
      <c r="BO13" s="278"/>
      <c r="BP13" s="280" t="s">
        <v>38</v>
      </c>
      <c r="BQ13" s="281" t="s">
        <v>38</v>
      </c>
      <c r="BR13" s="282">
        <v>368071.12</v>
      </c>
      <c r="BS13" s="483"/>
      <c r="BT13" s="405" t="s">
        <v>38</v>
      </c>
      <c r="BU13" s="484" t="s">
        <v>38</v>
      </c>
      <c r="BV13" s="485">
        <v>361805.12</v>
      </c>
      <c r="BW13" s="483"/>
      <c r="BX13" s="280" t="s">
        <v>38</v>
      </c>
      <c r="BY13" s="281" t="s">
        <v>38</v>
      </c>
      <c r="BZ13" s="485">
        <v>6266</v>
      </c>
      <c r="CA13" s="483"/>
      <c r="CB13" s="280" t="s">
        <v>38</v>
      </c>
      <c r="CC13" s="281" t="s">
        <v>38</v>
      </c>
      <c r="CD13" s="486">
        <v>452.67632517525516</v>
      </c>
      <c r="CE13" s="486"/>
      <c r="CF13" s="277">
        <f t="shared" ref="CF13:CF44" si="0">BL13+AR13+X13+D13</f>
        <v>3254.2999999999993</v>
      </c>
      <c r="CG13" s="486"/>
      <c r="CH13" s="279">
        <f>CF13/44202.6</f>
        <v>7.3622366105161222E-2</v>
      </c>
      <c r="CI13" s="487"/>
      <c r="CJ13" s="405" t="s">
        <v>38</v>
      </c>
      <c r="CK13" s="484" t="s">
        <v>38</v>
      </c>
      <c r="CL13" s="485">
        <f t="shared" ref="CL13:CL44" si="1">BR13+AX13+AD13+J13</f>
        <v>1449443.0529999998</v>
      </c>
      <c r="CM13" s="488"/>
      <c r="CN13" s="489" t="s">
        <v>38</v>
      </c>
      <c r="CO13" s="484" t="s">
        <v>38</v>
      </c>
      <c r="CP13" s="485">
        <f t="shared" ref="CP13:CP44" si="2">BV13+BB13+AH13+N13</f>
        <v>1424379.04</v>
      </c>
      <c r="CQ13" s="483"/>
      <c r="CR13" s="405" t="s">
        <v>38</v>
      </c>
      <c r="CS13" s="484" t="s">
        <v>38</v>
      </c>
      <c r="CT13" s="485">
        <f t="shared" ref="CT13:CT44" si="3">BZ13+BF13+AL13+R13</f>
        <v>25064.012999999999</v>
      </c>
      <c r="CU13" s="483"/>
      <c r="CV13" s="405" t="s">
        <v>38</v>
      </c>
      <c r="CW13" s="484" t="s">
        <v>38</v>
      </c>
      <c r="CX13" s="485">
        <f>CL13/CF13</f>
        <v>445.39318839689031</v>
      </c>
      <c r="CY13" s="490"/>
      <c r="CZ13" s="491"/>
      <c r="DA13" s="492"/>
      <c r="DB13" s="493"/>
      <c r="DC13" s="494"/>
      <c r="DD13" s="495"/>
      <c r="DE13" s="496"/>
      <c r="DF13" s="280"/>
      <c r="DG13" s="281"/>
      <c r="DH13" s="485"/>
      <c r="DI13" s="483"/>
      <c r="DJ13" s="280"/>
      <c r="DK13" s="281"/>
      <c r="DL13" s="485"/>
      <c r="DM13" s="483"/>
      <c r="DN13" s="280"/>
      <c r="DO13" s="281"/>
      <c r="DP13" s="497"/>
      <c r="DQ13" s="498"/>
      <c r="DR13" s="499"/>
      <c r="DS13" s="500"/>
      <c r="DT13" s="280"/>
      <c r="DU13" s="281"/>
      <c r="DV13" s="486"/>
      <c r="DW13" s="279"/>
      <c r="DX13" s="489"/>
      <c r="DY13" s="501"/>
      <c r="DZ13" s="486"/>
      <c r="EA13" s="279"/>
      <c r="EB13" s="280"/>
      <c r="EC13" s="281"/>
      <c r="ED13" s="486"/>
      <c r="EE13" s="500"/>
      <c r="EF13" s="486"/>
      <c r="EG13" s="494"/>
      <c r="EH13" s="282"/>
      <c r="EI13" s="502"/>
    </row>
    <row r="14" spans="1:139" x14ac:dyDescent="0.25">
      <c r="A14" s="2242"/>
      <c r="B14" s="503"/>
      <c r="C14" s="504" t="s">
        <v>39</v>
      </c>
      <c r="D14" s="234">
        <v>446.1</v>
      </c>
      <c r="E14" s="228"/>
      <c r="F14" s="246">
        <v>0.2043518094365552</v>
      </c>
      <c r="G14" s="228"/>
      <c r="H14" s="283" t="s">
        <v>38</v>
      </c>
      <c r="I14" s="284" t="s">
        <v>38</v>
      </c>
      <c r="J14" s="285">
        <v>282154.01299999998</v>
      </c>
      <c r="K14" s="208"/>
      <c r="L14" s="406" t="s">
        <v>38</v>
      </c>
      <c r="M14" s="505" t="s">
        <v>38</v>
      </c>
      <c r="N14" s="506">
        <v>275888</v>
      </c>
      <c r="O14" s="507"/>
      <c r="P14" s="283" t="s">
        <v>38</v>
      </c>
      <c r="Q14" s="284" t="s">
        <v>38</v>
      </c>
      <c r="R14" s="506">
        <v>6266.0130000000008</v>
      </c>
      <c r="S14" s="208"/>
      <c r="T14" s="283" t="s">
        <v>38</v>
      </c>
      <c r="U14" s="284" t="s">
        <v>38</v>
      </c>
      <c r="V14" s="231">
        <v>632.49050212956729</v>
      </c>
      <c r="W14" s="231"/>
      <c r="X14" s="234">
        <v>444.9</v>
      </c>
      <c r="Y14" s="228"/>
      <c r="Z14" s="246">
        <v>0.20370879120879121</v>
      </c>
      <c r="AA14" s="228"/>
      <c r="AB14" s="283" t="s">
        <v>38</v>
      </c>
      <c r="AC14" s="284" t="s">
        <v>38</v>
      </c>
      <c r="AD14" s="285">
        <v>279051</v>
      </c>
      <c r="AE14" s="208"/>
      <c r="AF14" s="406" t="s">
        <v>38</v>
      </c>
      <c r="AG14" s="505" t="s">
        <v>38</v>
      </c>
      <c r="AH14" s="506">
        <v>272785</v>
      </c>
      <c r="AI14" s="507"/>
      <c r="AJ14" s="283" t="s">
        <v>38</v>
      </c>
      <c r="AK14" s="284" t="s">
        <v>38</v>
      </c>
      <c r="AL14" s="506">
        <v>6266</v>
      </c>
      <c r="AM14" s="208"/>
      <c r="AN14" s="283" t="s">
        <v>38</v>
      </c>
      <c r="AO14" s="284" t="s">
        <v>38</v>
      </c>
      <c r="AP14" s="231">
        <v>627.22184760620371</v>
      </c>
      <c r="AQ14" s="231"/>
      <c r="AR14" s="234">
        <v>452.5</v>
      </c>
      <c r="AS14" s="228"/>
      <c r="AT14" s="246">
        <v>0.20493659420289856</v>
      </c>
      <c r="AU14" s="228"/>
      <c r="AV14" s="283" t="s">
        <v>38</v>
      </c>
      <c r="AW14" s="284" t="s">
        <v>38</v>
      </c>
      <c r="AX14" s="285">
        <v>273907</v>
      </c>
      <c r="AY14" s="208"/>
      <c r="AZ14" s="406" t="s">
        <v>38</v>
      </c>
      <c r="BA14" s="505" t="s">
        <v>38</v>
      </c>
      <c r="BB14" s="506">
        <v>267641</v>
      </c>
      <c r="BC14" s="507"/>
      <c r="BD14" s="283" t="s">
        <v>38</v>
      </c>
      <c r="BE14" s="284" t="s">
        <v>38</v>
      </c>
      <c r="BF14" s="506">
        <v>6266</v>
      </c>
      <c r="BG14" s="208"/>
      <c r="BH14" s="283" t="s">
        <v>38</v>
      </c>
      <c r="BI14" s="284" t="s">
        <v>38</v>
      </c>
      <c r="BJ14" s="231">
        <v>605.31933701657454</v>
      </c>
      <c r="BK14" s="231"/>
      <c r="BL14" s="234">
        <v>448.4</v>
      </c>
      <c r="BM14" s="228"/>
      <c r="BN14" s="246">
        <v>0.20298777727478495</v>
      </c>
      <c r="BO14" s="228"/>
      <c r="BP14" s="283" t="s">
        <v>38</v>
      </c>
      <c r="BQ14" s="284" t="s">
        <v>38</v>
      </c>
      <c r="BR14" s="285">
        <v>278316</v>
      </c>
      <c r="BS14" s="208"/>
      <c r="BT14" s="406" t="s">
        <v>38</v>
      </c>
      <c r="BU14" s="505" t="s">
        <v>38</v>
      </c>
      <c r="BV14" s="506">
        <v>272050</v>
      </c>
      <c r="BW14" s="507"/>
      <c r="BX14" s="283" t="s">
        <v>38</v>
      </c>
      <c r="BY14" s="284" t="s">
        <v>38</v>
      </c>
      <c r="BZ14" s="506">
        <v>6266</v>
      </c>
      <c r="CA14" s="208"/>
      <c r="CB14" s="283" t="s">
        <v>38</v>
      </c>
      <c r="CC14" s="284" t="s">
        <v>38</v>
      </c>
      <c r="CD14" s="231">
        <v>620.68688670829624</v>
      </c>
      <c r="CE14" s="231"/>
      <c r="CF14" s="508">
        <f t="shared" si="0"/>
        <v>1791.9</v>
      </c>
      <c r="CG14" s="509"/>
      <c r="CH14" s="510">
        <f>CF14/8760</f>
        <v>0.20455479452054795</v>
      </c>
      <c r="CI14" s="511"/>
      <c r="CJ14" s="406" t="s">
        <v>38</v>
      </c>
      <c r="CK14" s="505" t="s">
        <v>38</v>
      </c>
      <c r="CL14" s="506">
        <f t="shared" si="1"/>
        <v>1113428.013</v>
      </c>
      <c r="CM14" s="239"/>
      <c r="CN14" s="209" t="s">
        <v>38</v>
      </c>
      <c r="CO14" s="505" t="s">
        <v>38</v>
      </c>
      <c r="CP14" s="506">
        <f t="shared" si="2"/>
        <v>1088364</v>
      </c>
      <c r="CQ14" s="208"/>
      <c r="CR14" s="406" t="s">
        <v>38</v>
      </c>
      <c r="CS14" s="505" t="s">
        <v>38</v>
      </c>
      <c r="CT14" s="506">
        <f t="shared" si="3"/>
        <v>25064.012999999999</v>
      </c>
      <c r="CU14" s="208"/>
      <c r="CV14" s="406" t="s">
        <v>38</v>
      </c>
      <c r="CW14" s="505" t="s">
        <v>38</v>
      </c>
      <c r="CX14" s="506">
        <f t="shared" ref="CX14:CX62" si="4">CL14/CF14</f>
        <v>621.36727105307216</v>
      </c>
      <c r="CY14" s="213"/>
      <c r="CZ14" s="512"/>
      <c r="DA14" s="513"/>
      <c r="DB14" s="514"/>
      <c r="DC14" s="515"/>
      <c r="DD14" s="506"/>
      <c r="DE14" s="231"/>
      <c r="DF14" s="283"/>
      <c r="DG14" s="284"/>
      <c r="DH14" s="506"/>
      <c r="DI14" s="208"/>
      <c r="DJ14" s="283"/>
      <c r="DK14" s="284"/>
      <c r="DL14" s="506"/>
      <c r="DM14" s="208"/>
      <c r="DN14" s="283"/>
      <c r="DO14" s="284"/>
      <c r="DP14" s="506"/>
      <c r="DQ14" s="516"/>
      <c r="DR14" s="242"/>
      <c r="DS14" s="517"/>
      <c r="DT14" s="283"/>
      <c r="DU14" s="284"/>
      <c r="DV14" s="509"/>
      <c r="DW14" s="510"/>
      <c r="DX14" s="518"/>
      <c r="DY14" s="519"/>
      <c r="DZ14" s="509"/>
      <c r="EA14" s="510"/>
      <c r="EB14" s="283"/>
      <c r="EC14" s="284"/>
      <c r="ED14" s="509"/>
      <c r="EE14" s="517"/>
      <c r="EF14" s="509"/>
      <c r="EG14" s="520"/>
      <c r="EH14" s="298"/>
      <c r="EI14" s="521"/>
    </row>
    <row r="15" spans="1:139" x14ac:dyDescent="0.25">
      <c r="A15" s="2242"/>
      <c r="B15" s="503"/>
      <c r="C15" s="504" t="s">
        <v>40</v>
      </c>
      <c r="D15" s="234">
        <v>87.9</v>
      </c>
      <c r="E15" s="228"/>
      <c r="F15" s="246">
        <v>4.0265689418231797E-2</v>
      </c>
      <c r="G15" s="228"/>
      <c r="H15" s="283" t="s">
        <v>38</v>
      </c>
      <c r="I15" s="284" t="s">
        <v>38</v>
      </c>
      <c r="J15" s="286">
        <v>0</v>
      </c>
      <c r="K15" s="238"/>
      <c r="L15" s="406" t="s">
        <v>38</v>
      </c>
      <c r="M15" s="505" t="s">
        <v>38</v>
      </c>
      <c r="N15" s="506">
        <v>0</v>
      </c>
      <c r="O15" s="522"/>
      <c r="P15" s="283" t="s">
        <v>38</v>
      </c>
      <c r="Q15" s="284" t="s">
        <v>38</v>
      </c>
      <c r="R15" s="506">
        <v>0</v>
      </c>
      <c r="S15" s="208"/>
      <c r="T15" s="283" t="s">
        <v>38</v>
      </c>
      <c r="U15" s="284" t="s">
        <v>38</v>
      </c>
      <c r="V15" s="231">
        <v>0</v>
      </c>
      <c r="W15" s="231"/>
      <c r="X15" s="234">
        <v>87</v>
      </c>
      <c r="Y15" s="228"/>
      <c r="Z15" s="246">
        <v>3.9835164835164832E-2</v>
      </c>
      <c r="AA15" s="228"/>
      <c r="AB15" s="283" t="s">
        <v>38</v>
      </c>
      <c r="AC15" s="284" t="s">
        <v>38</v>
      </c>
      <c r="AD15" s="286">
        <v>0</v>
      </c>
      <c r="AE15" s="238"/>
      <c r="AF15" s="406" t="s">
        <v>38</v>
      </c>
      <c r="AG15" s="505" t="s">
        <v>38</v>
      </c>
      <c r="AH15" s="506">
        <v>0</v>
      </c>
      <c r="AI15" s="522"/>
      <c r="AJ15" s="283" t="s">
        <v>38</v>
      </c>
      <c r="AK15" s="284" t="s">
        <v>38</v>
      </c>
      <c r="AL15" s="506">
        <v>0</v>
      </c>
      <c r="AM15" s="208"/>
      <c r="AN15" s="283" t="s">
        <v>38</v>
      </c>
      <c r="AO15" s="284" t="s">
        <v>38</v>
      </c>
      <c r="AP15" s="231">
        <v>0</v>
      </c>
      <c r="AQ15" s="231"/>
      <c r="AR15" s="234">
        <v>90</v>
      </c>
      <c r="AS15" s="228"/>
      <c r="AT15" s="246">
        <v>4.0760869565217392E-2</v>
      </c>
      <c r="AU15" s="228"/>
      <c r="AV15" s="283" t="s">
        <v>38</v>
      </c>
      <c r="AW15" s="284" t="s">
        <v>38</v>
      </c>
      <c r="AX15" s="286">
        <v>0</v>
      </c>
      <c r="AY15" s="238"/>
      <c r="AZ15" s="406" t="s">
        <v>38</v>
      </c>
      <c r="BA15" s="505" t="s">
        <v>38</v>
      </c>
      <c r="BB15" s="506">
        <v>0</v>
      </c>
      <c r="BC15" s="522"/>
      <c r="BD15" s="283" t="s">
        <v>38</v>
      </c>
      <c r="BE15" s="284" t="s">
        <v>38</v>
      </c>
      <c r="BF15" s="506">
        <v>0</v>
      </c>
      <c r="BG15" s="208"/>
      <c r="BH15" s="283" t="s">
        <v>38</v>
      </c>
      <c r="BI15" s="284" t="s">
        <v>38</v>
      </c>
      <c r="BJ15" s="231">
        <v>0</v>
      </c>
      <c r="BK15" s="231"/>
      <c r="BL15" s="234">
        <v>86.7</v>
      </c>
      <c r="BM15" s="228"/>
      <c r="BN15" s="246">
        <v>3.924852874603893E-2</v>
      </c>
      <c r="BO15" s="228"/>
      <c r="BP15" s="283" t="s">
        <v>38</v>
      </c>
      <c r="BQ15" s="284" t="s">
        <v>38</v>
      </c>
      <c r="BR15" s="286">
        <v>0</v>
      </c>
      <c r="BS15" s="238"/>
      <c r="BT15" s="406" t="s">
        <v>38</v>
      </c>
      <c r="BU15" s="505" t="s">
        <v>38</v>
      </c>
      <c r="BV15" s="506">
        <v>0</v>
      </c>
      <c r="BW15" s="522"/>
      <c r="BX15" s="283" t="s">
        <v>38</v>
      </c>
      <c r="BY15" s="284" t="s">
        <v>38</v>
      </c>
      <c r="BZ15" s="506">
        <v>0</v>
      </c>
      <c r="CA15" s="208"/>
      <c r="CB15" s="283" t="s">
        <v>38</v>
      </c>
      <c r="CC15" s="284" t="s">
        <v>38</v>
      </c>
      <c r="CD15" s="231">
        <v>0</v>
      </c>
      <c r="CE15" s="231"/>
      <c r="CF15" s="508">
        <f t="shared" si="0"/>
        <v>351.6</v>
      </c>
      <c r="CG15" s="231"/>
      <c r="CH15" s="510">
        <f>CF15/8760</f>
        <v>4.0136986301369866E-2</v>
      </c>
      <c r="CI15" s="232"/>
      <c r="CJ15" s="406" t="s">
        <v>38</v>
      </c>
      <c r="CK15" s="505" t="s">
        <v>38</v>
      </c>
      <c r="CL15" s="506">
        <f t="shared" si="1"/>
        <v>0</v>
      </c>
      <c r="CM15" s="239"/>
      <c r="CN15" s="209" t="s">
        <v>38</v>
      </c>
      <c r="CO15" s="505" t="s">
        <v>38</v>
      </c>
      <c r="CP15" s="506">
        <f t="shared" si="2"/>
        <v>0</v>
      </c>
      <c r="CQ15" s="208"/>
      <c r="CR15" s="406" t="s">
        <v>38</v>
      </c>
      <c r="CS15" s="505" t="s">
        <v>38</v>
      </c>
      <c r="CT15" s="506">
        <f t="shared" si="3"/>
        <v>0</v>
      </c>
      <c r="CU15" s="208"/>
      <c r="CV15" s="406" t="s">
        <v>38</v>
      </c>
      <c r="CW15" s="505" t="s">
        <v>38</v>
      </c>
      <c r="CX15" s="506">
        <f t="shared" si="4"/>
        <v>0</v>
      </c>
      <c r="CY15" s="17"/>
      <c r="CZ15" s="512"/>
      <c r="DA15" s="513"/>
      <c r="DB15" s="514"/>
      <c r="DC15" s="515"/>
      <c r="DD15" s="506"/>
      <c r="DE15" s="231"/>
      <c r="DF15" s="283"/>
      <c r="DG15" s="284"/>
      <c r="DH15" s="506"/>
      <c r="DI15" s="208"/>
      <c r="DJ15" s="283"/>
      <c r="DK15" s="284"/>
      <c r="DL15" s="506"/>
      <c r="DM15" s="208"/>
      <c r="DN15" s="283"/>
      <c r="DO15" s="284"/>
      <c r="DP15" s="506"/>
      <c r="DQ15" s="516"/>
      <c r="DR15" s="242"/>
      <c r="DS15" s="517"/>
      <c r="DT15" s="283"/>
      <c r="DU15" s="284"/>
      <c r="DV15" s="509"/>
      <c r="DW15" s="510"/>
      <c r="DX15" s="518"/>
      <c r="DY15" s="519"/>
      <c r="DZ15" s="509"/>
      <c r="EA15" s="510"/>
      <c r="EB15" s="283"/>
      <c r="EC15" s="284"/>
      <c r="ED15" s="509"/>
      <c r="EE15" s="517"/>
      <c r="EF15" s="509"/>
      <c r="EG15" s="520"/>
      <c r="EH15" s="298"/>
      <c r="EI15" s="521"/>
    </row>
    <row r="16" spans="1:139" x14ac:dyDescent="0.25">
      <c r="A16" s="2242"/>
      <c r="B16" s="523"/>
      <c r="C16" s="524" t="s">
        <v>41</v>
      </c>
      <c r="D16" s="234">
        <v>72.099999999999994</v>
      </c>
      <c r="E16" s="228"/>
      <c r="F16" s="246">
        <v>3.3027943197434718E-2</v>
      </c>
      <c r="G16" s="228"/>
      <c r="H16" s="283" t="s">
        <v>38</v>
      </c>
      <c r="I16" s="284" t="s">
        <v>38</v>
      </c>
      <c r="J16" s="286">
        <v>0</v>
      </c>
      <c r="K16" s="238"/>
      <c r="L16" s="406" t="s">
        <v>38</v>
      </c>
      <c r="M16" s="505" t="s">
        <v>38</v>
      </c>
      <c r="N16" s="506">
        <v>0</v>
      </c>
      <c r="O16" s="522"/>
      <c r="P16" s="283" t="s">
        <v>38</v>
      </c>
      <c r="Q16" s="284" t="s">
        <v>38</v>
      </c>
      <c r="R16" s="506">
        <v>0</v>
      </c>
      <c r="S16" s="208"/>
      <c r="T16" s="283" t="s">
        <v>38</v>
      </c>
      <c r="U16" s="284" t="s">
        <v>38</v>
      </c>
      <c r="V16" s="231">
        <v>0</v>
      </c>
      <c r="W16" s="231"/>
      <c r="X16" s="234">
        <v>72</v>
      </c>
      <c r="Y16" s="228"/>
      <c r="Z16" s="246">
        <v>3.2967032967032968E-2</v>
      </c>
      <c r="AA16" s="228"/>
      <c r="AB16" s="283" t="s">
        <v>38</v>
      </c>
      <c r="AC16" s="284" t="s">
        <v>38</v>
      </c>
      <c r="AD16" s="286">
        <v>0</v>
      </c>
      <c r="AE16" s="238"/>
      <c r="AF16" s="406" t="s">
        <v>38</v>
      </c>
      <c r="AG16" s="505" t="s">
        <v>38</v>
      </c>
      <c r="AH16" s="506">
        <v>0</v>
      </c>
      <c r="AI16" s="522"/>
      <c r="AJ16" s="283" t="s">
        <v>38</v>
      </c>
      <c r="AK16" s="284" t="s">
        <v>38</v>
      </c>
      <c r="AL16" s="506">
        <v>0</v>
      </c>
      <c r="AM16" s="208"/>
      <c r="AN16" s="283" t="s">
        <v>38</v>
      </c>
      <c r="AO16" s="284" t="s">
        <v>38</v>
      </c>
      <c r="AP16" s="231">
        <v>0</v>
      </c>
      <c r="AQ16" s="231"/>
      <c r="AR16" s="234">
        <v>73.599999999999994</v>
      </c>
      <c r="AS16" s="228"/>
      <c r="AT16" s="246">
        <v>3.3333333333333333E-2</v>
      </c>
      <c r="AU16" s="228"/>
      <c r="AV16" s="283" t="s">
        <v>38</v>
      </c>
      <c r="AW16" s="284" t="s">
        <v>38</v>
      </c>
      <c r="AX16" s="286">
        <v>0</v>
      </c>
      <c r="AY16" s="238"/>
      <c r="AZ16" s="406" t="s">
        <v>38</v>
      </c>
      <c r="BA16" s="505" t="s">
        <v>38</v>
      </c>
      <c r="BB16" s="506">
        <v>0</v>
      </c>
      <c r="BC16" s="522"/>
      <c r="BD16" s="283" t="s">
        <v>38</v>
      </c>
      <c r="BE16" s="284" t="s">
        <v>38</v>
      </c>
      <c r="BF16" s="506">
        <v>0</v>
      </c>
      <c r="BG16" s="208"/>
      <c r="BH16" s="283" t="s">
        <v>38</v>
      </c>
      <c r="BI16" s="284" t="s">
        <v>38</v>
      </c>
      <c r="BJ16" s="231">
        <v>0</v>
      </c>
      <c r="BK16" s="231"/>
      <c r="BL16" s="234">
        <v>72.400000000000006</v>
      </c>
      <c r="BM16" s="228"/>
      <c r="BN16" s="246">
        <v>3.2775011317338162E-2</v>
      </c>
      <c r="BO16" s="228"/>
      <c r="BP16" s="283" t="s">
        <v>38</v>
      </c>
      <c r="BQ16" s="284" t="s">
        <v>38</v>
      </c>
      <c r="BR16" s="286">
        <v>0</v>
      </c>
      <c r="BS16" s="238"/>
      <c r="BT16" s="406" t="s">
        <v>38</v>
      </c>
      <c r="BU16" s="505" t="s">
        <v>38</v>
      </c>
      <c r="BV16" s="506">
        <v>0</v>
      </c>
      <c r="BW16" s="522"/>
      <c r="BX16" s="283" t="s">
        <v>38</v>
      </c>
      <c r="BY16" s="284" t="s">
        <v>38</v>
      </c>
      <c r="BZ16" s="506">
        <v>0</v>
      </c>
      <c r="CA16" s="208"/>
      <c r="CB16" s="283" t="s">
        <v>38</v>
      </c>
      <c r="CC16" s="284" t="s">
        <v>38</v>
      </c>
      <c r="CD16" s="231">
        <v>0</v>
      </c>
      <c r="CE16" s="231"/>
      <c r="CF16" s="508">
        <f t="shared" si="0"/>
        <v>290.10000000000002</v>
      </c>
      <c r="CG16" s="231"/>
      <c r="CH16" s="510">
        <f>CF16/8760</f>
        <v>3.3116438356164388E-2</v>
      </c>
      <c r="CI16" s="232"/>
      <c r="CJ16" s="406" t="s">
        <v>38</v>
      </c>
      <c r="CK16" s="505" t="s">
        <v>38</v>
      </c>
      <c r="CL16" s="506">
        <f t="shared" si="1"/>
        <v>0</v>
      </c>
      <c r="CM16" s="239"/>
      <c r="CN16" s="209" t="s">
        <v>38</v>
      </c>
      <c r="CO16" s="505" t="s">
        <v>38</v>
      </c>
      <c r="CP16" s="506">
        <f t="shared" si="2"/>
        <v>0</v>
      </c>
      <c r="CQ16" s="208"/>
      <c r="CR16" s="406" t="s">
        <v>38</v>
      </c>
      <c r="CS16" s="505" t="s">
        <v>38</v>
      </c>
      <c r="CT16" s="506">
        <f t="shared" si="3"/>
        <v>0</v>
      </c>
      <c r="CU16" s="208"/>
      <c r="CV16" s="406" t="s">
        <v>38</v>
      </c>
      <c r="CW16" s="505" t="s">
        <v>38</v>
      </c>
      <c r="CX16" s="506">
        <f t="shared" si="4"/>
        <v>0</v>
      </c>
      <c r="CY16" s="17"/>
      <c r="CZ16" s="512"/>
      <c r="DA16" s="513"/>
      <c r="DB16" s="514"/>
      <c r="DC16" s="515"/>
      <c r="DD16" s="506"/>
      <c r="DE16" s="231"/>
      <c r="DF16" s="283"/>
      <c r="DG16" s="284"/>
      <c r="DH16" s="506"/>
      <c r="DI16" s="208"/>
      <c r="DJ16" s="283"/>
      <c r="DK16" s="284"/>
      <c r="DL16" s="506"/>
      <c r="DM16" s="208"/>
      <c r="DN16" s="283"/>
      <c r="DO16" s="284"/>
      <c r="DP16" s="506"/>
      <c r="DQ16" s="516"/>
      <c r="DR16" s="242"/>
      <c r="DS16" s="517"/>
      <c r="DT16" s="283"/>
      <c r="DU16" s="284"/>
      <c r="DV16" s="509"/>
      <c r="DW16" s="510"/>
      <c r="DX16" s="518"/>
      <c r="DY16" s="519"/>
      <c r="DZ16" s="509"/>
      <c r="EA16" s="510"/>
      <c r="EB16" s="283"/>
      <c r="EC16" s="284"/>
      <c r="ED16" s="509"/>
      <c r="EE16" s="517"/>
      <c r="EF16" s="509"/>
      <c r="EG16" s="520"/>
      <c r="EH16" s="298"/>
      <c r="EI16" s="521"/>
    </row>
    <row r="17" spans="1:139" s="204" customFormat="1" x14ac:dyDescent="0.25">
      <c r="A17" s="2242"/>
      <c r="B17" s="523"/>
      <c r="C17" s="524" t="s">
        <v>42</v>
      </c>
      <c r="D17" s="234">
        <v>186.2</v>
      </c>
      <c r="E17" s="228"/>
      <c r="F17" s="246">
        <v>8.5295464956481895E-2</v>
      </c>
      <c r="G17" s="228"/>
      <c r="H17" s="283" t="s">
        <v>38</v>
      </c>
      <c r="I17" s="284" t="s">
        <v>38</v>
      </c>
      <c r="J17" s="286">
        <v>85242</v>
      </c>
      <c r="K17" s="238"/>
      <c r="L17" s="406" t="s">
        <v>38</v>
      </c>
      <c r="M17" s="505" t="s">
        <v>38</v>
      </c>
      <c r="N17" s="506">
        <v>85242</v>
      </c>
      <c r="O17" s="208"/>
      <c r="P17" s="283" t="s">
        <v>38</v>
      </c>
      <c r="Q17" s="284" t="s">
        <v>38</v>
      </c>
      <c r="R17" s="506">
        <v>0</v>
      </c>
      <c r="S17" s="208"/>
      <c r="T17" s="283" t="s">
        <v>38</v>
      </c>
      <c r="U17" s="284" t="s">
        <v>38</v>
      </c>
      <c r="V17" s="231">
        <v>457.79806659505908</v>
      </c>
      <c r="W17" s="231"/>
      <c r="X17" s="234">
        <v>186.2</v>
      </c>
      <c r="Y17" s="228"/>
      <c r="Z17" s="246">
        <v>8.5256410256410245E-2</v>
      </c>
      <c r="AA17" s="228"/>
      <c r="AB17" s="283" t="s">
        <v>38</v>
      </c>
      <c r="AC17" s="284" t="s">
        <v>38</v>
      </c>
      <c r="AD17" s="286">
        <v>66587</v>
      </c>
      <c r="AE17" s="238"/>
      <c r="AF17" s="406" t="s">
        <v>38</v>
      </c>
      <c r="AG17" s="505" t="s">
        <v>38</v>
      </c>
      <c r="AH17" s="506">
        <v>66587</v>
      </c>
      <c r="AI17" s="208"/>
      <c r="AJ17" s="283" t="s">
        <v>38</v>
      </c>
      <c r="AK17" s="284" t="s">
        <v>38</v>
      </c>
      <c r="AL17" s="506">
        <v>0</v>
      </c>
      <c r="AM17" s="208"/>
      <c r="AN17" s="283" t="s">
        <v>38</v>
      </c>
      <c r="AO17" s="284" t="s">
        <v>38</v>
      </c>
      <c r="AP17" s="231">
        <v>357.61009667024706</v>
      </c>
      <c r="AQ17" s="231"/>
      <c r="AR17" s="234">
        <v>190.2</v>
      </c>
      <c r="AS17" s="228"/>
      <c r="AT17" s="246">
        <v>8.6141304347826075E-2</v>
      </c>
      <c r="AU17" s="228"/>
      <c r="AV17" s="283" t="s">
        <v>38</v>
      </c>
      <c r="AW17" s="284" t="s">
        <v>38</v>
      </c>
      <c r="AX17" s="286">
        <v>88505</v>
      </c>
      <c r="AY17" s="238"/>
      <c r="AZ17" s="406" t="s">
        <v>38</v>
      </c>
      <c r="BA17" s="505" t="s">
        <v>38</v>
      </c>
      <c r="BB17" s="506">
        <v>88505</v>
      </c>
      <c r="BC17" s="208"/>
      <c r="BD17" s="283" t="s">
        <v>38</v>
      </c>
      <c r="BE17" s="284" t="s">
        <v>38</v>
      </c>
      <c r="BF17" s="506">
        <v>0</v>
      </c>
      <c r="BG17" s="208"/>
      <c r="BH17" s="283" t="s">
        <v>38</v>
      </c>
      <c r="BI17" s="284" t="s">
        <v>38</v>
      </c>
      <c r="BJ17" s="231">
        <v>465.32597266035754</v>
      </c>
      <c r="BK17" s="231"/>
      <c r="BL17" s="234">
        <v>188</v>
      </c>
      <c r="BM17" s="228"/>
      <c r="BN17" s="246">
        <v>8.5106382978723402E-2</v>
      </c>
      <c r="BO17" s="228"/>
      <c r="BP17" s="283" t="s">
        <v>38</v>
      </c>
      <c r="BQ17" s="284" t="s">
        <v>38</v>
      </c>
      <c r="BR17" s="286">
        <v>87781.2</v>
      </c>
      <c r="BS17" s="238"/>
      <c r="BT17" s="406" t="s">
        <v>38</v>
      </c>
      <c r="BU17" s="505" t="s">
        <v>38</v>
      </c>
      <c r="BV17" s="506">
        <v>87781.2</v>
      </c>
      <c r="BW17" s="208"/>
      <c r="BX17" s="283" t="s">
        <v>38</v>
      </c>
      <c r="BY17" s="284" t="s">
        <v>38</v>
      </c>
      <c r="BZ17" s="506">
        <v>0</v>
      </c>
      <c r="CA17" s="208"/>
      <c r="CB17" s="283" t="s">
        <v>38</v>
      </c>
      <c r="CC17" s="284" t="s">
        <v>38</v>
      </c>
      <c r="CD17" s="231">
        <v>466.92127659574464</v>
      </c>
      <c r="CE17" s="231"/>
      <c r="CF17" s="508">
        <f t="shared" si="0"/>
        <v>750.59999999999991</v>
      </c>
      <c r="CG17" s="231"/>
      <c r="CH17" s="510">
        <f>CF17/8760</f>
        <v>8.5684931506849304E-2</v>
      </c>
      <c r="CI17" s="232"/>
      <c r="CJ17" s="406" t="s">
        <v>38</v>
      </c>
      <c r="CK17" s="505" t="s">
        <v>38</v>
      </c>
      <c r="CL17" s="506">
        <f>BR17+AX17+AD17+J17</f>
        <v>328115.20000000001</v>
      </c>
      <c r="CM17" s="239"/>
      <c r="CN17" s="209" t="s">
        <v>38</v>
      </c>
      <c r="CO17" s="505" t="s">
        <v>38</v>
      </c>
      <c r="CP17" s="506">
        <f t="shared" si="2"/>
        <v>328115.20000000001</v>
      </c>
      <c r="CQ17" s="208"/>
      <c r="CR17" s="406" t="s">
        <v>38</v>
      </c>
      <c r="CS17" s="505" t="s">
        <v>38</v>
      </c>
      <c r="CT17" s="506">
        <f t="shared" si="3"/>
        <v>0</v>
      </c>
      <c r="CU17" s="208"/>
      <c r="CV17" s="406" t="s">
        <v>38</v>
      </c>
      <c r="CW17" s="505" t="s">
        <v>38</v>
      </c>
      <c r="CX17" s="506">
        <f t="shared" si="4"/>
        <v>437.13722355448982</v>
      </c>
      <c r="CY17" s="423"/>
      <c r="CZ17" s="512"/>
      <c r="DA17" s="513"/>
      <c r="DB17" s="514"/>
      <c r="DC17" s="515"/>
      <c r="DD17" s="506"/>
      <c r="DE17" s="231"/>
      <c r="DF17" s="283"/>
      <c r="DG17" s="284"/>
      <c r="DH17" s="506"/>
      <c r="DI17" s="208"/>
      <c r="DJ17" s="283"/>
      <c r="DK17" s="284"/>
      <c r="DL17" s="506"/>
      <c r="DM17" s="208"/>
      <c r="DN17" s="283"/>
      <c r="DO17" s="284"/>
      <c r="DP17" s="506"/>
      <c r="DQ17" s="516"/>
      <c r="DR17" s="242"/>
      <c r="DS17" s="517"/>
      <c r="DT17" s="283"/>
      <c r="DU17" s="284"/>
      <c r="DV17" s="509"/>
      <c r="DW17" s="510"/>
      <c r="DX17" s="518"/>
      <c r="DY17" s="519"/>
      <c r="DZ17" s="509"/>
      <c r="EA17" s="510"/>
      <c r="EB17" s="283"/>
      <c r="EC17" s="284"/>
      <c r="ED17" s="509"/>
      <c r="EE17" s="517"/>
      <c r="EF17" s="509"/>
      <c r="EG17" s="520"/>
      <c r="EH17" s="285"/>
      <c r="EI17" s="249"/>
    </row>
    <row r="18" spans="1:139" x14ac:dyDescent="0.25">
      <c r="A18" s="2242"/>
      <c r="B18" s="503"/>
      <c r="C18" s="504" t="s">
        <v>43</v>
      </c>
      <c r="D18" s="234">
        <v>17.399999999999999</v>
      </c>
      <c r="E18" s="228"/>
      <c r="F18" s="246">
        <v>7.9706825469537321E-3</v>
      </c>
      <c r="G18" s="228"/>
      <c r="H18" s="283" t="s">
        <v>38</v>
      </c>
      <c r="I18" s="284" t="s">
        <v>38</v>
      </c>
      <c r="J18" s="286">
        <v>1979.1200000000001</v>
      </c>
      <c r="K18" s="238"/>
      <c r="L18" s="406" t="s">
        <v>38</v>
      </c>
      <c r="M18" s="505" t="s">
        <v>38</v>
      </c>
      <c r="N18" s="506">
        <v>1979.1200000000001</v>
      </c>
      <c r="O18" s="522"/>
      <c r="P18" s="283" t="s">
        <v>38</v>
      </c>
      <c r="Q18" s="284" t="s">
        <v>38</v>
      </c>
      <c r="R18" s="506">
        <v>0</v>
      </c>
      <c r="S18" s="208"/>
      <c r="T18" s="283" t="s">
        <v>38</v>
      </c>
      <c r="U18" s="284" t="s">
        <v>38</v>
      </c>
      <c r="V18" s="231">
        <v>113.74252873563221</v>
      </c>
      <c r="W18" s="231"/>
      <c r="X18" s="234">
        <v>17.3</v>
      </c>
      <c r="Y18" s="228"/>
      <c r="Z18" s="246">
        <v>7.9212454212454209E-3</v>
      </c>
      <c r="AA18" s="228"/>
      <c r="AB18" s="283" t="s">
        <v>38</v>
      </c>
      <c r="AC18" s="284" t="s">
        <v>38</v>
      </c>
      <c r="AD18" s="286">
        <v>1970.8</v>
      </c>
      <c r="AE18" s="238"/>
      <c r="AF18" s="406" t="s">
        <v>38</v>
      </c>
      <c r="AG18" s="505" t="s">
        <v>38</v>
      </c>
      <c r="AH18" s="506">
        <v>1970.8</v>
      </c>
      <c r="AI18" s="522"/>
      <c r="AJ18" s="283" t="s">
        <v>38</v>
      </c>
      <c r="AK18" s="284" t="s">
        <v>38</v>
      </c>
      <c r="AL18" s="506">
        <v>0</v>
      </c>
      <c r="AM18" s="208"/>
      <c r="AN18" s="283" t="s">
        <v>38</v>
      </c>
      <c r="AO18" s="284" t="s">
        <v>38</v>
      </c>
      <c r="AP18" s="231">
        <v>113.91907514450867</v>
      </c>
      <c r="AQ18" s="231"/>
      <c r="AR18" s="234">
        <v>17.8</v>
      </c>
      <c r="AS18" s="228"/>
      <c r="AT18" s="246">
        <v>8.0615942028985504E-3</v>
      </c>
      <c r="AU18" s="228"/>
      <c r="AV18" s="283" t="s">
        <v>38</v>
      </c>
      <c r="AW18" s="284" t="s">
        <v>38</v>
      </c>
      <c r="AX18" s="286">
        <v>1976</v>
      </c>
      <c r="AY18" s="238"/>
      <c r="AZ18" s="406" t="s">
        <v>38</v>
      </c>
      <c r="BA18" s="505" t="s">
        <v>38</v>
      </c>
      <c r="BB18" s="506">
        <v>1976</v>
      </c>
      <c r="BC18" s="522"/>
      <c r="BD18" s="283" t="s">
        <v>38</v>
      </c>
      <c r="BE18" s="284" t="s">
        <v>38</v>
      </c>
      <c r="BF18" s="506">
        <v>0</v>
      </c>
      <c r="BG18" s="208"/>
      <c r="BH18" s="283" t="s">
        <v>38</v>
      </c>
      <c r="BI18" s="284" t="s">
        <v>38</v>
      </c>
      <c r="BJ18" s="231">
        <v>111.01123595505618</v>
      </c>
      <c r="BK18" s="231"/>
      <c r="BL18" s="234">
        <v>17.600000000000001</v>
      </c>
      <c r="BM18" s="228"/>
      <c r="BN18" s="246">
        <v>7.9674060660932557E-3</v>
      </c>
      <c r="BO18" s="228"/>
      <c r="BP18" s="283" t="s">
        <v>38</v>
      </c>
      <c r="BQ18" s="284" t="s">
        <v>38</v>
      </c>
      <c r="BR18" s="286">
        <v>1973.92</v>
      </c>
      <c r="BS18" s="238"/>
      <c r="BT18" s="406" t="s">
        <v>38</v>
      </c>
      <c r="BU18" s="505" t="s">
        <v>38</v>
      </c>
      <c r="BV18" s="506">
        <v>1973.92</v>
      </c>
      <c r="BW18" s="522"/>
      <c r="BX18" s="283" t="s">
        <v>38</v>
      </c>
      <c r="BY18" s="284" t="s">
        <v>38</v>
      </c>
      <c r="BZ18" s="506">
        <v>0</v>
      </c>
      <c r="CA18" s="208"/>
      <c r="CB18" s="283" t="s">
        <v>38</v>
      </c>
      <c r="CC18" s="284" t="s">
        <v>38</v>
      </c>
      <c r="CD18" s="231">
        <v>112.15454545454546</v>
      </c>
      <c r="CE18" s="231"/>
      <c r="CF18" s="508">
        <f t="shared" si="0"/>
        <v>70.099999999999994</v>
      </c>
      <c r="CG18" s="231"/>
      <c r="CH18" s="510">
        <f>CF18/8760</f>
        <v>8.0022831050228296E-3</v>
      </c>
      <c r="CI18" s="232"/>
      <c r="CJ18" s="406" t="s">
        <v>38</v>
      </c>
      <c r="CK18" s="505" t="s">
        <v>38</v>
      </c>
      <c r="CL18" s="506">
        <f t="shared" si="1"/>
        <v>7899.84</v>
      </c>
      <c r="CM18" s="239"/>
      <c r="CN18" s="209" t="s">
        <v>38</v>
      </c>
      <c r="CO18" s="505" t="s">
        <v>38</v>
      </c>
      <c r="CP18" s="506">
        <f t="shared" si="2"/>
        <v>7899.84</v>
      </c>
      <c r="CQ18" s="208"/>
      <c r="CR18" s="406" t="s">
        <v>38</v>
      </c>
      <c r="CS18" s="505" t="s">
        <v>38</v>
      </c>
      <c r="CT18" s="506">
        <f t="shared" si="3"/>
        <v>0</v>
      </c>
      <c r="CU18" s="208"/>
      <c r="CV18" s="406" t="s">
        <v>38</v>
      </c>
      <c r="CW18" s="505" t="s">
        <v>38</v>
      </c>
      <c r="CX18" s="506">
        <f t="shared" si="4"/>
        <v>112.6938659058488</v>
      </c>
      <c r="CY18" s="17"/>
      <c r="CZ18" s="512"/>
      <c r="DA18" s="513"/>
      <c r="DB18" s="514"/>
      <c r="DC18" s="515"/>
      <c r="DD18" s="506"/>
      <c r="DE18" s="231"/>
      <c r="DF18" s="283"/>
      <c r="DG18" s="284"/>
      <c r="DH18" s="506"/>
      <c r="DI18" s="208"/>
      <c r="DJ18" s="283"/>
      <c r="DK18" s="284"/>
      <c r="DL18" s="506"/>
      <c r="DM18" s="208"/>
      <c r="DN18" s="283"/>
      <c r="DO18" s="284"/>
      <c r="DP18" s="506"/>
      <c r="DQ18" s="516"/>
      <c r="DR18" s="242"/>
      <c r="DS18" s="517"/>
      <c r="DT18" s="283"/>
      <c r="DU18" s="284"/>
      <c r="DV18" s="509"/>
      <c r="DW18" s="510"/>
      <c r="DX18" s="518"/>
      <c r="DY18" s="519"/>
      <c r="DZ18" s="509"/>
      <c r="EA18" s="510"/>
      <c r="EB18" s="283"/>
      <c r="EC18" s="284"/>
      <c r="ED18" s="509"/>
      <c r="EE18" s="517"/>
      <c r="EF18" s="509"/>
      <c r="EG18" s="520"/>
      <c r="EH18" s="298"/>
      <c r="EI18" s="521"/>
    </row>
    <row r="19" spans="1:139" ht="39.6" customHeight="1" x14ac:dyDescent="0.25">
      <c r="A19" s="2242"/>
      <c r="B19" s="2186" t="s">
        <v>44</v>
      </c>
      <c r="C19" s="2187"/>
      <c r="D19" s="287">
        <v>824.30000000000007</v>
      </c>
      <c r="E19" s="288"/>
      <c r="F19" s="289">
        <v>7.4957488019350912E-2</v>
      </c>
      <c r="G19" s="288"/>
      <c r="H19" s="290" t="s">
        <v>38</v>
      </c>
      <c r="I19" s="291" t="s">
        <v>38</v>
      </c>
      <c r="J19" s="292">
        <v>287753.63157894736</v>
      </c>
      <c r="K19" s="525"/>
      <c r="L19" s="407" t="s">
        <v>38</v>
      </c>
      <c r="M19" s="526" t="s">
        <v>38</v>
      </c>
      <c r="N19" s="527">
        <v>287753.63157894736</v>
      </c>
      <c r="O19" s="528"/>
      <c r="P19" s="290" t="s">
        <v>38</v>
      </c>
      <c r="Q19" s="291" t="s">
        <v>38</v>
      </c>
      <c r="R19" s="527">
        <v>0</v>
      </c>
      <c r="S19" s="528"/>
      <c r="T19" s="290" t="s">
        <v>38</v>
      </c>
      <c r="U19" s="291" t="s">
        <v>38</v>
      </c>
      <c r="V19" s="529">
        <v>349.08847698525699</v>
      </c>
      <c r="W19" s="529"/>
      <c r="X19" s="287">
        <v>804.90000000000009</v>
      </c>
      <c r="Y19" s="288"/>
      <c r="Z19" s="289">
        <v>7.316009052981759E-2</v>
      </c>
      <c r="AA19" s="288"/>
      <c r="AB19" s="290" t="s">
        <v>38</v>
      </c>
      <c r="AC19" s="291" t="s">
        <v>38</v>
      </c>
      <c r="AD19" s="292">
        <v>279776.26315789472</v>
      </c>
      <c r="AE19" s="525"/>
      <c r="AF19" s="407" t="s">
        <v>38</v>
      </c>
      <c r="AG19" s="526" t="s">
        <v>38</v>
      </c>
      <c r="AH19" s="527">
        <v>279776.26315789472</v>
      </c>
      <c r="AI19" s="528"/>
      <c r="AJ19" s="290" t="s">
        <v>38</v>
      </c>
      <c r="AK19" s="291" t="s">
        <v>38</v>
      </c>
      <c r="AL19" s="527">
        <v>0</v>
      </c>
      <c r="AM19" s="528"/>
      <c r="AN19" s="290" t="s">
        <v>38</v>
      </c>
      <c r="AO19" s="291" t="s">
        <v>38</v>
      </c>
      <c r="AP19" s="529">
        <v>347.59133203863172</v>
      </c>
      <c r="AQ19" s="529"/>
      <c r="AR19" s="287">
        <v>771.7</v>
      </c>
      <c r="AS19" s="288"/>
      <c r="AT19" s="289">
        <v>6.9479332667080826E-2</v>
      </c>
      <c r="AU19" s="288"/>
      <c r="AV19" s="290" t="s">
        <v>38</v>
      </c>
      <c r="AW19" s="291" t="s">
        <v>38</v>
      </c>
      <c r="AX19" s="292">
        <v>247772.26315789472</v>
      </c>
      <c r="AY19" s="525"/>
      <c r="AZ19" s="407" t="s">
        <v>38</v>
      </c>
      <c r="BA19" s="526" t="s">
        <v>38</v>
      </c>
      <c r="BB19" s="527">
        <v>247772.26315789472</v>
      </c>
      <c r="BC19" s="528"/>
      <c r="BD19" s="290" t="s">
        <v>38</v>
      </c>
      <c r="BE19" s="291" t="s">
        <v>38</v>
      </c>
      <c r="BF19" s="527">
        <v>0</v>
      </c>
      <c r="BG19" s="528"/>
      <c r="BH19" s="290" t="s">
        <v>38</v>
      </c>
      <c r="BI19" s="291" t="s">
        <v>38</v>
      </c>
      <c r="BJ19" s="529">
        <v>321.07329682246302</v>
      </c>
      <c r="BK19" s="529"/>
      <c r="BL19" s="287">
        <v>971.59999999999991</v>
      </c>
      <c r="BM19" s="288"/>
      <c r="BN19" s="289">
        <v>8.7555984103668591E-2</v>
      </c>
      <c r="BO19" s="288"/>
      <c r="BP19" s="290" t="s">
        <v>38</v>
      </c>
      <c r="BQ19" s="291" t="s">
        <v>38</v>
      </c>
      <c r="BR19" s="292">
        <v>284753.84210526315</v>
      </c>
      <c r="BS19" s="525"/>
      <c r="BT19" s="407" t="s">
        <v>38</v>
      </c>
      <c r="BU19" s="526" t="s">
        <v>38</v>
      </c>
      <c r="BV19" s="527">
        <v>284753.84210526315</v>
      </c>
      <c r="BW19" s="528"/>
      <c r="BX19" s="290" t="s">
        <v>38</v>
      </c>
      <c r="BY19" s="291" t="s">
        <v>38</v>
      </c>
      <c r="BZ19" s="527">
        <v>0</v>
      </c>
      <c r="CA19" s="528"/>
      <c r="CB19" s="290" t="s">
        <v>38</v>
      </c>
      <c r="CC19" s="291" t="s">
        <v>38</v>
      </c>
      <c r="CD19" s="529">
        <v>293.07723559619512</v>
      </c>
      <c r="CE19" s="529"/>
      <c r="CF19" s="530">
        <f t="shared" si="0"/>
        <v>3372.5</v>
      </c>
      <c r="CG19" s="529"/>
      <c r="CH19" s="289">
        <f>CF19/44202.6</f>
        <v>7.6296416952848931E-2</v>
      </c>
      <c r="CI19" s="531"/>
      <c r="CJ19" s="407" t="s">
        <v>38</v>
      </c>
      <c r="CK19" s="526" t="s">
        <v>38</v>
      </c>
      <c r="CL19" s="527">
        <f t="shared" si="1"/>
        <v>1100056</v>
      </c>
      <c r="CM19" s="532"/>
      <c r="CN19" s="533" t="s">
        <v>38</v>
      </c>
      <c r="CO19" s="526" t="s">
        <v>38</v>
      </c>
      <c r="CP19" s="527">
        <f t="shared" si="2"/>
        <v>1100056</v>
      </c>
      <c r="CQ19" s="528"/>
      <c r="CR19" s="407" t="s">
        <v>38</v>
      </c>
      <c r="CS19" s="526" t="s">
        <v>38</v>
      </c>
      <c r="CT19" s="527">
        <f t="shared" si="3"/>
        <v>0</v>
      </c>
      <c r="CU19" s="528"/>
      <c r="CV19" s="407" t="s">
        <v>38</v>
      </c>
      <c r="CW19" s="526" t="s">
        <v>38</v>
      </c>
      <c r="CX19" s="527">
        <f t="shared" si="4"/>
        <v>326.18413639733137</v>
      </c>
      <c r="CY19" s="18"/>
      <c r="CZ19" s="534"/>
      <c r="DA19" s="535"/>
      <c r="DB19" s="536"/>
      <c r="DC19" s="537"/>
      <c r="DD19" s="527"/>
      <c r="DE19" s="529"/>
      <c r="DF19" s="290"/>
      <c r="DG19" s="291"/>
      <c r="DH19" s="527"/>
      <c r="DI19" s="528"/>
      <c r="DJ19" s="290"/>
      <c r="DK19" s="291"/>
      <c r="DL19" s="527"/>
      <c r="DM19" s="528"/>
      <c r="DN19" s="290"/>
      <c r="DO19" s="291"/>
      <c r="DP19" s="527"/>
      <c r="DQ19" s="538"/>
      <c r="DR19" s="539"/>
      <c r="DS19" s="540"/>
      <c r="DT19" s="290"/>
      <c r="DU19" s="291"/>
      <c r="DV19" s="496"/>
      <c r="DW19" s="541"/>
      <c r="DX19" s="533"/>
      <c r="DY19" s="542"/>
      <c r="DZ19" s="496"/>
      <c r="EA19" s="541"/>
      <c r="EB19" s="290"/>
      <c r="EC19" s="291"/>
      <c r="ED19" s="496"/>
      <c r="EE19" s="540"/>
      <c r="EF19" s="496"/>
      <c r="EG19" s="543"/>
      <c r="EH19" s="544"/>
      <c r="EI19" s="545"/>
    </row>
    <row r="20" spans="1:139" x14ac:dyDescent="0.25">
      <c r="A20" s="2242"/>
      <c r="B20" s="503"/>
      <c r="C20" s="504" t="s">
        <v>39</v>
      </c>
      <c r="D20" s="234">
        <v>293.90000000000003</v>
      </c>
      <c r="E20" s="228"/>
      <c r="F20" s="246">
        <v>0.13463124141090244</v>
      </c>
      <c r="G20" s="228"/>
      <c r="H20" s="293" t="s">
        <v>38</v>
      </c>
      <c r="I20" s="230" t="s">
        <v>38</v>
      </c>
      <c r="J20" s="285">
        <v>141869</v>
      </c>
      <c r="K20" s="208"/>
      <c r="L20" s="406" t="s">
        <v>38</v>
      </c>
      <c r="M20" s="505" t="s">
        <v>38</v>
      </c>
      <c r="N20" s="506">
        <v>141869</v>
      </c>
      <c r="O20" s="507"/>
      <c r="P20" s="293" t="s">
        <v>38</v>
      </c>
      <c r="Q20" s="230" t="s">
        <v>38</v>
      </c>
      <c r="R20" s="506">
        <v>0</v>
      </c>
      <c r="S20" s="208"/>
      <c r="T20" s="293" t="s">
        <v>38</v>
      </c>
      <c r="U20" s="230" t="s">
        <v>38</v>
      </c>
      <c r="V20" s="231">
        <v>482.7118067369853</v>
      </c>
      <c r="W20" s="231"/>
      <c r="X20" s="234">
        <v>284.40000000000003</v>
      </c>
      <c r="Y20" s="228"/>
      <c r="Z20" s="246">
        <v>0.13021978021978023</v>
      </c>
      <c r="AA20" s="228"/>
      <c r="AB20" s="293" t="s">
        <v>38</v>
      </c>
      <c r="AC20" s="230" t="s">
        <v>38</v>
      </c>
      <c r="AD20" s="285">
        <v>136201</v>
      </c>
      <c r="AE20" s="208"/>
      <c r="AF20" s="406" t="s">
        <v>38</v>
      </c>
      <c r="AG20" s="505" t="s">
        <v>38</v>
      </c>
      <c r="AH20" s="506">
        <v>136201</v>
      </c>
      <c r="AI20" s="507"/>
      <c r="AJ20" s="293" t="s">
        <v>38</v>
      </c>
      <c r="AK20" s="230" t="s">
        <v>38</v>
      </c>
      <c r="AL20" s="506">
        <v>0</v>
      </c>
      <c r="AM20" s="208"/>
      <c r="AN20" s="293" t="s">
        <v>38</v>
      </c>
      <c r="AO20" s="230" t="s">
        <v>38</v>
      </c>
      <c r="AP20" s="231">
        <v>478.90646976090011</v>
      </c>
      <c r="AQ20" s="231"/>
      <c r="AR20" s="234">
        <v>243.50000000000003</v>
      </c>
      <c r="AS20" s="228"/>
      <c r="AT20" s="246">
        <v>0.11028079710144929</v>
      </c>
      <c r="AU20" s="228"/>
      <c r="AV20" s="293" t="s">
        <v>38</v>
      </c>
      <c r="AW20" s="230" t="s">
        <v>38</v>
      </c>
      <c r="AX20" s="285">
        <v>107373</v>
      </c>
      <c r="AY20" s="208"/>
      <c r="AZ20" s="406" t="s">
        <v>38</v>
      </c>
      <c r="BA20" s="505" t="s">
        <v>38</v>
      </c>
      <c r="BB20" s="506">
        <v>107373</v>
      </c>
      <c r="BC20" s="507"/>
      <c r="BD20" s="293" t="s">
        <v>38</v>
      </c>
      <c r="BE20" s="230" t="s">
        <v>38</v>
      </c>
      <c r="BF20" s="506">
        <v>0</v>
      </c>
      <c r="BG20" s="208"/>
      <c r="BH20" s="293" t="s">
        <v>38</v>
      </c>
      <c r="BI20" s="230" t="s">
        <v>38</v>
      </c>
      <c r="BJ20" s="231">
        <v>440.95687885010261</v>
      </c>
      <c r="BK20" s="231"/>
      <c r="BL20" s="234">
        <v>275.3</v>
      </c>
      <c r="BM20" s="228"/>
      <c r="BN20" s="246">
        <v>0.12462652784065188</v>
      </c>
      <c r="BO20" s="228"/>
      <c r="BP20" s="293" t="s">
        <v>38</v>
      </c>
      <c r="BQ20" s="230" t="s">
        <v>38</v>
      </c>
      <c r="BR20" s="285">
        <v>137239</v>
      </c>
      <c r="BS20" s="208"/>
      <c r="BT20" s="406" t="s">
        <v>38</v>
      </c>
      <c r="BU20" s="505" t="s">
        <v>38</v>
      </c>
      <c r="BV20" s="506">
        <v>137239</v>
      </c>
      <c r="BW20" s="507"/>
      <c r="BX20" s="293" t="s">
        <v>38</v>
      </c>
      <c r="BY20" s="230" t="s">
        <v>38</v>
      </c>
      <c r="BZ20" s="506">
        <v>0</v>
      </c>
      <c r="CA20" s="208"/>
      <c r="CB20" s="293" t="s">
        <v>38</v>
      </c>
      <c r="CC20" s="230" t="s">
        <v>38</v>
      </c>
      <c r="CD20" s="231">
        <v>498.50708318198326</v>
      </c>
      <c r="CE20" s="231"/>
      <c r="CF20" s="508">
        <f t="shared" si="0"/>
        <v>1097.1000000000001</v>
      </c>
      <c r="CG20" s="231"/>
      <c r="CH20" s="246">
        <f t="shared" ref="CH20:CH61" si="5">CF20/8760</f>
        <v>0.12523972602739727</v>
      </c>
      <c r="CI20" s="232"/>
      <c r="CJ20" s="406" t="s">
        <v>38</v>
      </c>
      <c r="CK20" s="505" t="s">
        <v>38</v>
      </c>
      <c r="CL20" s="506">
        <f t="shared" si="1"/>
        <v>522682</v>
      </c>
      <c r="CM20" s="239"/>
      <c r="CN20" s="209" t="s">
        <v>38</v>
      </c>
      <c r="CO20" s="505" t="s">
        <v>38</v>
      </c>
      <c r="CP20" s="506">
        <f t="shared" si="2"/>
        <v>522682</v>
      </c>
      <c r="CQ20" s="208"/>
      <c r="CR20" s="406" t="s">
        <v>38</v>
      </c>
      <c r="CS20" s="505" t="s">
        <v>38</v>
      </c>
      <c r="CT20" s="506">
        <f t="shared" si="3"/>
        <v>0</v>
      </c>
      <c r="CU20" s="208"/>
      <c r="CV20" s="406" t="s">
        <v>38</v>
      </c>
      <c r="CW20" s="505" t="s">
        <v>38</v>
      </c>
      <c r="CX20" s="506">
        <f t="shared" si="4"/>
        <v>476.42147479719256</v>
      </c>
      <c r="CY20" s="17"/>
      <c r="CZ20" s="512"/>
      <c r="DA20" s="513"/>
      <c r="DB20" s="514"/>
      <c r="DC20" s="515"/>
      <c r="DD20" s="506"/>
      <c r="DE20" s="231"/>
      <c r="DF20" s="293"/>
      <c r="DG20" s="230"/>
      <c r="DH20" s="506"/>
      <c r="DI20" s="208"/>
      <c r="DJ20" s="293"/>
      <c r="DK20" s="230"/>
      <c r="DL20" s="506"/>
      <c r="DM20" s="208"/>
      <c r="DN20" s="293"/>
      <c r="DO20" s="230"/>
      <c r="DP20" s="506"/>
      <c r="DQ20" s="516"/>
      <c r="DR20" s="242"/>
      <c r="DS20" s="517"/>
      <c r="DT20" s="293"/>
      <c r="DU20" s="230"/>
      <c r="DV20" s="509"/>
      <c r="DW20" s="510"/>
      <c r="DX20" s="518"/>
      <c r="DY20" s="519"/>
      <c r="DZ20" s="509"/>
      <c r="EA20" s="510"/>
      <c r="EB20" s="293"/>
      <c r="EC20" s="230"/>
      <c r="ED20" s="509"/>
      <c r="EE20" s="517"/>
      <c r="EF20" s="509"/>
      <c r="EG20" s="520"/>
      <c r="EH20" s="298"/>
      <c r="EI20" s="521"/>
    </row>
    <row r="21" spans="1:139" x14ac:dyDescent="0.25">
      <c r="A21" s="2242"/>
      <c r="B21" s="523"/>
      <c r="C21" s="524" t="s">
        <v>40</v>
      </c>
      <c r="D21" s="234">
        <v>3.2</v>
      </c>
      <c r="E21" s="228"/>
      <c r="F21" s="246">
        <v>1.4658726523133303E-3</v>
      </c>
      <c r="G21" s="228"/>
      <c r="H21" s="293" t="s">
        <v>38</v>
      </c>
      <c r="I21" s="230" t="s">
        <v>38</v>
      </c>
      <c r="J21" s="285">
        <v>3772.6315789473683</v>
      </c>
      <c r="K21" s="208"/>
      <c r="L21" s="406" t="s">
        <v>38</v>
      </c>
      <c r="M21" s="505" t="s">
        <v>38</v>
      </c>
      <c r="N21" s="506">
        <v>3772.6315789473683</v>
      </c>
      <c r="O21" s="507"/>
      <c r="P21" s="293" t="s">
        <v>38</v>
      </c>
      <c r="Q21" s="230" t="s">
        <v>38</v>
      </c>
      <c r="R21" s="506">
        <v>0</v>
      </c>
      <c r="S21" s="208"/>
      <c r="T21" s="293" t="s">
        <v>38</v>
      </c>
      <c r="U21" s="230" t="s">
        <v>38</v>
      </c>
      <c r="V21" s="231">
        <v>1178.9473684210525</v>
      </c>
      <c r="W21" s="231"/>
      <c r="X21" s="234">
        <v>2.6</v>
      </c>
      <c r="Y21" s="228"/>
      <c r="Z21" s="246">
        <v>1.1904761904761906E-3</v>
      </c>
      <c r="AA21" s="228"/>
      <c r="AB21" s="293" t="s">
        <v>38</v>
      </c>
      <c r="AC21" s="230" t="s">
        <v>38</v>
      </c>
      <c r="AD21" s="285">
        <v>3065.2631578947367</v>
      </c>
      <c r="AE21" s="208"/>
      <c r="AF21" s="406" t="s">
        <v>38</v>
      </c>
      <c r="AG21" s="505" t="s">
        <v>38</v>
      </c>
      <c r="AH21" s="506">
        <v>3065.2631578947367</v>
      </c>
      <c r="AI21" s="507"/>
      <c r="AJ21" s="293" t="s">
        <v>38</v>
      </c>
      <c r="AK21" s="230" t="s">
        <v>38</v>
      </c>
      <c r="AL21" s="506">
        <v>0</v>
      </c>
      <c r="AM21" s="208"/>
      <c r="AN21" s="293" t="s">
        <v>38</v>
      </c>
      <c r="AO21" s="230" t="s">
        <v>38</v>
      </c>
      <c r="AP21" s="231">
        <v>1178.9473684210525</v>
      </c>
      <c r="AQ21" s="231"/>
      <c r="AR21" s="234">
        <v>2.6</v>
      </c>
      <c r="AS21" s="228"/>
      <c r="AT21" s="246">
        <v>1.177536231884058E-3</v>
      </c>
      <c r="AU21" s="228"/>
      <c r="AV21" s="293" t="s">
        <v>38</v>
      </c>
      <c r="AW21" s="230" t="s">
        <v>38</v>
      </c>
      <c r="AX21" s="285">
        <v>3065.2631578947367</v>
      </c>
      <c r="AY21" s="208"/>
      <c r="AZ21" s="406" t="s">
        <v>38</v>
      </c>
      <c r="BA21" s="505" t="s">
        <v>38</v>
      </c>
      <c r="BB21" s="506">
        <v>3065.2631578947367</v>
      </c>
      <c r="BC21" s="507"/>
      <c r="BD21" s="293" t="s">
        <v>38</v>
      </c>
      <c r="BE21" s="230" t="s">
        <v>38</v>
      </c>
      <c r="BF21" s="506">
        <v>0</v>
      </c>
      <c r="BG21" s="208"/>
      <c r="BH21" s="293" t="s">
        <v>38</v>
      </c>
      <c r="BI21" s="230" t="s">
        <v>38</v>
      </c>
      <c r="BJ21" s="231">
        <v>1178.9473684210525</v>
      </c>
      <c r="BK21" s="231"/>
      <c r="BL21" s="234">
        <v>3</v>
      </c>
      <c r="BM21" s="228"/>
      <c r="BN21" s="246">
        <v>1.358080579447714E-3</v>
      </c>
      <c r="BO21" s="228"/>
      <c r="BP21" s="293" t="s">
        <v>38</v>
      </c>
      <c r="BQ21" s="230" t="s">
        <v>38</v>
      </c>
      <c r="BR21" s="285">
        <v>3536.8421052631575</v>
      </c>
      <c r="BS21" s="208"/>
      <c r="BT21" s="406" t="s">
        <v>38</v>
      </c>
      <c r="BU21" s="505" t="s">
        <v>38</v>
      </c>
      <c r="BV21" s="506">
        <v>3536.8421052631575</v>
      </c>
      <c r="BW21" s="507"/>
      <c r="BX21" s="293" t="s">
        <v>38</v>
      </c>
      <c r="BY21" s="230" t="s">
        <v>38</v>
      </c>
      <c r="BZ21" s="506">
        <v>0</v>
      </c>
      <c r="CA21" s="208"/>
      <c r="CB21" s="293" t="s">
        <v>38</v>
      </c>
      <c r="CC21" s="230" t="s">
        <v>38</v>
      </c>
      <c r="CD21" s="231">
        <v>1178.9473684210525</v>
      </c>
      <c r="CE21" s="231"/>
      <c r="CF21" s="508">
        <f t="shared" si="0"/>
        <v>11.399999999999999</v>
      </c>
      <c r="CG21" s="231"/>
      <c r="CH21" s="246">
        <f t="shared" si="5"/>
        <v>1.3013698630136984E-3</v>
      </c>
      <c r="CI21" s="232"/>
      <c r="CJ21" s="406" t="s">
        <v>38</v>
      </c>
      <c r="CK21" s="505" t="s">
        <v>38</v>
      </c>
      <c r="CL21" s="506">
        <f t="shared" si="1"/>
        <v>13439.999999999998</v>
      </c>
      <c r="CM21" s="239"/>
      <c r="CN21" s="209" t="s">
        <v>38</v>
      </c>
      <c r="CO21" s="505" t="s">
        <v>38</v>
      </c>
      <c r="CP21" s="506">
        <f t="shared" si="2"/>
        <v>13439.999999999998</v>
      </c>
      <c r="CQ21" s="208"/>
      <c r="CR21" s="406" t="s">
        <v>38</v>
      </c>
      <c r="CS21" s="505" t="s">
        <v>38</v>
      </c>
      <c r="CT21" s="506">
        <f t="shared" si="3"/>
        <v>0</v>
      </c>
      <c r="CU21" s="208"/>
      <c r="CV21" s="406" t="s">
        <v>38</v>
      </c>
      <c r="CW21" s="505" t="s">
        <v>38</v>
      </c>
      <c r="CX21" s="506">
        <f t="shared" si="4"/>
        <v>1178.9473684210527</v>
      </c>
      <c r="CY21" s="17"/>
      <c r="CZ21" s="512"/>
      <c r="DA21" s="513"/>
      <c r="DB21" s="514"/>
      <c r="DC21" s="515"/>
      <c r="DD21" s="506"/>
      <c r="DE21" s="231"/>
      <c r="DF21" s="293"/>
      <c r="DG21" s="230"/>
      <c r="DH21" s="506"/>
      <c r="DI21" s="208"/>
      <c r="DJ21" s="293"/>
      <c r="DK21" s="230"/>
      <c r="DL21" s="506"/>
      <c r="DM21" s="208"/>
      <c r="DN21" s="293"/>
      <c r="DO21" s="230"/>
      <c r="DP21" s="506"/>
      <c r="DQ21" s="516"/>
      <c r="DR21" s="242"/>
      <c r="DS21" s="517"/>
      <c r="DT21" s="293"/>
      <c r="DU21" s="230"/>
      <c r="DV21" s="509"/>
      <c r="DW21" s="510"/>
      <c r="DX21" s="518"/>
      <c r="DY21" s="519"/>
      <c r="DZ21" s="509"/>
      <c r="EA21" s="510"/>
      <c r="EB21" s="293"/>
      <c r="EC21" s="230"/>
      <c r="ED21" s="509"/>
      <c r="EE21" s="517"/>
      <c r="EF21" s="509"/>
      <c r="EG21" s="520"/>
      <c r="EH21" s="285"/>
      <c r="EI21" s="249"/>
    </row>
    <row r="22" spans="1:139" x14ac:dyDescent="0.25">
      <c r="A22" s="2242"/>
      <c r="B22" s="523"/>
      <c r="C22" s="524" t="s">
        <v>41</v>
      </c>
      <c r="D22" s="234">
        <v>3</v>
      </c>
      <c r="E22" s="228"/>
      <c r="F22" s="246">
        <v>1.3742556115437471E-3</v>
      </c>
      <c r="G22" s="228"/>
      <c r="H22" s="293" t="s">
        <v>38</v>
      </c>
      <c r="I22" s="230" t="s">
        <v>38</v>
      </c>
      <c r="J22" s="285">
        <v>3563</v>
      </c>
      <c r="K22" s="208"/>
      <c r="L22" s="406" t="s">
        <v>38</v>
      </c>
      <c r="M22" s="505" t="s">
        <v>38</v>
      </c>
      <c r="N22" s="506">
        <v>3563</v>
      </c>
      <c r="O22" s="507"/>
      <c r="P22" s="293" t="s">
        <v>38</v>
      </c>
      <c r="Q22" s="230" t="s">
        <v>38</v>
      </c>
      <c r="R22" s="506">
        <v>0</v>
      </c>
      <c r="S22" s="208"/>
      <c r="T22" s="293" t="s">
        <v>38</v>
      </c>
      <c r="U22" s="230" t="s">
        <v>38</v>
      </c>
      <c r="V22" s="231">
        <v>1187.6666666666667</v>
      </c>
      <c r="W22" s="231"/>
      <c r="X22" s="234">
        <v>2</v>
      </c>
      <c r="Y22" s="228"/>
      <c r="Z22" s="246">
        <v>9.1575091575091575E-4</v>
      </c>
      <c r="AA22" s="228"/>
      <c r="AB22" s="293" t="s">
        <v>38</v>
      </c>
      <c r="AC22" s="230" t="s">
        <v>38</v>
      </c>
      <c r="AD22" s="285">
        <v>2379</v>
      </c>
      <c r="AE22" s="208"/>
      <c r="AF22" s="406" t="s">
        <v>38</v>
      </c>
      <c r="AG22" s="505" t="s">
        <v>38</v>
      </c>
      <c r="AH22" s="506">
        <v>2379</v>
      </c>
      <c r="AI22" s="507"/>
      <c r="AJ22" s="293" t="s">
        <v>38</v>
      </c>
      <c r="AK22" s="230" t="s">
        <v>38</v>
      </c>
      <c r="AL22" s="506">
        <v>0</v>
      </c>
      <c r="AM22" s="208"/>
      <c r="AN22" s="293" t="s">
        <v>38</v>
      </c>
      <c r="AO22" s="230" t="s">
        <v>38</v>
      </c>
      <c r="AP22" s="231">
        <v>1189.5</v>
      </c>
      <c r="AQ22" s="231"/>
      <c r="AR22" s="234">
        <v>0</v>
      </c>
      <c r="AS22" s="228"/>
      <c r="AT22" s="246">
        <v>0</v>
      </c>
      <c r="AU22" s="228"/>
      <c r="AV22" s="293" t="s">
        <v>38</v>
      </c>
      <c r="AW22" s="230" t="s">
        <v>38</v>
      </c>
      <c r="AX22" s="285">
        <v>0</v>
      </c>
      <c r="AY22" s="208"/>
      <c r="AZ22" s="406" t="s">
        <v>38</v>
      </c>
      <c r="BA22" s="505" t="s">
        <v>38</v>
      </c>
      <c r="BB22" s="506">
        <v>0</v>
      </c>
      <c r="BC22" s="507"/>
      <c r="BD22" s="293" t="s">
        <v>38</v>
      </c>
      <c r="BE22" s="230" t="s">
        <v>38</v>
      </c>
      <c r="BF22" s="506">
        <v>0</v>
      </c>
      <c r="BG22" s="208"/>
      <c r="BH22" s="293" t="s">
        <v>38</v>
      </c>
      <c r="BI22" s="230" t="s">
        <v>38</v>
      </c>
      <c r="BJ22" s="231">
        <v>0</v>
      </c>
      <c r="BK22" s="231"/>
      <c r="BL22" s="234">
        <v>3</v>
      </c>
      <c r="BM22" s="228"/>
      <c r="BN22" s="246">
        <v>1.358080579447714E-3</v>
      </c>
      <c r="BO22" s="228"/>
      <c r="BP22" s="293" t="s">
        <v>38</v>
      </c>
      <c r="BQ22" s="230" t="s">
        <v>38</v>
      </c>
      <c r="BR22" s="285">
        <v>3565</v>
      </c>
      <c r="BS22" s="208"/>
      <c r="BT22" s="406" t="s">
        <v>38</v>
      </c>
      <c r="BU22" s="505" t="s">
        <v>38</v>
      </c>
      <c r="BV22" s="506">
        <v>3565</v>
      </c>
      <c r="BW22" s="507"/>
      <c r="BX22" s="293" t="s">
        <v>38</v>
      </c>
      <c r="BY22" s="230" t="s">
        <v>38</v>
      </c>
      <c r="BZ22" s="506">
        <v>0</v>
      </c>
      <c r="CA22" s="208"/>
      <c r="CB22" s="293" t="s">
        <v>38</v>
      </c>
      <c r="CC22" s="230" t="s">
        <v>38</v>
      </c>
      <c r="CD22" s="231">
        <v>1188.3333333333333</v>
      </c>
      <c r="CE22" s="231"/>
      <c r="CF22" s="508">
        <f t="shared" si="0"/>
        <v>8</v>
      </c>
      <c r="CG22" s="231"/>
      <c r="CH22" s="246">
        <f t="shared" si="5"/>
        <v>9.1324200913242006E-4</v>
      </c>
      <c r="CI22" s="232"/>
      <c r="CJ22" s="406" t="s">
        <v>38</v>
      </c>
      <c r="CK22" s="505" t="s">
        <v>38</v>
      </c>
      <c r="CL22" s="506">
        <f t="shared" si="1"/>
        <v>9507</v>
      </c>
      <c r="CM22" s="239"/>
      <c r="CN22" s="209" t="s">
        <v>38</v>
      </c>
      <c r="CO22" s="505" t="s">
        <v>38</v>
      </c>
      <c r="CP22" s="506">
        <f t="shared" si="2"/>
        <v>9507</v>
      </c>
      <c r="CQ22" s="208"/>
      <c r="CR22" s="406" t="s">
        <v>38</v>
      </c>
      <c r="CS22" s="505" t="s">
        <v>38</v>
      </c>
      <c r="CT22" s="506">
        <f t="shared" si="3"/>
        <v>0</v>
      </c>
      <c r="CU22" s="208"/>
      <c r="CV22" s="406" t="s">
        <v>38</v>
      </c>
      <c r="CW22" s="505" t="s">
        <v>38</v>
      </c>
      <c r="CX22" s="506">
        <f t="shared" si="4"/>
        <v>1188.375</v>
      </c>
      <c r="CY22" s="17"/>
      <c r="CZ22" s="512"/>
      <c r="DA22" s="513"/>
      <c r="DB22" s="514"/>
      <c r="DC22" s="515"/>
      <c r="DD22" s="506"/>
      <c r="DE22" s="231"/>
      <c r="DF22" s="293"/>
      <c r="DG22" s="230"/>
      <c r="DH22" s="506"/>
      <c r="DI22" s="208"/>
      <c r="DJ22" s="293"/>
      <c r="DK22" s="230"/>
      <c r="DL22" s="506"/>
      <c r="DM22" s="208"/>
      <c r="DN22" s="293"/>
      <c r="DO22" s="230"/>
      <c r="DP22" s="506"/>
      <c r="DQ22" s="516"/>
      <c r="DR22" s="242"/>
      <c r="DS22" s="517"/>
      <c r="DT22" s="293"/>
      <c r="DU22" s="230"/>
      <c r="DV22" s="509"/>
      <c r="DW22" s="510"/>
      <c r="DX22" s="518"/>
      <c r="DY22" s="519"/>
      <c r="DZ22" s="509"/>
      <c r="EA22" s="510"/>
      <c r="EB22" s="293"/>
      <c r="EC22" s="230"/>
      <c r="ED22" s="509"/>
      <c r="EE22" s="517"/>
      <c r="EF22" s="509"/>
      <c r="EG22" s="520"/>
      <c r="EH22" s="298"/>
      <c r="EI22" s="521"/>
    </row>
    <row r="23" spans="1:139" x14ac:dyDescent="0.25">
      <c r="A23" s="2242"/>
      <c r="B23" s="21"/>
      <c r="C23" s="524" t="s">
        <v>42</v>
      </c>
      <c r="D23" s="234">
        <v>512.30000000000007</v>
      </c>
      <c r="E23" s="228"/>
      <c r="F23" s="246">
        <v>0.23467704993128724</v>
      </c>
      <c r="G23" s="228"/>
      <c r="H23" s="293" t="s">
        <v>38</v>
      </c>
      <c r="I23" s="230" t="s">
        <v>38</v>
      </c>
      <c r="J23" s="285">
        <v>132653</v>
      </c>
      <c r="K23" s="208"/>
      <c r="L23" s="406" t="s">
        <v>38</v>
      </c>
      <c r="M23" s="505" t="s">
        <v>38</v>
      </c>
      <c r="N23" s="506">
        <v>132653</v>
      </c>
      <c r="O23" s="522"/>
      <c r="P23" s="293" t="s">
        <v>38</v>
      </c>
      <c r="Q23" s="230" t="s">
        <v>38</v>
      </c>
      <c r="R23" s="506">
        <v>0</v>
      </c>
      <c r="S23" s="208"/>
      <c r="T23" s="293" t="s">
        <v>38</v>
      </c>
      <c r="U23" s="230" t="s">
        <v>38</v>
      </c>
      <c r="V23" s="231">
        <v>258.93617021276594</v>
      </c>
      <c r="W23" s="231"/>
      <c r="X23" s="234">
        <v>504.00000000000006</v>
      </c>
      <c r="Y23" s="228"/>
      <c r="Z23" s="246">
        <v>0.23076923076923078</v>
      </c>
      <c r="AA23" s="228"/>
      <c r="AB23" s="293" t="s">
        <v>38</v>
      </c>
      <c r="AC23" s="230" t="s">
        <v>38</v>
      </c>
      <c r="AD23" s="285">
        <v>132250</v>
      </c>
      <c r="AE23" s="208"/>
      <c r="AF23" s="406" t="s">
        <v>38</v>
      </c>
      <c r="AG23" s="505" t="s">
        <v>38</v>
      </c>
      <c r="AH23" s="506">
        <v>132250</v>
      </c>
      <c r="AI23" s="522"/>
      <c r="AJ23" s="293" t="s">
        <v>38</v>
      </c>
      <c r="AK23" s="230" t="s">
        <v>38</v>
      </c>
      <c r="AL23" s="506">
        <v>0</v>
      </c>
      <c r="AM23" s="208"/>
      <c r="AN23" s="293" t="s">
        <v>38</v>
      </c>
      <c r="AO23" s="230" t="s">
        <v>38</v>
      </c>
      <c r="AP23" s="231">
        <v>262.40079365079362</v>
      </c>
      <c r="AQ23" s="231"/>
      <c r="AR23" s="234">
        <v>513.70000000000005</v>
      </c>
      <c r="AS23" s="228"/>
      <c r="AT23" s="246">
        <v>0.23265398550724639</v>
      </c>
      <c r="AU23" s="228"/>
      <c r="AV23" s="293" t="s">
        <v>38</v>
      </c>
      <c r="AW23" s="230" t="s">
        <v>38</v>
      </c>
      <c r="AX23" s="285">
        <v>131499</v>
      </c>
      <c r="AY23" s="208"/>
      <c r="AZ23" s="406" t="s">
        <v>38</v>
      </c>
      <c r="BA23" s="505" t="s">
        <v>38</v>
      </c>
      <c r="BB23" s="506">
        <v>131499</v>
      </c>
      <c r="BC23" s="522"/>
      <c r="BD23" s="293" t="s">
        <v>38</v>
      </c>
      <c r="BE23" s="230" t="s">
        <v>38</v>
      </c>
      <c r="BF23" s="506">
        <v>0</v>
      </c>
      <c r="BG23" s="208"/>
      <c r="BH23" s="293" t="s">
        <v>38</v>
      </c>
      <c r="BI23" s="230" t="s">
        <v>38</v>
      </c>
      <c r="BJ23" s="231">
        <v>255.9840373759003</v>
      </c>
      <c r="BK23" s="231"/>
      <c r="BL23" s="234">
        <v>513</v>
      </c>
      <c r="BM23" s="228"/>
      <c r="BN23" s="246">
        <v>0.23223177908555909</v>
      </c>
      <c r="BO23" s="228"/>
      <c r="BP23" s="293" t="s">
        <v>38</v>
      </c>
      <c r="BQ23" s="230" t="s">
        <v>38</v>
      </c>
      <c r="BR23" s="285">
        <v>134544</v>
      </c>
      <c r="BS23" s="208"/>
      <c r="BT23" s="406" t="s">
        <v>38</v>
      </c>
      <c r="BU23" s="505" t="s">
        <v>38</v>
      </c>
      <c r="BV23" s="506">
        <v>134544</v>
      </c>
      <c r="BW23" s="522"/>
      <c r="BX23" s="293" t="s">
        <v>38</v>
      </c>
      <c r="BY23" s="230" t="s">
        <v>38</v>
      </c>
      <c r="BZ23" s="506">
        <v>0</v>
      </c>
      <c r="CA23" s="208"/>
      <c r="CB23" s="293" t="s">
        <v>38</v>
      </c>
      <c r="CC23" s="230" t="s">
        <v>38</v>
      </c>
      <c r="CD23" s="231">
        <v>262.26900584795322</v>
      </c>
      <c r="CE23" s="231"/>
      <c r="CF23" s="508">
        <f t="shared" si="0"/>
        <v>2043</v>
      </c>
      <c r="CG23" s="231"/>
      <c r="CH23" s="246">
        <f t="shared" si="5"/>
        <v>0.23321917808219178</v>
      </c>
      <c r="CI23" s="232"/>
      <c r="CJ23" s="406" t="s">
        <v>38</v>
      </c>
      <c r="CK23" s="505" t="s">
        <v>38</v>
      </c>
      <c r="CL23" s="506">
        <f t="shared" si="1"/>
        <v>530946</v>
      </c>
      <c r="CM23" s="239"/>
      <c r="CN23" s="209" t="s">
        <v>38</v>
      </c>
      <c r="CO23" s="505" t="s">
        <v>38</v>
      </c>
      <c r="CP23" s="506">
        <f t="shared" si="2"/>
        <v>530946</v>
      </c>
      <c r="CQ23" s="208"/>
      <c r="CR23" s="406" t="s">
        <v>38</v>
      </c>
      <c r="CS23" s="505" t="s">
        <v>38</v>
      </c>
      <c r="CT23" s="506">
        <f t="shared" si="3"/>
        <v>0</v>
      </c>
      <c r="CU23" s="208"/>
      <c r="CV23" s="406" t="s">
        <v>38</v>
      </c>
      <c r="CW23" s="505" t="s">
        <v>38</v>
      </c>
      <c r="CX23" s="506">
        <f t="shared" si="4"/>
        <v>259.88546255506606</v>
      </c>
      <c r="CY23" s="17"/>
      <c r="CZ23" s="512"/>
      <c r="DA23" s="513"/>
      <c r="DB23" s="514"/>
      <c r="DC23" s="515"/>
      <c r="DD23" s="506"/>
      <c r="DE23" s="231"/>
      <c r="DF23" s="293"/>
      <c r="DG23" s="230"/>
      <c r="DH23" s="506"/>
      <c r="DI23" s="208"/>
      <c r="DJ23" s="293"/>
      <c r="DK23" s="230"/>
      <c r="DL23" s="506"/>
      <c r="DM23" s="208"/>
      <c r="DN23" s="293"/>
      <c r="DO23" s="230"/>
      <c r="DP23" s="506"/>
      <c r="DQ23" s="516"/>
      <c r="DR23" s="242"/>
      <c r="DS23" s="517"/>
      <c r="DT23" s="293"/>
      <c r="DU23" s="230"/>
      <c r="DV23" s="509"/>
      <c r="DW23" s="510"/>
      <c r="DX23" s="518"/>
      <c r="DY23" s="519"/>
      <c r="DZ23" s="509"/>
      <c r="EA23" s="510"/>
      <c r="EB23" s="293"/>
      <c r="EC23" s="230"/>
      <c r="ED23" s="509"/>
      <c r="EE23" s="517"/>
      <c r="EF23" s="509"/>
      <c r="EG23" s="520"/>
      <c r="EH23" s="298"/>
      <c r="EI23" s="521"/>
    </row>
    <row r="24" spans="1:139" x14ac:dyDescent="0.25">
      <c r="A24" s="2242"/>
      <c r="B24" s="19"/>
      <c r="C24" s="504" t="s">
        <v>43</v>
      </c>
      <c r="D24" s="234">
        <v>0</v>
      </c>
      <c r="E24" s="228"/>
      <c r="F24" s="246">
        <v>0</v>
      </c>
      <c r="G24" s="228"/>
      <c r="H24" s="293" t="s">
        <v>38</v>
      </c>
      <c r="I24" s="230" t="s">
        <v>38</v>
      </c>
      <c r="J24" s="285">
        <v>0</v>
      </c>
      <c r="K24" s="208"/>
      <c r="L24" s="406" t="s">
        <v>38</v>
      </c>
      <c r="M24" s="505" t="s">
        <v>38</v>
      </c>
      <c r="N24" s="506">
        <v>0</v>
      </c>
      <c r="O24" s="522"/>
      <c r="P24" s="293" t="s">
        <v>38</v>
      </c>
      <c r="Q24" s="230" t="s">
        <v>38</v>
      </c>
      <c r="R24" s="506">
        <v>0</v>
      </c>
      <c r="S24" s="208"/>
      <c r="T24" s="293" t="s">
        <v>38</v>
      </c>
      <c r="U24" s="230" t="s">
        <v>38</v>
      </c>
      <c r="V24" s="231">
        <v>0</v>
      </c>
      <c r="W24" s="231"/>
      <c r="X24" s="234">
        <v>0</v>
      </c>
      <c r="Y24" s="228"/>
      <c r="Z24" s="246">
        <v>0</v>
      </c>
      <c r="AA24" s="228"/>
      <c r="AB24" s="293" t="s">
        <v>38</v>
      </c>
      <c r="AC24" s="230" t="s">
        <v>38</v>
      </c>
      <c r="AD24" s="285">
        <v>0</v>
      </c>
      <c r="AE24" s="208"/>
      <c r="AF24" s="406" t="s">
        <v>38</v>
      </c>
      <c r="AG24" s="505" t="s">
        <v>38</v>
      </c>
      <c r="AH24" s="506"/>
      <c r="AI24" s="522"/>
      <c r="AJ24" s="293" t="s">
        <v>38</v>
      </c>
      <c r="AK24" s="230" t="s">
        <v>38</v>
      </c>
      <c r="AL24" s="506">
        <v>0</v>
      </c>
      <c r="AM24" s="208"/>
      <c r="AN24" s="293" t="s">
        <v>38</v>
      </c>
      <c r="AO24" s="230" t="s">
        <v>38</v>
      </c>
      <c r="AP24" s="231">
        <v>0</v>
      </c>
      <c r="AQ24" s="231"/>
      <c r="AR24" s="234">
        <v>0</v>
      </c>
      <c r="AS24" s="228"/>
      <c r="AT24" s="246">
        <v>0</v>
      </c>
      <c r="AU24" s="228"/>
      <c r="AV24" s="293" t="s">
        <v>38</v>
      </c>
      <c r="AW24" s="230" t="s">
        <v>38</v>
      </c>
      <c r="AX24" s="285">
        <v>0</v>
      </c>
      <c r="AY24" s="208"/>
      <c r="AZ24" s="406" t="s">
        <v>38</v>
      </c>
      <c r="BA24" s="505" t="s">
        <v>38</v>
      </c>
      <c r="BB24" s="506">
        <v>0</v>
      </c>
      <c r="BC24" s="522"/>
      <c r="BD24" s="293" t="s">
        <v>38</v>
      </c>
      <c r="BE24" s="230" t="s">
        <v>38</v>
      </c>
      <c r="BF24" s="506">
        <v>0</v>
      </c>
      <c r="BG24" s="208"/>
      <c r="BH24" s="293" t="s">
        <v>38</v>
      </c>
      <c r="BI24" s="230" t="s">
        <v>38</v>
      </c>
      <c r="BJ24" s="231">
        <v>0</v>
      </c>
      <c r="BK24" s="231"/>
      <c r="BL24" s="234">
        <v>165.4</v>
      </c>
      <c r="BM24" s="228"/>
      <c r="BN24" s="246">
        <v>7.4875509280217301E-2</v>
      </c>
      <c r="BO24" s="228"/>
      <c r="BP24" s="293" t="s">
        <v>38</v>
      </c>
      <c r="BQ24" s="230" t="s">
        <v>38</v>
      </c>
      <c r="BR24" s="285">
        <v>0</v>
      </c>
      <c r="BS24" s="208"/>
      <c r="BT24" s="406" t="s">
        <v>38</v>
      </c>
      <c r="BU24" s="505" t="s">
        <v>38</v>
      </c>
      <c r="BV24" s="506">
        <v>0</v>
      </c>
      <c r="BW24" s="522"/>
      <c r="BX24" s="293" t="s">
        <v>38</v>
      </c>
      <c r="BY24" s="230" t="s">
        <v>38</v>
      </c>
      <c r="BZ24" s="506">
        <v>0</v>
      </c>
      <c r="CA24" s="208"/>
      <c r="CB24" s="293" t="s">
        <v>38</v>
      </c>
      <c r="CC24" s="230" t="s">
        <v>38</v>
      </c>
      <c r="CD24" s="231">
        <v>0</v>
      </c>
      <c r="CE24" s="231"/>
      <c r="CF24" s="508">
        <f t="shared" si="0"/>
        <v>165.4</v>
      </c>
      <c r="CG24" s="231"/>
      <c r="CH24" s="246">
        <f t="shared" si="5"/>
        <v>1.8881278538812787E-2</v>
      </c>
      <c r="CI24" s="232"/>
      <c r="CJ24" s="406" t="s">
        <v>38</v>
      </c>
      <c r="CK24" s="505" t="s">
        <v>38</v>
      </c>
      <c r="CL24" s="506">
        <f t="shared" si="1"/>
        <v>0</v>
      </c>
      <c r="CM24" s="239"/>
      <c r="CN24" s="209" t="s">
        <v>38</v>
      </c>
      <c r="CO24" s="505" t="s">
        <v>38</v>
      </c>
      <c r="CP24" s="506">
        <f t="shared" si="2"/>
        <v>0</v>
      </c>
      <c r="CQ24" s="208"/>
      <c r="CR24" s="406" t="s">
        <v>38</v>
      </c>
      <c r="CS24" s="505" t="s">
        <v>38</v>
      </c>
      <c r="CT24" s="506">
        <f t="shared" si="3"/>
        <v>0</v>
      </c>
      <c r="CU24" s="208"/>
      <c r="CV24" s="406" t="s">
        <v>38</v>
      </c>
      <c r="CW24" s="505" t="s">
        <v>38</v>
      </c>
      <c r="CX24" s="506">
        <f t="shared" si="4"/>
        <v>0</v>
      </c>
      <c r="CY24" s="17"/>
      <c r="CZ24" s="512"/>
      <c r="DA24" s="513"/>
      <c r="DB24" s="514"/>
      <c r="DC24" s="515"/>
      <c r="DD24" s="506"/>
      <c r="DE24" s="231"/>
      <c r="DF24" s="293"/>
      <c r="DG24" s="230"/>
      <c r="DH24" s="506"/>
      <c r="DI24" s="208"/>
      <c r="DJ24" s="293"/>
      <c r="DK24" s="230"/>
      <c r="DL24" s="506"/>
      <c r="DM24" s="208"/>
      <c r="DN24" s="293"/>
      <c r="DO24" s="230"/>
      <c r="DP24" s="506"/>
      <c r="DQ24" s="516"/>
      <c r="DR24" s="242"/>
      <c r="DS24" s="517"/>
      <c r="DT24" s="293"/>
      <c r="DU24" s="230"/>
      <c r="DV24" s="509"/>
      <c r="DW24" s="510"/>
      <c r="DX24" s="518"/>
      <c r="DY24" s="519"/>
      <c r="DZ24" s="509"/>
      <c r="EA24" s="510"/>
      <c r="EB24" s="293"/>
      <c r="EC24" s="230"/>
      <c r="ED24" s="509"/>
      <c r="EE24" s="517"/>
      <c r="EF24" s="509"/>
      <c r="EG24" s="520"/>
      <c r="EH24" s="298"/>
      <c r="EI24" s="521"/>
    </row>
    <row r="25" spans="1:139" x14ac:dyDescent="0.25">
      <c r="A25" s="2242"/>
      <c r="B25" s="19"/>
      <c r="C25" s="256" t="s">
        <v>45</v>
      </c>
      <c r="D25" s="234">
        <v>11.9</v>
      </c>
      <c r="E25" s="228"/>
      <c r="F25" s="246">
        <v>1</v>
      </c>
      <c r="G25" s="228"/>
      <c r="H25" s="293" t="s">
        <v>38</v>
      </c>
      <c r="I25" s="230" t="s">
        <v>38</v>
      </c>
      <c r="J25" s="285">
        <v>5896</v>
      </c>
      <c r="K25" s="208"/>
      <c r="L25" s="406" t="s">
        <v>38</v>
      </c>
      <c r="M25" s="505" t="s">
        <v>38</v>
      </c>
      <c r="N25" s="506">
        <v>5896</v>
      </c>
      <c r="O25" s="208"/>
      <c r="P25" s="293" t="s">
        <v>38</v>
      </c>
      <c r="Q25" s="230" t="s">
        <v>38</v>
      </c>
      <c r="R25" s="506">
        <v>0</v>
      </c>
      <c r="S25" s="208"/>
      <c r="T25" s="293" t="s">
        <v>38</v>
      </c>
      <c r="U25" s="230" t="s">
        <v>38</v>
      </c>
      <c r="V25" s="231">
        <v>495.46218487394958</v>
      </c>
      <c r="W25" s="231"/>
      <c r="X25" s="234">
        <v>11.9</v>
      </c>
      <c r="Y25" s="228"/>
      <c r="Z25" s="246">
        <v>1</v>
      </c>
      <c r="AA25" s="228"/>
      <c r="AB25" s="293" t="s">
        <v>38</v>
      </c>
      <c r="AC25" s="230" t="s">
        <v>38</v>
      </c>
      <c r="AD25" s="285">
        <v>5881</v>
      </c>
      <c r="AE25" s="208"/>
      <c r="AF25" s="406" t="s">
        <v>38</v>
      </c>
      <c r="AG25" s="505" t="s">
        <v>38</v>
      </c>
      <c r="AH25" s="506">
        <v>5881</v>
      </c>
      <c r="AI25" s="208"/>
      <c r="AJ25" s="293" t="s">
        <v>38</v>
      </c>
      <c r="AK25" s="230" t="s">
        <v>38</v>
      </c>
      <c r="AL25" s="506">
        <v>0</v>
      </c>
      <c r="AM25" s="208"/>
      <c r="AN25" s="293" t="s">
        <v>38</v>
      </c>
      <c r="AO25" s="230" t="s">
        <v>38</v>
      </c>
      <c r="AP25" s="231">
        <v>494.20168067226888</v>
      </c>
      <c r="AQ25" s="231"/>
      <c r="AR25" s="234">
        <v>11.9</v>
      </c>
      <c r="AS25" s="228"/>
      <c r="AT25" s="246">
        <v>1</v>
      </c>
      <c r="AU25" s="228"/>
      <c r="AV25" s="293" t="s">
        <v>38</v>
      </c>
      <c r="AW25" s="230" t="s">
        <v>38</v>
      </c>
      <c r="AX25" s="285">
        <v>5835</v>
      </c>
      <c r="AY25" s="208"/>
      <c r="AZ25" s="406" t="s">
        <v>38</v>
      </c>
      <c r="BA25" s="505" t="s">
        <v>38</v>
      </c>
      <c r="BB25" s="506">
        <v>5835</v>
      </c>
      <c r="BC25" s="208"/>
      <c r="BD25" s="293" t="s">
        <v>38</v>
      </c>
      <c r="BE25" s="230" t="s">
        <v>38</v>
      </c>
      <c r="BF25" s="506">
        <v>0</v>
      </c>
      <c r="BG25" s="208"/>
      <c r="BH25" s="293" t="s">
        <v>38</v>
      </c>
      <c r="BI25" s="230" t="s">
        <v>38</v>
      </c>
      <c r="BJ25" s="231">
        <v>490.33613445378148</v>
      </c>
      <c r="BK25" s="231"/>
      <c r="BL25" s="234">
        <v>11.9</v>
      </c>
      <c r="BM25" s="228"/>
      <c r="BN25" s="246">
        <v>1</v>
      </c>
      <c r="BO25" s="228"/>
      <c r="BP25" s="293" t="s">
        <v>38</v>
      </c>
      <c r="BQ25" s="230" t="s">
        <v>38</v>
      </c>
      <c r="BR25" s="285">
        <v>5869</v>
      </c>
      <c r="BS25" s="208"/>
      <c r="BT25" s="406" t="s">
        <v>38</v>
      </c>
      <c r="BU25" s="505" t="s">
        <v>38</v>
      </c>
      <c r="BV25" s="506">
        <v>5869</v>
      </c>
      <c r="BW25" s="208"/>
      <c r="BX25" s="293" t="s">
        <v>38</v>
      </c>
      <c r="BY25" s="230" t="s">
        <v>38</v>
      </c>
      <c r="BZ25" s="506">
        <v>0</v>
      </c>
      <c r="CA25" s="208"/>
      <c r="CB25" s="293" t="s">
        <v>38</v>
      </c>
      <c r="CC25" s="230" t="s">
        <v>38</v>
      </c>
      <c r="CD25" s="231">
        <v>493.19327731092437</v>
      </c>
      <c r="CE25" s="231"/>
      <c r="CF25" s="508">
        <f t="shared" si="0"/>
        <v>47.6</v>
      </c>
      <c r="CG25" s="231"/>
      <c r="CH25" s="246">
        <f>CF25/8760</f>
        <v>5.4337899543379E-3</v>
      </c>
      <c r="CI25" s="232"/>
      <c r="CJ25" s="406" t="s">
        <v>38</v>
      </c>
      <c r="CK25" s="505" t="s">
        <v>38</v>
      </c>
      <c r="CL25" s="506">
        <f t="shared" si="1"/>
        <v>23481</v>
      </c>
      <c r="CM25" s="239"/>
      <c r="CN25" s="209" t="s">
        <v>38</v>
      </c>
      <c r="CO25" s="505" t="s">
        <v>38</v>
      </c>
      <c r="CP25" s="506">
        <f t="shared" si="2"/>
        <v>23481</v>
      </c>
      <c r="CQ25" s="208"/>
      <c r="CR25" s="406" t="s">
        <v>38</v>
      </c>
      <c r="CS25" s="505" t="s">
        <v>38</v>
      </c>
      <c r="CT25" s="506">
        <f t="shared" si="3"/>
        <v>0</v>
      </c>
      <c r="CU25" s="208"/>
      <c r="CV25" s="406" t="s">
        <v>38</v>
      </c>
      <c r="CW25" s="505" t="s">
        <v>38</v>
      </c>
      <c r="CX25" s="506">
        <f t="shared" si="4"/>
        <v>493.29831932773106</v>
      </c>
      <c r="CY25" s="17"/>
      <c r="CZ25" s="546"/>
      <c r="DA25" s="513"/>
      <c r="DB25" s="514"/>
      <c r="DC25" s="515"/>
      <c r="DD25" s="506"/>
      <c r="DE25" s="231"/>
      <c r="DF25" s="293"/>
      <c r="DG25" s="230"/>
      <c r="DH25" s="506"/>
      <c r="DI25" s="208"/>
      <c r="DJ25" s="293"/>
      <c r="DK25" s="230"/>
      <c r="DL25" s="506"/>
      <c r="DM25" s="208"/>
      <c r="DN25" s="293"/>
      <c r="DO25" s="230"/>
      <c r="DP25" s="506"/>
      <c r="DQ25" s="516"/>
      <c r="DR25" s="242"/>
      <c r="DS25" s="517"/>
      <c r="DT25" s="293"/>
      <c r="DU25" s="230"/>
      <c r="DV25" s="509"/>
      <c r="DW25" s="510"/>
      <c r="DX25" s="518"/>
      <c r="DY25" s="519"/>
      <c r="DZ25" s="509"/>
      <c r="EA25" s="510"/>
      <c r="EB25" s="293"/>
      <c r="EC25" s="230"/>
      <c r="ED25" s="509"/>
      <c r="EE25" s="517"/>
      <c r="EF25" s="509"/>
      <c r="EG25" s="520"/>
      <c r="EH25" s="298"/>
      <c r="EI25" s="521"/>
    </row>
    <row r="26" spans="1:139" x14ac:dyDescent="0.25">
      <c r="A26" s="2242"/>
      <c r="B26" s="2186" t="s">
        <v>46</v>
      </c>
      <c r="C26" s="2187"/>
      <c r="D26" s="287">
        <v>11.7</v>
      </c>
      <c r="E26" s="288"/>
      <c r="F26" s="289">
        <v>1.063936200201875E-3</v>
      </c>
      <c r="G26" s="288"/>
      <c r="H26" s="290" t="s">
        <v>38</v>
      </c>
      <c r="I26" s="291" t="s">
        <v>38</v>
      </c>
      <c r="J26" s="292">
        <v>46582</v>
      </c>
      <c r="K26" s="525"/>
      <c r="L26" s="407" t="s">
        <v>38</v>
      </c>
      <c r="M26" s="526" t="s">
        <v>38</v>
      </c>
      <c r="N26" s="527">
        <v>46582</v>
      </c>
      <c r="O26" s="528"/>
      <c r="P26" s="290" t="s">
        <v>38</v>
      </c>
      <c r="Q26" s="291" t="s">
        <v>38</v>
      </c>
      <c r="R26" s="527">
        <v>0</v>
      </c>
      <c r="S26" s="528"/>
      <c r="T26" s="290" t="s">
        <v>38</v>
      </c>
      <c r="U26" s="291" t="s">
        <v>38</v>
      </c>
      <c r="V26" s="529">
        <v>3981.3675213675215</v>
      </c>
      <c r="W26" s="529"/>
      <c r="X26" s="287">
        <v>11.2</v>
      </c>
      <c r="Y26" s="288"/>
      <c r="Z26" s="289">
        <v>1.0180059807851371E-3</v>
      </c>
      <c r="AA26" s="288"/>
      <c r="AB26" s="290" t="s">
        <v>38</v>
      </c>
      <c r="AC26" s="291" t="s">
        <v>38</v>
      </c>
      <c r="AD26" s="292">
        <v>45560</v>
      </c>
      <c r="AE26" s="525"/>
      <c r="AF26" s="407" t="s">
        <v>38</v>
      </c>
      <c r="AG26" s="526" t="s">
        <v>38</v>
      </c>
      <c r="AH26" s="527">
        <v>45560</v>
      </c>
      <c r="AI26" s="528"/>
      <c r="AJ26" s="290" t="s">
        <v>38</v>
      </c>
      <c r="AK26" s="291" t="s">
        <v>38</v>
      </c>
      <c r="AL26" s="527">
        <v>0</v>
      </c>
      <c r="AM26" s="528"/>
      <c r="AN26" s="290" t="s">
        <v>38</v>
      </c>
      <c r="AO26" s="291" t="s">
        <v>38</v>
      </c>
      <c r="AP26" s="529">
        <v>4067.8571428571431</v>
      </c>
      <c r="AQ26" s="529"/>
      <c r="AR26" s="287">
        <v>3.7</v>
      </c>
      <c r="AS26" s="288"/>
      <c r="AT26" s="289">
        <v>3.3312625485058838E-4</v>
      </c>
      <c r="AU26" s="288"/>
      <c r="AV26" s="290" t="s">
        <v>38</v>
      </c>
      <c r="AW26" s="291" t="s">
        <v>38</v>
      </c>
      <c r="AX26" s="292">
        <v>44630</v>
      </c>
      <c r="AY26" s="525"/>
      <c r="AZ26" s="407" t="s">
        <v>38</v>
      </c>
      <c r="BA26" s="526" t="s">
        <v>38</v>
      </c>
      <c r="BB26" s="527">
        <v>44630</v>
      </c>
      <c r="BC26" s="528"/>
      <c r="BD26" s="290" t="s">
        <v>38</v>
      </c>
      <c r="BE26" s="291" t="s">
        <v>38</v>
      </c>
      <c r="BF26" s="527">
        <v>0</v>
      </c>
      <c r="BG26" s="528"/>
      <c r="BH26" s="290" t="s">
        <v>38</v>
      </c>
      <c r="BI26" s="291" t="s">
        <v>38</v>
      </c>
      <c r="BJ26" s="529">
        <v>12062.162162162162</v>
      </c>
      <c r="BK26" s="529"/>
      <c r="BL26" s="287">
        <v>11.2</v>
      </c>
      <c r="BM26" s="288"/>
      <c r="BN26" s="289">
        <v>1.0092908830394074E-3</v>
      </c>
      <c r="BO26" s="288"/>
      <c r="BP26" s="290" t="s">
        <v>38</v>
      </c>
      <c r="BQ26" s="291" t="s">
        <v>38</v>
      </c>
      <c r="BR26" s="292">
        <v>45724</v>
      </c>
      <c r="BS26" s="525"/>
      <c r="BT26" s="407" t="s">
        <v>38</v>
      </c>
      <c r="BU26" s="526" t="s">
        <v>38</v>
      </c>
      <c r="BV26" s="527">
        <v>45724</v>
      </c>
      <c r="BW26" s="528"/>
      <c r="BX26" s="290" t="s">
        <v>38</v>
      </c>
      <c r="BY26" s="291" t="s">
        <v>38</v>
      </c>
      <c r="BZ26" s="527">
        <v>0</v>
      </c>
      <c r="CA26" s="528"/>
      <c r="CB26" s="290" t="s">
        <v>38</v>
      </c>
      <c r="CC26" s="291" t="s">
        <v>38</v>
      </c>
      <c r="CD26" s="529">
        <v>4082.5000000000005</v>
      </c>
      <c r="CE26" s="529"/>
      <c r="CF26" s="530">
        <f t="shared" si="0"/>
        <v>37.799999999999997</v>
      </c>
      <c r="CG26" s="529"/>
      <c r="CH26" s="289">
        <f>CF26/44202.6</f>
        <v>8.5515331677322147E-4</v>
      </c>
      <c r="CI26" s="531"/>
      <c r="CJ26" s="407" t="s">
        <v>38</v>
      </c>
      <c r="CK26" s="526" t="s">
        <v>38</v>
      </c>
      <c r="CL26" s="527">
        <f t="shared" si="1"/>
        <v>182496</v>
      </c>
      <c r="CM26" s="532"/>
      <c r="CN26" s="533" t="s">
        <v>38</v>
      </c>
      <c r="CO26" s="526" t="s">
        <v>38</v>
      </c>
      <c r="CP26" s="527">
        <f t="shared" si="2"/>
        <v>182496</v>
      </c>
      <c r="CQ26" s="528"/>
      <c r="CR26" s="407" t="s">
        <v>38</v>
      </c>
      <c r="CS26" s="526" t="s">
        <v>38</v>
      </c>
      <c r="CT26" s="527">
        <f t="shared" si="3"/>
        <v>0</v>
      </c>
      <c r="CU26" s="528"/>
      <c r="CV26" s="407" t="s">
        <v>38</v>
      </c>
      <c r="CW26" s="526" t="s">
        <v>38</v>
      </c>
      <c r="CX26" s="527">
        <f t="shared" si="4"/>
        <v>4827.936507936508</v>
      </c>
      <c r="CY26" s="18"/>
      <c r="CZ26" s="534"/>
      <c r="DA26" s="535"/>
      <c r="DB26" s="536"/>
      <c r="DC26" s="537"/>
      <c r="DD26" s="527"/>
      <c r="DE26" s="529"/>
      <c r="DF26" s="290"/>
      <c r="DG26" s="291"/>
      <c r="DH26" s="527"/>
      <c r="DI26" s="528"/>
      <c r="DJ26" s="290"/>
      <c r="DK26" s="291"/>
      <c r="DL26" s="527"/>
      <c r="DM26" s="528"/>
      <c r="DN26" s="290"/>
      <c r="DO26" s="291"/>
      <c r="DP26" s="527"/>
      <c r="DQ26" s="538"/>
      <c r="DR26" s="539"/>
      <c r="DS26" s="540"/>
      <c r="DT26" s="290"/>
      <c r="DU26" s="291"/>
      <c r="DV26" s="496"/>
      <c r="DW26" s="541"/>
      <c r="DX26" s="533"/>
      <c r="DY26" s="542"/>
      <c r="DZ26" s="496"/>
      <c r="EA26" s="541"/>
      <c r="EB26" s="290"/>
      <c r="EC26" s="291"/>
      <c r="ED26" s="496"/>
      <c r="EE26" s="540"/>
      <c r="EF26" s="496"/>
      <c r="EG26" s="543"/>
      <c r="EH26" s="544"/>
      <c r="EI26" s="545"/>
    </row>
    <row r="27" spans="1:139" x14ac:dyDescent="0.25">
      <c r="A27" s="2242"/>
      <c r="B27" s="503"/>
      <c r="C27" s="504" t="s">
        <v>39</v>
      </c>
      <c r="D27" s="234">
        <v>11.7</v>
      </c>
      <c r="E27" s="228"/>
      <c r="F27" s="246">
        <v>5.3595968850206135E-3</v>
      </c>
      <c r="G27" s="228"/>
      <c r="H27" s="294" t="s">
        <v>38</v>
      </c>
      <c r="I27" s="230" t="s">
        <v>38</v>
      </c>
      <c r="J27" s="285">
        <v>46582</v>
      </c>
      <c r="K27" s="208"/>
      <c r="L27" s="406" t="s">
        <v>38</v>
      </c>
      <c r="M27" s="505" t="s">
        <v>38</v>
      </c>
      <c r="N27" s="506">
        <v>46582</v>
      </c>
      <c r="O27" s="507"/>
      <c r="P27" s="294" t="s">
        <v>38</v>
      </c>
      <c r="Q27" s="230" t="s">
        <v>38</v>
      </c>
      <c r="R27" s="506">
        <v>0</v>
      </c>
      <c r="S27" s="208"/>
      <c r="T27" s="294" t="s">
        <v>38</v>
      </c>
      <c r="U27" s="230" t="s">
        <v>38</v>
      </c>
      <c r="V27" s="231">
        <v>3981.3675213675215</v>
      </c>
      <c r="W27" s="231"/>
      <c r="X27" s="234">
        <v>11.2</v>
      </c>
      <c r="Y27" s="228"/>
      <c r="Z27" s="246">
        <v>5.1282051282051282E-3</v>
      </c>
      <c r="AA27" s="228"/>
      <c r="AB27" s="294" t="s">
        <v>38</v>
      </c>
      <c r="AC27" s="230" t="s">
        <v>38</v>
      </c>
      <c r="AD27" s="285">
        <v>45560</v>
      </c>
      <c r="AE27" s="208"/>
      <c r="AF27" s="406" t="s">
        <v>38</v>
      </c>
      <c r="AG27" s="505" t="s">
        <v>38</v>
      </c>
      <c r="AH27" s="506">
        <v>45560</v>
      </c>
      <c r="AI27" s="507"/>
      <c r="AJ27" s="294" t="s">
        <v>38</v>
      </c>
      <c r="AK27" s="230" t="s">
        <v>38</v>
      </c>
      <c r="AL27" s="506">
        <v>0</v>
      </c>
      <c r="AM27" s="208"/>
      <c r="AN27" s="294" t="s">
        <v>38</v>
      </c>
      <c r="AO27" s="230" t="s">
        <v>38</v>
      </c>
      <c r="AP27" s="231">
        <v>4067.8571428571431</v>
      </c>
      <c r="AQ27" s="231"/>
      <c r="AR27" s="234">
        <v>3.7</v>
      </c>
      <c r="AS27" s="228"/>
      <c r="AT27" s="246">
        <v>1.6757246376811596E-3</v>
      </c>
      <c r="AU27" s="228"/>
      <c r="AV27" s="294" t="s">
        <v>38</v>
      </c>
      <c r="AW27" s="230" t="s">
        <v>38</v>
      </c>
      <c r="AX27" s="285">
        <v>44630</v>
      </c>
      <c r="AY27" s="208"/>
      <c r="AZ27" s="406" t="s">
        <v>38</v>
      </c>
      <c r="BA27" s="505" t="s">
        <v>38</v>
      </c>
      <c r="BB27" s="506">
        <v>44630</v>
      </c>
      <c r="BC27" s="507"/>
      <c r="BD27" s="294" t="s">
        <v>38</v>
      </c>
      <c r="BE27" s="230" t="s">
        <v>38</v>
      </c>
      <c r="BF27" s="506">
        <v>0</v>
      </c>
      <c r="BG27" s="208"/>
      <c r="BH27" s="294" t="s">
        <v>38</v>
      </c>
      <c r="BI27" s="230" t="s">
        <v>38</v>
      </c>
      <c r="BJ27" s="231">
        <v>12062.162162162162</v>
      </c>
      <c r="BK27" s="231"/>
      <c r="BL27" s="234">
        <v>11.2</v>
      </c>
      <c r="BM27" s="228"/>
      <c r="BN27" s="246">
        <v>5.0701674966047985E-3</v>
      </c>
      <c r="BO27" s="228"/>
      <c r="BP27" s="294" t="s">
        <v>38</v>
      </c>
      <c r="BQ27" s="230" t="s">
        <v>38</v>
      </c>
      <c r="BR27" s="285">
        <v>45724</v>
      </c>
      <c r="BS27" s="208"/>
      <c r="BT27" s="406" t="s">
        <v>38</v>
      </c>
      <c r="BU27" s="505" t="s">
        <v>38</v>
      </c>
      <c r="BV27" s="506">
        <v>45724</v>
      </c>
      <c r="BW27" s="507"/>
      <c r="BX27" s="294" t="s">
        <v>38</v>
      </c>
      <c r="BY27" s="230" t="s">
        <v>38</v>
      </c>
      <c r="BZ27" s="506">
        <v>0</v>
      </c>
      <c r="CA27" s="208"/>
      <c r="CB27" s="294" t="s">
        <v>38</v>
      </c>
      <c r="CC27" s="230" t="s">
        <v>38</v>
      </c>
      <c r="CD27" s="231">
        <v>4082.5000000000005</v>
      </c>
      <c r="CE27" s="231"/>
      <c r="CF27" s="508">
        <f t="shared" si="0"/>
        <v>37.799999999999997</v>
      </c>
      <c r="CG27" s="231"/>
      <c r="CH27" s="246">
        <f t="shared" si="5"/>
        <v>4.3150684931506844E-3</v>
      </c>
      <c r="CI27" s="232"/>
      <c r="CJ27" s="406" t="s">
        <v>38</v>
      </c>
      <c r="CK27" s="505" t="s">
        <v>38</v>
      </c>
      <c r="CL27" s="506">
        <f t="shared" si="1"/>
        <v>182496</v>
      </c>
      <c r="CM27" s="239"/>
      <c r="CN27" s="209" t="s">
        <v>38</v>
      </c>
      <c r="CO27" s="505" t="s">
        <v>38</v>
      </c>
      <c r="CP27" s="506">
        <f t="shared" si="2"/>
        <v>182496</v>
      </c>
      <c r="CQ27" s="208"/>
      <c r="CR27" s="406" t="s">
        <v>38</v>
      </c>
      <c r="CS27" s="505" t="s">
        <v>38</v>
      </c>
      <c r="CT27" s="506">
        <f t="shared" si="3"/>
        <v>0</v>
      </c>
      <c r="CU27" s="208"/>
      <c r="CV27" s="406" t="s">
        <v>38</v>
      </c>
      <c r="CW27" s="505" t="s">
        <v>38</v>
      </c>
      <c r="CX27" s="506">
        <f t="shared" si="4"/>
        <v>4827.936507936508</v>
      </c>
      <c r="CY27" s="17"/>
      <c r="CZ27" s="512"/>
      <c r="DA27" s="513"/>
      <c r="DB27" s="514"/>
      <c r="DC27" s="515"/>
      <c r="DD27" s="506"/>
      <c r="DE27" s="231"/>
      <c r="DF27" s="294"/>
      <c r="DG27" s="230"/>
      <c r="DH27" s="506"/>
      <c r="DI27" s="208"/>
      <c r="DJ27" s="294"/>
      <c r="DK27" s="230"/>
      <c r="DL27" s="506"/>
      <c r="DM27" s="208"/>
      <c r="DN27" s="294"/>
      <c r="DO27" s="230"/>
      <c r="DP27" s="506"/>
      <c r="DQ27" s="516"/>
      <c r="DR27" s="242"/>
      <c r="DS27" s="517"/>
      <c r="DT27" s="547"/>
      <c r="DU27" s="230"/>
      <c r="DV27" s="509"/>
      <c r="DW27" s="510"/>
      <c r="DX27" s="518"/>
      <c r="DY27" s="519"/>
      <c r="DZ27" s="509"/>
      <c r="EA27" s="510"/>
      <c r="EB27" s="294"/>
      <c r="EC27" s="230"/>
      <c r="ED27" s="509"/>
      <c r="EE27" s="517"/>
      <c r="EF27" s="509"/>
      <c r="EG27" s="520"/>
      <c r="EH27" s="298"/>
      <c r="EI27" s="521"/>
    </row>
    <row r="28" spans="1:139" x14ac:dyDescent="0.25">
      <c r="A28" s="2242"/>
      <c r="B28" s="2184" t="s">
        <v>47</v>
      </c>
      <c r="C28" s="2185"/>
      <c r="D28" s="287">
        <v>65.5</v>
      </c>
      <c r="E28" s="288"/>
      <c r="F28" s="289">
        <v>5.9562240267711812E-3</v>
      </c>
      <c r="G28" s="288"/>
      <c r="H28" s="290" t="s">
        <v>38</v>
      </c>
      <c r="I28" s="291" t="s">
        <v>38</v>
      </c>
      <c r="J28" s="292">
        <v>28797.547836053542</v>
      </c>
      <c r="K28" s="525"/>
      <c r="L28" s="407" t="s">
        <v>38</v>
      </c>
      <c r="M28" s="526" t="s">
        <v>38</v>
      </c>
      <c r="N28" s="527">
        <v>28797.547836053542</v>
      </c>
      <c r="O28" s="528"/>
      <c r="P28" s="290" t="s">
        <v>38</v>
      </c>
      <c r="Q28" s="291" t="s">
        <v>38</v>
      </c>
      <c r="R28" s="527">
        <v>0</v>
      </c>
      <c r="S28" s="528"/>
      <c r="T28" s="290" t="s">
        <v>38</v>
      </c>
      <c r="U28" s="291" t="s">
        <v>38</v>
      </c>
      <c r="V28" s="529">
        <v>439.65721887104644</v>
      </c>
      <c r="W28" s="529"/>
      <c r="X28" s="287">
        <v>64.8</v>
      </c>
      <c r="Y28" s="288"/>
      <c r="Z28" s="289">
        <v>5.8898917459711507E-3</v>
      </c>
      <c r="AA28" s="288"/>
      <c r="AB28" s="290" t="s">
        <v>38</v>
      </c>
      <c r="AC28" s="291" t="s">
        <v>38</v>
      </c>
      <c r="AD28" s="292">
        <v>28921.693971208508</v>
      </c>
      <c r="AE28" s="525"/>
      <c r="AF28" s="407" t="s">
        <v>38</v>
      </c>
      <c r="AG28" s="526" t="s">
        <v>38</v>
      </c>
      <c r="AH28" s="527">
        <v>28921.693971208508</v>
      </c>
      <c r="AI28" s="528"/>
      <c r="AJ28" s="290" t="s">
        <v>38</v>
      </c>
      <c r="AK28" s="291" t="s">
        <v>38</v>
      </c>
      <c r="AL28" s="527">
        <v>0</v>
      </c>
      <c r="AM28" s="528"/>
      <c r="AN28" s="290" t="s">
        <v>38</v>
      </c>
      <c r="AO28" s="291" t="s">
        <v>38</v>
      </c>
      <c r="AP28" s="529">
        <v>446.32243782729182</v>
      </c>
      <c r="AQ28" s="529"/>
      <c r="AR28" s="287">
        <v>60.3</v>
      </c>
      <c r="AS28" s="288"/>
      <c r="AT28" s="289">
        <v>5.4290576128352645E-3</v>
      </c>
      <c r="AU28" s="288"/>
      <c r="AV28" s="290" t="s">
        <v>38</v>
      </c>
      <c r="AW28" s="291" t="s">
        <v>38</v>
      </c>
      <c r="AX28" s="292">
        <v>26017.811548688795</v>
      </c>
      <c r="AY28" s="525"/>
      <c r="AZ28" s="407" t="s">
        <v>38</v>
      </c>
      <c r="BA28" s="526" t="s">
        <v>38</v>
      </c>
      <c r="BB28" s="527">
        <v>26017.811548688795</v>
      </c>
      <c r="BC28" s="528"/>
      <c r="BD28" s="290" t="s">
        <v>38</v>
      </c>
      <c r="BE28" s="291" t="s">
        <v>38</v>
      </c>
      <c r="BF28" s="527">
        <v>0</v>
      </c>
      <c r="BG28" s="528"/>
      <c r="BH28" s="290" t="s">
        <v>38</v>
      </c>
      <c r="BI28" s="291" t="s">
        <v>38</v>
      </c>
      <c r="BJ28" s="529">
        <v>431.47282833646426</v>
      </c>
      <c r="BK28" s="529"/>
      <c r="BL28" s="287">
        <v>65.400000000000006</v>
      </c>
      <c r="BM28" s="288"/>
      <c r="BN28" s="289">
        <v>5.8935378348908257E-3</v>
      </c>
      <c r="BO28" s="288"/>
      <c r="BP28" s="290" t="s">
        <v>38</v>
      </c>
      <c r="BQ28" s="291" t="s">
        <v>38</v>
      </c>
      <c r="BR28" s="292">
        <v>29053.707170364938</v>
      </c>
      <c r="BS28" s="525"/>
      <c r="BT28" s="407" t="s">
        <v>38</v>
      </c>
      <c r="BU28" s="526" t="s">
        <v>38</v>
      </c>
      <c r="BV28" s="527">
        <v>29053.707170364938</v>
      </c>
      <c r="BW28" s="528"/>
      <c r="BX28" s="290" t="s">
        <v>38</v>
      </c>
      <c r="BY28" s="291" t="s">
        <v>38</v>
      </c>
      <c r="BZ28" s="527">
        <v>0</v>
      </c>
      <c r="CA28" s="528"/>
      <c r="CB28" s="290" t="s">
        <v>38</v>
      </c>
      <c r="CC28" s="291" t="s">
        <v>38</v>
      </c>
      <c r="CD28" s="529">
        <v>444.24628700863815</v>
      </c>
      <c r="CE28" s="529"/>
      <c r="CF28" s="530">
        <f t="shared" si="0"/>
        <v>256</v>
      </c>
      <c r="CG28" s="529"/>
      <c r="CH28" s="289">
        <f>CF28/44202.6</f>
        <v>5.7915145262948334E-3</v>
      </c>
      <c r="CI28" s="531"/>
      <c r="CJ28" s="407" t="s">
        <v>38</v>
      </c>
      <c r="CK28" s="526" t="s">
        <v>38</v>
      </c>
      <c r="CL28" s="527">
        <f t="shared" si="1"/>
        <v>112790.76052631577</v>
      </c>
      <c r="CM28" s="532"/>
      <c r="CN28" s="533" t="s">
        <v>38</v>
      </c>
      <c r="CO28" s="526" t="s">
        <v>38</v>
      </c>
      <c r="CP28" s="527">
        <f t="shared" si="2"/>
        <v>112790.76052631577</v>
      </c>
      <c r="CQ28" s="528"/>
      <c r="CR28" s="407" t="s">
        <v>38</v>
      </c>
      <c r="CS28" s="526" t="s">
        <v>38</v>
      </c>
      <c r="CT28" s="527">
        <f t="shared" si="3"/>
        <v>0</v>
      </c>
      <c r="CU28" s="528"/>
      <c r="CV28" s="407" t="s">
        <v>38</v>
      </c>
      <c r="CW28" s="526" t="s">
        <v>38</v>
      </c>
      <c r="CX28" s="527">
        <f t="shared" si="4"/>
        <v>440.588908305921</v>
      </c>
      <c r="CY28" s="18"/>
      <c r="CZ28" s="534"/>
      <c r="DA28" s="535"/>
      <c r="DB28" s="536"/>
      <c r="DC28" s="537"/>
      <c r="DD28" s="527"/>
      <c r="DE28" s="529"/>
      <c r="DF28" s="290"/>
      <c r="DG28" s="291"/>
      <c r="DH28" s="527"/>
      <c r="DI28" s="528"/>
      <c r="DJ28" s="290"/>
      <c r="DK28" s="291"/>
      <c r="DL28" s="527"/>
      <c r="DM28" s="528"/>
      <c r="DN28" s="290"/>
      <c r="DO28" s="291"/>
      <c r="DP28" s="527"/>
      <c r="DQ28" s="538"/>
      <c r="DR28" s="539"/>
      <c r="DS28" s="540"/>
      <c r="DT28" s="290"/>
      <c r="DU28" s="291"/>
      <c r="DV28" s="496"/>
      <c r="DW28" s="541"/>
      <c r="DX28" s="533"/>
      <c r="DY28" s="542"/>
      <c r="DZ28" s="496"/>
      <c r="EA28" s="541"/>
      <c r="EB28" s="290"/>
      <c r="EC28" s="291"/>
      <c r="ED28" s="496"/>
      <c r="EE28" s="540"/>
      <c r="EF28" s="496"/>
      <c r="EG28" s="543"/>
      <c r="EH28" s="544"/>
      <c r="EI28" s="545"/>
    </row>
    <row r="29" spans="1:139" x14ac:dyDescent="0.25">
      <c r="A29" s="2242"/>
      <c r="B29" s="523"/>
      <c r="C29" s="524" t="s">
        <v>39</v>
      </c>
      <c r="D29" s="234">
        <v>38.599999999999994</v>
      </c>
      <c r="E29" s="228"/>
      <c r="F29" s="246">
        <v>1.7682088868529545E-2</v>
      </c>
      <c r="G29" s="228"/>
      <c r="H29" s="293" t="s">
        <v>38</v>
      </c>
      <c r="I29" s="230" t="s">
        <v>38</v>
      </c>
      <c r="J29" s="285">
        <v>24976.739473684203</v>
      </c>
      <c r="K29" s="208"/>
      <c r="L29" s="244" t="s">
        <v>38</v>
      </c>
      <c r="M29" s="548" t="s">
        <v>38</v>
      </c>
      <c r="N29" s="506">
        <v>24976.739473684203</v>
      </c>
      <c r="O29" s="507"/>
      <c r="P29" s="293" t="s">
        <v>38</v>
      </c>
      <c r="Q29" s="230" t="s">
        <v>38</v>
      </c>
      <c r="R29" s="506">
        <v>0</v>
      </c>
      <c r="S29" s="208"/>
      <c r="T29" s="293" t="s">
        <v>38</v>
      </c>
      <c r="U29" s="230" t="s">
        <v>38</v>
      </c>
      <c r="V29" s="231">
        <v>647.06578947368416</v>
      </c>
      <c r="W29" s="231"/>
      <c r="X29" s="234">
        <v>39.1</v>
      </c>
      <c r="Y29" s="228"/>
      <c r="Z29" s="246">
        <v>1.7902930402930405E-2</v>
      </c>
      <c r="AA29" s="228"/>
      <c r="AB29" s="293" t="s">
        <v>38</v>
      </c>
      <c r="AC29" s="230" t="s">
        <v>38</v>
      </c>
      <c r="AD29" s="285">
        <v>25300.27236842105</v>
      </c>
      <c r="AE29" s="208"/>
      <c r="AF29" s="244" t="s">
        <v>38</v>
      </c>
      <c r="AG29" s="548" t="s">
        <v>38</v>
      </c>
      <c r="AH29" s="506">
        <v>25300.27236842105</v>
      </c>
      <c r="AI29" s="507"/>
      <c r="AJ29" s="293" t="s">
        <v>38</v>
      </c>
      <c r="AK29" s="230" t="s">
        <v>38</v>
      </c>
      <c r="AL29" s="506">
        <v>0</v>
      </c>
      <c r="AM29" s="208"/>
      <c r="AN29" s="293" t="s">
        <v>38</v>
      </c>
      <c r="AO29" s="230" t="s">
        <v>38</v>
      </c>
      <c r="AP29" s="231">
        <v>647.06578947368416</v>
      </c>
      <c r="AQ29" s="231"/>
      <c r="AR29" s="234">
        <v>34.5</v>
      </c>
      <c r="AS29" s="228"/>
      <c r="AT29" s="246">
        <v>1.5625E-2</v>
      </c>
      <c r="AU29" s="228"/>
      <c r="AV29" s="293" t="s">
        <v>38</v>
      </c>
      <c r="AW29" s="230" t="s">
        <v>38</v>
      </c>
      <c r="AX29" s="285">
        <v>22323.769736842103</v>
      </c>
      <c r="AY29" s="208"/>
      <c r="AZ29" s="244" t="s">
        <v>38</v>
      </c>
      <c r="BA29" s="548" t="s">
        <v>38</v>
      </c>
      <c r="BB29" s="506">
        <v>22323.769736842103</v>
      </c>
      <c r="BC29" s="507"/>
      <c r="BD29" s="293" t="s">
        <v>38</v>
      </c>
      <c r="BE29" s="230" t="s">
        <v>38</v>
      </c>
      <c r="BF29" s="506">
        <v>0</v>
      </c>
      <c r="BG29" s="208"/>
      <c r="BH29" s="293" t="s">
        <v>38</v>
      </c>
      <c r="BI29" s="230" t="s">
        <v>38</v>
      </c>
      <c r="BJ29" s="231">
        <v>647.06578947368416</v>
      </c>
      <c r="BK29" s="231"/>
      <c r="BL29" s="234">
        <v>39.200000000000003</v>
      </c>
      <c r="BM29" s="228"/>
      <c r="BN29" s="246">
        <v>1.7745586238116798E-2</v>
      </c>
      <c r="BO29" s="228"/>
      <c r="BP29" s="293" t="s">
        <v>38</v>
      </c>
      <c r="BQ29" s="230" t="s">
        <v>38</v>
      </c>
      <c r="BR29" s="285">
        <v>25364.978947368421</v>
      </c>
      <c r="BS29" s="208"/>
      <c r="BT29" s="244" t="s">
        <v>38</v>
      </c>
      <c r="BU29" s="548" t="s">
        <v>38</v>
      </c>
      <c r="BV29" s="506">
        <v>25364.978947368421</v>
      </c>
      <c r="BW29" s="507"/>
      <c r="BX29" s="293" t="s">
        <v>38</v>
      </c>
      <c r="BY29" s="230" t="s">
        <v>38</v>
      </c>
      <c r="BZ29" s="506">
        <v>0</v>
      </c>
      <c r="CA29" s="208"/>
      <c r="CB29" s="293" t="s">
        <v>38</v>
      </c>
      <c r="CC29" s="230" t="s">
        <v>38</v>
      </c>
      <c r="CD29" s="231">
        <v>647.06578947368416</v>
      </c>
      <c r="CE29" s="231"/>
      <c r="CF29" s="508">
        <f t="shared" si="0"/>
        <v>151.4</v>
      </c>
      <c r="CG29" s="231"/>
      <c r="CH29" s="246">
        <f t="shared" si="5"/>
        <v>1.728310502283105E-2</v>
      </c>
      <c r="CI29" s="232"/>
      <c r="CJ29" s="244" t="s">
        <v>38</v>
      </c>
      <c r="CK29" s="548" t="s">
        <v>38</v>
      </c>
      <c r="CL29" s="506">
        <f t="shared" si="1"/>
        <v>97965.760526315775</v>
      </c>
      <c r="CM29" s="239"/>
      <c r="CN29" s="518" t="s">
        <v>38</v>
      </c>
      <c r="CO29" s="548" t="s">
        <v>38</v>
      </c>
      <c r="CP29" s="506">
        <f t="shared" si="2"/>
        <v>97965.760526315775</v>
      </c>
      <c r="CQ29" s="208"/>
      <c r="CR29" s="244" t="s">
        <v>38</v>
      </c>
      <c r="CS29" s="548" t="s">
        <v>38</v>
      </c>
      <c r="CT29" s="506">
        <f t="shared" si="3"/>
        <v>0</v>
      </c>
      <c r="CU29" s="208"/>
      <c r="CV29" s="244" t="s">
        <v>38</v>
      </c>
      <c r="CW29" s="548" t="s">
        <v>38</v>
      </c>
      <c r="CX29" s="506">
        <f t="shared" si="4"/>
        <v>647.06578947368405</v>
      </c>
      <c r="CY29" s="17"/>
      <c r="CZ29" s="512"/>
      <c r="DA29" s="513"/>
      <c r="DB29" s="514"/>
      <c r="DC29" s="515"/>
      <c r="DD29" s="506"/>
      <c r="DE29" s="231"/>
      <c r="DF29" s="293"/>
      <c r="DG29" s="230"/>
      <c r="DH29" s="506"/>
      <c r="DI29" s="208"/>
      <c r="DJ29" s="293"/>
      <c r="DK29" s="230"/>
      <c r="DL29" s="506"/>
      <c r="DM29" s="208"/>
      <c r="DN29" s="293"/>
      <c r="DO29" s="230"/>
      <c r="DP29" s="506"/>
      <c r="DQ29" s="516"/>
      <c r="DR29" s="242"/>
      <c r="DS29" s="517"/>
      <c r="DT29" s="293"/>
      <c r="DU29" s="230"/>
      <c r="DV29" s="509"/>
      <c r="DW29" s="510"/>
      <c r="DX29" s="518"/>
      <c r="DY29" s="519"/>
      <c r="DZ29" s="509"/>
      <c r="EA29" s="510"/>
      <c r="EB29" s="293"/>
      <c r="EC29" s="230"/>
      <c r="ED29" s="509"/>
      <c r="EE29" s="517"/>
      <c r="EF29" s="509"/>
      <c r="EG29" s="520"/>
      <c r="EH29" s="285"/>
      <c r="EI29" s="249"/>
    </row>
    <row r="30" spans="1:139" x14ac:dyDescent="0.25">
      <c r="A30" s="2242"/>
      <c r="B30" s="503"/>
      <c r="C30" s="504" t="s">
        <v>40</v>
      </c>
      <c r="D30" s="234">
        <v>7.3</v>
      </c>
      <c r="E30" s="228"/>
      <c r="F30" s="246">
        <v>3.3440219880897844E-3</v>
      </c>
      <c r="G30" s="228"/>
      <c r="H30" s="293" t="s">
        <v>38</v>
      </c>
      <c r="I30" s="230" t="s">
        <v>38</v>
      </c>
      <c r="J30" s="285">
        <v>1813.8083623693381</v>
      </c>
      <c r="K30" s="208"/>
      <c r="L30" s="244" t="s">
        <v>38</v>
      </c>
      <c r="M30" s="548" t="s">
        <v>38</v>
      </c>
      <c r="N30" s="506">
        <v>1813.8083623693381</v>
      </c>
      <c r="O30" s="507"/>
      <c r="P30" s="293" t="s">
        <v>38</v>
      </c>
      <c r="Q30" s="230" t="s">
        <v>38</v>
      </c>
      <c r="R30" s="506">
        <v>0</v>
      </c>
      <c r="S30" s="208"/>
      <c r="T30" s="293" t="s">
        <v>38</v>
      </c>
      <c r="U30" s="230" t="s">
        <v>38</v>
      </c>
      <c r="V30" s="231">
        <v>248.46689895470385</v>
      </c>
      <c r="W30" s="231"/>
      <c r="X30" s="234">
        <v>6.9</v>
      </c>
      <c r="Y30" s="228"/>
      <c r="Z30" s="246">
        <v>3.1593406593406594E-3</v>
      </c>
      <c r="AA30" s="228"/>
      <c r="AB30" s="293" t="s">
        <v>38</v>
      </c>
      <c r="AC30" s="230" t="s">
        <v>38</v>
      </c>
      <c r="AD30" s="285">
        <v>1714.4216027874565</v>
      </c>
      <c r="AE30" s="208"/>
      <c r="AF30" s="244" t="s">
        <v>38</v>
      </c>
      <c r="AG30" s="548" t="s">
        <v>38</v>
      </c>
      <c r="AH30" s="506">
        <v>1714.4216027874565</v>
      </c>
      <c r="AI30" s="507"/>
      <c r="AJ30" s="293" t="s">
        <v>38</v>
      </c>
      <c r="AK30" s="230" t="s">
        <v>38</v>
      </c>
      <c r="AL30" s="506">
        <v>0</v>
      </c>
      <c r="AM30" s="208"/>
      <c r="AN30" s="293" t="s">
        <v>38</v>
      </c>
      <c r="AO30" s="230" t="s">
        <v>38</v>
      </c>
      <c r="AP30" s="231">
        <v>248.46689895470382</v>
      </c>
      <c r="AQ30" s="231"/>
      <c r="AR30" s="234">
        <v>7.8</v>
      </c>
      <c r="AS30" s="228"/>
      <c r="AT30" s="246">
        <v>3.5326086956521739E-3</v>
      </c>
      <c r="AU30" s="228"/>
      <c r="AV30" s="293" t="s">
        <v>38</v>
      </c>
      <c r="AW30" s="230" t="s">
        <v>38</v>
      </c>
      <c r="AX30" s="285">
        <v>1938.0418118466901</v>
      </c>
      <c r="AY30" s="208"/>
      <c r="AZ30" s="244" t="s">
        <v>38</v>
      </c>
      <c r="BA30" s="548" t="s">
        <v>38</v>
      </c>
      <c r="BB30" s="506">
        <v>1938.0418118466901</v>
      </c>
      <c r="BC30" s="507"/>
      <c r="BD30" s="293" t="s">
        <v>38</v>
      </c>
      <c r="BE30" s="230" t="s">
        <v>38</v>
      </c>
      <c r="BF30" s="506">
        <v>0</v>
      </c>
      <c r="BG30" s="208"/>
      <c r="BH30" s="293" t="s">
        <v>38</v>
      </c>
      <c r="BI30" s="230" t="s">
        <v>38</v>
      </c>
      <c r="BJ30" s="231">
        <v>248.46689895470385</v>
      </c>
      <c r="BK30" s="231"/>
      <c r="BL30" s="234">
        <v>6.7</v>
      </c>
      <c r="BM30" s="228"/>
      <c r="BN30" s="246">
        <v>3.0330466274332279E-3</v>
      </c>
      <c r="BO30" s="228"/>
      <c r="BP30" s="293" t="s">
        <v>38</v>
      </c>
      <c r="BQ30" s="230" t="s">
        <v>38</v>
      </c>
      <c r="BR30" s="285">
        <v>1664.7282229965158</v>
      </c>
      <c r="BS30" s="208"/>
      <c r="BT30" s="244" t="s">
        <v>38</v>
      </c>
      <c r="BU30" s="548" t="s">
        <v>38</v>
      </c>
      <c r="BV30" s="506">
        <v>1664.7282229965158</v>
      </c>
      <c r="BW30" s="507"/>
      <c r="BX30" s="293" t="s">
        <v>38</v>
      </c>
      <c r="BY30" s="230" t="s">
        <v>38</v>
      </c>
      <c r="BZ30" s="506">
        <v>0</v>
      </c>
      <c r="CA30" s="208"/>
      <c r="CB30" s="293" t="s">
        <v>38</v>
      </c>
      <c r="CC30" s="230" t="s">
        <v>38</v>
      </c>
      <c r="CD30" s="231">
        <v>248.46689895470385</v>
      </c>
      <c r="CE30" s="231"/>
      <c r="CF30" s="508">
        <f t="shared" si="0"/>
        <v>28.7</v>
      </c>
      <c r="CG30" s="231"/>
      <c r="CH30" s="246">
        <f t="shared" si="5"/>
        <v>3.2762557077625569E-3</v>
      </c>
      <c r="CI30" s="232"/>
      <c r="CJ30" s="244" t="s">
        <v>38</v>
      </c>
      <c r="CK30" s="548" t="s">
        <v>38</v>
      </c>
      <c r="CL30" s="506">
        <f t="shared" si="1"/>
        <v>7131.0000000000009</v>
      </c>
      <c r="CM30" s="239"/>
      <c r="CN30" s="518" t="s">
        <v>38</v>
      </c>
      <c r="CO30" s="548" t="s">
        <v>38</v>
      </c>
      <c r="CP30" s="506">
        <f t="shared" si="2"/>
        <v>7131.0000000000009</v>
      </c>
      <c r="CQ30" s="208"/>
      <c r="CR30" s="244" t="s">
        <v>38</v>
      </c>
      <c r="CS30" s="548" t="s">
        <v>38</v>
      </c>
      <c r="CT30" s="506">
        <f t="shared" si="3"/>
        <v>0</v>
      </c>
      <c r="CU30" s="208"/>
      <c r="CV30" s="244" t="s">
        <v>38</v>
      </c>
      <c r="CW30" s="548" t="s">
        <v>38</v>
      </c>
      <c r="CX30" s="506">
        <f t="shared" si="4"/>
        <v>248.46689895470388</v>
      </c>
      <c r="CY30" s="17"/>
      <c r="CZ30" s="512"/>
      <c r="DA30" s="513"/>
      <c r="DB30" s="514"/>
      <c r="DC30" s="515"/>
      <c r="DD30" s="506"/>
      <c r="DE30" s="231"/>
      <c r="DF30" s="293"/>
      <c r="DG30" s="230"/>
      <c r="DH30" s="506"/>
      <c r="DI30" s="208"/>
      <c r="DJ30" s="293"/>
      <c r="DK30" s="230"/>
      <c r="DL30" s="506"/>
      <c r="DM30" s="208"/>
      <c r="DN30" s="293"/>
      <c r="DO30" s="230"/>
      <c r="DP30" s="506"/>
      <c r="DQ30" s="516"/>
      <c r="DR30" s="242"/>
      <c r="DS30" s="517"/>
      <c r="DT30" s="293"/>
      <c r="DU30" s="230"/>
      <c r="DV30" s="509"/>
      <c r="DW30" s="510"/>
      <c r="DX30" s="518"/>
      <c r="DY30" s="519"/>
      <c r="DZ30" s="509"/>
      <c r="EA30" s="510"/>
      <c r="EB30" s="293"/>
      <c r="EC30" s="230"/>
      <c r="ED30" s="509"/>
      <c r="EE30" s="517"/>
      <c r="EF30" s="509"/>
      <c r="EG30" s="520"/>
      <c r="EH30" s="298"/>
      <c r="EI30" s="521"/>
    </row>
    <row r="31" spans="1:139" x14ac:dyDescent="0.25">
      <c r="A31" s="2242"/>
      <c r="B31" s="20"/>
      <c r="C31" s="504" t="s">
        <v>42</v>
      </c>
      <c r="D31" s="234">
        <v>19.600000000000001</v>
      </c>
      <c r="E31" s="228"/>
      <c r="F31" s="246">
        <v>8.9784699954191492E-3</v>
      </c>
      <c r="G31" s="228"/>
      <c r="H31" s="293" t="s">
        <v>38</v>
      </c>
      <c r="I31" s="230" t="s">
        <v>38</v>
      </c>
      <c r="J31" s="285">
        <v>2007</v>
      </c>
      <c r="K31" s="208"/>
      <c r="L31" s="244" t="s">
        <v>38</v>
      </c>
      <c r="M31" s="548" t="s">
        <v>38</v>
      </c>
      <c r="N31" s="506">
        <v>2007</v>
      </c>
      <c r="O31" s="522"/>
      <c r="P31" s="293" t="s">
        <v>38</v>
      </c>
      <c r="Q31" s="230" t="s">
        <v>38</v>
      </c>
      <c r="R31" s="506">
        <v>0</v>
      </c>
      <c r="S31" s="208"/>
      <c r="T31" s="293" t="s">
        <v>38</v>
      </c>
      <c r="U31" s="230" t="s">
        <v>38</v>
      </c>
      <c r="V31" s="231">
        <v>102.39795918367346</v>
      </c>
      <c r="W31" s="231"/>
      <c r="X31" s="234">
        <v>18.8</v>
      </c>
      <c r="Y31" s="228"/>
      <c r="Z31" s="246">
        <v>8.6080586080586087E-3</v>
      </c>
      <c r="AA31" s="228"/>
      <c r="AB31" s="293" t="s">
        <v>38</v>
      </c>
      <c r="AC31" s="230" t="s">
        <v>38</v>
      </c>
      <c r="AD31" s="285">
        <v>1907</v>
      </c>
      <c r="AE31" s="208"/>
      <c r="AF31" s="244" t="s">
        <v>38</v>
      </c>
      <c r="AG31" s="548" t="s">
        <v>38</v>
      </c>
      <c r="AH31" s="506">
        <v>1907</v>
      </c>
      <c r="AI31" s="522"/>
      <c r="AJ31" s="293" t="s">
        <v>38</v>
      </c>
      <c r="AK31" s="230" t="s">
        <v>38</v>
      </c>
      <c r="AL31" s="506">
        <v>0</v>
      </c>
      <c r="AM31" s="208"/>
      <c r="AN31" s="293" t="s">
        <v>38</v>
      </c>
      <c r="AO31" s="230" t="s">
        <v>38</v>
      </c>
      <c r="AP31" s="231">
        <v>101.43617021276596</v>
      </c>
      <c r="AQ31" s="231"/>
      <c r="AR31" s="234">
        <v>18</v>
      </c>
      <c r="AS31" s="228"/>
      <c r="AT31" s="246">
        <v>8.152173913043478E-3</v>
      </c>
      <c r="AU31" s="228"/>
      <c r="AV31" s="293" t="s">
        <v>38</v>
      </c>
      <c r="AW31" s="230" t="s">
        <v>38</v>
      </c>
      <c r="AX31" s="285">
        <v>1756</v>
      </c>
      <c r="AY31" s="208"/>
      <c r="AZ31" s="244" t="s">
        <v>38</v>
      </c>
      <c r="BA31" s="548" t="s">
        <v>38</v>
      </c>
      <c r="BB31" s="506">
        <v>1756</v>
      </c>
      <c r="BC31" s="522"/>
      <c r="BD31" s="293" t="s">
        <v>38</v>
      </c>
      <c r="BE31" s="230" t="s">
        <v>38</v>
      </c>
      <c r="BF31" s="506">
        <v>0</v>
      </c>
      <c r="BG31" s="208"/>
      <c r="BH31" s="293" t="s">
        <v>38</v>
      </c>
      <c r="BI31" s="230" t="s">
        <v>38</v>
      </c>
      <c r="BJ31" s="231">
        <v>97.555555555555557</v>
      </c>
      <c r="BK31" s="231"/>
      <c r="BL31" s="234">
        <v>19.5</v>
      </c>
      <c r="BM31" s="228"/>
      <c r="BN31" s="246">
        <v>8.8275237664101405E-3</v>
      </c>
      <c r="BO31" s="228"/>
      <c r="BP31" s="293" t="s">
        <v>38</v>
      </c>
      <c r="BQ31" s="230" t="s">
        <v>38</v>
      </c>
      <c r="BR31" s="285">
        <v>2024</v>
      </c>
      <c r="BS31" s="208"/>
      <c r="BT31" s="244" t="s">
        <v>38</v>
      </c>
      <c r="BU31" s="548" t="s">
        <v>38</v>
      </c>
      <c r="BV31" s="506">
        <v>2024</v>
      </c>
      <c r="BW31" s="522"/>
      <c r="BX31" s="293" t="s">
        <v>38</v>
      </c>
      <c r="BY31" s="230" t="s">
        <v>38</v>
      </c>
      <c r="BZ31" s="506">
        <v>0</v>
      </c>
      <c r="CA31" s="208"/>
      <c r="CB31" s="293" t="s">
        <v>38</v>
      </c>
      <c r="CC31" s="230" t="s">
        <v>38</v>
      </c>
      <c r="CD31" s="231">
        <v>103.7948717948718</v>
      </c>
      <c r="CE31" s="231"/>
      <c r="CF31" s="508">
        <f t="shared" si="0"/>
        <v>75.900000000000006</v>
      </c>
      <c r="CG31" s="231"/>
      <c r="CH31" s="246">
        <f t="shared" si="5"/>
        <v>8.6643835616438368E-3</v>
      </c>
      <c r="CI31" s="232"/>
      <c r="CJ31" s="244" t="s">
        <v>38</v>
      </c>
      <c r="CK31" s="548" t="s">
        <v>38</v>
      </c>
      <c r="CL31" s="506">
        <f t="shared" si="1"/>
        <v>7694</v>
      </c>
      <c r="CM31" s="239"/>
      <c r="CN31" s="518" t="s">
        <v>38</v>
      </c>
      <c r="CO31" s="548" t="s">
        <v>38</v>
      </c>
      <c r="CP31" s="506">
        <f t="shared" si="2"/>
        <v>7694</v>
      </c>
      <c r="CQ31" s="208"/>
      <c r="CR31" s="244" t="s">
        <v>38</v>
      </c>
      <c r="CS31" s="548" t="s">
        <v>38</v>
      </c>
      <c r="CT31" s="506">
        <f t="shared" si="3"/>
        <v>0</v>
      </c>
      <c r="CU31" s="208"/>
      <c r="CV31" s="244" t="s">
        <v>38</v>
      </c>
      <c r="CW31" s="548" t="s">
        <v>38</v>
      </c>
      <c r="CX31" s="506">
        <f t="shared" si="4"/>
        <v>101.37022397891963</v>
      </c>
      <c r="CY31" s="17"/>
      <c r="CZ31" s="512"/>
      <c r="DA31" s="513"/>
      <c r="DB31" s="514"/>
      <c r="DC31" s="515"/>
      <c r="DD31" s="506"/>
      <c r="DE31" s="231"/>
      <c r="DF31" s="293"/>
      <c r="DG31" s="230"/>
      <c r="DH31" s="506"/>
      <c r="DI31" s="208"/>
      <c r="DJ31" s="293"/>
      <c r="DK31" s="230"/>
      <c r="DL31" s="506"/>
      <c r="DM31" s="208"/>
      <c r="DN31" s="293"/>
      <c r="DO31" s="230"/>
      <c r="DP31" s="506"/>
      <c r="DQ31" s="516"/>
      <c r="DR31" s="242"/>
      <c r="DS31" s="517"/>
      <c r="DT31" s="293"/>
      <c r="DU31" s="230"/>
      <c r="DV31" s="509"/>
      <c r="DW31" s="510"/>
      <c r="DX31" s="518"/>
      <c r="DY31" s="519"/>
      <c r="DZ31" s="509"/>
      <c r="EA31" s="510"/>
      <c r="EB31" s="293"/>
      <c r="EC31" s="230"/>
      <c r="ED31" s="509"/>
      <c r="EE31" s="517"/>
      <c r="EF31" s="509"/>
      <c r="EG31" s="520"/>
      <c r="EH31" s="298"/>
      <c r="EI31" s="521"/>
    </row>
    <row r="32" spans="1:139" x14ac:dyDescent="0.25">
      <c r="A32" s="2242"/>
      <c r="B32" s="20"/>
      <c r="C32" s="504" t="s">
        <v>43</v>
      </c>
      <c r="D32" s="234">
        <v>0</v>
      </c>
      <c r="E32" s="228"/>
      <c r="F32" s="246">
        <v>0</v>
      </c>
      <c r="G32" s="228"/>
      <c r="H32" s="293" t="s">
        <v>38</v>
      </c>
      <c r="I32" s="230" t="s">
        <v>38</v>
      </c>
      <c r="J32" s="285">
        <v>0</v>
      </c>
      <c r="K32" s="208"/>
      <c r="L32" s="244" t="s">
        <v>38</v>
      </c>
      <c r="M32" s="548" t="s">
        <v>38</v>
      </c>
      <c r="N32" s="506">
        <v>0</v>
      </c>
      <c r="O32" s="522"/>
      <c r="P32" s="293" t="s">
        <v>38</v>
      </c>
      <c r="Q32" s="230" t="s">
        <v>38</v>
      </c>
      <c r="R32" s="506">
        <v>0</v>
      </c>
      <c r="S32" s="208"/>
      <c r="T32" s="293" t="s">
        <v>38</v>
      </c>
      <c r="U32" s="230" t="s">
        <v>38</v>
      </c>
      <c r="V32" s="231">
        <v>0</v>
      </c>
      <c r="W32" s="231"/>
      <c r="X32" s="234">
        <v>0</v>
      </c>
      <c r="Y32" s="228"/>
      <c r="Z32" s="246">
        <v>0</v>
      </c>
      <c r="AA32" s="228"/>
      <c r="AB32" s="293" t="s">
        <v>38</v>
      </c>
      <c r="AC32" s="230" t="s">
        <v>38</v>
      </c>
      <c r="AD32" s="285">
        <v>0</v>
      </c>
      <c r="AE32" s="208"/>
      <c r="AF32" s="244" t="s">
        <v>38</v>
      </c>
      <c r="AG32" s="548" t="s">
        <v>38</v>
      </c>
      <c r="AH32" s="506">
        <v>0</v>
      </c>
      <c r="AI32" s="522"/>
      <c r="AJ32" s="293" t="s">
        <v>38</v>
      </c>
      <c r="AK32" s="230" t="s">
        <v>38</v>
      </c>
      <c r="AL32" s="506">
        <v>0</v>
      </c>
      <c r="AM32" s="208"/>
      <c r="AN32" s="293" t="s">
        <v>38</v>
      </c>
      <c r="AO32" s="230" t="s">
        <v>38</v>
      </c>
      <c r="AP32" s="231">
        <v>0</v>
      </c>
      <c r="AQ32" s="231"/>
      <c r="AR32" s="234">
        <v>0</v>
      </c>
      <c r="AS32" s="228"/>
      <c r="AT32" s="246">
        <v>0</v>
      </c>
      <c r="AU32" s="228"/>
      <c r="AV32" s="293" t="s">
        <v>38</v>
      </c>
      <c r="AW32" s="230" t="s">
        <v>38</v>
      </c>
      <c r="AX32" s="285">
        <v>0</v>
      </c>
      <c r="AY32" s="208"/>
      <c r="AZ32" s="244" t="s">
        <v>38</v>
      </c>
      <c r="BA32" s="548" t="s">
        <v>38</v>
      </c>
      <c r="BB32" s="506">
        <v>0</v>
      </c>
      <c r="BC32" s="522"/>
      <c r="BD32" s="293" t="s">
        <v>38</v>
      </c>
      <c r="BE32" s="230" t="s">
        <v>38</v>
      </c>
      <c r="BF32" s="506">
        <v>0</v>
      </c>
      <c r="BG32" s="208"/>
      <c r="BH32" s="293" t="s">
        <v>38</v>
      </c>
      <c r="BI32" s="230" t="s">
        <v>38</v>
      </c>
      <c r="BJ32" s="231">
        <v>0</v>
      </c>
      <c r="BK32" s="231"/>
      <c r="BL32" s="234">
        <v>0</v>
      </c>
      <c r="BM32" s="228"/>
      <c r="BN32" s="246">
        <v>0</v>
      </c>
      <c r="BO32" s="228"/>
      <c r="BP32" s="293" t="s">
        <v>38</v>
      </c>
      <c r="BQ32" s="230" t="s">
        <v>38</v>
      </c>
      <c r="BR32" s="285">
        <v>0</v>
      </c>
      <c r="BS32" s="208"/>
      <c r="BT32" s="244" t="s">
        <v>38</v>
      </c>
      <c r="BU32" s="548" t="s">
        <v>38</v>
      </c>
      <c r="BV32" s="506">
        <v>0</v>
      </c>
      <c r="BW32" s="522"/>
      <c r="BX32" s="293" t="s">
        <v>38</v>
      </c>
      <c r="BY32" s="230" t="s">
        <v>38</v>
      </c>
      <c r="BZ32" s="506">
        <v>0</v>
      </c>
      <c r="CA32" s="208"/>
      <c r="CB32" s="293" t="s">
        <v>38</v>
      </c>
      <c r="CC32" s="230" t="s">
        <v>38</v>
      </c>
      <c r="CD32" s="231">
        <v>0</v>
      </c>
      <c r="CE32" s="231"/>
      <c r="CF32" s="508">
        <f t="shared" si="0"/>
        <v>0</v>
      </c>
      <c r="CG32" s="231"/>
      <c r="CH32" s="246">
        <f t="shared" si="5"/>
        <v>0</v>
      </c>
      <c r="CI32" s="232"/>
      <c r="CJ32" s="244" t="s">
        <v>38</v>
      </c>
      <c r="CK32" s="548" t="s">
        <v>38</v>
      </c>
      <c r="CL32" s="506">
        <f t="shared" si="1"/>
        <v>0</v>
      </c>
      <c r="CM32" s="239"/>
      <c r="CN32" s="518" t="s">
        <v>38</v>
      </c>
      <c r="CO32" s="548" t="s">
        <v>38</v>
      </c>
      <c r="CP32" s="506">
        <f t="shared" si="2"/>
        <v>0</v>
      </c>
      <c r="CQ32" s="208"/>
      <c r="CR32" s="244" t="s">
        <v>38</v>
      </c>
      <c r="CS32" s="548" t="s">
        <v>38</v>
      </c>
      <c r="CT32" s="506">
        <f t="shared" si="3"/>
        <v>0</v>
      </c>
      <c r="CU32" s="208"/>
      <c r="CV32" s="244" t="s">
        <v>38</v>
      </c>
      <c r="CW32" s="548" t="s">
        <v>38</v>
      </c>
      <c r="CX32" s="506">
        <v>0</v>
      </c>
      <c r="CY32" s="17"/>
      <c r="CZ32" s="512"/>
      <c r="DA32" s="513"/>
      <c r="DB32" s="514"/>
      <c r="DC32" s="515"/>
      <c r="DD32" s="506"/>
      <c r="DE32" s="231"/>
      <c r="DF32" s="293"/>
      <c r="DG32" s="230"/>
      <c r="DH32" s="506"/>
      <c r="DI32" s="208"/>
      <c r="DJ32" s="293"/>
      <c r="DK32" s="230"/>
      <c r="DL32" s="506"/>
      <c r="DM32" s="208"/>
      <c r="DN32" s="293"/>
      <c r="DO32" s="230"/>
      <c r="DP32" s="506"/>
      <c r="DQ32" s="516"/>
      <c r="DR32" s="242"/>
      <c r="DS32" s="517"/>
      <c r="DT32" s="293"/>
      <c r="DU32" s="230"/>
      <c r="DV32" s="509"/>
      <c r="DW32" s="510"/>
      <c r="DX32" s="518"/>
      <c r="DY32" s="519"/>
      <c r="DZ32" s="509"/>
      <c r="EA32" s="510"/>
      <c r="EB32" s="293"/>
      <c r="EC32" s="230"/>
      <c r="ED32" s="509"/>
      <c r="EE32" s="517"/>
      <c r="EF32" s="509"/>
      <c r="EG32" s="520"/>
      <c r="EH32" s="298"/>
      <c r="EI32" s="521"/>
    </row>
    <row r="33" spans="1:139" ht="26.45" customHeight="1" x14ac:dyDescent="0.25">
      <c r="A33" s="2242"/>
      <c r="B33" s="2184" t="s">
        <v>48</v>
      </c>
      <c r="C33" s="2185"/>
      <c r="D33" s="287">
        <v>237.1</v>
      </c>
      <c r="E33" s="288"/>
      <c r="F33" s="289">
        <v>2.1560621629732015E-2</v>
      </c>
      <c r="G33" s="288"/>
      <c r="H33" s="290" t="s">
        <v>38</v>
      </c>
      <c r="I33" s="291" t="s">
        <v>38</v>
      </c>
      <c r="J33" s="292">
        <v>30018</v>
      </c>
      <c r="K33" s="525"/>
      <c r="L33" s="408" t="s">
        <v>38</v>
      </c>
      <c r="M33" s="549" t="s">
        <v>38</v>
      </c>
      <c r="N33" s="527">
        <v>30018</v>
      </c>
      <c r="O33" s="528"/>
      <c r="P33" s="290" t="s">
        <v>38</v>
      </c>
      <c r="Q33" s="291" t="s">
        <v>38</v>
      </c>
      <c r="R33" s="527">
        <v>0</v>
      </c>
      <c r="S33" s="528"/>
      <c r="T33" s="290" t="s">
        <v>38</v>
      </c>
      <c r="U33" s="291" t="s">
        <v>38</v>
      </c>
      <c r="V33" s="529">
        <v>126.60480809784902</v>
      </c>
      <c r="W33" s="529"/>
      <c r="X33" s="287">
        <v>224.89999999999998</v>
      </c>
      <c r="Y33" s="288"/>
      <c r="Z33" s="289">
        <v>2.0441923667730118E-2</v>
      </c>
      <c r="AA33" s="288"/>
      <c r="AB33" s="290" t="s">
        <v>38</v>
      </c>
      <c r="AC33" s="291" t="s">
        <v>38</v>
      </c>
      <c r="AD33" s="292">
        <v>28434</v>
      </c>
      <c r="AE33" s="525"/>
      <c r="AF33" s="408" t="s">
        <v>38</v>
      </c>
      <c r="AG33" s="549" t="s">
        <v>38</v>
      </c>
      <c r="AH33" s="527">
        <v>28434</v>
      </c>
      <c r="AI33" s="528"/>
      <c r="AJ33" s="290" t="s">
        <v>38</v>
      </c>
      <c r="AK33" s="291" t="s">
        <v>38</v>
      </c>
      <c r="AL33" s="527">
        <v>0</v>
      </c>
      <c r="AM33" s="528"/>
      <c r="AN33" s="290" t="s">
        <v>38</v>
      </c>
      <c r="AO33" s="291" t="s">
        <v>38</v>
      </c>
      <c r="AP33" s="529">
        <v>126.42952423299245</v>
      </c>
      <c r="AQ33" s="529"/>
      <c r="AR33" s="287">
        <v>240.2</v>
      </c>
      <c r="AS33" s="288"/>
      <c r="AT33" s="289">
        <v>2.1626196328408467E-2</v>
      </c>
      <c r="AU33" s="288"/>
      <c r="AV33" s="290" t="s">
        <v>38</v>
      </c>
      <c r="AW33" s="291" t="s">
        <v>38</v>
      </c>
      <c r="AX33" s="292">
        <v>20568</v>
      </c>
      <c r="AY33" s="525"/>
      <c r="AZ33" s="408" t="s">
        <v>38</v>
      </c>
      <c r="BA33" s="549" t="s">
        <v>38</v>
      </c>
      <c r="BB33" s="527">
        <v>20568</v>
      </c>
      <c r="BC33" s="528"/>
      <c r="BD33" s="290" t="s">
        <v>38</v>
      </c>
      <c r="BE33" s="291" t="s">
        <v>38</v>
      </c>
      <c r="BF33" s="527">
        <v>0</v>
      </c>
      <c r="BG33" s="528"/>
      <c r="BH33" s="290" t="s">
        <v>38</v>
      </c>
      <c r="BI33" s="291" t="s">
        <v>38</v>
      </c>
      <c r="BJ33" s="529">
        <v>85.628642797668618</v>
      </c>
      <c r="BK33" s="529"/>
      <c r="BL33" s="287">
        <v>218.70000000000002</v>
      </c>
      <c r="BM33" s="288"/>
      <c r="BN33" s="289">
        <v>1.9708206796492718E-2</v>
      </c>
      <c r="BO33" s="288"/>
      <c r="BP33" s="290" t="s">
        <v>38</v>
      </c>
      <c r="BQ33" s="291" t="s">
        <v>38</v>
      </c>
      <c r="BR33" s="292">
        <v>29231</v>
      </c>
      <c r="BS33" s="525"/>
      <c r="BT33" s="408" t="s">
        <v>38</v>
      </c>
      <c r="BU33" s="549" t="s">
        <v>38</v>
      </c>
      <c r="BV33" s="527">
        <v>29231</v>
      </c>
      <c r="BW33" s="528"/>
      <c r="BX33" s="290" t="s">
        <v>38</v>
      </c>
      <c r="BY33" s="291" t="s">
        <v>38</v>
      </c>
      <c r="BZ33" s="527">
        <v>0</v>
      </c>
      <c r="CA33" s="528"/>
      <c r="CB33" s="290" t="s">
        <v>38</v>
      </c>
      <c r="CC33" s="291" t="s">
        <v>38</v>
      </c>
      <c r="CD33" s="529">
        <v>133.65797896662093</v>
      </c>
      <c r="CE33" s="529"/>
      <c r="CF33" s="530">
        <f t="shared" si="0"/>
        <v>920.9</v>
      </c>
      <c r="CG33" s="529"/>
      <c r="CH33" s="289">
        <f>CF33/44202.6</f>
        <v>2.0833616122128563E-2</v>
      </c>
      <c r="CI33" s="531"/>
      <c r="CJ33" s="408" t="s">
        <v>38</v>
      </c>
      <c r="CK33" s="549" t="s">
        <v>38</v>
      </c>
      <c r="CL33" s="527">
        <f t="shared" si="1"/>
        <v>108251</v>
      </c>
      <c r="CM33" s="532"/>
      <c r="CN33" s="550" t="s">
        <v>38</v>
      </c>
      <c r="CO33" s="549" t="s">
        <v>38</v>
      </c>
      <c r="CP33" s="527">
        <f t="shared" si="2"/>
        <v>108251</v>
      </c>
      <c r="CQ33" s="528"/>
      <c r="CR33" s="408" t="s">
        <v>38</v>
      </c>
      <c r="CS33" s="549" t="s">
        <v>38</v>
      </c>
      <c r="CT33" s="527">
        <f t="shared" si="3"/>
        <v>0</v>
      </c>
      <c r="CU33" s="528"/>
      <c r="CV33" s="408" t="s">
        <v>38</v>
      </c>
      <c r="CW33" s="549" t="s">
        <v>38</v>
      </c>
      <c r="CX33" s="527">
        <f t="shared" si="4"/>
        <v>117.54913671408406</v>
      </c>
      <c r="CY33" s="18"/>
      <c r="CZ33" s="534"/>
      <c r="DA33" s="535"/>
      <c r="DB33" s="536"/>
      <c r="DC33" s="537"/>
      <c r="DD33" s="527"/>
      <c r="DE33" s="529"/>
      <c r="DF33" s="290"/>
      <c r="DG33" s="291"/>
      <c r="DH33" s="527"/>
      <c r="DI33" s="528"/>
      <c r="DJ33" s="290"/>
      <c r="DK33" s="291"/>
      <c r="DL33" s="527"/>
      <c r="DM33" s="528"/>
      <c r="DN33" s="290"/>
      <c r="DO33" s="291"/>
      <c r="DP33" s="527"/>
      <c r="DQ33" s="538"/>
      <c r="DR33" s="539"/>
      <c r="DS33" s="540"/>
      <c r="DT33" s="290"/>
      <c r="DU33" s="291"/>
      <c r="DV33" s="496"/>
      <c r="DW33" s="541"/>
      <c r="DX33" s="533"/>
      <c r="DY33" s="542"/>
      <c r="DZ33" s="496"/>
      <c r="EA33" s="541"/>
      <c r="EB33" s="290"/>
      <c r="EC33" s="291"/>
      <c r="ED33" s="496"/>
      <c r="EE33" s="540"/>
      <c r="EF33" s="496"/>
      <c r="EG33" s="543"/>
      <c r="EH33" s="544"/>
      <c r="EI33" s="545"/>
    </row>
    <row r="34" spans="1:139" x14ac:dyDescent="0.25">
      <c r="A34" s="2242"/>
      <c r="B34" s="21"/>
      <c r="C34" s="524" t="s">
        <v>39</v>
      </c>
      <c r="D34" s="234">
        <v>31.699999999999996</v>
      </c>
      <c r="E34" s="228"/>
      <c r="F34" s="246">
        <v>1.4521300961978926E-2</v>
      </c>
      <c r="G34" s="228"/>
      <c r="H34" s="293" t="s">
        <v>38</v>
      </c>
      <c r="I34" s="230" t="s">
        <v>38</v>
      </c>
      <c r="J34" s="285">
        <v>16447</v>
      </c>
      <c r="K34" s="208"/>
      <c r="L34" s="406" t="s">
        <v>38</v>
      </c>
      <c r="M34" s="505" t="s">
        <v>38</v>
      </c>
      <c r="N34" s="506">
        <v>16447</v>
      </c>
      <c r="O34" s="522"/>
      <c r="P34" s="293" t="s">
        <v>38</v>
      </c>
      <c r="Q34" s="230" t="s">
        <v>38</v>
      </c>
      <c r="R34" s="506">
        <v>0</v>
      </c>
      <c r="S34" s="208"/>
      <c r="T34" s="293" t="s">
        <v>38</v>
      </c>
      <c r="U34" s="230" t="s">
        <v>38</v>
      </c>
      <c r="V34" s="231">
        <v>518.83280757097793</v>
      </c>
      <c r="W34" s="231"/>
      <c r="X34" s="234">
        <v>29.4</v>
      </c>
      <c r="Y34" s="228"/>
      <c r="Z34" s="246">
        <v>1.3461538461538461E-2</v>
      </c>
      <c r="AA34" s="228"/>
      <c r="AB34" s="293" t="s">
        <v>38</v>
      </c>
      <c r="AC34" s="230" t="s">
        <v>38</v>
      </c>
      <c r="AD34" s="285">
        <v>15863</v>
      </c>
      <c r="AE34" s="208"/>
      <c r="AF34" s="406" t="s">
        <v>38</v>
      </c>
      <c r="AG34" s="505" t="s">
        <v>38</v>
      </c>
      <c r="AH34" s="506">
        <v>15863</v>
      </c>
      <c r="AI34" s="522"/>
      <c r="AJ34" s="293" t="s">
        <v>38</v>
      </c>
      <c r="AK34" s="230" t="s">
        <v>38</v>
      </c>
      <c r="AL34" s="506">
        <v>0</v>
      </c>
      <c r="AM34" s="208"/>
      <c r="AN34" s="293" t="s">
        <v>38</v>
      </c>
      <c r="AO34" s="230" t="s">
        <v>38</v>
      </c>
      <c r="AP34" s="231">
        <v>539.55782312925169</v>
      </c>
      <c r="AQ34" s="231"/>
      <c r="AR34" s="234">
        <v>28.3</v>
      </c>
      <c r="AS34" s="228"/>
      <c r="AT34" s="246">
        <v>1.2817028985507246E-2</v>
      </c>
      <c r="AU34" s="228"/>
      <c r="AV34" s="293" t="s">
        <v>38</v>
      </c>
      <c r="AW34" s="230" t="s">
        <v>38</v>
      </c>
      <c r="AX34" s="285">
        <v>12446</v>
      </c>
      <c r="AY34" s="208"/>
      <c r="AZ34" s="406" t="s">
        <v>38</v>
      </c>
      <c r="BA34" s="505" t="s">
        <v>38</v>
      </c>
      <c r="BB34" s="506">
        <v>12446</v>
      </c>
      <c r="BC34" s="522"/>
      <c r="BD34" s="293" t="s">
        <v>38</v>
      </c>
      <c r="BE34" s="230" t="s">
        <v>38</v>
      </c>
      <c r="BF34" s="506">
        <v>0</v>
      </c>
      <c r="BG34" s="208"/>
      <c r="BH34" s="293" t="s">
        <v>38</v>
      </c>
      <c r="BI34" s="230" t="s">
        <v>38</v>
      </c>
      <c r="BJ34" s="231">
        <v>439.78798586572435</v>
      </c>
      <c r="BK34" s="231"/>
      <c r="BL34" s="234">
        <v>29.9</v>
      </c>
      <c r="BM34" s="228"/>
      <c r="BN34" s="246">
        <v>1.3535536441828882E-2</v>
      </c>
      <c r="BO34" s="228"/>
      <c r="BP34" s="293" t="s">
        <v>38</v>
      </c>
      <c r="BQ34" s="230" t="s">
        <v>38</v>
      </c>
      <c r="BR34" s="285">
        <v>16793</v>
      </c>
      <c r="BS34" s="208"/>
      <c r="BT34" s="406" t="s">
        <v>38</v>
      </c>
      <c r="BU34" s="505" t="s">
        <v>38</v>
      </c>
      <c r="BV34" s="506">
        <v>16793</v>
      </c>
      <c r="BW34" s="522"/>
      <c r="BX34" s="293" t="s">
        <v>38</v>
      </c>
      <c r="BY34" s="230" t="s">
        <v>38</v>
      </c>
      <c r="BZ34" s="506">
        <v>0</v>
      </c>
      <c r="CA34" s="208"/>
      <c r="CB34" s="293" t="s">
        <v>38</v>
      </c>
      <c r="CC34" s="230" t="s">
        <v>38</v>
      </c>
      <c r="CD34" s="231">
        <v>561.63879598662209</v>
      </c>
      <c r="CE34" s="231"/>
      <c r="CF34" s="508">
        <f t="shared" si="0"/>
        <v>119.29999999999998</v>
      </c>
      <c r="CG34" s="231"/>
      <c r="CH34" s="246">
        <f t="shared" si="5"/>
        <v>1.3618721461187212E-2</v>
      </c>
      <c r="CI34" s="232"/>
      <c r="CJ34" s="406" t="s">
        <v>38</v>
      </c>
      <c r="CK34" s="505" t="s">
        <v>38</v>
      </c>
      <c r="CL34" s="506">
        <f t="shared" si="1"/>
        <v>61549</v>
      </c>
      <c r="CM34" s="239"/>
      <c r="CN34" s="209" t="s">
        <v>38</v>
      </c>
      <c r="CO34" s="505" t="s">
        <v>38</v>
      </c>
      <c r="CP34" s="506">
        <f t="shared" si="2"/>
        <v>61549</v>
      </c>
      <c r="CQ34" s="208"/>
      <c r="CR34" s="406" t="s">
        <v>38</v>
      </c>
      <c r="CS34" s="505" t="s">
        <v>38</v>
      </c>
      <c r="CT34" s="506">
        <f t="shared" si="3"/>
        <v>0</v>
      </c>
      <c r="CU34" s="208"/>
      <c r="CV34" s="406" t="s">
        <v>38</v>
      </c>
      <c r="CW34" s="505" t="s">
        <v>38</v>
      </c>
      <c r="CX34" s="506">
        <f t="shared" si="4"/>
        <v>515.91785414920378</v>
      </c>
      <c r="CY34" s="17"/>
      <c r="CZ34" s="512"/>
      <c r="DA34" s="513"/>
      <c r="DB34" s="514"/>
      <c r="DC34" s="515"/>
      <c r="DD34" s="506"/>
      <c r="DE34" s="231"/>
      <c r="DF34" s="293"/>
      <c r="DG34" s="230"/>
      <c r="DH34" s="506"/>
      <c r="DI34" s="208"/>
      <c r="DJ34" s="293"/>
      <c r="DK34" s="230"/>
      <c r="DL34" s="506"/>
      <c r="DM34" s="208"/>
      <c r="DN34" s="293"/>
      <c r="DO34" s="230"/>
      <c r="DP34" s="506"/>
      <c r="DQ34" s="516"/>
      <c r="DR34" s="242"/>
      <c r="DS34" s="517"/>
      <c r="DT34" s="293"/>
      <c r="DU34" s="230"/>
      <c r="DV34" s="509"/>
      <c r="DW34" s="510"/>
      <c r="DX34" s="518"/>
      <c r="DY34" s="519"/>
      <c r="DZ34" s="509"/>
      <c r="EA34" s="510"/>
      <c r="EB34" s="293"/>
      <c r="EC34" s="230"/>
      <c r="ED34" s="509"/>
      <c r="EE34" s="517"/>
      <c r="EF34" s="509"/>
      <c r="EG34" s="520"/>
      <c r="EH34" s="285"/>
      <c r="EI34" s="249"/>
    </row>
    <row r="35" spans="1:139" x14ac:dyDescent="0.25">
      <c r="A35" s="2242"/>
      <c r="B35" s="21"/>
      <c r="C35" s="524" t="s">
        <v>40</v>
      </c>
      <c r="D35" s="234">
        <v>0</v>
      </c>
      <c r="E35" s="228"/>
      <c r="F35" s="246">
        <v>0</v>
      </c>
      <c r="G35" s="228"/>
      <c r="H35" s="293" t="s">
        <v>38</v>
      </c>
      <c r="I35" s="230" t="s">
        <v>38</v>
      </c>
      <c r="J35" s="285">
        <v>0</v>
      </c>
      <c r="K35" s="208"/>
      <c r="L35" s="406" t="s">
        <v>38</v>
      </c>
      <c r="M35" s="505" t="s">
        <v>38</v>
      </c>
      <c r="N35" s="506">
        <v>0</v>
      </c>
      <c r="O35" s="522"/>
      <c r="P35" s="293" t="s">
        <v>38</v>
      </c>
      <c r="Q35" s="230" t="s">
        <v>38</v>
      </c>
      <c r="R35" s="506">
        <v>0</v>
      </c>
      <c r="S35" s="208"/>
      <c r="T35" s="293" t="s">
        <v>38</v>
      </c>
      <c r="U35" s="230" t="s">
        <v>38</v>
      </c>
      <c r="V35" s="231">
        <v>0</v>
      </c>
      <c r="W35" s="231"/>
      <c r="X35" s="234">
        <v>0</v>
      </c>
      <c r="Y35" s="228"/>
      <c r="Z35" s="246">
        <v>0</v>
      </c>
      <c r="AA35" s="228"/>
      <c r="AB35" s="293" t="s">
        <v>38</v>
      </c>
      <c r="AC35" s="230" t="s">
        <v>38</v>
      </c>
      <c r="AD35" s="285">
        <v>0</v>
      </c>
      <c r="AE35" s="208"/>
      <c r="AF35" s="406" t="s">
        <v>38</v>
      </c>
      <c r="AG35" s="505" t="s">
        <v>38</v>
      </c>
      <c r="AH35" s="506">
        <v>0</v>
      </c>
      <c r="AI35" s="522"/>
      <c r="AJ35" s="293" t="s">
        <v>38</v>
      </c>
      <c r="AK35" s="230" t="s">
        <v>38</v>
      </c>
      <c r="AL35" s="506">
        <v>0</v>
      </c>
      <c r="AM35" s="208"/>
      <c r="AN35" s="293" t="s">
        <v>38</v>
      </c>
      <c r="AO35" s="230" t="s">
        <v>38</v>
      </c>
      <c r="AP35" s="231">
        <v>0</v>
      </c>
      <c r="AQ35" s="231"/>
      <c r="AR35" s="234">
        <v>0</v>
      </c>
      <c r="AS35" s="228"/>
      <c r="AT35" s="246">
        <v>0</v>
      </c>
      <c r="AU35" s="228"/>
      <c r="AV35" s="293" t="s">
        <v>38</v>
      </c>
      <c r="AW35" s="230" t="s">
        <v>38</v>
      </c>
      <c r="AX35" s="285">
        <v>0</v>
      </c>
      <c r="AY35" s="208"/>
      <c r="AZ35" s="406" t="s">
        <v>38</v>
      </c>
      <c r="BA35" s="505" t="s">
        <v>38</v>
      </c>
      <c r="BB35" s="506">
        <v>0</v>
      </c>
      <c r="BC35" s="522"/>
      <c r="BD35" s="293" t="s">
        <v>38</v>
      </c>
      <c r="BE35" s="230" t="s">
        <v>38</v>
      </c>
      <c r="BF35" s="506">
        <v>0</v>
      </c>
      <c r="BG35" s="208"/>
      <c r="BH35" s="293" t="s">
        <v>38</v>
      </c>
      <c r="BI35" s="230" t="s">
        <v>38</v>
      </c>
      <c r="BJ35" s="231">
        <v>0</v>
      </c>
      <c r="BK35" s="231"/>
      <c r="BL35" s="234">
        <v>0</v>
      </c>
      <c r="BM35" s="228"/>
      <c r="BN35" s="246">
        <v>0</v>
      </c>
      <c r="BO35" s="228"/>
      <c r="BP35" s="293" t="s">
        <v>38</v>
      </c>
      <c r="BQ35" s="230" t="s">
        <v>38</v>
      </c>
      <c r="BR35" s="285">
        <v>0</v>
      </c>
      <c r="BS35" s="208"/>
      <c r="BT35" s="406" t="s">
        <v>38</v>
      </c>
      <c r="BU35" s="505" t="s">
        <v>38</v>
      </c>
      <c r="BV35" s="506">
        <v>0</v>
      </c>
      <c r="BW35" s="522"/>
      <c r="BX35" s="293" t="s">
        <v>38</v>
      </c>
      <c r="BY35" s="230" t="s">
        <v>38</v>
      </c>
      <c r="BZ35" s="506">
        <v>0</v>
      </c>
      <c r="CA35" s="208"/>
      <c r="CB35" s="293" t="s">
        <v>38</v>
      </c>
      <c r="CC35" s="230" t="s">
        <v>38</v>
      </c>
      <c r="CD35" s="231">
        <v>0</v>
      </c>
      <c r="CE35" s="231"/>
      <c r="CF35" s="508">
        <f t="shared" si="0"/>
        <v>0</v>
      </c>
      <c r="CG35" s="231"/>
      <c r="CH35" s="246">
        <f t="shared" si="5"/>
        <v>0</v>
      </c>
      <c r="CI35" s="232"/>
      <c r="CJ35" s="406" t="s">
        <v>38</v>
      </c>
      <c r="CK35" s="505" t="s">
        <v>38</v>
      </c>
      <c r="CL35" s="506">
        <f t="shared" si="1"/>
        <v>0</v>
      </c>
      <c r="CM35" s="239"/>
      <c r="CN35" s="209" t="s">
        <v>38</v>
      </c>
      <c r="CO35" s="505" t="s">
        <v>38</v>
      </c>
      <c r="CP35" s="506">
        <f t="shared" si="2"/>
        <v>0</v>
      </c>
      <c r="CQ35" s="208"/>
      <c r="CR35" s="406" t="s">
        <v>38</v>
      </c>
      <c r="CS35" s="505" t="s">
        <v>38</v>
      </c>
      <c r="CT35" s="506">
        <f t="shared" si="3"/>
        <v>0</v>
      </c>
      <c r="CU35" s="208"/>
      <c r="CV35" s="406" t="s">
        <v>38</v>
      </c>
      <c r="CW35" s="505" t="s">
        <v>38</v>
      </c>
      <c r="CX35" s="506">
        <v>0</v>
      </c>
      <c r="CY35" s="17"/>
      <c r="CZ35" s="512"/>
      <c r="DA35" s="513"/>
      <c r="DB35" s="514"/>
      <c r="DC35" s="515"/>
      <c r="DD35" s="506"/>
      <c r="DE35" s="231"/>
      <c r="DF35" s="293"/>
      <c r="DG35" s="230"/>
      <c r="DH35" s="506"/>
      <c r="DI35" s="208"/>
      <c r="DJ35" s="293"/>
      <c r="DK35" s="230"/>
      <c r="DL35" s="506"/>
      <c r="DM35" s="208"/>
      <c r="DN35" s="293"/>
      <c r="DO35" s="230"/>
      <c r="DP35" s="506"/>
      <c r="DQ35" s="516"/>
      <c r="DR35" s="242"/>
      <c r="DS35" s="517"/>
      <c r="DT35" s="293"/>
      <c r="DU35" s="230"/>
      <c r="DV35" s="509"/>
      <c r="DW35" s="510"/>
      <c r="DX35" s="518"/>
      <c r="DY35" s="519"/>
      <c r="DZ35" s="509"/>
      <c r="EA35" s="510"/>
      <c r="EB35" s="293"/>
      <c r="EC35" s="230"/>
      <c r="ED35" s="509"/>
      <c r="EE35" s="517"/>
      <c r="EF35" s="509"/>
      <c r="EG35" s="520"/>
      <c r="EH35" s="298"/>
      <c r="EI35" s="521"/>
    </row>
    <row r="36" spans="1:139" x14ac:dyDescent="0.25">
      <c r="A36" s="2242"/>
      <c r="B36" s="21"/>
      <c r="C36" s="524" t="s">
        <v>41</v>
      </c>
      <c r="D36" s="234">
        <v>2.5</v>
      </c>
      <c r="E36" s="228"/>
      <c r="F36" s="246">
        <v>1.1452130096197893E-3</v>
      </c>
      <c r="G36" s="228"/>
      <c r="H36" s="293" t="s">
        <v>38</v>
      </c>
      <c r="I36" s="230" t="s">
        <v>38</v>
      </c>
      <c r="J36" s="285">
        <v>4914</v>
      </c>
      <c r="K36" s="208"/>
      <c r="L36" s="406" t="s">
        <v>38</v>
      </c>
      <c r="M36" s="505" t="s">
        <v>38</v>
      </c>
      <c r="N36" s="506">
        <v>4914</v>
      </c>
      <c r="O36" s="522"/>
      <c r="P36" s="293" t="s">
        <v>38</v>
      </c>
      <c r="Q36" s="230" t="s">
        <v>38</v>
      </c>
      <c r="R36" s="506">
        <v>0</v>
      </c>
      <c r="S36" s="208"/>
      <c r="T36" s="293" t="s">
        <v>38</v>
      </c>
      <c r="U36" s="230" t="s">
        <v>38</v>
      </c>
      <c r="V36" s="231">
        <v>1965.6</v>
      </c>
      <c r="W36" s="231"/>
      <c r="X36" s="234">
        <v>4.5</v>
      </c>
      <c r="Y36" s="228"/>
      <c r="Z36" s="246">
        <v>2.0604395604395605E-3</v>
      </c>
      <c r="AA36" s="228"/>
      <c r="AB36" s="293" t="s">
        <v>38</v>
      </c>
      <c r="AC36" s="230" t="s">
        <v>38</v>
      </c>
      <c r="AD36" s="285">
        <v>4949</v>
      </c>
      <c r="AE36" s="208"/>
      <c r="AF36" s="406" t="s">
        <v>38</v>
      </c>
      <c r="AG36" s="505" t="s">
        <v>38</v>
      </c>
      <c r="AH36" s="506">
        <v>4949</v>
      </c>
      <c r="AI36" s="522"/>
      <c r="AJ36" s="293" t="s">
        <v>38</v>
      </c>
      <c r="AK36" s="230" t="s">
        <v>38</v>
      </c>
      <c r="AL36" s="506">
        <v>0</v>
      </c>
      <c r="AM36" s="208"/>
      <c r="AN36" s="293" t="s">
        <v>38</v>
      </c>
      <c r="AO36" s="230" t="s">
        <v>38</v>
      </c>
      <c r="AP36" s="231">
        <v>1099.7777777777778</v>
      </c>
      <c r="AQ36" s="231"/>
      <c r="AR36" s="234">
        <v>0</v>
      </c>
      <c r="AS36" s="228"/>
      <c r="AT36" s="246">
        <v>0</v>
      </c>
      <c r="AU36" s="228"/>
      <c r="AV36" s="293" t="s">
        <v>38</v>
      </c>
      <c r="AW36" s="230" t="s">
        <v>38</v>
      </c>
      <c r="AX36" s="285">
        <v>0</v>
      </c>
      <c r="AY36" s="208"/>
      <c r="AZ36" s="406" t="s">
        <v>38</v>
      </c>
      <c r="BA36" s="505" t="s">
        <v>38</v>
      </c>
      <c r="BB36" s="506">
        <v>0</v>
      </c>
      <c r="BC36" s="522"/>
      <c r="BD36" s="293" t="s">
        <v>38</v>
      </c>
      <c r="BE36" s="230" t="s">
        <v>38</v>
      </c>
      <c r="BF36" s="506">
        <v>0</v>
      </c>
      <c r="BG36" s="208"/>
      <c r="BH36" s="293" t="s">
        <v>38</v>
      </c>
      <c r="BI36" s="230" t="s">
        <v>38</v>
      </c>
      <c r="BJ36" s="231">
        <v>0</v>
      </c>
      <c r="BK36" s="231"/>
      <c r="BL36" s="234">
        <v>3.5</v>
      </c>
      <c r="BM36" s="228"/>
      <c r="BN36" s="246">
        <v>1.5844273426889996E-3</v>
      </c>
      <c r="BO36" s="228"/>
      <c r="BP36" s="293" t="s">
        <v>38</v>
      </c>
      <c r="BQ36" s="230" t="s">
        <v>38</v>
      </c>
      <c r="BR36" s="285">
        <v>4931</v>
      </c>
      <c r="BS36" s="208"/>
      <c r="BT36" s="406" t="s">
        <v>38</v>
      </c>
      <c r="BU36" s="505" t="s">
        <v>38</v>
      </c>
      <c r="BV36" s="506">
        <v>4931</v>
      </c>
      <c r="BW36" s="522"/>
      <c r="BX36" s="293" t="s">
        <v>38</v>
      </c>
      <c r="BY36" s="230" t="s">
        <v>38</v>
      </c>
      <c r="BZ36" s="506">
        <v>0</v>
      </c>
      <c r="CA36" s="208"/>
      <c r="CB36" s="293" t="s">
        <v>38</v>
      </c>
      <c r="CC36" s="230" t="s">
        <v>38</v>
      </c>
      <c r="CD36" s="231">
        <v>1408.8571428571429</v>
      </c>
      <c r="CE36" s="231"/>
      <c r="CF36" s="508">
        <f t="shared" si="0"/>
        <v>10.5</v>
      </c>
      <c r="CG36" s="231"/>
      <c r="CH36" s="246">
        <f t="shared" si="5"/>
        <v>1.1986301369863014E-3</v>
      </c>
      <c r="CI36" s="232"/>
      <c r="CJ36" s="406" t="s">
        <v>38</v>
      </c>
      <c r="CK36" s="505" t="s">
        <v>38</v>
      </c>
      <c r="CL36" s="506">
        <f t="shared" si="1"/>
        <v>14794</v>
      </c>
      <c r="CM36" s="239"/>
      <c r="CN36" s="209" t="s">
        <v>38</v>
      </c>
      <c r="CO36" s="505" t="s">
        <v>38</v>
      </c>
      <c r="CP36" s="506">
        <f t="shared" si="2"/>
        <v>14794</v>
      </c>
      <c r="CQ36" s="208"/>
      <c r="CR36" s="406" t="s">
        <v>38</v>
      </c>
      <c r="CS36" s="505" t="s">
        <v>38</v>
      </c>
      <c r="CT36" s="506">
        <f t="shared" si="3"/>
        <v>0</v>
      </c>
      <c r="CU36" s="208"/>
      <c r="CV36" s="406" t="s">
        <v>38</v>
      </c>
      <c r="CW36" s="505" t="s">
        <v>38</v>
      </c>
      <c r="CX36" s="506">
        <f t="shared" si="4"/>
        <v>1408.952380952381</v>
      </c>
      <c r="CY36" s="235"/>
      <c r="CZ36" s="512"/>
      <c r="DA36" s="513"/>
      <c r="DB36" s="514"/>
      <c r="DC36" s="515"/>
      <c r="DD36" s="506"/>
      <c r="DE36" s="231"/>
      <c r="DF36" s="293"/>
      <c r="DG36" s="230"/>
      <c r="DH36" s="506"/>
      <c r="DI36" s="208"/>
      <c r="DJ36" s="293"/>
      <c r="DK36" s="230"/>
      <c r="DL36" s="506"/>
      <c r="DM36" s="208"/>
      <c r="DN36" s="293"/>
      <c r="DO36" s="230"/>
      <c r="DP36" s="506"/>
      <c r="DQ36" s="516"/>
      <c r="DR36" s="242"/>
      <c r="DS36" s="517"/>
      <c r="DT36" s="293"/>
      <c r="DU36" s="230"/>
      <c r="DV36" s="509"/>
      <c r="DW36" s="510"/>
      <c r="DX36" s="518"/>
      <c r="DY36" s="519"/>
      <c r="DZ36" s="509"/>
      <c r="EA36" s="510"/>
      <c r="EB36" s="293"/>
      <c r="EC36" s="230"/>
      <c r="ED36" s="509"/>
      <c r="EE36" s="517"/>
      <c r="EF36" s="509"/>
      <c r="EG36" s="520"/>
      <c r="EH36" s="298"/>
      <c r="EI36" s="521"/>
    </row>
    <row r="37" spans="1:139" x14ac:dyDescent="0.25">
      <c r="A37" s="2242"/>
      <c r="B37" s="21"/>
      <c r="C37" s="524" t="s">
        <v>42</v>
      </c>
      <c r="D37" s="234">
        <v>17.399999999999999</v>
      </c>
      <c r="E37" s="228"/>
      <c r="F37" s="246">
        <v>7.9706825469537321E-3</v>
      </c>
      <c r="G37" s="228"/>
      <c r="H37" s="293" t="s">
        <v>38</v>
      </c>
      <c r="I37" s="230" t="s">
        <v>38</v>
      </c>
      <c r="J37" s="285">
        <v>2854</v>
      </c>
      <c r="K37" s="208"/>
      <c r="L37" s="406" t="s">
        <v>38</v>
      </c>
      <c r="M37" s="505" t="s">
        <v>38</v>
      </c>
      <c r="N37" s="506">
        <v>2854</v>
      </c>
      <c r="O37" s="522"/>
      <c r="P37" s="293" t="s">
        <v>38</v>
      </c>
      <c r="Q37" s="230" t="s">
        <v>38</v>
      </c>
      <c r="R37" s="506">
        <v>0</v>
      </c>
      <c r="S37" s="208"/>
      <c r="T37" s="293" t="s">
        <v>38</v>
      </c>
      <c r="U37" s="230" t="s">
        <v>38</v>
      </c>
      <c r="V37" s="231">
        <v>164.02298850574715</v>
      </c>
      <c r="W37" s="231"/>
      <c r="X37" s="234">
        <v>17.3</v>
      </c>
      <c r="Y37" s="228"/>
      <c r="Z37" s="246">
        <v>7.9212454212454209E-3</v>
      </c>
      <c r="AA37" s="228"/>
      <c r="AB37" s="293" t="s">
        <v>38</v>
      </c>
      <c r="AC37" s="230" t="s">
        <v>38</v>
      </c>
      <c r="AD37" s="285">
        <v>2192</v>
      </c>
      <c r="AE37" s="208"/>
      <c r="AF37" s="406" t="s">
        <v>38</v>
      </c>
      <c r="AG37" s="505" t="s">
        <v>38</v>
      </c>
      <c r="AH37" s="506">
        <v>2192</v>
      </c>
      <c r="AI37" s="522"/>
      <c r="AJ37" s="293" t="s">
        <v>38</v>
      </c>
      <c r="AK37" s="230" t="s">
        <v>38</v>
      </c>
      <c r="AL37" s="506">
        <v>0</v>
      </c>
      <c r="AM37" s="208"/>
      <c r="AN37" s="293" t="s">
        <v>38</v>
      </c>
      <c r="AO37" s="230" t="s">
        <v>38</v>
      </c>
      <c r="AP37" s="231">
        <v>126.70520231213872</v>
      </c>
      <c r="AQ37" s="231"/>
      <c r="AR37" s="234">
        <v>17.5</v>
      </c>
      <c r="AS37" s="228"/>
      <c r="AT37" s="246">
        <v>7.9257246376811599E-3</v>
      </c>
      <c r="AU37" s="228"/>
      <c r="AV37" s="293" t="s">
        <v>38</v>
      </c>
      <c r="AW37" s="230" t="s">
        <v>38</v>
      </c>
      <c r="AX37" s="285">
        <v>2180</v>
      </c>
      <c r="AY37" s="208"/>
      <c r="AZ37" s="406" t="s">
        <v>38</v>
      </c>
      <c r="BA37" s="505" t="s">
        <v>38</v>
      </c>
      <c r="BB37" s="506">
        <v>2180</v>
      </c>
      <c r="BC37" s="522"/>
      <c r="BD37" s="293" t="s">
        <v>38</v>
      </c>
      <c r="BE37" s="230" t="s">
        <v>38</v>
      </c>
      <c r="BF37" s="506">
        <v>0</v>
      </c>
      <c r="BG37" s="208"/>
      <c r="BH37" s="293" t="s">
        <v>38</v>
      </c>
      <c r="BI37" s="230" t="s">
        <v>38</v>
      </c>
      <c r="BJ37" s="231">
        <v>124.57142857142857</v>
      </c>
      <c r="BK37" s="231"/>
      <c r="BL37" s="234">
        <v>17.5</v>
      </c>
      <c r="BM37" s="228"/>
      <c r="BN37" s="246">
        <v>7.9221367134449973E-3</v>
      </c>
      <c r="BO37" s="228"/>
      <c r="BP37" s="293" t="s">
        <v>38</v>
      </c>
      <c r="BQ37" s="230" t="s">
        <v>38</v>
      </c>
      <c r="BR37" s="285">
        <v>2179</v>
      </c>
      <c r="BS37" s="208"/>
      <c r="BT37" s="406" t="s">
        <v>38</v>
      </c>
      <c r="BU37" s="505" t="s">
        <v>38</v>
      </c>
      <c r="BV37" s="506">
        <v>2179</v>
      </c>
      <c r="BW37" s="522"/>
      <c r="BX37" s="293" t="s">
        <v>38</v>
      </c>
      <c r="BY37" s="230" t="s">
        <v>38</v>
      </c>
      <c r="BZ37" s="506">
        <v>0</v>
      </c>
      <c r="CA37" s="208"/>
      <c r="CB37" s="293" t="s">
        <v>38</v>
      </c>
      <c r="CC37" s="230" t="s">
        <v>38</v>
      </c>
      <c r="CD37" s="231">
        <v>124.51428571428572</v>
      </c>
      <c r="CE37" s="231"/>
      <c r="CF37" s="508">
        <f t="shared" si="0"/>
        <v>69.699999999999989</v>
      </c>
      <c r="CG37" s="231"/>
      <c r="CH37" s="246">
        <f t="shared" si="5"/>
        <v>7.956621004566209E-3</v>
      </c>
      <c r="CI37" s="232"/>
      <c r="CJ37" s="406" t="s">
        <v>38</v>
      </c>
      <c r="CK37" s="505" t="s">
        <v>38</v>
      </c>
      <c r="CL37" s="506">
        <f t="shared" si="1"/>
        <v>9405</v>
      </c>
      <c r="CM37" s="239"/>
      <c r="CN37" s="209" t="s">
        <v>38</v>
      </c>
      <c r="CO37" s="505" t="s">
        <v>38</v>
      </c>
      <c r="CP37" s="506">
        <f t="shared" si="2"/>
        <v>9405</v>
      </c>
      <c r="CQ37" s="208"/>
      <c r="CR37" s="406" t="s">
        <v>38</v>
      </c>
      <c r="CS37" s="505" t="s">
        <v>38</v>
      </c>
      <c r="CT37" s="506">
        <f t="shared" si="3"/>
        <v>0</v>
      </c>
      <c r="CU37" s="208"/>
      <c r="CV37" s="406" t="s">
        <v>38</v>
      </c>
      <c r="CW37" s="505" t="s">
        <v>38</v>
      </c>
      <c r="CX37" s="506">
        <f t="shared" si="4"/>
        <v>134.93543758967004</v>
      </c>
      <c r="CY37" s="235"/>
      <c r="CZ37" s="512"/>
      <c r="DA37" s="513"/>
      <c r="DB37" s="514"/>
      <c r="DC37" s="515"/>
      <c r="DD37" s="506"/>
      <c r="DE37" s="231"/>
      <c r="DF37" s="293"/>
      <c r="DG37" s="230"/>
      <c r="DH37" s="506"/>
      <c r="DI37" s="208"/>
      <c r="DJ37" s="293"/>
      <c r="DK37" s="230"/>
      <c r="DL37" s="506"/>
      <c r="DM37" s="208"/>
      <c r="DN37" s="293"/>
      <c r="DO37" s="230"/>
      <c r="DP37" s="506"/>
      <c r="DQ37" s="516"/>
      <c r="DR37" s="242"/>
      <c r="DS37" s="517"/>
      <c r="DT37" s="293"/>
      <c r="DU37" s="230"/>
      <c r="DV37" s="509"/>
      <c r="DW37" s="510"/>
      <c r="DX37" s="518"/>
      <c r="DY37" s="519"/>
      <c r="DZ37" s="509"/>
      <c r="EA37" s="510"/>
      <c r="EB37" s="293"/>
      <c r="EC37" s="230"/>
      <c r="ED37" s="509"/>
      <c r="EE37" s="517"/>
      <c r="EF37" s="509"/>
      <c r="EG37" s="520"/>
      <c r="EH37" s="285"/>
      <c r="EI37" s="249"/>
    </row>
    <row r="38" spans="1:139" s="204" customFormat="1" x14ac:dyDescent="0.25">
      <c r="A38" s="2242"/>
      <c r="B38" s="23"/>
      <c r="C38" s="524" t="s">
        <v>43</v>
      </c>
      <c r="D38" s="234">
        <v>185.5</v>
      </c>
      <c r="E38" s="228"/>
      <c r="F38" s="246">
        <v>8.4974805313788371E-2</v>
      </c>
      <c r="G38" s="228"/>
      <c r="H38" s="293" t="s">
        <v>38</v>
      </c>
      <c r="I38" s="230" t="s">
        <v>38</v>
      </c>
      <c r="J38" s="285">
        <v>5803</v>
      </c>
      <c r="K38" s="208"/>
      <c r="L38" s="406" t="s">
        <v>38</v>
      </c>
      <c r="M38" s="505" t="s">
        <v>38</v>
      </c>
      <c r="N38" s="506">
        <v>5803</v>
      </c>
      <c r="O38" s="208"/>
      <c r="P38" s="293" t="s">
        <v>38</v>
      </c>
      <c r="Q38" s="230" t="s">
        <v>38</v>
      </c>
      <c r="R38" s="506">
        <v>0</v>
      </c>
      <c r="S38" s="208"/>
      <c r="T38" s="293" t="s">
        <v>38</v>
      </c>
      <c r="U38" s="230" t="s">
        <v>38</v>
      </c>
      <c r="V38" s="231">
        <v>31.283018867924529</v>
      </c>
      <c r="W38" s="231"/>
      <c r="X38" s="234">
        <v>173.7</v>
      </c>
      <c r="Y38" s="228"/>
      <c r="Z38" s="246">
        <v>7.9532967032967028E-2</v>
      </c>
      <c r="AA38" s="228"/>
      <c r="AB38" s="293" t="s">
        <v>38</v>
      </c>
      <c r="AC38" s="230" t="s">
        <v>38</v>
      </c>
      <c r="AD38" s="285">
        <v>5430</v>
      </c>
      <c r="AE38" s="208"/>
      <c r="AF38" s="406" t="s">
        <v>38</v>
      </c>
      <c r="AG38" s="505" t="s">
        <v>38</v>
      </c>
      <c r="AH38" s="506">
        <v>5430</v>
      </c>
      <c r="AI38" s="208"/>
      <c r="AJ38" s="293" t="s">
        <v>38</v>
      </c>
      <c r="AK38" s="230" t="s">
        <v>38</v>
      </c>
      <c r="AL38" s="506">
        <v>0</v>
      </c>
      <c r="AM38" s="208"/>
      <c r="AN38" s="293" t="s">
        <v>38</v>
      </c>
      <c r="AO38" s="230" t="s">
        <v>38</v>
      </c>
      <c r="AP38" s="231">
        <v>31.260794473229709</v>
      </c>
      <c r="AQ38" s="231"/>
      <c r="AR38" s="234">
        <v>194.4</v>
      </c>
      <c r="AS38" s="228"/>
      <c r="AT38" s="246">
        <v>8.804347826086957E-2</v>
      </c>
      <c r="AU38" s="228"/>
      <c r="AV38" s="293" t="s">
        <v>38</v>
      </c>
      <c r="AW38" s="230" t="s">
        <v>38</v>
      </c>
      <c r="AX38" s="285">
        <v>5942</v>
      </c>
      <c r="AY38" s="208"/>
      <c r="AZ38" s="406" t="s">
        <v>38</v>
      </c>
      <c r="BA38" s="505" t="s">
        <v>38</v>
      </c>
      <c r="BB38" s="506">
        <v>5942</v>
      </c>
      <c r="BC38" s="208"/>
      <c r="BD38" s="293" t="s">
        <v>38</v>
      </c>
      <c r="BE38" s="230" t="s">
        <v>38</v>
      </c>
      <c r="BF38" s="506">
        <v>0</v>
      </c>
      <c r="BG38" s="208"/>
      <c r="BH38" s="293" t="s">
        <v>38</v>
      </c>
      <c r="BI38" s="230" t="s">
        <v>38</v>
      </c>
      <c r="BJ38" s="231">
        <v>30.565843621399175</v>
      </c>
      <c r="BK38" s="231"/>
      <c r="BL38" s="234">
        <v>167.8</v>
      </c>
      <c r="BM38" s="228"/>
      <c r="BN38" s="246">
        <v>7.5961973743775474E-2</v>
      </c>
      <c r="BO38" s="228"/>
      <c r="BP38" s="293" t="s">
        <v>38</v>
      </c>
      <c r="BQ38" s="230" t="s">
        <v>38</v>
      </c>
      <c r="BR38" s="285">
        <v>5328</v>
      </c>
      <c r="BS38" s="208"/>
      <c r="BT38" s="406" t="s">
        <v>38</v>
      </c>
      <c r="BU38" s="505" t="s">
        <v>38</v>
      </c>
      <c r="BV38" s="506">
        <v>5328</v>
      </c>
      <c r="BW38" s="208"/>
      <c r="BX38" s="293" t="s">
        <v>38</v>
      </c>
      <c r="BY38" s="230" t="s">
        <v>38</v>
      </c>
      <c r="BZ38" s="506">
        <v>0</v>
      </c>
      <c r="CA38" s="208"/>
      <c r="CB38" s="293" t="s">
        <v>38</v>
      </c>
      <c r="CC38" s="230" t="s">
        <v>38</v>
      </c>
      <c r="CD38" s="231">
        <v>31.752085816448151</v>
      </c>
      <c r="CE38" s="231"/>
      <c r="CF38" s="508">
        <f t="shared" si="0"/>
        <v>721.40000000000009</v>
      </c>
      <c r="CG38" s="231"/>
      <c r="CH38" s="246">
        <f t="shared" si="5"/>
        <v>8.2351598173515991E-2</v>
      </c>
      <c r="CI38" s="232"/>
      <c r="CJ38" s="406" t="s">
        <v>38</v>
      </c>
      <c r="CK38" s="505" t="s">
        <v>38</v>
      </c>
      <c r="CL38" s="506">
        <f t="shared" si="1"/>
        <v>22503</v>
      </c>
      <c r="CM38" s="239"/>
      <c r="CN38" s="209" t="s">
        <v>38</v>
      </c>
      <c r="CO38" s="505" t="s">
        <v>38</v>
      </c>
      <c r="CP38" s="506">
        <f t="shared" si="2"/>
        <v>22503</v>
      </c>
      <c r="CQ38" s="208"/>
      <c r="CR38" s="406" t="s">
        <v>38</v>
      </c>
      <c r="CS38" s="505" t="s">
        <v>38</v>
      </c>
      <c r="CT38" s="506">
        <f t="shared" si="3"/>
        <v>0</v>
      </c>
      <c r="CU38" s="208"/>
      <c r="CV38" s="406" t="s">
        <v>38</v>
      </c>
      <c r="CW38" s="505" t="s">
        <v>38</v>
      </c>
      <c r="CX38" s="506">
        <f t="shared" si="4"/>
        <v>31.193512614360962</v>
      </c>
      <c r="CY38" s="551"/>
      <c r="CZ38" s="512"/>
      <c r="DA38" s="513"/>
      <c r="DB38" s="514"/>
      <c r="DC38" s="515"/>
      <c r="DD38" s="506"/>
      <c r="DE38" s="231"/>
      <c r="DF38" s="293"/>
      <c r="DG38" s="230"/>
      <c r="DH38" s="506"/>
      <c r="DI38" s="208"/>
      <c r="DJ38" s="293"/>
      <c r="DK38" s="230"/>
      <c r="DL38" s="506"/>
      <c r="DM38" s="208"/>
      <c r="DN38" s="293"/>
      <c r="DO38" s="230"/>
      <c r="DP38" s="506"/>
      <c r="DQ38" s="516"/>
      <c r="DR38" s="242"/>
      <c r="DS38" s="517"/>
      <c r="DT38" s="293"/>
      <c r="DU38" s="230"/>
      <c r="DV38" s="509"/>
      <c r="DW38" s="510"/>
      <c r="DX38" s="518"/>
      <c r="DY38" s="519"/>
      <c r="DZ38" s="509"/>
      <c r="EA38" s="510"/>
      <c r="EB38" s="293"/>
      <c r="EC38" s="230"/>
      <c r="ED38" s="509"/>
      <c r="EE38" s="517"/>
      <c r="EF38" s="509"/>
      <c r="EG38" s="520"/>
      <c r="EH38" s="285"/>
      <c r="EI38" s="249"/>
    </row>
    <row r="39" spans="1:139" ht="26.45" customHeight="1" x14ac:dyDescent="0.25">
      <c r="A39" s="2242"/>
      <c r="B39" s="2184" t="s">
        <v>49</v>
      </c>
      <c r="C39" s="2185"/>
      <c r="D39" s="287">
        <v>1322.6999999999998</v>
      </c>
      <c r="E39" s="288"/>
      <c r="F39" s="289">
        <v>0.12027935145359145</v>
      </c>
      <c r="G39" s="288"/>
      <c r="H39" s="290" t="s">
        <v>38</v>
      </c>
      <c r="I39" s="291" t="s">
        <v>38</v>
      </c>
      <c r="J39" s="292">
        <v>257780.48318317259</v>
      </c>
      <c r="K39" s="525"/>
      <c r="L39" s="407" t="s">
        <v>38</v>
      </c>
      <c r="M39" s="526" t="s">
        <v>38</v>
      </c>
      <c r="N39" s="527">
        <v>245915.48318317259</v>
      </c>
      <c r="O39" s="528"/>
      <c r="P39" s="290" t="s">
        <v>38</v>
      </c>
      <c r="Q39" s="291" t="s">
        <v>38</v>
      </c>
      <c r="R39" s="527">
        <v>11865</v>
      </c>
      <c r="S39" s="528"/>
      <c r="T39" s="290" t="s">
        <v>38</v>
      </c>
      <c r="U39" s="291" t="s">
        <v>38</v>
      </c>
      <c r="V39" s="529">
        <v>194.88960700323022</v>
      </c>
      <c r="W39" s="529"/>
      <c r="X39" s="287">
        <v>1295</v>
      </c>
      <c r="Y39" s="288"/>
      <c r="Z39" s="289">
        <v>0.11770694152828148</v>
      </c>
      <c r="AA39" s="288"/>
      <c r="AB39" s="290" t="s">
        <v>38</v>
      </c>
      <c r="AC39" s="291" t="s">
        <v>38</v>
      </c>
      <c r="AD39" s="292">
        <v>234300</v>
      </c>
      <c r="AE39" s="525"/>
      <c r="AF39" s="407" t="s">
        <v>38</v>
      </c>
      <c r="AG39" s="526" t="s">
        <v>38</v>
      </c>
      <c r="AH39" s="527">
        <v>222435</v>
      </c>
      <c r="AI39" s="528"/>
      <c r="AJ39" s="290" t="s">
        <v>38</v>
      </c>
      <c r="AK39" s="291" t="s">
        <v>38</v>
      </c>
      <c r="AL39" s="527">
        <v>11865</v>
      </c>
      <c r="AM39" s="528"/>
      <c r="AN39" s="290" t="s">
        <v>38</v>
      </c>
      <c r="AO39" s="291" t="s">
        <v>38</v>
      </c>
      <c r="AP39" s="529">
        <v>180.92664092664091</v>
      </c>
      <c r="AQ39" s="529"/>
      <c r="AR39" s="287">
        <v>1340.6</v>
      </c>
      <c r="AS39" s="288"/>
      <c r="AT39" s="289">
        <v>0.1206997452034321</v>
      </c>
      <c r="AU39" s="288"/>
      <c r="AV39" s="290" t="s">
        <v>38</v>
      </c>
      <c r="AW39" s="291" t="s">
        <v>38</v>
      </c>
      <c r="AX39" s="292">
        <v>207917</v>
      </c>
      <c r="AY39" s="525"/>
      <c r="AZ39" s="407" t="s">
        <v>38</v>
      </c>
      <c r="BA39" s="526" t="s">
        <v>38</v>
      </c>
      <c r="BB39" s="527">
        <v>187691</v>
      </c>
      <c r="BC39" s="528"/>
      <c r="BD39" s="290" t="s">
        <v>38</v>
      </c>
      <c r="BE39" s="291" t="s">
        <v>38</v>
      </c>
      <c r="BF39" s="527">
        <v>20226</v>
      </c>
      <c r="BG39" s="528"/>
      <c r="BH39" s="290" t="s">
        <v>38</v>
      </c>
      <c r="BI39" s="291" t="s">
        <v>38</v>
      </c>
      <c r="BJ39" s="529">
        <v>155.09249589735941</v>
      </c>
      <c r="BK39" s="529"/>
      <c r="BL39" s="287">
        <v>1337.6000000000001</v>
      </c>
      <c r="BM39" s="288"/>
      <c r="BN39" s="289">
        <v>0.12053816831727782</v>
      </c>
      <c r="BO39" s="288"/>
      <c r="BP39" s="290" t="s">
        <v>38</v>
      </c>
      <c r="BQ39" s="291" t="s">
        <v>38</v>
      </c>
      <c r="BR39" s="292">
        <v>218749</v>
      </c>
      <c r="BS39" s="525"/>
      <c r="BT39" s="407" t="s">
        <v>38</v>
      </c>
      <c r="BU39" s="526" t="s">
        <v>38</v>
      </c>
      <c r="BV39" s="527">
        <v>206884</v>
      </c>
      <c r="BW39" s="528"/>
      <c r="BX39" s="290" t="s">
        <v>38</v>
      </c>
      <c r="BY39" s="291" t="s">
        <v>38</v>
      </c>
      <c r="BZ39" s="527">
        <v>11865</v>
      </c>
      <c r="CA39" s="528"/>
      <c r="CB39" s="290" t="s">
        <v>38</v>
      </c>
      <c r="CC39" s="291" t="s">
        <v>38</v>
      </c>
      <c r="CD39" s="529">
        <v>163.53842703349281</v>
      </c>
      <c r="CE39" s="529"/>
      <c r="CF39" s="530">
        <f t="shared" si="0"/>
        <v>5295.9</v>
      </c>
      <c r="CG39" s="529"/>
      <c r="CH39" s="289">
        <f>CF39/44202.6</f>
        <v>0.11980969445236253</v>
      </c>
      <c r="CI39" s="531"/>
      <c r="CJ39" s="407" t="s">
        <v>38</v>
      </c>
      <c r="CK39" s="526" t="s">
        <v>38</v>
      </c>
      <c r="CL39" s="527">
        <f t="shared" si="1"/>
        <v>918746.48318317253</v>
      </c>
      <c r="CM39" s="532"/>
      <c r="CN39" s="533" t="s">
        <v>38</v>
      </c>
      <c r="CO39" s="526" t="s">
        <v>38</v>
      </c>
      <c r="CP39" s="527">
        <f t="shared" si="2"/>
        <v>862925.48318317253</v>
      </c>
      <c r="CQ39" s="528"/>
      <c r="CR39" s="407" t="s">
        <v>38</v>
      </c>
      <c r="CS39" s="526" t="s">
        <v>38</v>
      </c>
      <c r="CT39" s="527">
        <f t="shared" si="3"/>
        <v>55821</v>
      </c>
      <c r="CU39" s="528"/>
      <c r="CV39" s="407" t="s">
        <v>38</v>
      </c>
      <c r="CW39" s="526" t="s">
        <v>38</v>
      </c>
      <c r="CX39" s="527">
        <f t="shared" si="4"/>
        <v>173.4825965715313</v>
      </c>
      <c r="CY39" s="552"/>
      <c r="CZ39" s="534"/>
      <c r="DA39" s="535"/>
      <c r="DB39" s="536"/>
      <c r="DC39" s="537"/>
      <c r="DD39" s="527"/>
      <c r="DE39" s="529"/>
      <c r="DF39" s="290"/>
      <c r="DG39" s="291"/>
      <c r="DH39" s="527"/>
      <c r="DI39" s="528"/>
      <c r="DJ39" s="290"/>
      <c r="DK39" s="291"/>
      <c r="DL39" s="527"/>
      <c r="DM39" s="528"/>
      <c r="DN39" s="290"/>
      <c r="DO39" s="291"/>
      <c r="DP39" s="527"/>
      <c r="DQ39" s="538"/>
      <c r="DR39" s="539"/>
      <c r="DS39" s="540"/>
      <c r="DT39" s="290"/>
      <c r="DU39" s="291"/>
      <c r="DV39" s="496"/>
      <c r="DW39" s="541"/>
      <c r="DX39" s="533"/>
      <c r="DY39" s="542"/>
      <c r="DZ39" s="496"/>
      <c r="EA39" s="541"/>
      <c r="EB39" s="290"/>
      <c r="EC39" s="291"/>
      <c r="ED39" s="496"/>
      <c r="EE39" s="540"/>
      <c r="EF39" s="496"/>
      <c r="EG39" s="543"/>
      <c r="EH39" s="544"/>
      <c r="EI39" s="545"/>
    </row>
    <row r="40" spans="1:139" x14ac:dyDescent="0.25">
      <c r="A40" s="2242"/>
      <c r="B40" s="523"/>
      <c r="C40" s="524" t="s">
        <v>39</v>
      </c>
      <c r="D40" s="234">
        <v>270.70000000000005</v>
      </c>
      <c r="E40" s="228"/>
      <c r="F40" s="246">
        <v>0.12400366468163081</v>
      </c>
      <c r="G40" s="228"/>
      <c r="H40" s="293" t="s">
        <v>38</v>
      </c>
      <c r="I40" s="230" t="s">
        <v>38</v>
      </c>
      <c r="J40" s="285">
        <v>89636.48318317259</v>
      </c>
      <c r="K40" s="208"/>
      <c r="L40" s="406" t="s">
        <v>38</v>
      </c>
      <c r="M40" s="505" t="s">
        <v>38</v>
      </c>
      <c r="N40" s="506">
        <v>83580.48318317259</v>
      </c>
      <c r="O40" s="507"/>
      <c r="P40" s="293" t="s">
        <v>38</v>
      </c>
      <c r="Q40" s="230" t="s">
        <v>38</v>
      </c>
      <c r="R40" s="506">
        <v>6056</v>
      </c>
      <c r="S40" s="208"/>
      <c r="T40" s="293" t="s">
        <v>38</v>
      </c>
      <c r="U40" s="230" t="s">
        <v>38</v>
      </c>
      <c r="V40" s="231">
        <v>331.12849347311629</v>
      </c>
      <c r="W40" s="231"/>
      <c r="X40" s="234">
        <v>276.39999999999998</v>
      </c>
      <c r="Y40" s="228"/>
      <c r="Z40" s="246">
        <v>0.12655677655677655</v>
      </c>
      <c r="AA40" s="228"/>
      <c r="AB40" s="293" t="s">
        <v>38</v>
      </c>
      <c r="AC40" s="230" t="s">
        <v>38</v>
      </c>
      <c r="AD40" s="285">
        <v>98576</v>
      </c>
      <c r="AE40" s="208"/>
      <c r="AF40" s="406" t="s">
        <v>38</v>
      </c>
      <c r="AG40" s="505" t="s">
        <v>38</v>
      </c>
      <c r="AH40" s="506">
        <v>92520</v>
      </c>
      <c r="AI40" s="507"/>
      <c r="AJ40" s="293" t="s">
        <v>38</v>
      </c>
      <c r="AK40" s="230" t="s">
        <v>38</v>
      </c>
      <c r="AL40" s="506">
        <v>6056</v>
      </c>
      <c r="AM40" s="208"/>
      <c r="AN40" s="293" t="s">
        <v>38</v>
      </c>
      <c r="AO40" s="230" t="s">
        <v>38</v>
      </c>
      <c r="AP40" s="231">
        <v>356.6425470332851</v>
      </c>
      <c r="AQ40" s="231"/>
      <c r="AR40" s="234">
        <v>316.2</v>
      </c>
      <c r="AS40" s="228"/>
      <c r="AT40" s="246">
        <v>0.14320652173913043</v>
      </c>
      <c r="AU40" s="228"/>
      <c r="AV40" s="293" t="s">
        <v>38</v>
      </c>
      <c r="AW40" s="230" t="s">
        <v>38</v>
      </c>
      <c r="AX40" s="285">
        <v>94281</v>
      </c>
      <c r="AY40" s="208"/>
      <c r="AZ40" s="406" t="s">
        <v>38</v>
      </c>
      <c r="BA40" s="505" t="s">
        <v>38</v>
      </c>
      <c r="BB40" s="506">
        <v>82147</v>
      </c>
      <c r="BC40" s="507"/>
      <c r="BD40" s="293" t="s">
        <v>38</v>
      </c>
      <c r="BE40" s="230" t="s">
        <v>38</v>
      </c>
      <c r="BF40" s="506">
        <v>12134</v>
      </c>
      <c r="BG40" s="208"/>
      <c r="BH40" s="293" t="s">
        <v>38</v>
      </c>
      <c r="BI40" s="230" t="s">
        <v>38</v>
      </c>
      <c r="BJ40" s="231">
        <v>298.16888045540799</v>
      </c>
      <c r="BK40" s="231"/>
      <c r="BL40" s="234">
        <v>289.10000000000002</v>
      </c>
      <c r="BM40" s="228"/>
      <c r="BN40" s="246">
        <v>0.13087369850611139</v>
      </c>
      <c r="BO40" s="228"/>
      <c r="BP40" s="293" t="s">
        <v>38</v>
      </c>
      <c r="BQ40" s="230" t="s">
        <v>38</v>
      </c>
      <c r="BR40" s="285">
        <v>99026</v>
      </c>
      <c r="BS40" s="208"/>
      <c r="BT40" s="406" t="s">
        <v>38</v>
      </c>
      <c r="BU40" s="505" t="s">
        <v>38</v>
      </c>
      <c r="BV40" s="506">
        <v>92970</v>
      </c>
      <c r="BW40" s="507"/>
      <c r="BX40" s="293" t="s">
        <v>38</v>
      </c>
      <c r="BY40" s="230" t="s">
        <v>38</v>
      </c>
      <c r="BZ40" s="506">
        <v>6056</v>
      </c>
      <c r="CA40" s="208"/>
      <c r="CB40" s="293" t="s">
        <v>38</v>
      </c>
      <c r="CC40" s="230" t="s">
        <v>38</v>
      </c>
      <c r="CD40" s="231">
        <v>342.53199584918713</v>
      </c>
      <c r="CE40" s="231"/>
      <c r="CF40" s="508">
        <f t="shared" si="0"/>
        <v>1152.4000000000001</v>
      </c>
      <c r="CG40" s="231"/>
      <c r="CH40" s="246">
        <f t="shared" si="5"/>
        <v>0.13155251141552513</v>
      </c>
      <c r="CI40" s="232"/>
      <c r="CJ40" s="406" t="s">
        <v>38</v>
      </c>
      <c r="CK40" s="505" t="s">
        <v>38</v>
      </c>
      <c r="CL40" s="506">
        <f t="shared" si="1"/>
        <v>381519.48318317259</v>
      </c>
      <c r="CM40" s="239"/>
      <c r="CN40" s="209" t="s">
        <v>38</v>
      </c>
      <c r="CO40" s="505" t="s">
        <v>38</v>
      </c>
      <c r="CP40" s="506">
        <f t="shared" si="2"/>
        <v>351217.48318317259</v>
      </c>
      <c r="CQ40" s="208"/>
      <c r="CR40" s="406" t="s">
        <v>38</v>
      </c>
      <c r="CS40" s="505" t="s">
        <v>38</v>
      </c>
      <c r="CT40" s="506">
        <f t="shared" si="3"/>
        <v>30302</v>
      </c>
      <c r="CU40" s="208"/>
      <c r="CV40" s="406" t="s">
        <v>38</v>
      </c>
      <c r="CW40" s="505" t="s">
        <v>38</v>
      </c>
      <c r="CX40" s="506">
        <f t="shared" si="4"/>
        <v>331.06515375145136</v>
      </c>
      <c r="CY40" s="235"/>
      <c r="CZ40" s="512"/>
      <c r="DA40" s="513"/>
      <c r="DB40" s="514"/>
      <c r="DC40" s="515"/>
      <c r="DD40" s="506"/>
      <c r="DE40" s="231"/>
      <c r="DF40" s="293"/>
      <c r="DG40" s="230"/>
      <c r="DH40" s="506"/>
      <c r="DI40" s="208"/>
      <c r="DJ40" s="293"/>
      <c r="DK40" s="230"/>
      <c r="DL40" s="506"/>
      <c r="DM40" s="208"/>
      <c r="DN40" s="293"/>
      <c r="DO40" s="230"/>
      <c r="DP40" s="506"/>
      <c r="DQ40" s="516"/>
      <c r="DR40" s="242"/>
      <c r="DS40" s="517"/>
      <c r="DT40" s="293"/>
      <c r="DU40" s="230"/>
      <c r="DV40" s="509"/>
      <c r="DW40" s="510"/>
      <c r="DX40" s="518"/>
      <c r="DY40" s="519"/>
      <c r="DZ40" s="509"/>
      <c r="EA40" s="510"/>
      <c r="EB40" s="293"/>
      <c r="EC40" s="230"/>
      <c r="ED40" s="509"/>
      <c r="EE40" s="517"/>
      <c r="EF40" s="509"/>
      <c r="EG40" s="520"/>
      <c r="EH40" s="285"/>
      <c r="EI40" s="249"/>
    </row>
    <row r="41" spans="1:139" x14ac:dyDescent="0.25">
      <c r="A41" s="2242"/>
      <c r="B41" s="20"/>
      <c r="C41" s="504" t="s">
        <v>40</v>
      </c>
      <c r="D41" s="234">
        <v>144.30000000000001</v>
      </c>
      <c r="E41" s="228"/>
      <c r="F41" s="246">
        <v>6.6101694915254236E-2</v>
      </c>
      <c r="G41" s="228"/>
      <c r="H41" s="293" t="s">
        <v>38</v>
      </c>
      <c r="I41" s="230" t="s">
        <v>38</v>
      </c>
      <c r="J41" s="285">
        <v>11741</v>
      </c>
      <c r="K41" s="208"/>
      <c r="L41" s="406" t="s">
        <v>38</v>
      </c>
      <c r="M41" s="505" t="s">
        <v>38</v>
      </c>
      <c r="N41" s="506">
        <v>11741</v>
      </c>
      <c r="O41" s="522"/>
      <c r="P41" s="293" t="s">
        <v>38</v>
      </c>
      <c r="Q41" s="230" t="s">
        <v>38</v>
      </c>
      <c r="R41" s="506">
        <v>0</v>
      </c>
      <c r="S41" s="208"/>
      <c r="T41" s="293" t="s">
        <v>38</v>
      </c>
      <c r="U41" s="230" t="s">
        <v>38</v>
      </c>
      <c r="V41" s="231">
        <v>81.365211365211366</v>
      </c>
      <c r="W41" s="231"/>
      <c r="X41" s="234">
        <v>144.1</v>
      </c>
      <c r="Y41" s="228"/>
      <c r="Z41" s="246">
        <v>6.5979853479853481E-2</v>
      </c>
      <c r="AA41" s="228"/>
      <c r="AB41" s="293" t="s">
        <v>38</v>
      </c>
      <c r="AC41" s="230" t="s">
        <v>38</v>
      </c>
      <c r="AD41" s="285">
        <v>12552</v>
      </c>
      <c r="AE41" s="208"/>
      <c r="AF41" s="406" t="s">
        <v>38</v>
      </c>
      <c r="AG41" s="505" t="s">
        <v>38</v>
      </c>
      <c r="AH41" s="506">
        <v>12552</v>
      </c>
      <c r="AI41" s="522"/>
      <c r="AJ41" s="293" t="s">
        <v>38</v>
      </c>
      <c r="AK41" s="230" t="s">
        <v>38</v>
      </c>
      <c r="AL41" s="506">
        <v>0</v>
      </c>
      <c r="AM41" s="208"/>
      <c r="AN41" s="293" t="s">
        <v>38</v>
      </c>
      <c r="AO41" s="230" t="s">
        <v>38</v>
      </c>
      <c r="AP41" s="231">
        <v>87.106176266481611</v>
      </c>
      <c r="AQ41" s="231"/>
      <c r="AR41" s="234">
        <v>145.80000000000001</v>
      </c>
      <c r="AS41" s="228"/>
      <c r="AT41" s="246">
        <v>6.6032608695652181E-2</v>
      </c>
      <c r="AU41" s="228"/>
      <c r="AV41" s="293" t="s">
        <v>38</v>
      </c>
      <c r="AW41" s="230" t="s">
        <v>38</v>
      </c>
      <c r="AX41" s="285">
        <v>12117</v>
      </c>
      <c r="AY41" s="208"/>
      <c r="AZ41" s="406" t="s">
        <v>38</v>
      </c>
      <c r="BA41" s="505" t="s">
        <v>38</v>
      </c>
      <c r="BB41" s="506">
        <v>12117</v>
      </c>
      <c r="BC41" s="522"/>
      <c r="BD41" s="293" t="s">
        <v>38</v>
      </c>
      <c r="BE41" s="230" t="s">
        <v>38</v>
      </c>
      <c r="BF41" s="506">
        <v>0</v>
      </c>
      <c r="BG41" s="208"/>
      <c r="BH41" s="293" t="s">
        <v>38</v>
      </c>
      <c r="BI41" s="230" t="s">
        <v>38</v>
      </c>
      <c r="BJ41" s="231">
        <v>83.106995884773653</v>
      </c>
      <c r="BK41" s="231"/>
      <c r="BL41" s="234">
        <v>145.80000000000001</v>
      </c>
      <c r="BM41" s="228"/>
      <c r="BN41" s="246">
        <v>6.6002716161158895E-2</v>
      </c>
      <c r="BO41" s="228"/>
      <c r="BP41" s="293" t="s">
        <v>38</v>
      </c>
      <c r="BQ41" s="230" t="s">
        <v>38</v>
      </c>
      <c r="BR41" s="285">
        <v>12154</v>
      </c>
      <c r="BS41" s="208"/>
      <c r="BT41" s="406" t="s">
        <v>38</v>
      </c>
      <c r="BU41" s="505" t="s">
        <v>38</v>
      </c>
      <c r="BV41" s="506">
        <v>12154</v>
      </c>
      <c r="BW41" s="522"/>
      <c r="BX41" s="293" t="s">
        <v>38</v>
      </c>
      <c r="BY41" s="230" t="s">
        <v>38</v>
      </c>
      <c r="BZ41" s="506">
        <v>0</v>
      </c>
      <c r="CA41" s="208"/>
      <c r="CB41" s="293" t="s">
        <v>38</v>
      </c>
      <c r="CC41" s="230" t="s">
        <v>38</v>
      </c>
      <c r="CD41" s="231">
        <v>83.36076817558299</v>
      </c>
      <c r="CE41" s="231"/>
      <c r="CF41" s="508">
        <f t="shared" si="0"/>
        <v>580</v>
      </c>
      <c r="CG41" s="231"/>
      <c r="CH41" s="246">
        <f t="shared" si="5"/>
        <v>6.6210045662100453E-2</v>
      </c>
      <c r="CI41" s="232"/>
      <c r="CJ41" s="406" t="s">
        <v>38</v>
      </c>
      <c r="CK41" s="505" t="s">
        <v>38</v>
      </c>
      <c r="CL41" s="506">
        <f t="shared" si="1"/>
        <v>48564</v>
      </c>
      <c r="CM41" s="239"/>
      <c r="CN41" s="209" t="s">
        <v>38</v>
      </c>
      <c r="CO41" s="505" t="s">
        <v>38</v>
      </c>
      <c r="CP41" s="506">
        <f t="shared" si="2"/>
        <v>48564</v>
      </c>
      <c r="CQ41" s="208"/>
      <c r="CR41" s="406" t="s">
        <v>38</v>
      </c>
      <c r="CS41" s="505" t="s">
        <v>38</v>
      </c>
      <c r="CT41" s="506">
        <f t="shared" si="3"/>
        <v>0</v>
      </c>
      <c r="CU41" s="208"/>
      <c r="CV41" s="406" t="s">
        <v>38</v>
      </c>
      <c r="CW41" s="505" t="s">
        <v>38</v>
      </c>
      <c r="CX41" s="506">
        <f t="shared" si="4"/>
        <v>83.731034482758616</v>
      </c>
      <c r="CY41" s="235"/>
      <c r="CZ41" s="512"/>
      <c r="DA41" s="513"/>
      <c r="DB41" s="514"/>
      <c r="DC41" s="515"/>
      <c r="DD41" s="506"/>
      <c r="DE41" s="231"/>
      <c r="DF41" s="293"/>
      <c r="DG41" s="230"/>
      <c r="DH41" s="506"/>
      <c r="DI41" s="208"/>
      <c r="DJ41" s="293"/>
      <c r="DK41" s="230"/>
      <c r="DL41" s="506"/>
      <c r="DM41" s="208"/>
      <c r="DN41" s="293"/>
      <c r="DO41" s="230"/>
      <c r="DP41" s="506"/>
      <c r="DQ41" s="516"/>
      <c r="DR41" s="242"/>
      <c r="DS41" s="517"/>
      <c r="DT41" s="293"/>
      <c r="DU41" s="230"/>
      <c r="DV41" s="509"/>
      <c r="DW41" s="510"/>
      <c r="DX41" s="518"/>
      <c r="DY41" s="519"/>
      <c r="DZ41" s="509"/>
      <c r="EA41" s="510"/>
      <c r="EB41" s="293"/>
      <c r="EC41" s="230"/>
      <c r="ED41" s="509"/>
      <c r="EE41" s="517"/>
      <c r="EF41" s="509"/>
      <c r="EG41" s="520"/>
      <c r="EH41" s="298"/>
      <c r="EI41" s="521"/>
    </row>
    <row r="42" spans="1:139" x14ac:dyDescent="0.25">
      <c r="A42" s="2242"/>
      <c r="B42" s="23"/>
      <c r="C42" s="524" t="s">
        <v>41</v>
      </c>
      <c r="D42" s="234">
        <v>581.20000000000005</v>
      </c>
      <c r="E42" s="228"/>
      <c r="F42" s="246">
        <v>0.26623912047640863</v>
      </c>
      <c r="G42" s="228"/>
      <c r="H42" s="293" t="s">
        <v>38</v>
      </c>
      <c r="I42" s="230" t="s">
        <v>38</v>
      </c>
      <c r="J42" s="285">
        <v>132213</v>
      </c>
      <c r="K42" s="208"/>
      <c r="L42" s="406" t="s">
        <v>38</v>
      </c>
      <c r="M42" s="505" t="s">
        <v>38</v>
      </c>
      <c r="N42" s="506">
        <v>132213</v>
      </c>
      <c r="O42" s="522"/>
      <c r="P42" s="293" t="s">
        <v>38</v>
      </c>
      <c r="Q42" s="230" t="s">
        <v>38</v>
      </c>
      <c r="R42" s="506">
        <v>0</v>
      </c>
      <c r="S42" s="208"/>
      <c r="T42" s="293" t="s">
        <v>38</v>
      </c>
      <c r="U42" s="230" t="s">
        <v>38</v>
      </c>
      <c r="V42" s="231">
        <v>227.48279421885752</v>
      </c>
      <c r="W42" s="231"/>
      <c r="X42" s="234">
        <v>558.4</v>
      </c>
      <c r="Y42" s="228"/>
      <c r="Z42" s="246">
        <v>0.25567765567765566</v>
      </c>
      <c r="AA42" s="228"/>
      <c r="AB42" s="293" t="s">
        <v>38</v>
      </c>
      <c r="AC42" s="230" t="s">
        <v>38</v>
      </c>
      <c r="AD42" s="285">
        <v>96293</v>
      </c>
      <c r="AE42" s="208"/>
      <c r="AF42" s="406" t="s">
        <v>38</v>
      </c>
      <c r="AG42" s="505" t="s">
        <v>38</v>
      </c>
      <c r="AH42" s="506">
        <v>96293</v>
      </c>
      <c r="AI42" s="522"/>
      <c r="AJ42" s="293" t="s">
        <v>38</v>
      </c>
      <c r="AK42" s="230" t="s">
        <v>38</v>
      </c>
      <c r="AL42" s="506">
        <v>0</v>
      </c>
      <c r="AM42" s="208"/>
      <c r="AN42" s="293" t="s">
        <v>38</v>
      </c>
      <c r="AO42" s="230" t="s">
        <v>38</v>
      </c>
      <c r="AP42" s="231">
        <v>172.4444842406877</v>
      </c>
      <c r="AQ42" s="231"/>
      <c r="AR42" s="234">
        <v>550.79999999999995</v>
      </c>
      <c r="AS42" s="228"/>
      <c r="AT42" s="246">
        <v>0.24945652173913041</v>
      </c>
      <c r="AU42" s="228"/>
      <c r="AV42" s="293" t="s">
        <v>38</v>
      </c>
      <c r="AW42" s="230" t="s">
        <v>38</v>
      </c>
      <c r="AX42" s="285">
        <v>72407</v>
      </c>
      <c r="AY42" s="208"/>
      <c r="AZ42" s="406" t="s">
        <v>38</v>
      </c>
      <c r="BA42" s="505" t="s">
        <v>38</v>
      </c>
      <c r="BB42" s="506">
        <v>72407</v>
      </c>
      <c r="BC42" s="522"/>
      <c r="BD42" s="293" t="s">
        <v>38</v>
      </c>
      <c r="BE42" s="230" t="s">
        <v>38</v>
      </c>
      <c r="BF42" s="506">
        <v>0</v>
      </c>
      <c r="BG42" s="208"/>
      <c r="BH42" s="293" t="s">
        <v>38</v>
      </c>
      <c r="BI42" s="230" t="s">
        <v>38</v>
      </c>
      <c r="BJ42" s="231">
        <v>131.45787944807554</v>
      </c>
      <c r="BK42" s="231"/>
      <c r="BL42" s="234">
        <v>583</v>
      </c>
      <c r="BM42" s="228"/>
      <c r="BN42" s="246">
        <v>0.26392032593933906</v>
      </c>
      <c r="BO42" s="228"/>
      <c r="BP42" s="293" t="s">
        <v>38</v>
      </c>
      <c r="BQ42" s="230" t="s">
        <v>38</v>
      </c>
      <c r="BR42" s="285">
        <v>81031</v>
      </c>
      <c r="BS42" s="208"/>
      <c r="BT42" s="406" t="s">
        <v>38</v>
      </c>
      <c r="BU42" s="505" t="s">
        <v>38</v>
      </c>
      <c r="BV42" s="506">
        <v>81031</v>
      </c>
      <c r="BW42" s="522"/>
      <c r="BX42" s="293" t="s">
        <v>38</v>
      </c>
      <c r="BY42" s="230" t="s">
        <v>38</v>
      </c>
      <c r="BZ42" s="506">
        <v>0</v>
      </c>
      <c r="CA42" s="208"/>
      <c r="CB42" s="293" t="s">
        <v>38</v>
      </c>
      <c r="CC42" s="230" t="s">
        <v>38</v>
      </c>
      <c r="CD42" s="231">
        <v>138.98970840480274</v>
      </c>
      <c r="CE42" s="231"/>
      <c r="CF42" s="508">
        <f t="shared" si="0"/>
        <v>2273.3999999999996</v>
      </c>
      <c r="CG42" s="231"/>
      <c r="CH42" s="246">
        <f t="shared" si="5"/>
        <v>0.25952054794520546</v>
      </c>
      <c r="CI42" s="232"/>
      <c r="CJ42" s="406" t="s">
        <v>38</v>
      </c>
      <c r="CK42" s="505" t="s">
        <v>38</v>
      </c>
      <c r="CL42" s="506">
        <f t="shared" si="1"/>
        <v>381944</v>
      </c>
      <c r="CM42" s="239"/>
      <c r="CN42" s="209" t="s">
        <v>38</v>
      </c>
      <c r="CO42" s="505" t="s">
        <v>38</v>
      </c>
      <c r="CP42" s="506">
        <f t="shared" si="2"/>
        <v>381944</v>
      </c>
      <c r="CQ42" s="208"/>
      <c r="CR42" s="406" t="s">
        <v>38</v>
      </c>
      <c r="CS42" s="505" t="s">
        <v>38</v>
      </c>
      <c r="CT42" s="506">
        <f t="shared" si="3"/>
        <v>0</v>
      </c>
      <c r="CU42" s="208"/>
      <c r="CV42" s="406" t="s">
        <v>38</v>
      </c>
      <c r="CW42" s="505" t="s">
        <v>38</v>
      </c>
      <c r="CX42" s="506">
        <f t="shared" si="4"/>
        <v>168.00563033342132</v>
      </c>
      <c r="CY42" s="235"/>
      <c r="CZ42" s="512"/>
      <c r="DA42" s="513"/>
      <c r="DB42" s="229"/>
      <c r="DC42" s="515"/>
      <c r="DD42" s="506"/>
      <c r="DE42" s="231"/>
      <c r="DF42" s="293"/>
      <c r="DG42" s="230"/>
      <c r="DH42" s="506"/>
      <c r="DI42" s="208"/>
      <c r="DJ42" s="293"/>
      <c r="DK42" s="230"/>
      <c r="DL42" s="506"/>
      <c r="DM42" s="208"/>
      <c r="DN42" s="293"/>
      <c r="DO42" s="230"/>
      <c r="DP42" s="506"/>
      <c r="DQ42" s="516"/>
      <c r="DR42" s="242"/>
      <c r="DS42" s="517"/>
      <c r="DT42" s="293"/>
      <c r="DU42" s="230"/>
      <c r="DV42" s="509"/>
      <c r="DW42" s="510"/>
      <c r="DX42" s="518"/>
      <c r="DY42" s="519"/>
      <c r="DZ42" s="509"/>
      <c r="EA42" s="510"/>
      <c r="EB42" s="293"/>
      <c r="EC42" s="230"/>
      <c r="ED42" s="509"/>
      <c r="EE42" s="517"/>
      <c r="EF42" s="509"/>
      <c r="EG42" s="520"/>
      <c r="EH42" s="298"/>
      <c r="EI42" s="521"/>
    </row>
    <row r="43" spans="1:139" x14ac:dyDescent="0.25">
      <c r="A43" s="2242"/>
      <c r="B43" s="20"/>
      <c r="C43" s="504" t="s">
        <v>42</v>
      </c>
      <c r="D43" s="234">
        <v>180.89999999999998</v>
      </c>
      <c r="E43" s="228"/>
      <c r="F43" s="246">
        <v>8.2867613376087945E-2</v>
      </c>
      <c r="G43" s="228"/>
      <c r="H43" s="293" t="s">
        <v>38</v>
      </c>
      <c r="I43" s="230" t="s">
        <v>38</v>
      </c>
      <c r="J43" s="285">
        <v>21359</v>
      </c>
      <c r="K43" s="208"/>
      <c r="L43" s="406" t="s">
        <v>38</v>
      </c>
      <c r="M43" s="505" t="s">
        <v>38</v>
      </c>
      <c r="N43" s="506">
        <v>15550</v>
      </c>
      <c r="O43" s="522"/>
      <c r="P43" s="293" t="s">
        <v>38</v>
      </c>
      <c r="Q43" s="230" t="s">
        <v>38</v>
      </c>
      <c r="R43" s="506">
        <v>5809</v>
      </c>
      <c r="S43" s="208"/>
      <c r="T43" s="293" t="s">
        <v>38</v>
      </c>
      <c r="U43" s="230" t="s">
        <v>38</v>
      </c>
      <c r="V43" s="231">
        <v>118.07075732448868</v>
      </c>
      <c r="W43" s="231"/>
      <c r="X43" s="234">
        <v>170.5</v>
      </c>
      <c r="Y43" s="228"/>
      <c r="Z43" s="246">
        <v>7.8067765567765568E-2</v>
      </c>
      <c r="AA43" s="228"/>
      <c r="AB43" s="293" t="s">
        <v>38</v>
      </c>
      <c r="AC43" s="230" t="s">
        <v>38</v>
      </c>
      <c r="AD43" s="285">
        <v>24141</v>
      </c>
      <c r="AE43" s="208"/>
      <c r="AF43" s="406" t="s">
        <v>38</v>
      </c>
      <c r="AG43" s="505" t="s">
        <v>38</v>
      </c>
      <c r="AH43" s="506">
        <v>18332</v>
      </c>
      <c r="AI43" s="522"/>
      <c r="AJ43" s="293" t="s">
        <v>38</v>
      </c>
      <c r="AK43" s="230" t="s">
        <v>38</v>
      </c>
      <c r="AL43" s="506">
        <v>5809</v>
      </c>
      <c r="AM43" s="208"/>
      <c r="AN43" s="293" t="s">
        <v>38</v>
      </c>
      <c r="AO43" s="230" t="s">
        <v>38</v>
      </c>
      <c r="AP43" s="231">
        <v>141.58944281524927</v>
      </c>
      <c r="AQ43" s="231"/>
      <c r="AR43" s="234">
        <v>173.2</v>
      </c>
      <c r="AS43" s="228"/>
      <c r="AT43" s="246">
        <v>7.8442028985507242E-2</v>
      </c>
      <c r="AU43" s="228"/>
      <c r="AV43" s="293" t="s">
        <v>38</v>
      </c>
      <c r="AW43" s="230" t="s">
        <v>38</v>
      </c>
      <c r="AX43" s="285">
        <v>26307</v>
      </c>
      <c r="AY43" s="208"/>
      <c r="AZ43" s="406" t="s">
        <v>38</v>
      </c>
      <c r="BA43" s="505" t="s">
        <v>38</v>
      </c>
      <c r="BB43" s="506">
        <v>18215</v>
      </c>
      <c r="BC43" s="522"/>
      <c r="BD43" s="293" t="s">
        <v>38</v>
      </c>
      <c r="BE43" s="230" t="s">
        <v>38</v>
      </c>
      <c r="BF43" s="506">
        <v>8092</v>
      </c>
      <c r="BG43" s="208"/>
      <c r="BH43" s="293" t="s">
        <v>38</v>
      </c>
      <c r="BI43" s="230" t="s">
        <v>38</v>
      </c>
      <c r="BJ43" s="231">
        <v>151.88799076212473</v>
      </c>
      <c r="BK43" s="231"/>
      <c r="BL43" s="234">
        <v>182</v>
      </c>
      <c r="BM43" s="228"/>
      <c r="BN43" s="246">
        <v>8.2390221819827983E-2</v>
      </c>
      <c r="BO43" s="228"/>
      <c r="BP43" s="293" t="s">
        <v>38</v>
      </c>
      <c r="BQ43" s="230" t="s">
        <v>38</v>
      </c>
      <c r="BR43" s="285">
        <v>24061</v>
      </c>
      <c r="BS43" s="208"/>
      <c r="BT43" s="406" t="s">
        <v>38</v>
      </c>
      <c r="BU43" s="505" t="s">
        <v>38</v>
      </c>
      <c r="BV43" s="506">
        <v>18252</v>
      </c>
      <c r="BW43" s="522"/>
      <c r="BX43" s="293" t="s">
        <v>38</v>
      </c>
      <c r="BY43" s="230" t="s">
        <v>38</v>
      </c>
      <c r="BZ43" s="506">
        <v>5809</v>
      </c>
      <c r="CA43" s="208"/>
      <c r="CB43" s="293" t="s">
        <v>38</v>
      </c>
      <c r="CC43" s="230" t="s">
        <v>38</v>
      </c>
      <c r="CD43" s="231">
        <v>132.2032967032967</v>
      </c>
      <c r="CE43" s="231"/>
      <c r="CF43" s="508">
        <f t="shared" si="0"/>
        <v>706.6</v>
      </c>
      <c r="CG43" s="231"/>
      <c r="CH43" s="246">
        <f t="shared" si="5"/>
        <v>8.0662100456621005E-2</v>
      </c>
      <c r="CI43" s="232"/>
      <c r="CJ43" s="406" t="s">
        <v>38</v>
      </c>
      <c r="CK43" s="505" t="s">
        <v>38</v>
      </c>
      <c r="CL43" s="506">
        <f t="shared" si="1"/>
        <v>95868</v>
      </c>
      <c r="CM43" s="239"/>
      <c r="CN43" s="209" t="s">
        <v>38</v>
      </c>
      <c r="CO43" s="505" t="s">
        <v>38</v>
      </c>
      <c r="CP43" s="506">
        <f t="shared" si="2"/>
        <v>70349</v>
      </c>
      <c r="CQ43" s="208"/>
      <c r="CR43" s="406" t="s">
        <v>38</v>
      </c>
      <c r="CS43" s="505" t="s">
        <v>38</v>
      </c>
      <c r="CT43" s="506">
        <f t="shared" si="3"/>
        <v>25519</v>
      </c>
      <c r="CU43" s="208"/>
      <c r="CV43" s="406" t="s">
        <v>38</v>
      </c>
      <c r="CW43" s="505" t="s">
        <v>38</v>
      </c>
      <c r="CX43" s="506">
        <f t="shared" si="4"/>
        <v>135.67506368525332</v>
      </c>
      <c r="CY43" s="235"/>
      <c r="CZ43" s="512"/>
      <c r="DA43" s="513"/>
      <c r="DB43" s="229"/>
      <c r="DC43" s="515"/>
      <c r="DD43" s="506"/>
      <c r="DE43" s="231"/>
      <c r="DF43" s="293"/>
      <c r="DG43" s="230"/>
      <c r="DH43" s="506"/>
      <c r="DI43" s="208"/>
      <c r="DJ43" s="293"/>
      <c r="DK43" s="230"/>
      <c r="DL43" s="506"/>
      <c r="DM43" s="208"/>
      <c r="DN43" s="293"/>
      <c r="DO43" s="230"/>
      <c r="DP43" s="506"/>
      <c r="DQ43" s="516"/>
      <c r="DR43" s="242"/>
      <c r="DS43" s="517"/>
      <c r="DT43" s="293"/>
      <c r="DU43" s="230"/>
      <c r="DV43" s="509"/>
      <c r="DW43" s="510"/>
      <c r="DX43" s="518"/>
      <c r="DY43" s="519"/>
      <c r="DZ43" s="509"/>
      <c r="EA43" s="510"/>
      <c r="EB43" s="293"/>
      <c r="EC43" s="230"/>
      <c r="ED43" s="509"/>
      <c r="EE43" s="517"/>
      <c r="EF43" s="509"/>
      <c r="EG43" s="520"/>
      <c r="EH43" s="298"/>
      <c r="EI43" s="521"/>
    </row>
    <row r="44" spans="1:139" x14ac:dyDescent="0.25">
      <c r="A44" s="2242"/>
      <c r="B44" s="20"/>
      <c r="C44" s="504" t="s">
        <v>43</v>
      </c>
      <c r="D44" s="234">
        <v>145.6</v>
      </c>
      <c r="E44" s="228"/>
      <c r="F44" s="246">
        <v>6.6697205680256527E-2</v>
      </c>
      <c r="G44" s="228"/>
      <c r="H44" s="293" t="s">
        <v>38</v>
      </c>
      <c r="I44" s="230" t="s">
        <v>38</v>
      </c>
      <c r="J44" s="285">
        <v>2831</v>
      </c>
      <c r="K44" s="208"/>
      <c r="L44" s="406" t="s">
        <v>38</v>
      </c>
      <c r="M44" s="505" t="s">
        <v>38</v>
      </c>
      <c r="N44" s="506">
        <v>2831</v>
      </c>
      <c r="O44" s="522"/>
      <c r="P44" s="293" t="s">
        <v>38</v>
      </c>
      <c r="Q44" s="230" t="s">
        <v>38</v>
      </c>
      <c r="R44" s="506">
        <v>0</v>
      </c>
      <c r="S44" s="208"/>
      <c r="T44" s="293" t="s">
        <v>38</v>
      </c>
      <c r="U44" s="230" t="s">
        <v>38</v>
      </c>
      <c r="V44" s="231">
        <v>19.443681318681321</v>
      </c>
      <c r="W44" s="231"/>
      <c r="X44" s="234">
        <v>145.6</v>
      </c>
      <c r="Y44" s="228"/>
      <c r="Z44" s="246">
        <v>6.6666666666666666E-2</v>
      </c>
      <c r="AA44" s="228"/>
      <c r="AB44" s="293" t="s">
        <v>38</v>
      </c>
      <c r="AC44" s="230" t="s">
        <v>38</v>
      </c>
      <c r="AD44" s="285">
        <v>2738</v>
      </c>
      <c r="AE44" s="208"/>
      <c r="AF44" s="406" t="s">
        <v>38</v>
      </c>
      <c r="AG44" s="505" t="s">
        <v>38</v>
      </c>
      <c r="AH44" s="506">
        <v>2738</v>
      </c>
      <c r="AI44" s="522"/>
      <c r="AJ44" s="293" t="s">
        <v>38</v>
      </c>
      <c r="AK44" s="230" t="s">
        <v>38</v>
      </c>
      <c r="AL44" s="506">
        <v>0</v>
      </c>
      <c r="AM44" s="208"/>
      <c r="AN44" s="293" t="s">
        <v>38</v>
      </c>
      <c r="AO44" s="230" t="s">
        <v>38</v>
      </c>
      <c r="AP44" s="231">
        <v>18.804945054945055</v>
      </c>
      <c r="AQ44" s="231"/>
      <c r="AR44" s="234">
        <v>154.6</v>
      </c>
      <c r="AS44" s="228"/>
      <c r="AT44" s="246">
        <v>7.0018115942028988E-2</v>
      </c>
      <c r="AU44" s="228"/>
      <c r="AV44" s="293" t="s">
        <v>38</v>
      </c>
      <c r="AW44" s="230" t="s">
        <v>38</v>
      </c>
      <c r="AX44" s="285">
        <v>2805</v>
      </c>
      <c r="AY44" s="208"/>
      <c r="AZ44" s="406" t="s">
        <v>38</v>
      </c>
      <c r="BA44" s="505" t="s">
        <v>38</v>
      </c>
      <c r="BB44" s="506">
        <v>2805</v>
      </c>
      <c r="BC44" s="522"/>
      <c r="BD44" s="293" t="s">
        <v>38</v>
      </c>
      <c r="BE44" s="230" t="s">
        <v>38</v>
      </c>
      <c r="BF44" s="506">
        <v>0</v>
      </c>
      <c r="BG44" s="208"/>
      <c r="BH44" s="293" t="s">
        <v>38</v>
      </c>
      <c r="BI44" s="230" t="s">
        <v>38</v>
      </c>
      <c r="BJ44" s="231">
        <v>18.143596377749031</v>
      </c>
      <c r="BK44" s="231"/>
      <c r="BL44" s="234">
        <v>137.69999999999999</v>
      </c>
      <c r="BM44" s="228"/>
      <c r="BN44" s="246">
        <v>6.2335898596650063E-2</v>
      </c>
      <c r="BO44" s="228"/>
      <c r="BP44" s="293" t="s">
        <v>38</v>
      </c>
      <c r="BQ44" s="230" t="s">
        <v>38</v>
      </c>
      <c r="BR44" s="285">
        <v>2477</v>
      </c>
      <c r="BS44" s="208"/>
      <c r="BT44" s="406" t="s">
        <v>38</v>
      </c>
      <c r="BU44" s="505" t="s">
        <v>38</v>
      </c>
      <c r="BV44" s="506">
        <v>2477</v>
      </c>
      <c r="BW44" s="522"/>
      <c r="BX44" s="293" t="s">
        <v>38</v>
      </c>
      <c r="BY44" s="230" t="s">
        <v>38</v>
      </c>
      <c r="BZ44" s="506">
        <v>0</v>
      </c>
      <c r="CA44" s="208"/>
      <c r="CB44" s="293" t="s">
        <v>38</v>
      </c>
      <c r="CC44" s="230" t="s">
        <v>38</v>
      </c>
      <c r="CD44" s="231">
        <v>17.988380537400147</v>
      </c>
      <c r="CE44" s="231"/>
      <c r="CF44" s="508">
        <f t="shared" si="0"/>
        <v>583.5</v>
      </c>
      <c r="CG44" s="231"/>
      <c r="CH44" s="246">
        <f t="shared" si="5"/>
        <v>6.6609589041095887E-2</v>
      </c>
      <c r="CI44" s="232"/>
      <c r="CJ44" s="406" t="s">
        <v>38</v>
      </c>
      <c r="CK44" s="505" t="s">
        <v>38</v>
      </c>
      <c r="CL44" s="506">
        <f t="shared" si="1"/>
        <v>10851</v>
      </c>
      <c r="CM44" s="239"/>
      <c r="CN44" s="209" t="s">
        <v>38</v>
      </c>
      <c r="CO44" s="505" t="s">
        <v>38</v>
      </c>
      <c r="CP44" s="506">
        <f t="shared" si="2"/>
        <v>10851</v>
      </c>
      <c r="CQ44" s="208"/>
      <c r="CR44" s="406" t="s">
        <v>38</v>
      </c>
      <c r="CS44" s="505" t="s">
        <v>38</v>
      </c>
      <c r="CT44" s="506">
        <f t="shared" si="3"/>
        <v>0</v>
      </c>
      <c r="CU44" s="208"/>
      <c r="CV44" s="406" t="s">
        <v>38</v>
      </c>
      <c r="CW44" s="505" t="s">
        <v>38</v>
      </c>
      <c r="CX44" s="506">
        <f t="shared" si="4"/>
        <v>18.596401028277636</v>
      </c>
      <c r="CY44" s="235"/>
      <c r="CZ44" s="512"/>
      <c r="DA44" s="513"/>
      <c r="DB44" s="229"/>
      <c r="DC44" s="515"/>
      <c r="DD44" s="506"/>
      <c r="DE44" s="231"/>
      <c r="DF44" s="293"/>
      <c r="DG44" s="230"/>
      <c r="DH44" s="506"/>
      <c r="DI44" s="208"/>
      <c r="DJ44" s="293"/>
      <c r="DK44" s="230"/>
      <c r="DL44" s="506"/>
      <c r="DM44" s="208"/>
      <c r="DN44" s="293"/>
      <c r="DO44" s="230"/>
      <c r="DP44" s="506"/>
      <c r="DQ44" s="516"/>
      <c r="DR44" s="242"/>
      <c r="DS44" s="517"/>
      <c r="DT44" s="293"/>
      <c r="DU44" s="230"/>
      <c r="DV44" s="509"/>
      <c r="DW44" s="510"/>
      <c r="DX44" s="518"/>
      <c r="DY44" s="519"/>
      <c r="DZ44" s="509"/>
      <c r="EA44" s="510"/>
      <c r="EB44" s="293"/>
      <c r="EC44" s="230"/>
      <c r="ED44" s="509"/>
      <c r="EE44" s="517"/>
      <c r="EF44" s="509"/>
      <c r="EG44" s="520"/>
      <c r="EH44" s="298"/>
      <c r="EI44" s="521"/>
    </row>
    <row r="45" spans="1:139" ht="26.45" customHeight="1" x14ac:dyDescent="0.25">
      <c r="A45" s="2242"/>
      <c r="B45" s="2184" t="s">
        <v>50</v>
      </c>
      <c r="C45" s="2185"/>
      <c r="D45" s="287">
        <v>667.8</v>
      </c>
      <c r="E45" s="288"/>
      <c r="F45" s="289">
        <v>6.0726204657676253E-2</v>
      </c>
      <c r="G45" s="288"/>
      <c r="H45" s="290" t="s">
        <v>38</v>
      </c>
      <c r="I45" s="291" t="s">
        <v>38</v>
      </c>
      <c r="J45" s="292">
        <v>132813</v>
      </c>
      <c r="K45" s="525"/>
      <c r="L45" s="407" t="s">
        <v>38</v>
      </c>
      <c r="M45" s="526" t="s">
        <v>38</v>
      </c>
      <c r="N45" s="527">
        <v>132813</v>
      </c>
      <c r="O45" s="528"/>
      <c r="P45" s="290" t="s">
        <v>38</v>
      </c>
      <c r="Q45" s="291" t="s">
        <v>38</v>
      </c>
      <c r="R45" s="527">
        <v>0</v>
      </c>
      <c r="S45" s="528"/>
      <c r="T45" s="290" t="s">
        <v>38</v>
      </c>
      <c r="U45" s="291" t="s">
        <v>38</v>
      </c>
      <c r="V45" s="529">
        <v>198.88140161725067</v>
      </c>
      <c r="W45" s="529"/>
      <c r="X45" s="287">
        <v>632.20000000000005</v>
      </c>
      <c r="Y45" s="288"/>
      <c r="Z45" s="289">
        <v>5.7462801879675333E-2</v>
      </c>
      <c r="AA45" s="288"/>
      <c r="AB45" s="290" t="s">
        <v>38</v>
      </c>
      <c r="AC45" s="291" t="s">
        <v>38</v>
      </c>
      <c r="AD45" s="292">
        <v>131445</v>
      </c>
      <c r="AE45" s="525"/>
      <c r="AF45" s="407" t="s">
        <v>38</v>
      </c>
      <c r="AG45" s="526" t="s">
        <v>38</v>
      </c>
      <c r="AH45" s="527">
        <v>131445</v>
      </c>
      <c r="AI45" s="528"/>
      <c r="AJ45" s="290" t="s">
        <v>38</v>
      </c>
      <c r="AK45" s="291" t="s">
        <v>38</v>
      </c>
      <c r="AL45" s="527">
        <v>0</v>
      </c>
      <c r="AM45" s="528"/>
      <c r="AN45" s="290" t="s">
        <v>38</v>
      </c>
      <c r="AO45" s="291" t="s">
        <v>38</v>
      </c>
      <c r="AP45" s="529">
        <v>207.91679848149317</v>
      </c>
      <c r="AQ45" s="529"/>
      <c r="AR45" s="287">
        <v>637.5</v>
      </c>
      <c r="AS45" s="288"/>
      <c r="AT45" s="289">
        <v>5.739675336952705E-2</v>
      </c>
      <c r="AU45" s="288"/>
      <c r="AV45" s="290" t="s">
        <v>38</v>
      </c>
      <c r="AW45" s="291" t="s">
        <v>38</v>
      </c>
      <c r="AX45" s="292">
        <v>125040</v>
      </c>
      <c r="AY45" s="525"/>
      <c r="AZ45" s="407" t="s">
        <v>38</v>
      </c>
      <c r="BA45" s="526" t="s">
        <v>38</v>
      </c>
      <c r="BB45" s="527">
        <v>125040</v>
      </c>
      <c r="BC45" s="528"/>
      <c r="BD45" s="290" t="s">
        <v>38</v>
      </c>
      <c r="BE45" s="291" t="s">
        <v>38</v>
      </c>
      <c r="BF45" s="527">
        <v>0</v>
      </c>
      <c r="BG45" s="528"/>
      <c r="BH45" s="290" t="s">
        <v>38</v>
      </c>
      <c r="BI45" s="291" t="s">
        <v>38</v>
      </c>
      <c r="BJ45" s="529">
        <v>196.14117647058825</v>
      </c>
      <c r="BK45" s="529"/>
      <c r="BL45" s="287">
        <v>640.70000000000005</v>
      </c>
      <c r="BM45" s="288"/>
      <c r="BN45" s="289">
        <v>5.7736845425298965E-2</v>
      </c>
      <c r="BO45" s="288"/>
      <c r="BP45" s="290" t="s">
        <v>38</v>
      </c>
      <c r="BQ45" s="291" t="s">
        <v>38</v>
      </c>
      <c r="BR45" s="292">
        <v>131001</v>
      </c>
      <c r="BS45" s="525"/>
      <c r="BT45" s="407" t="s">
        <v>38</v>
      </c>
      <c r="BU45" s="526" t="s">
        <v>38</v>
      </c>
      <c r="BV45" s="527">
        <v>131001</v>
      </c>
      <c r="BW45" s="528"/>
      <c r="BX45" s="290" t="s">
        <v>38</v>
      </c>
      <c r="BY45" s="291" t="s">
        <v>38</v>
      </c>
      <c r="BZ45" s="527">
        <v>0</v>
      </c>
      <c r="CA45" s="528"/>
      <c r="CB45" s="290" t="s">
        <v>38</v>
      </c>
      <c r="CC45" s="291" t="s">
        <v>38</v>
      </c>
      <c r="CD45" s="529">
        <v>204.46542843764632</v>
      </c>
      <c r="CE45" s="529"/>
      <c r="CF45" s="530">
        <f t="shared" ref="CF45:CF62" si="6">BL45+AR45+X45+D45</f>
        <v>2578.1999999999998</v>
      </c>
      <c r="CG45" s="529"/>
      <c r="CH45" s="289">
        <f>CF45/44202.6</f>
        <v>5.8326885748802106E-2</v>
      </c>
      <c r="CI45" s="531"/>
      <c r="CJ45" s="407" t="s">
        <v>38</v>
      </c>
      <c r="CK45" s="526" t="s">
        <v>38</v>
      </c>
      <c r="CL45" s="527">
        <f t="shared" ref="CL45:CL62" si="7">BR45+AX45+AD45+J45</f>
        <v>520299</v>
      </c>
      <c r="CM45" s="532"/>
      <c r="CN45" s="533" t="s">
        <v>38</v>
      </c>
      <c r="CO45" s="526" t="s">
        <v>38</v>
      </c>
      <c r="CP45" s="527">
        <f t="shared" ref="CP45:CP62" si="8">BV45+BB45+AH45+N45</f>
        <v>520299</v>
      </c>
      <c r="CQ45" s="528"/>
      <c r="CR45" s="407" t="s">
        <v>38</v>
      </c>
      <c r="CS45" s="526" t="s">
        <v>38</v>
      </c>
      <c r="CT45" s="527">
        <f t="shared" ref="CT45:CT62" si="9">BZ45+BF45+AL45+R45</f>
        <v>0</v>
      </c>
      <c r="CU45" s="528"/>
      <c r="CV45" s="407" t="s">
        <v>38</v>
      </c>
      <c r="CW45" s="526" t="s">
        <v>38</v>
      </c>
      <c r="CX45" s="527">
        <f t="shared" si="4"/>
        <v>201.80707470328139</v>
      </c>
      <c r="CY45" s="552"/>
      <c r="CZ45" s="534"/>
      <c r="DA45" s="535"/>
      <c r="DB45" s="553"/>
      <c r="DC45" s="537"/>
      <c r="DD45" s="527"/>
      <c r="DE45" s="529"/>
      <c r="DF45" s="290"/>
      <c r="DG45" s="291"/>
      <c r="DH45" s="527"/>
      <c r="DI45" s="528"/>
      <c r="DJ45" s="290"/>
      <c r="DK45" s="291"/>
      <c r="DL45" s="527"/>
      <c r="DM45" s="528"/>
      <c r="DN45" s="290"/>
      <c r="DO45" s="291"/>
      <c r="DP45" s="527"/>
      <c r="DQ45" s="538"/>
      <c r="DR45" s="539"/>
      <c r="DS45" s="540"/>
      <c r="DT45" s="290"/>
      <c r="DU45" s="291"/>
      <c r="DV45" s="496"/>
      <c r="DW45" s="541"/>
      <c r="DX45" s="533"/>
      <c r="DY45" s="542"/>
      <c r="DZ45" s="496"/>
      <c r="EA45" s="541"/>
      <c r="EB45" s="290"/>
      <c r="EC45" s="291"/>
      <c r="ED45" s="496"/>
      <c r="EE45" s="540"/>
      <c r="EF45" s="496"/>
      <c r="EG45" s="543"/>
      <c r="EH45" s="544"/>
      <c r="EI45" s="545"/>
    </row>
    <row r="46" spans="1:139" s="204" customFormat="1" x14ac:dyDescent="0.25">
      <c r="A46" s="2242"/>
      <c r="B46" s="23"/>
      <c r="C46" s="524" t="s">
        <v>39</v>
      </c>
      <c r="D46" s="234">
        <v>457.4</v>
      </c>
      <c r="E46" s="228"/>
      <c r="F46" s="246">
        <v>0.20952817224003664</v>
      </c>
      <c r="G46" s="228"/>
      <c r="H46" s="293" t="s">
        <v>38</v>
      </c>
      <c r="I46" s="230" t="s">
        <v>38</v>
      </c>
      <c r="J46" s="285">
        <v>101544</v>
      </c>
      <c r="K46" s="208"/>
      <c r="L46" s="406" t="s">
        <v>38</v>
      </c>
      <c r="M46" s="505" t="s">
        <v>38</v>
      </c>
      <c r="N46" s="506">
        <v>101544</v>
      </c>
      <c r="O46" s="208"/>
      <c r="P46" s="293" t="s">
        <v>38</v>
      </c>
      <c r="Q46" s="230" t="s">
        <v>38</v>
      </c>
      <c r="R46" s="506">
        <v>0</v>
      </c>
      <c r="S46" s="208"/>
      <c r="T46" s="293" t="s">
        <v>38</v>
      </c>
      <c r="U46" s="230" t="s">
        <v>38</v>
      </c>
      <c r="V46" s="231">
        <v>222.00262352426762</v>
      </c>
      <c r="W46" s="231"/>
      <c r="X46" s="234">
        <v>430.90000000000003</v>
      </c>
      <c r="Y46" s="228"/>
      <c r="Z46" s="246">
        <v>0.19729853479853482</v>
      </c>
      <c r="AA46" s="228"/>
      <c r="AB46" s="293" t="s">
        <v>38</v>
      </c>
      <c r="AC46" s="230" t="s">
        <v>38</v>
      </c>
      <c r="AD46" s="285">
        <v>100220</v>
      </c>
      <c r="AE46" s="208"/>
      <c r="AF46" s="406" t="s">
        <v>38</v>
      </c>
      <c r="AG46" s="505" t="s">
        <v>38</v>
      </c>
      <c r="AH46" s="506">
        <v>100220</v>
      </c>
      <c r="AI46" s="208"/>
      <c r="AJ46" s="293" t="s">
        <v>38</v>
      </c>
      <c r="AK46" s="230" t="s">
        <v>38</v>
      </c>
      <c r="AL46" s="506">
        <v>0</v>
      </c>
      <c r="AM46" s="208"/>
      <c r="AN46" s="293" t="s">
        <v>38</v>
      </c>
      <c r="AO46" s="230" t="s">
        <v>38</v>
      </c>
      <c r="AP46" s="231">
        <v>232.5829658853562</v>
      </c>
      <c r="AQ46" s="231"/>
      <c r="AR46" s="234">
        <v>436.2</v>
      </c>
      <c r="AS46" s="228"/>
      <c r="AT46" s="246">
        <v>0.19755434782608694</v>
      </c>
      <c r="AU46" s="228"/>
      <c r="AV46" s="293" t="s">
        <v>38</v>
      </c>
      <c r="AW46" s="230" t="s">
        <v>38</v>
      </c>
      <c r="AX46" s="285">
        <v>92927</v>
      </c>
      <c r="AY46" s="208"/>
      <c r="AZ46" s="406" t="s">
        <v>38</v>
      </c>
      <c r="BA46" s="505" t="s">
        <v>38</v>
      </c>
      <c r="BB46" s="506">
        <v>92927</v>
      </c>
      <c r="BC46" s="208"/>
      <c r="BD46" s="293" t="s">
        <v>38</v>
      </c>
      <c r="BE46" s="230" t="s">
        <v>38</v>
      </c>
      <c r="BF46" s="506">
        <v>0</v>
      </c>
      <c r="BG46" s="208"/>
      <c r="BH46" s="293" t="s">
        <v>38</v>
      </c>
      <c r="BI46" s="230" t="s">
        <v>38</v>
      </c>
      <c r="BJ46" s="231">
        <v>213.03759743237049</v>
      </c>
      <c r="BK46" s="231"/>
      <c r="BL46" s="234">
        <v>435.6</v>
      </c>
      <c r="BM46" s="228"/>
      <c r="BN46" s="246">
        <v>0.19719330013580808</v>
      </c>
      <c r="BO46" s="228"/>
      <c r="BP46" s="293" t="s">
        <v>38</v>
      </c>
      <c r="BQ46" s="230" t="s">
        <v>38</v>
      </c>
      <c r="BR46" s="285">
        <v>100311</v>
      </c>
      <c r="BS46" s="208"/>
      <c r="BT46" s="406" t="s">
        <v>38</v>
      </c>
      <c r="BU46" s="505" t="s">
        <v>38</v>
      </c>
      <c r="BV46" s="506">
        <v>100311</v>
      </c>
      <c r="BW46" s="208"/>
      <c r="BX46" s="293" t="s">
        <v>38</v>
      </c>
      <c r="BY46" s="230" t="s">
        <v>38</v>
      </c>
      <c r="BZ46" s="506">
        <v>0</v>
      </c>
      <c r="CA46" s="208"/>
      <c r="CB46" s="293" t="s">
        <v>38</v>
      </c>
      <c r="CC46" s="230" t="s">
        <v>38</v>
      </c>
      <c r="CD46" s="231">
        <v>230.28236914600549</v>
      </c>
      <c r="CE46" s="231"/>
      <c r="CF46" s="508">
        <f t="shared" si="6"/>
        <v>1760.1</v>
      </c>
      <c r="CG46" s="231"/>
      <c r="CH46" s="246">
        <f t="shared" si="5"/>
        <v>0.20092465753424657</v>
      </c>
      <c r="CI46" s="232"/>
      <c r="CJ46" s="406" t="s">
        <v>38</v>
      </c>
      <c r="CK46" s="505" t="s">
        <v>38</v>
      </c>
      <c r="CL46" s="506">
        <f t="shared" si="7"/>
        <v>395002</v>
      </c>
      <c r="CM46" s="239"/>
      <c r="CN46" s="209" t="s">
        <v>38</v>
      </c>
      <c r="CO46" s="505" t="s">
        <v>38</v>
      </c>
      <c r="CP46" s="506">
        <f t="shared" si="8"/>
        <v>395002</v>
      </c>
      <c r="CQ46" s="208"/>
      <c r="CR46" s="406" t="s">
        <v>38</v>
      </c>
      <c r="CS46" s="505" t="s">
        <v>38</v>
      </c>
      <c r="CT46" s="506">
        <f t="shared" si="9"/>
        <v>0</v>
      </c>
      <c r="CU46" s="208"/>
      <c r="CV46" s="406" t="s">
        <v>38</v>
      </c>
      <c r="CW46" s="505" t="s">
        <v>38</v>
      </c>
      <c r="CX46" s="506">
        <f t="shared" si="4"/>
        <v>224.42020339753424</v>
      </c>
      <c r="CY46" s="551"/>
      <c r="CZ46" s="512"/>
      <c r="DA46" s="513"/>
      <c r="DB46" s="229"/>
      <c r="DC46" s="515"/>
      <c r="DD46" s="506"/>
      <c r="DE46" s="231"/>
      <c r="DF46" s="293"/>
      <c r="DG46" s="230"/>
      <c r="DH46" s="506"/>
      <c r="DI46" s="208"/>
      <c r="DJ46" s="293"/>
      <c r="DK46" s="230"/>
      <c r="DL46" s="506"/>
      <c r="DM46" s="208"/>
      <c r="DN46" s="293"/>
      <c r="DO46" s="230"/>
      <c r="DP46" s="506"/>
      <c r="DQ46" s="516"/>
      <c r="DR46" s="242"/>
      <c r="DS46" s="517"/>
      <c r="DT46" s="293"/>
      <c r="DU46" s="230"/>
      <c r="DV46" s="509"/>
      <c r="DW46" s="510"/>
      <c r="DX46" s="518"/>
      <c r="DY46" s="519"/>
      <c r="DZ46" s="509"/>
      <c r="EA46" s="510"/>
      <c r="EB46" s="293"/>
      <c r="EC46" s="230"/>
      <c r="ED46" s="509"/>
      <c r="EE46" s="517"/>
      <c r="EF46" s="509"/>
      <c r="EG46" s="520"/>
      <c r="EH46" s="285"/>
      <c r="EI46" s="249"/>
    </row>
    <row r="47" spans="1:139" x14ac:dyDescent="0.25">
      <c r="A47" s="2242"/>
      <c r="B47" s="23"/>
      <c r="C47" s="524" t="s">
        <v>40</v>
      </c>
      <c r="D47" s="234">
        <v>54.5</v>
      </c>
      <c r="E47" s="228"/>
      <c r="F47" s="246">
        <v>2.4965643609711406E-2</v>
      </c>
      <c r="G47" s="228"/>
      <c r="H47" s="293" t="s">
        <v>38</v>
      </c>
      <c r="I47" s="230" t="s">
        <v>38</v>
      </c>
      <c r="J47" s="285">
        <v>10842</v>
      </c>
      <c r="K47" s="208"/>
      <c r="L47" s="406" t="s">
        <v>38</v>
      </c>
      <c r="M47" s="505" t="s">
        <v>38</v>
      </c>
      <c r="N47" s="506">
        <v>10842</v>
      </c>
      <c r="O47" s="208"/>
      <c r="P47" s="293" t="s">
        <v>38</v>
      </c>
      <c r="Q47" s="230" t="s">
        <v>38</v>
      </c>
      <c r="R47" s="506">
        <v>0</v>
      </c>
      <c r="S47" s="208"/>
      <c r="T47" s="293" t="s">
        <v>38</v>
      </c>
      <c r="U47" s="230" t="s">
        <v>38</v>
      </c>
      <c r="V47" s="231">
        <v>198.93577981651376</v>
      </c>
      <c r="W47" s="231"/>
      <c r="X47" s="234">
        <v>52.4</v>
      </c>
      <c r="Y47" s="228"/>
      <c r="Z47" s="246">
        <v>2.3992673992673991E-2</v>
      </c>
      <c r="AA47" s="228"/>
      <c r="AB47" s="293" t="s">
        <v>38</v>
      </c>
      <c r="AC47" s="230" t="s">
        <v>38</v>
      </c>
      <c r="AD47" s="285">
        <v>10359</v>
      </c>
      <c r="AE47" s="208"/>
      <c r="AF47" s="406" t="s">
        <v>38</v>
      </c>
      <c r="AG47" s="505" t="s">
        <v>38</v>
      </c>
      <c r="AH47" s="506">
        <v>10359</v>
      </c>
      <c r="AI47" s="208"/>
      <c r="AJ47" s="293" t="s">
        <v>38</v>
      </c>
      <c r="AK47" s="230" t="s">
        <v>38</v>
      </c>
      <c r="AL47" s="506">
        <v>0</v>
      </c>
      <c r="AM47" s="208"/>
      <c r="AN47" s="293" t="s">
        <v>38</v>
      </c>
      <c r="AO47" s="230" t="s">
        <v>38</v>
      </c>
      <c r="AP47" s="231">
        <v>197.69083969465649</v>
      </c>
      <c r="AQ47" s="231"/>
      <c r="AR47" s="234">
        <v>55.7</v>
      </c>
      <c r="AS47" s="228"/>
      <c r="AT47" s="246">
        <v>2.5226449275362321E-2</v>
      </c>
      <c r="AU47" s="228"/>
      <c r="AV47" s="293" t="s">
        <v>38</v>
      </c>
      <c r="AW47" s="230" t="s">
        <v>38</v>
      </c>
      <c r="AX47" s="285">
        <v>11295</v>
      </c>
      <c r="AY47" s="208"/>
      <c r="AZ47" s="406" t="s">
        <v>38</v>
      </c>
      <c r="BA47" s="505" t="s">
        <v>38</v>
      </c>
      <c r="BB47" s="506">
        <v>11295</v>
      </c>
      <c r="BC47" s="208"/>
      <c r="BD47" s="293" t="s">
        <v>38</v>
      </c>
      <c r="BE47" s="230" t="s">
        <v>38</v>
      </c>
      <c r="BF47" s="506">
        <v>0</v>
      </c>
      <c r="BG47" s="208"/>
      <c r="BH47" s="293" t="s">
        <v>38</v>
      </c>
      <c r="BI47" s="230" t="s">
        <v>38</v>
      </c>
      <c r="BJ47" s="231">
        <v>202.78276481149013</v>
      </c>
      <c r="BK47" s="231"/>
      <c r="BL47" s="234">
        <v>50.6</v>
      </c>
      <c r="BM47" s="228"/>
      <c r="BN47" s="246">
        <v>2.2906292440018107E-2</v>
      </c>
      <c r="BO47" s="228"/>
      <c r="BP47" s="293" t="s">
        <v>38</v>
      </c>
      <c r="BQ47" s="230" t="s">
        <v>38</v>
      </c>
      <c r="BR47" s="285">
        <v>9904</v>
      </c>
      <c r="BS47" s="208"/>
      <c r="BT47" s="406" t="s">
        <v>38</v>
      </c>
      <c r="BU47" s="505" t="s">
        <v>38</v>
      </c>
      <c r="BV47" s="506">
        <v>9904</v>
      </c>
      <c r="BW47" s="208"/>
      <c r="BX47" s="293" t="s">
        <v>38</v>
      </c>
      <c r="BY47" s="230" t="s">
        <v>38</v>
      </c>
      <c r="BZ47" s="506">
        <v>0</v>
      </c>
      <c r="CA47" s="208"/>
      <c r="CB47" s="293" t="s">
        <v>38</v>
      </c>
      <c r="CC47" s="230" t="s">
        <v>38</v>
      </c>
      <c r="CD47" s="231">
        <v>195.73122529644269</v>
      </c>
      <c r="CE47" s="231"/>
      <c r="CF47" s="508">
        <f t="shared" si="6"/>
        <v>213.20000000000002</v>
      </c>
      <c r="CG47" s="231"/>
      <c r="CH47" s="246">
        <f t="shared" si="5"/>
        <v>2.4337899543378998E-2</v>
      </c>
      <c r="CI47" s="554"/>
      <c r="CJ47" s="406" t="s">
        <v>38</v>
      </c>
      <c r="CK47" s="505" t="s">
        <v>38</v>
      </c>
      <c r="CL47" s="506">
        <f t="shared" si="7"/>
        <v>42400</v>
      </c>
      <c r="CM47" s="239"/>
      <c r="CN47" s="209" t="s">
        <v>38</v>
      </c>
      <c r="CO47" s="505" t="s">
        <v>38</v>
      </c>
      <c r="CP47" s="506">
        <f t="shared" si="8"/>
        <v>42400</v>
      </c>
      <c r="CQ47" s="208"/>
      <c r="CR47" s="406" t="s">
        <v>38</v>
      </c>
      <c r="CS47" s="505" t="s">
        <v>38</v>
      </c>
      <c r="CT47" s="506">
        <f t="shared" si="9"/>
        <v>0</v>
      </c>
      <c r="CU47" s="208"/>
      <c r="CV47" s="406" t="s">
        <v>38</v>
      </c>
      <c r="CW47" s="505" t="s">
        <v>38</v>
      </c>
      <c r="CX47" s="506">
        <f t="shared" si="4"/>
        <v>198.87429643527202</v>
      </c>
      <c r="CY47" s="24"/>
      <c r="CZ47" s="512"/>
      <c r="DA47" s="513"/>
      <c r="DB47" s="229"/>
      <c r="DC47" s="515"/>
      <c r="DD47" s="506"/>
      <c r="DE47" s="231"/>
      <c r="DF47" s="293"/>
      <c r="DG47" s="230"/>
      <c r="DH47" s="506"/>
      <c r="DI47" s="208"/>
      <c r="DJ47" s="293"/>
      <c r="DK47" s="230"/>
      <c r="DL47" s="506"/>
      <c r="DM47" s="208"/>
      <c r="DN47" s="293"/>
      <c r="DO47" s="230"/>
      <c r="DP47" s="506"/>
      <c r="DQ47" s="516"/>
      <c r="DR47" s="242"/>
      <c r="DS47" s="517"/>
      <c r="DT47" s="293"/>
      <c r="DU47" s="230"/>
      <c r="DV47" s="509"/>
      <c r="DW47" s="510"/>
      <c r="DX47" s="518"/>
      <c r="DY47" s="519"/>
      <c r="DZ47" s="509"/>
      <c r="EA47" s="510"/>
      <c r="EB47" s="293"/>
      <c r="EC47" s="230"/>
      <c r="ED47" s="509"/>
      <c r="EE47" s="517"/>
      <c r="EF47" s="509"/>
      <c r="EG47" s="520"/>
      <c r="EH47" s="298"/>
      <c r="EI47" s="521"/>
    </row>
    <row r="48" spans="1:139" s="204" customFormat="1" x14ac:dyDescent="0.25">
      <c r="A48" s="2242"/>
      <c r="B48" s="523"/>
      <c r="C48" s="524" t="s">
        <v>42</v>
      </c>
      <c r="D48" s="234">
        <v>155.9</v>
      </c>
      <c r="E48" s="228"/>
      <c r="F48" s="246">
        <v>7.1415483279890057E-2</v>
      </c>
      <c r="G48" s="228"/>
      <c r="H48" s="293" t="s">
        <v>38</v>
      </c>
      <c r="I48" s="230" t="s">
        <v>38</v>
      </c>
      <c r="J48" s="285">
        <v>20427</v>
      </c>
      <c r="K48" s="208"/>
      <c r="L48" s="406" t="s">
        <v>38</v>
      </c>
      <c r="M48" s="505" t="s">
        <v>38</v>
      </c>
      <c r="N48" s="506">
        <v>20427</v>
      </c>
      <c r="O48" s="208"/>
      <c r="P48" s="293" t="s">
        <v>38</v>
      </c>
      <c r="Q48" s="230" t="s">
        <v>38</v>
      </c>
      <c r="R48" s="506">
        <v>0</v>
      </c>
      <c r="S48" s="208"/>
      <c r="T48" s="293" t="s">
        <v>38</v>
      </c>
      <c r="U48" s="230" t="s">
        <v>38</v>
      </c>
      <c r="V48" s="231">
        <v>131.0262989095574</v>
      </c>
      <c r="W48" s="231"/>
      <c r="X48" s="234">
        <v>148.9</v>
      </c>
      <c r="Y48" s="228"/>
      <c r="Z48" s="246">
        <v>6.8177655677655685E-2</v>
      </c>
      <c r="AA48" s="228"/>
      <c r="AB48" s="293" t="s">
        <v>38</v>
      </c>
      <c r="AC48" s="230" t="s">
        <v>38</v>
      </c>
      <c r="AD48" s="285">
        <v>20866</v>
      </c>
      <c r="AE48" s="208"/>
      <c r="AF48" s="406" t="s">
        <v>38</v>
      </c>
      <c r="AG48" s="505" t="s">
        <v>38</v>
      </c>
      <c r="AH48" s="506">
        <v>20866</v>
      </c>
      <c r="AI48" s="208"/>
      <c r="AJ48" s="293" t="s">
        <v>38</v>
      </c>
      <c r="AK48" s="230" t="s">
        <v>38</v>
      </c>
      <c r="AL48" s="506">
        <v>0</v>
      </c>
      <c r="AM48" s="208"/>
      <c r="AN48" s="293" t="s">
        <v>38</v>
      </c>
      <c r="AO48" s="230" t="s">
        <v>38</v>
      </c>
      <c r="AP48" s="231">
        <v>140.13431833445264</v>
      </c>
      <c r="AQ48" s="231"/>
      <c r="AR48" s="234">
        <v>145.6</v>
      </c>
      <c r="AS48" s="228"/>
      <c r="AT48" s="246">
        <v>6.5942028985507245E-2</v>
      </c>
      <c r="AU48" s="228"/>
      <c r="AV48" s="293" t="s">
        <v>38</v>
      </c>
      <c r="AW48" s="230" t="s">
        <v>38</v>
      </c>
      <c r="AX48" s="285">
        <v>20818</v>
      </c>
      <c r="AY48" s="208"/>
      <c r="AZ48" s="406" t="s">
        <v>38</v>
      </c>
      <c r="BA48" s="505" t="s">
        <v>38</v>
      </c>
      <c r="BB48" s="506">
        <v>20818</v>
      </c>
      <c r="BC48" s="208"/>
      <c r="BD48" s="293" t="s">
        <v>38</v>
      </c>
      <c r="BE48" s="230" t="s">
        <v>38</v>
      </c>
      <c r="BF48" s="506">
        <v>0</v>
      </c>
      <c r="BG48" s="208"/>
      <c r="BH48" s="293" t="s">
        <v>38</v>
      </c>
      <c r="BI48" s="230" t="s">
        <v>38</v>
      </c>
      <c r="BJ48" s="231">
        <v>142.98076923076923</v>
      </c>
      <c r="BK48" s="231"/>
      <c r="BL48" s="234">
        <v>154.5</v>
      </c>
      <c r="BM48" s="228"/>
      <c r="BN48" s="246">
        <v>6.9941149841557262E-2</v>
      </c>
      <c r="BO48" s="228"/>
      <c r="BP48" s="293" t="s">
        <v>38</v>
      </c>
      <c r="BQ48" s="230" t="s">
        <v>38</v>
      </c>
      <c r="BR48" s="285">
        <v>20786</v>
      </c>
      <c r="BS48" s="208"/>
      <c r="BT48" s="406" t="s">
        <v>38</v>
      </c>
      <c r="BU48" s="505" t="s">
        <v>38</v>
      </c>
      <c r="BV48" s="506">
        <v>20786</v>
      </c>
      <c r="BW48" s="208"/>
      <c r="BX48" s="293" t="s">
        <v>38</v>
      </c>
      <c r="BY48" s="230" t="s">
        <v>38</v>
      </c>
      <c r="BZ48" s="506">
        <v>0</v>
      </c>
      <c r="CA48" s="208"/>
      <c r="CB48" s="293" t="s">
        <v>38</v>
      </c>
      <c r="CC48" s="230" t="s">
        <v>38</v>
      </c>
      <c r="CD48" s="231">
        <v>134.53721682847896</v>
      </c>
      <c r="CE48" s="231"/>
      <c r="CF48" s="508">
        <f t="shared" si="6"/>
        <v>604.9</v>
      </c>
      <c r="CG48" s="231"/>
      <c r="CH48" s="246">
        <f t="shared" si="5"/>
        <v>6.9052511415525111E-2</v>
      </c>
      <c r="CI48" s="232"/>
      <c r="CJ48" s="406" t="s">
        <v>38</v>
      </c>
      <c r="CK48" s="505" t="s">
        <v>38</v>
      </c>
      <c r="CL48" s="506">
        <f t="shared" si="7"/>
        <v>82897</v>
      </c>
      <c r="CM48" s="239"/>
      <c r="CN48" s="209" t="s">
        <v>38</v>
      </c>
      <c r="CO48" s="505" t="s">
        <v>38</v>
      </c>
      <c r="CP48" s="506">
        <f t="shared" si="8"/>
        <v>82897</v>
      </c>
      <c r="CQ48" s="208"/>
      <c r="CR48" s="406" t="s">
        <v>38</v>
      </c>
      <c r="CS48" s="505" t="s">
        <v>38</v>
      </c>
      <c r="CT48" s="506">
        <f t="shared" si="9"/>
        <v>0</v>
      </c>
      <c r="CU48" s="208"/>
      <c r="CV48" s="406" t="s">
        <v>38</v>
      </c>
      <c r="CW48" s="505" t="s">
        <v>38</v>
      </c>
      <c r="CX48" s="506">
        <f t="shared" si="4"/>
        <v>137.04248636138206</v>
      </c>
      <c r="CY48" s="551"/>
      <c r="CZ48" s="512"/>
      <c r="DA48" s="513"/>
      <c r="DB48" s="229"/>
      <c r="DC48" s="515"/>
      <c r="DD48" s="506"/>
      <c r="DE48" s="231"/>
      <c r="DF48" s="293"/>
      <c r="DG48" s="230"/>
      <c r="DH48" s="506"/>
      <c r="DI48" s="208"/>
      <c r="DJ48" s="293"/>
      <c r="DK48" s="230"/>
      <c r="DL48" s="506"/>
      <c r="DM48" s="208"/>
      <c r="DN48" s="293"/>
      <c r="DO48" s="230"/>
      <c r="DP48" s="506"/>
      <c r="DQ48" s="516"/>
      <c r="DR48" s="242"/>
      <c r="DS48" s="517"/>
      <c r="DT48" s="293"/>
      <c r="DU48" s="230"/>
      <c r="DV48" s="509"/>
      <c r="DW48" s="510"/>
      <c r="DX48" s="518"/>
      <c r="DY48" s="519"/>
      <c r="DZ48" s="509"/>
      <c r="EA48" s="510"/>
      <c r="EB48" s="293"/>
      <c r="EC48" s="230"/>
      <c r="ED48" s="509"/>
      <c r="EE48" s="517"/>
      <c r="EF48" s="509"/>
      <c r="EG48" s="520"/>
      <c r="EH48" s="285"/>
      <c r="EI48" s="249"/>
    </row>
    <row r="49" spans="1:139" x14ac:dyDescent="0.25">
      <c r="A49" s="2242"/>
      <c r="B49" s="503"/>
      <c r="C49" s="555" t="s">
        <v>43</v>
      </c>
      <c r="D49" s="234">
        <v>0</v>
      </c>
      <c r="E49" s="295"/>
      <c r="F49" s="246">
        <v>0</v>
      </c>
      <c r="G49" s="228"/>
      <c r="H49" s="293" t="s">
        <v>38</v>
      </c>
      <c r="I49" s="230" t="s">
        <v>38</v>
      </c>
      <c r="J49" s="285">
        <v>0</v>
      </c>
      <c r="K49" s="208"/>
      <c r="L49" s="406" t="s">
        <v>38</v>
      </c>
      <c r="M49" s="505" t="s">
        <v>38</v>
      </c>
      <c r="N49" s="506">
        <v>0</v>
      </c>
      <c r="O49" s="507"/>
      <c r="P49" s="293" t="s">
        <v>38</v>
      </c>
      <c r="Q49" s="230" t="s">
        <v>38</v>
      </c>
      <c r="R49" s="556">
        <v>0</v>
      </c>
      <c r="S49" s="507"/>
      <c r="T49" s="293" t="s">
        <v>38</v>
      </c>
      <c r="U49" s="230" t="s">
        <v>38</v>
      </c>
      <c r="V49" s="231">
        <v>0</v>
      </c>
      <c r="W49" s="231"/>
      <c r="X49" s="234">
        <v>0</v>
      </c>
      <c r="Y49" s="295"/>
      <c r="Z49" s="246">
        <v>0</v>
      </c>
      <c r="AA49" s="228"/>
      <c r="AB49" s="293" t="s">
        <v>38</v>
      </c>
      <c r="AC49" s="230" t="s">
        <v>38</v>
      </c>
      <c r="AD49" s="285">
        <v>0</v>
      </c>
      <c r="AE49" s="208"/>
      <c r="AF49" s="406" t="s">
        <v>38</v>
      </c>
      <c r="AG49" s="505" t="s">
        <v>38</v>
      </c>
      <c r="AH49" s="506">
        <v>0</v>
      </c>
      <c r="AI49" s="507"/>
      <c r="AJ49" s="293" t="s">
        <v>38</v>
      </c>
      <c r="AK49" s="230" t="s">
        <v>38</v>
      </c>
      <c r="AL49" s="556">
        <v>0</v>
      </c>
      <c r="AM49" s="507"/>
      <c r="AN49" s="293" t="s">
        <v>38</v>
      </c>
      <c r="AO49" s="230" t="s">
        <v>38</v>
      </c>
      <c r="AP49" s="231">
        <v>0</v>
      </c>
      <c r="AQ49" s="231"/>
      <c r="AR49" s="234">
        <v>0</v>
      </c>
      <c r="AS49" s="295"/>
      <c r="AT49" s="246">
        <v>0</v>
      </c>
      <c r="AU49" s="228"/>
      <c r="AV49" s="293" t="s">
        <v>38</v>
      </c>
      <c r="AW49" s="230" t="s">
        <v>38</v>
      </c>
      <c r="AX49" s="285">
        <v>0</v>
      </c>
      <c r="AY49" s="208"/>
      <c r="AZ49" s="406" t="s">
        <v>38</v>
      </c>
      <c r="BA49" s="505" t="s">
        <v>38</v>
      </c>
      <c r="BB49" s="506">
        <v>0</v>
      </c>
      <c r="BC49" s="507"/>
      <c r="BD49" s="293" t="s">
        <v>38</v>
      </c>
      <c r="BE49" s="230" t="s">
        <v>38</v>
      </c>
      <c r="BF49" s="556">
        <v>0</v>
      </c>
      <c r="BG49" s="507"/>
      <c r="BH49" s="293" t="s">
        <v>38</v>
      </c>
      <c r="BI49" s="230" t="s">
        <v>38</v>
      </c>
      <c r="BJ49" s="231">
        <v>0</v>
      </c>
      <c r="BK49" s="231"/>
      <c r="BL49" s="234">
        <v>0</v>
      </c>
      <c r="BM49" s="295"/>
      <c r="BN49" s="246">
        <v>0</v>
      </c>
      <c r="BO49" s="228"/>
      <c r="BP49" s="293" t="s">
        <v>38</v>
      </c>
      <c r="BQ49" s="230" t="s">
        <v>38</v>
      </c>
      <c r="BR49" s="285">
        <v>0</v>
      </c>
      <c r="BS49" s="208"/>
      <c r="BT49" s="406" t="s">
        <v>38</v>
      </c>
      <c r="BU49" s="505" t="s">
        <v>38</v>
      </c>
      <c r="BV49" s="506">
        <v>0</v>
      </c>
      <c r="BW49" s="507"/>
      <c r="BX49" s="293" t="s">
        <v>38</v>
      </c>
      <c r="BY49" s="230" t="s">
        <v>38</v>
      </c>
      <c r="BZ49" s="556">
        <v>0</v>
      </c>
      <c r="CA49" s="507"/>
      <c r="CB49" s="293" t="s">
        <v>38</v>
      </c>
      <c r="CC49" s="230" t="s">
        <v>38</v>
      </c>
      <c r="CD49" s="231">
        <v>0</v>
      </c>
      <c r="CE49" s="231"/>
      <c r="CF49" s="508">
        <f t="shared" si="6"/>
        <v>0</v>
      </c>
      <c r="CG49" s="231"/>
      <c r="CH49" s="246">
        <f t="shared" si="5"/>
        <v>0</v>
      </c>
      <c r="CI49" s="554"/>
      <c r="CJ49" s="406" t="s">
        <v>38</v>
      </c>
      <c r="CK49" s="505" t="s">
        <v>38</v>
      </c>
      <c r="CL49" s="506">
        <f t="shared" si="7"/>
        <v>0</v>
      </c>
      <c r="CM49" s="239"/>
      <c r="CN49" s="209" t="s">
        <v>38</v>
      </c>
      <c r="CO49" s="505" t="s">
        <v>38</v>
      </c>
      <c r="CP49" s="506">
        <f t="shared" si="8"/>
        <v>0</v>
      </c>
      <c r="CQ49" s="208"/>
      <c r="CR49" s="406" t="s">
        <v>38</v>
      </c>
      <c r="CS49" s="505" t="s">
        <v>38</v>
      </c>
      <c r="CT49" s="506">
        <f t="shared" si="9"/>
        <v>0</v>
      </c>
      <c r="CU49" s="208"/>
      <c r="CV49" s="406" t="s">
        <v>38</v>
      </c>
      <c r="CW49" s="505" t="s">
        <v>38</v>
      </c>
      <c r="CX49" s="506">
        <v>0</v>
      </c>
      <c r="CY49" s="235"/>
      <c r="CZ49" s="512"/>
      <c r="DA49" s="513"/>
      <c r="DB49" s="229"/>
      <c r="DC49" s="515"/>
      <c r="DD49" s="506"/>
      <c r="DE49" s="231"/>
      <c r="DF49" s="293"/>
      <c r="DG49" s="230"/>
      <c r="DH49" s="506"/>
      <c r="DI49" s="208"/>
      <c r="DJ49" s="293"/>
      <c r="DK49" s="230"/>
      <c r="DL49" s="506"/>
      <c r="DM49" s="208"/>
      <c r="DN49" s="293"/>
      <c r="DO49" s="230"/>
      <c r="DP49" s="506"/>
      <c r="DQ49" s="516"/>
      <c r="DR49" s="242"/>
      <c r="DS49" s="517"/>
      <c r="DT49" s="293"/>
      <c r="DU49" s="230"/>
      <c r="DV49" s="509"/>
      <c r="DW49" s="510"/>
      <c r="DX49" s="518"/>
      <c r="DY49" s="519"/>
      <c r="DZ49" s="509"/>
      <c r="EA49" s="510"/>
      <c r="EB49" s="293"/>
      <c r="EC49" s="230"/>
      <c r="ED49" s="509"/>
      <c r="EE49" s="517"/>
      <c r="EF49" s="509"/>
      <c r="EG49" s="520"/>
      <c r="EH49" s="298"/>
      <c r="EI49" s="521"/>
    </row>
    <row r="50" spans="1:139" x14ac:dyDescent="0.25">
      <c r="A50" s="2242"/>
      <c r="B50" s="2184" t="s">
        <v>51</v>
      </c>
      <c r="C50" s="2185"/>
      <c r="D50" s="287">
        <v>1562.7</v>
      </c>
      <c r="E50" s="288"/>
      <c r="F50" s="289">
        <v>0.14210368376542482</v>
      </c>
      <c r="G50" s="288"/>
      <c r="H50" s="290" t="s">
        <v>38</v>
      </c>
      <c r="I50" s="291" t="s">
        <v>38</v>
      </c>
      <c r="J50" s="292">
        <v>126211</v>
      </c>
      <c r="K50" s="525"/>
      <c r="L50" s="407" t="s">
        <v>38</v>
      </c>
      <c r="M50" s="526" t="s">
        <v>38</v>
      </c>
      <c r="N50" s="527">
        <v>126211</v>
      </c>
      <c r="O50" s="528"/>
      <c r="P50" s="290" t="s">
        <v>38</v>
      </c>
      <c r="Q50" s="291" t="s">
        <v>38</v>
      </c>
      <c r="R50" s="527">
        <v>0</v>
      </c>
      <c r="S50" s="528"/>
      <c r="T50" s="290" t="s">
        <v>38</v>
      </c>
      <c r="U50" s="291" t="s">
        <v>38</v>
      </c>
      <c r="V50" s="529">
        <v>80.764702118128881</v>
      </c>
      <c r="W50" s="529"/>
      <c r="X50" s="287">
        <v>1541.2</v>
      </c>
      <c r="Y50" s="288"/>
      <c r="Z50" s="289">
        <v>0.14008489442732619</v>
      </c>
      <c r="AA50" s="288"/>
      <c r="AB50" s="290" t="s">
        <v>38</v>
      </c>
      <c r="AC50" s="291" t="s">
        <v>38</v>
      </c>
      <c r="AD50" s="292">
        <v>129042</v>
      </c>
      <c r="AE50" s="525"/>
      <c r="AF50" s="407" t="s">
        <v>38</v>
      </c>
      <c r="AG50" s="526" t="s">
        <v>38</v>
      </c>
      <c r="AH50" s="527">
        <v>129042</v>
      </c>
      <c r="AI50" s="528"/>
      <c r="AJ50" s="290" t="s">
        <v>38</v>
      </c>
      <c r="AK50" s="291" t="s">
        <v>38</v>
      </c>
      <c r="AL50" s="527">
        <v>0</v>
      </c>
      <c r="AM50" s="528"/>
      <c r="AN50" s="290" t="s">
        <v>38</v>
      </c>
      <c r="AO50" s="291" t="s">
        <v>38</v>
      </c>
      <c r="AP50" s="529">
        <v>83.728263690630669</v>
      </c>
      <c r="AQ50" s="529"/>
      <c r="AR50" s="287">
        <v>1558.1</v>
      </c>
      <c r="AS50" s="288"/>
      <c r="AT50" s="289">
        <v>0.14028216694127074</v>
      </c>
      <c r="AU50" s="288"/>
      <c r="AV50" s="290" t="s">
        <v>38</v>
      </c>
      <c r="AW50" s="291" t="s">
        <v>38</v>
      </c>
      <c r="AX50" s="292">
        <v>129719</v>
      </c>
      <c r="AY50" s="525"/>
      <c r="AZ50" s="407" t="s">
        <v>38</v>
      </c>
      <c r="BA50" s="526" t="s">
        <v>38</v>
      </c>
      <c r="BB50" s="527">
        <v>129719</v>
      </c>
      <c r="BC50" s="528"/>
      <c r="BD50" s="290" t="s">
        <v>38</v>
      </c>
      <c r="BE50" s="291" t="s">
        <v>38</v>
      </c>
      <c r="BF50" s="527">
        <v>0</v>
      </c>
      <c r="BG50" s="528"/>
      <c r="BH50" s="290" t="s">
        <v>38</v>
      </c>
      <c r="BI50" s="291" t="s">
        <v>38</v>
      </c>
      <c r="BJ50" s="529">
        <v>83.254604967588733</v>
      </c>
      <c r="BK50" s="529"/>
      <c r="BL50" s="287">
        <v>1505.3</v>
      </c>
      <c r="BM50" s="288"/>
      <c r="BN50" s="289">
        <v>0.13565049698564463</v>
      </c>
      <c r="BO50" s="288"/>
      <c r="BP50" s="290" t="s">
        <v>38</v>
      </c>
      <c r="BQ50" s="291" t="s">
        <v>38</v>
      </c>
      <c r="BR50" s="292">
        <v>127641</v>
      </c>
      <c r="BS50" s="525"/>
      <c r="BT50" s="407" t="s">
        <v>38</v>
      </c>
      <c r="BU50" s="526" t="s">
        <v>38</v>
      </c>
      <c r="BV50" s="527">
        <v>127641</v>
      </c>
      <c r="BW50" s="528"/>
      <c r="BX50" s="290" t="s">
        <v>38</v>
      </c>
      <c r="BY50" s="291" t="s">
        <v>38</v>
      </c>
      <c r="BZ50" s="527">
        <v>0</v>
      </c>
      <c r="CA50" s="528"/>
      <c r="CB50" s="290" t="s">
        <v>38</v>
      </c>
      <c r="CC50" s="291" t="s">
        <v>38</v>
      </c>
      <c r="CD50" s="529">
        <v>84.794393144223747</v>
      </c>
      <c r="CE50" s="529"/>
      <c r="CF50" s="530">
        <f t="shared" si="6"/>
        <v>6167.2999999999993</v>
      </c>
      <c r="CG50" s="529"/>
      <c r="CH50" s="289">
        <f>CF50/44202.6</f>
        <v>0.13952346694538328</v>
      </c>
      <c r="CI50" s="531"/>
      <c r="CJ50" s="407" t="s">
        <v>38</v>
      </c>
      <c r="CK50" s="526" t="s">
        <v>38</v>
      </c>
      <c r="CL50" s="527">
        <f t="shared" si="7"/>
        <v>512613</v>
      </c>
      <c r="CM50" s="532"/>
      <c r="CN50" s="533" t="s">
        <v>38</v>
      </c>
      <c r="CO50" s="526" t="s">
        <v>38</v>
      </c>
      <c r="CP50" s="527">
        <f t="shared" si="8"/>
        <v>512613</v>
      </c>
      <c r="CQ50" s="528"/>
      <c r="CR50" s="407" t="s">
        <v>38</v>
      </c>
      <c r="CS50" s="526" t="s">
        <v>38</v>
      </c>
      <c r="CT50" s="527">
        <f t="shared" si="9"/>
        <v>0</v>
      </c>
      <c r="CU50" s="528"/>
      <c r="CV50" s="407" t="s">
        <v>38</v>
      </c>
      <c r="CW50" s="526" t="s">
        <v>38</v>
      </c>
      <c r="CX50" s="527">
        <f t="shared" si="4"/>
        <v>83.117895999870299</v>
      </c>
      <c r="CY50" s="552"/>
      <c r="CZ50" s="534"/>
      <c r="DA50" s="535"/>
      <c r="DB50" s="553"/>
      <c r="DC50" s="537"/>
      <c r="DD50" s="527"/>
      <c r="DE50" s="529"/>
      <c r="DF50" s="290"/>
      <c r="DG50" s="291"/>
      <c r="DH50" s="527"/>
      <c r="DI50" s="528"/>
      <c r="DJ50" s="290"/>
      <c r="DK50" s="291"/>
      <c r="DL50" s="527"/>
      <c r="DM50" s="528"/>
      <c r="DN50" s="290"/>
      <c r="DO50" s="291"/>
      <c r="DP50" s="527"/>
      <c r="DQ50" s="538"/>
      <c r="DR50" s="539"/>
      <c r="DS50" s="540"/>
      <c r="DT50" s="290"/>
      <c r="DU50" s="291"/>
      <c r="DV50" s="496"/>
      <c r="DW50" s="541"/>
      <c r="DX50" s="533"/>
      <c r="DY50" s="542"/>
      <c r="DZ50" s="496"/>
      <c r="EA50" s="541"/>
      <c r="EB50" s="290"/>
      <c r="EC50" s="291"/>
      <c r="ED50" s="496"/>
      <c r="EE50" s="540"/>
      <c r="EF50" s="496"/>
      <c r="EG50" s="543"/>
      <c r="EH50" s="544"/>
      <c r="EI50" s="545"/>
    </row>
    <row r="51" spans="1:139" x14ac:dyDescent="0.25">
      <c r="A51" s="2242"/>
      <c r="B51" s="503"/>
      <c r="C51" s="504" t="s">
        <v>39</v>
      </c>
      <c r="D51" s="234">
        <v>142.1</v>
      </c>
      <c r="E51" s="228"/>
      <c r="F51" s="246">
        <v>6.5093907466788822E-2</v>
      </c>
      <c r="G51" s="228"/>
      <c r="H51" s="293" t="s">
        <v>38</v>
      </c>
      <c r="I51" s="230" t="s">
        <v>38</v>
      </c>
      <c r="J51" s="285">
        <v>21551</v>
      </c>
      <c r="K51" s="208"/>
      <c r="L51" s="406" t="s">
        <v>38</v>
      </c>
      <c r="M51" s="505" t="s">
        <v>38</v>
      </c>
      <c r="N51" s="506">
        <v>21551</v>
      </c>
      <c r="O51" s="507"/>
      <c r="P51" s="293" t="s">
        <v>38</v>
      </c>
      <c r="Q51" s="230" t="s">
        <v>38</v>
      </c>
      <c r="R51" s="506">
        <v>0</v>
      </c>
      <c r="S51" s="208"/>
      <c r="T51" s="293" t="s">
        <v>38</v>
      </c>
      <c r="U51" s="230" t="s">
        <v>38</v>
      </c>
      <c r="V51" s="231">
        <v>151.66080225193525</v>
      </c>
      <c r="W51" s="231"/>
      <c r="X51" s="234">
        <v>141.5</v>
      </c>
      <c r="Y51" s="228"/>
      <c r="Z51" s="246">
        <v>6.4789377289377295E-2</v>
      </c>
      <c r="AA51" s="228"/>
      <c r="AB51" s="293" t="s">
        <v>38</v>
      </c>
      <c r="AC51" s="230" t="s">
        <v>38</v>
      </c>
      <c r="AD51" s="285">
        <v>21485</v>
      </c>
      <c r="AE51" s="208"/>
      <c r="AF51" s="406" t="s">
        <v>38</v>
      </c>
      <c r="AG51" s="505" t="s">
        <v>38</v>
      </c>
      <c r="AH51" s="506">
        <v>21485</v>
      </c>
      <c r="AI51" s="507"/>
      <c r="AJ51" s="293" t="s">
        <v>38</v>
      </c>
      <c r="AK51" s="230" t="s">
        <v>38</v>
      </c>
      <c r="AL51" s="506">
        <v>0</v>
      </c>
      <c r="AM51" s="208"/>
      <c r="AN51" s="293" t="s">
        <v>38</v>
      </c>
      <c r="AO51" s="230" t="s">
        <v>38</v>
      </c>
      <c r="AP51" s="231">
        <v>151.83745583038871</v>
      </c>
      <c r="AQ51" s="231"/>
      <c r="AR51" s="234">
        <v>148.10000000000002</v>
      </c>
      <c r="AS51" s="228"/>
      <c r="AT51" s="246">
        <v>6.7074275362318844E-2</v>
      </c>
      <c r="AU51" s="228"/>
      <c r="AV51" s="293" t="s">
        <v>38</v>
      </c>
      <c r="AW51" s="230" t="s">
        <v>38</v>
      </c>
      <c r="AX51" s="285">
        <v>21351</v>
      </c>
      <c r="AY51" s="208"/>
      <c r="AZ51" s="406" t="s">
        <v>38</v>
      </c>
      <c r="BA51" s="505" t="s">
        <v>38</v>
      </c>
      <c r="BB51" s="506">
        <v>21351</v>
      </c>
      <c r="BC51" s="507"/>
      <c r="BD51" s="293" t="s">
        <v>38</v>
      </c>
      <c r="BE51" s="230" t="s">
        <v>38</v>
      </c>
      <c r="BF51" s="506">
        <v>0</v>
      </c>
      <c r="BG51" s="208"/>
      <c r="BH51" s="293" t="s">
        <v>38</v>
      </c>
      <c r="BI51" s="230" t="s">
        <v>38</v>
      </c>
      <c r="BJ51" s="231">
        <v>144.1661039837947</v>
      </c>
      <c r="BK51" s="231"/>
      <c r="BL51" s="234">
        <v>142.1</v>
      </c>
      <c r="BM51" s="228"/>
      <c r="BN51" s="246">
        <v>6.4327750113173376E-2</v>
      </c>
      <c r="BO51" s="228"/>
      <c r="BP51" s="293" t="s">
        <v>38</v>
      </c>
      <c r="BQ51" s="230" t="s">
        <v>38</v>
      </c>
      <c r="BR51" s="285">
        <v>21380</v>
      </c>
      <c r="BS51" s="208"/>
      <c r="BT51" s="406" t="s">
        <v>38</v>
      </c>
      <c r="BU51" s="505" t="s">
        <v>38</v>
      </c>
      <c r="BV51" s="506">
        <v>21380</v>
      </c>
      <c r="BW51" s="507"/>
      <c r="BX51" s="293" t="s">
        <v>38</v>
      </c>
      <c r="BY51" s="230" t="s">
        <v>38</v>
      </c>
      <c r="BZ51" s="506">
        <v>0</v>
      </c>
      <c r="CA51" s="208"/>
      <c r="CB51" s="293" t="s">
        <v>38</v>
      </c>
      <c r="CC51" s="230" t="s">
        <v>38</v>
      </c>
      <c r="CD51" s="231">
        <v>150.45742434904997</v>
      </c>
      <c r="CE51" s="231"/>
      <c r="CF51" s="508">
        <f t="shared" si="6"/>
        <v>573.80000000000007</v>
      </c>
      <c r="CG51" s="231"/>
      <c r="CH51" s="246">
        <f t="shared" si="5"/>
        <v>6.5502283105022832E-2</v>
      </c>
      <c r="CI51" s="554"/>
      <c r="CJ51" s="406" t="s">
        <v>38</v>
      </c>
      <c r="CK51" s="505" t="s">
        <v>38</v>
      </c>
      <c r="CL51" s="506">
        <f t="shared" si="7"/>
        <v>85767</v>
      </c>
      <c r="CM51" s="239"/>
      <c r="CN51" s="209" t="s">
        <v>38</v>
      </c>
      <c r="CO51" s="505" t="s">
        <v>38</v>
      </c>
      <c r="CP51" s="506">
        <f t="shared" si="8"/>
        <v>85767</v>
      </c>
      <c r="CQ51" s="208"/>
      <c r="CR51" s="406" t="s">
        <v>38</v>
      </c>
      <c r="CS51" s="505" t="s">
        <v>38</v>
      </c>
      <c r="CT51" s="506">
        <f t="shared" si="9"/>
        <v>0</v>
      </c>
      <c r="CU51" s="208"/>
      <c r="CV51" s="406" t="s">
        <v>38</v>
      </c>
      <c r="CW51" s="505" t="s">
        <v>38</v>
      </c>
      <c r="CX51" s="506">
        <f t="shared" si="4"/>
        <v>149.47194144301147</v>
      </c>
      <c r="CY51" s="235"/>
      <c r="CZ51" s="512"/>
      <c r="DA51" s="513"/>
      <c r="DB51" s="229"/>
      <c r="DC51" s="515"/>
      <c r="DD51" s="506"/>
      <c r="DE51" s="231"/>
      <c r="DF51" s="293"/>
      <c r="DG51" s="230"/>
      <c r="DH51" s="506"/>
      <c r="DI51" s="208"/>
      <c r="DJ51" s="293"/>
      <c r="DK51" s="230"/>
      <c r="DL51" s="506"/>
      <c r="DM51" s="208"/>
      <c r="DN51" s="293"/>
      <c r="DO51" s="230"/>
      <c r="DP51" s="506"/>
      <c r="DQ51" s="516"/>
      <c r="DR51" s="242"/>
      <c r="DS51" s="517"/>
      <c r="DT51" s="293"/>
      <c r="DU51" s="230"/>
      <c r="DV51" s="509"/>
      <c r="DW51" s="510"/>
      <c r="DX51" s="518"/>
      <c r="DY51" s="519"/>
      <c r="DZ51" s="509"/>
      <c r="EA51" s="510"/>
      <c r="EB51" s="293"/>
      <c r="EC51" s="230"/>
      <c r="ED51" s="509"/>
      <c r="EE51" s="517"/>
      <c r="EF51" s="509"/>
      <c r="EG51" s="520"/>
      <c r="EH51" s="298"/>
      <c r="EI51" s="521"/>
    </row>
    <row r="52" spans="1:139" x14ac:dyDescent="0.25">
      <c r="A52" s="2242"/>
      <c r="B52" s="19"/>
      <c r="C52" s="504" t="s">
        <v>40</v>
      </c>
      <c r="D52" s="234">
        <v>611.70000000000005</v>
      </c>
      <c r="E52" s="228"/>
      <c r="F52" s="246">
        <v>0.28021071919377005</v>
      </c>
      <c r="G52" s="228"/>
      <c r="H52" s="293" t="s">
        <v>38</v>
      </c>
      <c r="I52" s="230" t="s">
        <v>38</v>
      </c>
      <c r="J52" s="285">
        <v>44383</v>
      </c>
      <c r="K52" s="208"/>
      <c r="L52" s="406" t="s">
        <v>38</v>
      </c>
      <c r="M52" s="505" t="s">
        <v>38</v>
      </c>
      <c r="N52" s="506">
        <v>44383</v>
      </c>
      <c r="O52" s="522"/>
      <c r="P52" s="293" t="s">
        <v>38</v>
      </c>
      <c r="Q52" s="230" t="s">
        <v>38</v>
      </c>
      <c r="R52" s="506">
        <v>0</v>
      </c>
      <c r="S52" s="208"/>
      <c r="T52" s="293" t="s">
        <v>38</v>
      </c>
      <c r="U52" s="230" t="s">
        <v>38</v>
      </c>
      <c r="V52" s="231">
        <v>72.556808893248316</v>
      </c>
      <c r="W52" s="231"/>
      <c r="X52" s="234">
        <v>615.4</v>
      </c>
      <c r="Y52" s="228"/>
      <c r="Z52" s="246">
        <v>0.28177655677655677</v>
      </c>
      <c r="AA52" s="228"/>
      <c r="AB52" s="293" t="s">
        <v>38</v>
      </c>
      <c r="AC52" s="230" t="s">
        <v>38</v>
      </c>
      <c r="AD52" s="285">
        <v>47707</v>
      </c>
      <c r="AE52" s="208"/>
      <c r="AF52" s="406" t="s">
        <v>38</v>
      </c>
      <c r="AG52" s="505" t="s">
        <v>38</v>
      </c>
      <c r="AH52" s="506">
        <v>47707</v>
      </c>
      <c r="AI52" s="522"/>
      <c r="AJ52" s="293" t="s">
        <v>38</v>
      </c>
      <c r="AK52" s="230" t="s">
        <v>38</v>
      </c>
      <c r="AL52" s="506">
        <v>0</v>
      </c>
      <c r="AM52" s="208"/>
      <c r="AN52" s="293" t="s">
        <v>38</v>
      </c>
      <c r="AO52" s="230" t="s">
        <v>38</v>
      </c>
      <c r="AP52" s="231">
        <v>77.521936951576208</v>
      </c>
      <c r="AQ52" s="231"/>
      <c r="AR52" s="234">
        <v>619.29999999999995</v>
      </c>
      <c r="AS52" s="228"/>
      <c r="AT52" s="246">
        <v>0.2804800724637681</v>
      </c>
      <c r="AU52" s="228"/>
      <c r="AV52" s="293" t="s">
        <v>38</v>
      </c>
      <c r="AW52" s="230" t="s">
        <v>38</v>
      </c>
      <c r="AX52" s="285">
        <v>46651</v>
      </c>
      <c r="AY52" s="208"/>
      <c r="AZ52" s="406" t="s">
        <v>38</v>
      </c>
      <c r="BA52" s="505" t="s">
        <v>38</v>
      </c>
      <c r="BB52" s="506">
        <v>46651</v>
      </c>
      <c r="BC52" s="522"/>
      <c r="BD52" s="293" t="s">
        <v>38</v>
      </c>
      <c r="BE52" s="230" t="s">
        <v>38</v>
      </c>
      <c r="BF52" s="506">
        <v>0</v>
      </c>
      <c r="BG52" s="208"/>
      <c r="BH52" s="293" t="s">
        <v>38</v>
      </c>
      <c r="BI52" s="230" t="s">
        <v>38</v>
      </c>
      <c r="BJ52" s="231">
        <v>75.328596802841929</v>
      </c>
      <c r="BK52" s="231"/>
      <c r="BL52" s="234">
        <v>621</v>
      </c>
      <c r="BM52" s="228"/>
      <c r="BN52" s="246">
        <v>0.2811226799456768</v>
      </c>
      <c r="BO52" s="228"/>
      <c r="BP52" s="293" t="s">
        <v>38</v>
      </c>
      <c r="BQ52" s="230" t="s">
        <v>38</v>
      </c>
      <c r="BR52" s="285">
        <v>46030</v>
      </c>
      <c r="BS52" s="208"/>
      <c r="BT52" s="406" t="s">
        <v>38</v>
      </c>
      <c r="BU52" s="505" t="s">
        <v>38</v>
      </c>
      <c r="BV52" s="506">
        <v>46030</v>
      </c>
      <c r="BW52" s="522"/>
      <c r="BX52" s="293" t="s">
        <v>38</v>
      </c>
      <c r="BY52" s="230" t="s">
        <v>38</v>
      </c>
      <c r="BZ52" s="506">
        <v>0</v>
      </c>
      <c r="CA52" s="208"/>
      <c r="CB52" s="293" t="s">
        <v>38</v>
      </c>
      <c r="CC52" s="230" t="s">
        <v>38</v>
      </c>
      <c r="CD52" s="231">
        <v>74.12238325281804</v>
      </c>
      <c r="CE52" s="231"/>
      <c r="CF52" s="508">
        <f t="shared" si="6"/>
        <v>2467.3999999999996</v>
      </c>
      <c r="CG52" s="231"/>
      <c r="CH52" s="246">
        <f t="shared" si="5"/>
        <v>0.28166666666666662</v>
      </c>
      <c r="CI52" s="554"/>
      <c r="CJ52" s="406" t="s">
        <v>38</v>
      </c>
      <c r="CK52" s="505" t="s">
        <v>38</v>
      </c>
      <c r="CL52" s="506">
        <f t="shared" si="7"/>
        <v>184771</v>
      </c>
      <c r="CM52" s="239"/>
      <c r="CN52" s="209" t="s">
        <v>38</v>
      </c>
      <c r="CO52" s="505" t="s">
        <v>38</v>
      </c>
      <c r="CP52" s="506">
        <f t="shared" si="8"/>
        <v>184771</v>
      </c>
      <c r="CQ52" s="208"/>
      <c r="CR52" s="406" t="s">
        <v>38</v>
      </c>
      <c r="CS52" s="505" t="s">
        <v>38</v>
      </c>
      <c r="CT52" s="506">
        <f t="shared" si="9"/>
        <v>0</v>
      </c>
      <c r="CU52" s="208"/>
      <c r="CV52" s="406" t="s">
        <v>38</v>
      </c>
      <c r="CW52" s="505" t="s">
        <v>38</v>
      </c>
      <c r="CX52" s="506">
        <f t="shared" si="4"/>
        <v>74.884899084056102</v>
      </c>
      <c r="CY52" s="235"/>
      <c r="CZ52" s="512"/>
      <c r="DA52" s="513"/>
      <c r="DB52" s="229"/>
      <c r="DC52" s="515"/>
      <c r="DD52" s="506"/>
      <c r="DE52" s="231"/>
      <c r="DF52" s="293"/>
      <c r="DG52" s="230"/>
      <c r="DH52" s="506"/>
      <c r="DI52" s="208"/>
      <c r="DJ52" s="293"/>
      <c r="DK52" s="230"/>
      <c r="DL52" s="506"/>
      <c r="DM52" s="208"/>
      <c r="DN52" s="293"/>
      <c r="DO52" s="230"/>
      <c r="DP52" s="506"/>
      <c r="DQ52" s="516"/>
      <c r="DR52" s="242"/>
      <c r="DS52" s="517"/>
      <c r="DT52" s="293"/>
      <c r="DU52" s="230"/>
      <c r="DV52" s="509"/>
      <c r="DW52" s="510"/>
      <c r="DX52" s="518"/>
      <c r="DY52" s="519"/>
      <c r="DZ52" s="509"/>
      <c r="EA52" s="510"/>
      <c r="EB52" s="293"/>
      <c r="EC52" s="230"/>
      <c r="ED52" s="509"/>
      <c r="EE52" s="517"/>
      <c r="EF52" s="509"/>
      <c r="EG52" s="520"/>
      <c r="EH52" s="298"/>
      <c r="EI52" s="521"/>
    </row>
    <row r="53" spans="1:139" s="204" customFormat="1" x14ac:dyDescent="0.25">
      <c r="A53" s="2242"/>
      <c r="B53" s="23"/>
      <c r="C53" s="524" t="s">
        <v>41</v>
      </c>
      <c r="D53" s="234">
        <v>185</v>
      </c>
      <c r="E53" s="228"/>
      <c r="F53" s="246">
        <v>8.4745762711864403E-2</v>
      </c>
      <c r="G53" s="228"/>
      <c r="H53" s="293" t="s">
        <v>38</v>
      </c>
      <c r="I53" s="230" t="s">
        <v>38</v>
      </c>
      <c r="J53" s="285">
        <v>35538</v>
      </c>
      <c r="K53" s="208"/>
      <c r="L53" s="406" t="s">
        <v>38</v>
      </c>
      <c r="M53" s="505" t="s">
        <v>38</v>
      </c>
      <c r="N53" s="506">
        <v>35538</v>
      </c>
      <c r="O53" s="208"/>
      <c r="P53" s="293" t="s">
        <v>38</v>
      </c>
      <c r="Q53" s="230" t="s">
        <v>38</v>
      </c>
      <c r="R53" s="506">
        <v>0</v>
      </c>
      <c r="S53" s="208"/>
      <c r="T53" s="293" t="s">
        <v>38</v>
      </c>
      <c r="U53" s="230" t="s">
        <v>38</v>
      </c>
      <c r="V53" s="231">
        <v>192.0972972972973</v>
      </c>
      <c r="W53" s="231"/>
      <c r="X53" s="234">
        <v>177.5</v>
      </c>
      <c r="Y53" s="228"/>
      <c r="Z53" s="246">
        <v>8.1272893772893776E-2</v>
      </c>
      <c r="AA53" s="228"/>
      <c r="AB53" s="293" t="s">
        <v>38</v>
      </c>
      <c r="AC53" s="230" t="s">
        <v>38</v>
      </c>
      <c r="AD53" s="285">
        <v>36051</v>
      </c>
      <c r="AE53" s="208"/>
      <c r="AF53" s="406" t="s">
        <v>38</v>
      </c>
      <c r="AG53" s="505" t="s">
        <v>38</v>
      </c>
      <c r="AH53" s="506">
        <v>36051</v>
      </c>
      <c r="AI53" s="208"/>
      <c r="AJ53" s="293" t="s">
        <v>38</v>
      </c>
      <c r="AK53" s="230" t="s">
        <v>38</v>
      </c>
      <c r="AL53" s="506">
        <v>0</v>
      </c>
      <c r="AM53" s="208"/>
      <c r="AN53" s="293" t="s">
        <v>38</v>
      </c>
      <c r="AO53" s="230" t="s">
        <v>38</v>
      </c>
      <c r="AP53" s="231">
        <v>203.10422535211268</v>
      </c>
      <c r="AQ53" s="231"/>
      <c r="AR53" s="234">
        <v>140.19999999999999</v>
      </c>
      <c r="AS53" s="228"/>
      <c r="AT53" s="246">
        <v>6.3496376811594202E-2</v>
      </c>
      <c r="AU53" s="228"/>
      <c r="AV53" s="293" t="s">
        <v>38</v>
      </c>
      <c r="AW53" s="230" t="s">
        <v>38</v>
      </c>
      <c r="AX53" s="285">
        <v>37492</v>
      </c>
      <c r="AY53" s="208"/>
      <c r="AZ53" s="406" t="s">
        <v>38</v>
      </c>
      <c r="BA53" s="505" t="s">
        <v>38</v>
      </c>
      <c r="BB53" s="506">
        <v>37492</v>
      </c>
      <c r="BC53" s="208"/>
      <c r="BD53" s="293" t="s">
        <v>38</v>
      </c>
      <c r="BE53" s="230" t="s">
        <v>38</v>
      </c>
      <c r="BF53" s="506">
        <v>0</v>
      </c>
      <c r="BG53" s="208"/>
      <c r="BH53" s="293" t="s">
        <v>38</v>
      </c>
      <c r="BI53" s="230" t="s">
        <v>38</v>
      </c>
      <c r="BJ53" s="231">
        <v>267.41797432239662</v>
      </c>
      <c r="BK53" s="231"/>
      <c r="BL53" s="234">
        <v>178.7</v>
      </c>
      <c r="BM53" s="228"/>
      <c r="BN53" s="246">
        <v>8.0896333182435484E-2</v>
      </c>
      <c r="BO53" s="228"/>
      <c r="BP53" s="293" t="s">
        <v>38</v>
      </c>
      <c r="BQ53" s="230" t="s">
        <v>38</v>
      </c>
      <c r="BR53" s="285">
        <v>36033</v>
      </c>
      <c r="BS53" s="208"/>
      <c r="BT53" s="406" t="s">
        <v>38</v>
      </c>
      <c r="BU53" s="505" t="s">
        <v>38</v>
      </c>
      <c r="BV53" s="506">
        <v>36033</v>
      </c>
      <c r="BW53" s="208"/>
      <c r="BX53" s="293" t="s">
        <v>38</v>
      </c>
      <c r="BY53" s="230" t="s">
        <v>38</v>
      </c>
      <c r="BZ53" s="506">
        <v>0</v>
      </c>
      <c r="CA53" s="208"/>
      <c r="CB53" s="293" t="s">
        <v>38</v>
      </c>
      <c r="CC53" s="230" t="s">
        <v>38</v>
      </c>
      <c r="CD53" s="231">
        <v>201.63961947397874</v>
      </c>
      <c r="CE53" s="231"/>
      <c r="CF53" s="508">
        <f t="shared" si="6"/>
        <v>681.4</v>
      </c>
      <c r="CG53" s="231"/>
      <c r="CH53" s="246">
        <f t="shared" si="5"/>
        <v>7.7785388127853877E-2</v>
      </c>
      <c r="CI53" s="232"/>
      <c r="CJ53" s="406" t="s">
        <v>38</v>
      </c>
      <c r="CK53" s="505" t="s">
        <v>38</v>
      </c>
      <c r="CL53" s="506">
        <f t="shared" si="7"/>
        <v>145114</v>
      </c>
      <c r="CM53" s="239"/>
      <c r="CN53" s="209" t="s">
        <v>38</v>
      </c>
      <c r="CO53" s="505" t="s">
        <v>38</v>
      </c>
      <c r="CP53" s="506">
        <f t="shared" si="8"/>
        <v>145114</v>
      </c>
      <c r="CQ53" s="208"/>
      <c r="CR53" s="406" t="s">
        <v>38</v>
      </c>
      <c r="CS53" s="505" t="s">
        <v>38</v>
      </c>
      <c r="CT53" s="506">
        <f t="shared" si="9"/>
        <v>0</v>
      </c>
      <c r="CU53" s="208"/>
      <c r="CV53" s="406" t="s">
        <v>38</v>
      </c>
      <c r="CW53" s="505" t="s">
        <v>38</v>
      </c>
      <c r="CX53" s="506">
        <f t="shared" si="4"/>
        <v>212.96448488406224</v>
      </c>
      <c r="CY53" s="551"/>
      <c r="CZ53" s="512"/>
      <c r="DA53" s="513"/>
      <c r="DB53" s="229"/>
      <c r="DC53" s="515"/>
      <c r="DD53" s="506"/>
      <c r="DE53" s="231"/>
      <c r="DF53" s="293"/>
      <c r="DG53" s="230"/>
      <c r="DH53" s="506"/>
      <c r="DI53" s="208"/>
      <c r="DJ53" s="293"/>
      <c r="DK53" s="230"/>
      <c r="DL53" s="506"/>
      <c r="DM53" s="208"/>
      <c r="DN53" s="293"/>
      <c r="DO53" s="230"/>
      <c r="DP53" s="506"/>
      <c r="DQ53" s="516"/>
      <c r="DR53" s="242"/>
      <c r="DS53" s="517"/>
      <c r="DT53" s="293"/>
      <c r="DU53" s="230"/>
      <c r="DV53" s="509"/>
      <c r="DW53" s="510"/>
      <c r="DX53" s="518"/>
      <c r="DY53" s="519"/>
      <c r="DZ53" s="509"/>
      <c r="EA53" s="510"/>
      <c r="EB53" s="293"/>
      <c r="EC53" s="230"/>
      <c r="ED53" s="509"/>
      <c r="EE53" s="517"/>
      <c r="EF53" s="244"/>
      <c r="EG53" s="557"/>
      <c r="EH53" s="285"/>
      <c r="EI53" s="249"/>
    </row>
    <row r="54" spans="1:139" s="204" customFormat="1" x14ac:dyDescent="0.25">
      <c r="A54" s="2242"/>
      <c r="B54" s="23"/>
      <c r="C54" s="524" t="s">
        <v>42</v>
      </c>
      <c r="D54" s="234">
        <v>72.099999999999994</v>
      </c>
      <c r="E54" s="228"/>
      <c r="F54" s="246">
        <v>3.3027943197434718E-2</v>
      </c>
      <c r="G54" s="228"/>
      <c r="H54" s="293" t="s">
        <v>38</v>
      </c>
      <c r="I54" s="230" t="s">
        <v>38</v>
      </c>
      <c r="J54" s="285">
        <v>6306</v>
      </c>
      <c r="K54" s="208"/>
      <c r="L54" s="406" t="s">
        <v>38</v>
      </c>
      <c r="M54" s="505" t="s">
        <v>38</v>
      </c>
      <c r="N54" s="506">
        <v>6306</v>
      </c>
      <c r="O54" s="208"/>
      <c r="P54" s="293" t="s">
        <v>38</v>
      </c>
      <c r="Q54" s="230" t="s">
        <v>38</v>
      </c>
      <c r="R54" s="506">
        <v>0</v>
      </c>
      <c r="S54" s="208"/>
      <c r="T54" s="293" t="s">
        <v>38</v>
      </c>
      <c r="U54" s="230" t="s">
        <v>38</v>
      </c>
      <c r="V54" s="231">
        <v>87.461858529819708</v>
      </c>
      <c r="W54" s="231"/>
      <c r="X54" s="234">
        <v>72.599999999999994</v>
      </c>
      <c r="Y54" s="228"/>
      <c r="Z54" s="246">
        <v>3.3241758241758242E-2</v>
      </c>
      <c r="AA54" s="228"/>
      <c r="AB54" s="293" t="s">
        <v>38</v>
      </c>
      <c r="AC54" s="230" t="s">
        <v>38</v>
      </c>
      <c r="AD54" s="285">
        <v>6437</v>
      </c>
      <c r="AE54" s="208"/>
      <c r="AF54" s="406" t="s">
        <v>38</v>
      </c>
      <c r="AG54" s="505" t="s">
        <v>38</v>
      </c>
      <c r="AH54" s="506">
        <v>6437</v>
      </c>
      <c r="AI54" s="208"/>
      <c r="AJ54" s="293" t="s">
        <v>38</v>
      </c>
      <c r="AK54" s="230" t="s">
        <v>38</v>
      </c>
      <c r="AL54" s="506">
        <v>0</v>
      </c>
      <c r="AM54" s="208"/>
      <c r="AN54" s="293" t="s">
        <v>38</v>
      </c>
      <c r="AO54" s="230" t="s">
        <v>38</v>
      </c>
      <c r="AP54" s="231">
        <v>88.663911845730041</v>
      </c>
      <c r="AQ54" s="231"/>
      <c r="AR54" s="234">
        <v>72.5</v>
      </c>
      <c r="AS54" s="228"/>
      <c r="AT54" s="246">
        <v>3.2835144927536232E-2</v>
      </c>
      <c r="AU54" s="228"/>
      <c r="AV54" s="293" t="s">
        <v>38</v>
      </c>
      <c r="AW54" s="230" t="s">
        <v>38</v>
      </c>
      <c r="AX54" s="285">
        <v>6387</v>
      </c>
      <c r="AY54" s="208"/>
      <c r="AZ54" s="406" t="s">
        <v>38</v>
      </c>
      <c r="BA54" s="505" t="s">
        <v>38</v>
      </c>
      <c r="BB54" s="506">
        <v>6387</v>
      </c>
      <c r="BC54" s="208"/>
      <c r="BD54" s="293" t="s">
        <v>38</v>
      </c>
      <c r="BE54" s="230" t="s">
        <v>38</v>
      </c>
      <c r="BF54" s="506">
        <v>0</v>
      </c>
      <c r="BG54" s="208"/>
      <c r="BH54" s="293" t="s">
        <v>38</v>
      </c>
      <c r="BI54" s="230" t="s">
        <v>38</v>
      </c>
      <c r="BJ54" s="231">
        <v>88.096551724137925</v>
      </c>
      <c r="BK54" s="231"/>
      <c r="BL54" s="234">
        <v>73</v>
      </c>
      <c r="BM54" s="228"/>
      <c r="BN54" s="246">
        <v>3.3046627433227706E-2</v>
      </c>
      <c r="BO54" s="228"/>
      <c r="BP54" s="293" t="s">
        <v>38</v>
      </c>
      <c r="BQ54" s="230" t="s">
        <v>38</v>
      </c>
      <c r="BR54" s="285">
        <v>6460</v>
      </c>
      <c r="BS54" s="208"/>
      <c r="BT54" s="406" t="s">
        <v>38</v>
      </c>
      <c r="BU54" s="505" t="s">
        <v>38</v>
      </c>
      <c r="BV54" s="506">
        <v>6460</v>
      </c>
      <c r="BW54" s="208"/>
      <c r="BX54" s="293" t="s">
        <v>38</v>
      </c>
      <c r="BY54" s="230" t="s">
        <v>38</v>
      </c>
      <c r="BZ54" s="506">
        <v>0</v>
      </c>
      <c r="CA54" s="208"/>
      <c r="CB54" s="293" t="s">
        <v>38</v>
      </c>
      <c r="CC54" s="230" t="s">
        <v>38</v>
      </c>
      <c r="CD54" s="231">
        <v>88.493150684931507</v>
      </c>
      <c r="CE54" s="231"/>
      <c r="CF54" s="508">
        <f t="shared" si="6"/>
        <v>290.2</v>
      </c>
      <c r="CG54" s="231"/>
      <c r="CH54" s="246">
        <f t="shared" si="5"/>
        <v>3.3127853881278535E-2</v>
      </c>
      <c r="CI54" s="232"/>
      <c r="CJ54" s="406" t="s">
        <v>38</v>
      </c>
      <c r="CK54" s="505" t="s">
        <v>38</v>
      </c>
      <c r="CL54" s="506">
        <f t="shared" si="7"/>
        <v>25590</v>
      </c>
      <c r="CM54" s="239"/>
      <c r="CN54" s="209" t="s">
        <v>38</v>
      </c>
      <c r="CO54" s="505" t="s">
        <v>38</v>
      </c>
      <c r="CP54" s="506">
        <f t="shared" si="8"/>
        <v>25590</v>
      </c>
      <c r="CQ54" s="208"/>
      <c r="CR54" s="406" t="s">
        <v>38</v>
      </c>
      <c r="CS54" s="505" t="s">
        <v>38</v>
      </c>
      <c r="CT54" s="506">
        <f t="shared" si="9"/>
        <v>0</v>
      </c>
      <c r="CU54" s="208"/>
      <c r="CV54" s="406" t="s">
        <v>38</v>
      </c>
      <c r="CW54" s="505" t="s">
        <v>38</v>
      </c>
      <c r="CX54" s="506">
        <f t="shared" si="4"/>
        <v>88.180565127498284</v>
      </c>
      <c r="CY54" s="551"/>
      <c r="CZ54" s="512"/>
      <c r="DA54" s="513"/>
      <c r="DB54" s="229"/>
      <c r="DC54" s="515"/>
      <c r="DD54" s="506"/>
      <c r="DE54" s="231"/>
      <c r="DF54" s="293"/>
      <c r="DG54" s="230"/>
      <c r="DH54" s="506"/>
      <c r="DI54" s="208"/>
      <c r="DJ54" s="293"/>
      <c r="DK54" s="230"/>
      <c r="DL54" s="506"/>
      <c r="DM54" s="208"/>
      <c r="DN54" s="293"/>
      <c r="DO54" s="230"/>
      <c r="DP54" s="506"/>
      <c r="DQ54" s="516"/>
      <c r="DR54" s="242"/>
      <c r="DS54" s="517"/>
      <c r="DT54" s="293"/>
      <c r="DU54" s="230"/>
      <c r="DV54" s="509"/>
      <c r="DW54" s="510"/>
      <c r="DX54" s="518"/>
      <c r="DY54" s="519"/>
      <c r="DZ54" s="509"/>
      <c r="EA54" s="510"/>
      <c r="EB54" s="293"/>
      <c r="EC54" s="230"/>
      <c r="ED54" s="509"/>
      <c r="EE54" s="517"/>
      <c r="EF54" s="244"/>
      <c r="EG54" s="557"/>
      <c r="EH54" s="285"/>
      <c r="EI54" s="249"/>
    </row>
    <row r="55" spans="1:139" x14ac:dyDescent="0.25">
      <c r="A55" s="2242"/>
      <c r="B55" s="20"/>
      <c r="C55" s="504" t="s">
        <v>43</v>
      </c>
      <c r="D55" s="234">
        <v>551.79999999999995</v>
      </c>
      <c r="E55" s="228"/>
      <c r="F55" s="246">
        <v>0.25277141548327986</v>
      </c>
      <c r="G55" s="228"/>
      <c r="H55" s="293" t="s">
        <v>38</v>
      </c>
      <c r="I55" s="230" t="s">
        <v>38</v>
      </c>
      <c r="J55" s="285">
        <v>18433</v>
      </c>
      <c r="K55" s="208"/>
      <c r="L55" s="406" t="s">
        <v>38</v>
      </c>
      <c r="M55" s="505" t="s">
        <v>38</v>
      </c>
      <c r="N55" s="506">
        <v>18433</v>
      </c>
      <c r="O55" s="522"/>
      <c r="P55" s="293" t="s">
        <v>38</v>
      </c>
      <c r="Q55" s="230" t="s">
        <v>38</v>
      </c>
      <c r="R55" s="506">
        <v>0</v>
      </c>
      <c r="S55" s="208"/>
      <c r="T55" s="293" t="s">
        <v>38</v>
      </c>
      <c r="U55" s="230" t="s">
        <v>38</v>
      </c>
      <c r="V55" s="231">
        <v>33.405219282348682</v>
      </c>
      <c r="W55" s="231"/>
      <c r="X55" s="234">
        <v>534.20000000000005</v>
      </c>
      <c r="Y55" s="228"/>
      <c r="Z55" s="246">
        <v>0.24459706959706962</v>
      </c>
      <c r="AA55" s="228"/>
      <c r="AB55" s="293" t="s">
        <v>38</v>
      </c>
      <c r="AC55" s="230" t="s">
        <v>38</v>
      </c>
      <c r="AD55" s="285">
        <v>17362</v>
      </c>
      <c r="AE55" s="208"/>
      <c r="AF55" s="406" t="s">
        <v>38</v>
      </c>
      <c r="AG55" s="505" t="s">
        <v>38</v>
      </c>
      <c r="AH55" s="506">
        <v>17362</v>
      </c>
      <c r="AI55" s="522"/>
      <c r="AJ55" s="293" t="s">
        <v>38</v>
      </c>
      <c r="AK55" s="230" t="s">
        <v>38</v>
      </c>
      <c r="AL55" s="506">
        <v>0</v>
      </c>
      <c r="AM55" s="208"/>
      <c r="AN55" s="293" t="s">
        <v>38</v>
      </c>
      <c r="AO55" s="230" t="s">
        <v>38</v>
      </c>
      <c r="AP55" s="231">
        <v>32.500935979034068</v>
      </c>
      <c r="AQ55" s="231"/>
      <c r="AR55" s="234">
        <v>578</v>
      </c>
      <c r="AS55" s="228"/>
      <c r="AT55" s="246">
        <v>0.26177536231884058</v>
      </c>
      <c r="AU55" s="228"/>
      <c r="AV55" s="293" t="s">
        <v>38</v>
      </c>
      <c r="AW55" s="230" t="s">
        <v>38</v>
      </c>
      <c r="AX55" s="285">
        <v>17838</v>
      </c>
      <c r="AY55" s="208"/>
      <c r="AZ55" s="406" t="s">
        <v>38</v>
      </c>
      <c r="BA55" s="505" t="s">
        <v>38</v>
      </c>
      <c r="BB55" s="506">
        <v>17838</v>
      </c>
      <c r="BC55" s="522"/>
      <c r="BD55" s="293" t="s">
        <v>38</v>
      </c>
      <c r="BE55" s="230" t="s">
        <v>38</v>
      </c>
      <c r="BF55" s="506">
        <v>0</v>
      </c>
      <c r="BG55" s="208"/>
      <c r="BH55" s="293" t="s">
        <v>38</v>
      </c>
      <c r="BI55" s="230" t="s">
        <v>38</v>
      </c>
      <c r="BJ55" s="231">
        <v>30.86159169550173</v>
      </c>
      <c r="BK55" s="231"/>
      <c r="BL55" s="234">
        <v>490.5</v>
      </c>
      <c r="BM55" s="228"/>
      <c r="BN55" s="246">
        <v>0.22204617473970123</v>
      </c>
      <c r="BO55" s="228"/>
      <c r="BP55" s="293" t="s">
        <v>38</v>
      </c>
      <c r="BQ55" s="230" t="s">
        <v>38</v>
      </c>
      <c r="BR55" s="285">
        <v>17738</v>
      </c>
      <c r="BS55" s="208"/>
      <c r="BT55" s="406" t="s">
        <v>38</v>
      </c>
      <c r="BU55" s="505" t="s">
        <v>38</v>
      </c>
      <c r="BV55" s="506">
        <v>17738</v>
      </c>
      <c r="BW55" s="522"/>
      <c r="BX55" s="293" t="s">
        <v>38</v>
      </c>
      <c r="BY55" s="230" t="s">
        <v>38</v>
      </c>
      <c r="BZ55" s="506">
        <v>0</v>
      </c>
      <c r="CA55" s="208"/>
      <c r="CB55" s="293" t="s">
        <v>38</v>
      </c>
      <c r="CC55" s="230" t="s">
        <v>38</v>
      </c>
      <c r="CD55" s="231">
        <v>36.163098878695209</v>
      </c>
      <c r="CE55" s="231"/>
      <c r="CF55" s="508">
        <f t="shared" si="6"/>
        <v>2154.5</v>
      </c>
      <c r="CG55" s="231"/>
      <c r="CH55" s="246">
        <f t="shared" si="5"/>
        <v>0.24594748858447488</v>
      </c>
      <c r="CI55" s="554"/>
      <c r="CJ55" s="406" t="s">
        <v>38</v>
      </c>
      <c r="CK55" s="505" t="s">
        <v>38</v>
      </c>
      <c r="CL55" s="506">
        <f t="shared" si="7"/>
        <v>71371</v>
      </c>
      <c r="CM55" s="239"/>
      <c r="CN55" s="209" t="s">
        <v>38</v>
      </c>
      <c r="CO55" s="505" t="s">
        <v>38</v>
      </c>
      <c r="CP55" s="506">
        <f t="shared" si="8"/>
        <v>71371</v>
      </c>
      <c r="CQ55" s="208"/>
      <c r="CR55" s="406" t="s">
        <v>38</v>
      </c>
      <c r="CS55" s="505" t="s">
        <v>38</v>
      </c>
      <c r="CT55" s="506">
        <f t="shared" si="9"/>
        <v>0</v>
      </c>
      <c r="CU55" s="208"/>
      <c r="CV55" s="406" t="s">
        <v>38</v>
      </c>
      <c r="CW55" s="505" t="s">
        <v>38</v>
      </c>
      <c r="CX55" s="506">
        <f t="shared" si="4"/>
        <v>33.12647946159202</v>
      </c>
      <c r="CY55" s="235"/>
      <c r="CZ55" s="512"/>
      <c r="DA55" s="513"/>
      <c r="DB55" s="229"/>
      <c r="DC55" s="515"/>
      <c r="DD55" s="506"/>
      <c r="DE55" s="231"/>
      <c r="DF55" s="293"/>
      <c r="DG55" s="230"/>
      <c r="DH55" s="506"/>
      <c r="DI55" s="208"/>
      <c r="DJ55" s="293"/>
      <c r="DK55" s="230"/>
      <c r="DL55" s="506"/>
      <c r="DM55" s="208"/>
      <c r="DN55" s="293"/>
      <c r="DO55" s="230"/>
      <c r="DP55" s="506"/>
      <c r="DQ55" s="516"/>
      <c r="DR55" s="242"/>
      <c r="DS55" s="517"/>
      <c r="DT55" s="293"/>
      <c r="DU55" s="230"/>
      <c r="DV55" s="509"/>
      <c r="DW55" s="510"/>
      <c r="DX55" s="518"/>
      <c r="DY55" s="519"/>
      <c r="DZ55" s="509"/>
      <c r="EA55" s="510"/>
      <c r="EB55" s="293"/>
      <c r="EC55" s="230"/>
      <c r="ED55" s="509"/>
      <c r="EE55" s="517"/>
      <c r="EF55" s="244"/>
      <c r="EG55" s="557"/>
      <c r="EH55" s="298"/>
      <c r="EI55" s="521"/>
    </row>
    <row r="56" spans="1:139" x14ac:dyDescent="0.25">
      <c r="A56" s="2242"/>
      <c r="B56" s="2184" t="s">
        <v>52</v>
      </c>
      <c r="C56" s="2185"/>
      <c r="D56" s="287">
        <v>4716.8</v>
      </c>
      <c r="E56" s="288"/>
      <c r="F56" s="289">
        <v>0.42892087770189785</v>
      </c>
      <c r="G56" s="288"/>
      <c r="H56" s="290" t="s">
        <v>38</v>
      </c>
      <c r="I56" s="291" t="s">
        <v>38</v>
      </c>
      <c r="J56" s="292">
        <v>94414</v>
      </c>
      <c r="K56" s="525"/>
      <c r="L56" s="407" t="s">
        <v>38</v>
      </c>
      <c r="M56" s="526" t="s">
        <v>38</v>
      </c>
      <c r="N56" s="527">
        <v>94414</v>
      </c>
      <c r="O56" s="528"/>
      <c r="P56" s="290" t="s">
        <v>38</v>
      </c>
      <c r="Q56" s="291" t="s">
        <v>38</v>
      </c>
      <c r="R56" s="527">
        <v>0</v>
      </c>
      <c r="S56" s="528"/>
      <c r="T56" s="290" t="s">
        <v>38</v>
      </c>
      <c r="U56" s="291" t="s">
        <v>38</v>
      </c>
      <c r="V56" s="529">
        <v>20.016536635006783</v>
      </c>
      <c r="W56" s="529"/>
      <c r="X56" s="287">
        <v>4630.8999999999996</v>
      </c>
      <c r="Y56" s="288"/>
      <c r="Z56" s="289">
        <v>0.4209182050373117</v>
      </c>
      <c r="AA56" s="288"/>
      <c r="AB56" s="290" t="s">
        <v>38</v>
      </c>
      <c r="AC56" s="291" t="s">
        <v>38</v>
      </c>
      <c r="AD56" s="292">
        <v>101596</v>
      </c>
      <c r="AE56" s="525"/>
      <c r="AF56" s="407" t="s">
        <v>38</v>
      </c>
      <c r="AG56" s="526" t="s">
        <v>38</v>
      </c>
      <c r="AH56" s="527">
        <v>101596</v>
      </c>
      <c r="AI56" s="528"/>
      <c r="AJ56" s="290" t="s">
        <v>38</v>
      </c>
      <c r="AK56" s="291" t="s">
        <v>38</v>
      </c>
      <c r="AL56" s="527">
        <v>0</v>
      </c>
      <c r="AM56" s="528"/>
      <c r="AN56" s="290" t="s">
        <v>38</v>
      </c>
      <c r="AO56" s="291" t="s">
        <v>38</v>
      </c>
      <c r="AP56" s="529">
        <v>21.938716016325124</v>
      </c>
      <c r="AQ56" s="529"/>
      <c r="AR56" s="287">
        <v>4349.6000000000004</v>
      </c>
      <c r="AS56" s="288"/>
      <c r="AT56" s="289">
        <v>0.39161242110759981</v>
      </c>
      <c r="AU56" s="288"/>
      <c r="AV56" s="290" t="s">
        <v>38</v>
      </c>
      <c r="AW56" s="291" t="s">
        <v>38</v>
      </c>
      <c r="AX56" s="292">
        <v>98481</v>
      </c>
      <c r="AY56" s="525"/>
      <c r="AZ56" s="407" t="s">
        <v>38</v>
      </c>
      <c r="BA56" s="526" t="s">
        <v>38</v>
      </c>
      <c r="BB56" s="527">
        <v>98481</v>
      </c>
      <c r="BC56" s="528"/>
      <c r="BD56" s="290" t="s">
        <v>38</v>
      </c>
      <c r="BE56" s="291" t="s">
        <v>38</v>
      </c>
      <c r="BF56" s="527">
        <v>0</v>
      </c>
      <c r="BG56" s="528"/>
      <c r="BH56" s="290" t="s">
        <v>38</v>
      </c>
      <c r="BI56" s="291" t="s">
        <v>38</v>
      </c>
      <c r="BJ56" s="529">
        <v>22.641392311936727</v>
      </c>
      <c r="BK56" s="529"/>
      <c r="BL56" s="287">
        <v>4749.2</v>
      </c>
      <c r="BM56" s="288"/>
      <c r="BN56" s="289">
        <v>0.42797538051167444</v>
      </c>
      <c r="BO56" s="288"/>
      <c r="BP56" s="290" t="s">
        <v>38</v>
      </c>
      <c r="BQ56" s="291" t="s">
        <v>38</v>
      </c>
      <c r="BR56" s="292">
        <v>99345</v>
      </c>
      <c r="BS56" s="525"/>
      <c r="BT56" s="407" t="s">
        <v>38</v>
      </c>
      <c r="BU56" s="526" t="s">
        <v>38</v>
      </c>
      <c r="BV56" s="527">
        <v>99345</v>
      </c>
      <c r="BW56" s="528"/>
      <c r="BX56" s="290" t="s">
        <v>38</v>
      </c>
      <c r="BY56" s="291" t="s">
        <v>38</v>
      </c>
      <c r="BZ56" s="527">
        <v>0</v>
      </c>
      <c r="CA56" s="528"/>
      <c r="CB56" s="290" t="s">
        <v>38</v>
      </c>
      <c r="CC56" s="291" t="s">
        <v>38</v>
      </c>
      <c r="CD56" s="529">
        <v>20.918259917459782</v>
      </c>
      <c r="CE56" s="529"/>
      <c r="CF56" s="530">
        <f t="shared" si="6"/>
        <v>18446.5</v>
      </c>
      <c r="CG56" s="529"/>
      <c r="CH56" s="289">
        <f>CF56/44202.6</f>
        <v>0.41731708089569391</v>
      </c>
      <c r="CI56" s="531"/>
      <c r="CJ56" s="407" t="s">
        <v>38</v>
      </c>
      <c r="CK56" s="526" t="s">
        <v>38</v>
      </c>
      <c r="CL56" s="527">
        <f t="shared" si="7"/>
        <v>393836</v>
      </c>
      <c r="CM56" s="532"/>
      <c r="CN56" s="533" t="s">
        <v>38</v>
      </c>
      <c r="CO56" s="526" t="s">
        <v>38</v>
      </c>
      <c r="CP56" s="527">
        <f t="shared" si="8"/>
        <v>393836</v>
      </c>
      <c r="CQ56" s="528"/>
      <c r="CR56" s="407" t="s">
        <v>38</v>
      </c>
      <c r="CS56" s="526" t="s">
        <v>38</v>
      </c>
      <c r="CT56" s="527">
        <f t="shared" si="9"/>
        <v>0</v>
      </c>
      <c r="CU56" s="528"/>
      <c r="CV56" s="407" t="s">
        <v>38</v>
      </c>
      <c r="CW56" s="526" t="s">
        <v>38</v>
      </c>
      <c r="CX56" s="527">
        <f t="shared" si="4"/>
        <v>21.350174829913534</v>
      </c>
      <c r="CY56" s="552"/>
      <c r="CZ56" s="534"/>
      <c r="DA56" s="535"/>
      <c r="DB56" s="553"/>
      <c r="DC56" s="537"/>
      <c r="DD56" s="527"/>
      <c r="DE56" s="529"/>
      <c r="DF56" s="290"/>
      <c r="DG56" s="291"/>
      <c r="DH56" s="527"/>
      <c r="DI56" s="528"/>
      <c r="DJ56" s="290"/>
      <c r="DK56" s="291"/>
      <c r="DL56" s="527"/>
      <c r="DM56" s="528"/>
      <c r="DN56" s="290"/>
      <c r="DO56" s="291"/>
      <c r="DP56" s="527"/>
      <c r="DQ56" s="538"/>
      <c r="DR56" s="539"/>
      <c r="DS56" s="540"/>
      <c r="DT56" s="290"/>
      <c r="DU56" s="291"/>
      <c r="DV56" s="496"/>
      <c r="DW56" s="541"/>
      <c r="DX56" s="533"/>
      <c r="DY56" s="542"/>
      <c r="DZ56" s="496"/>
      <c r="EA56" s="541"/>
      <c r="EB56" s="290"/>
      <c r="EC56" s="291"/>
      <c r="ED56" s="496"/>
      <c r="EE56" s="540"/>
      <c r="EF56" s="407"/>
      <c r="EG56" s="558"/>
      <c r="EH56" s="544"/>
      <c r="EI56" s="545"/>
    </row>
    <row r="57" spans="1:139" x14ac:dyDescent="0.25">
      <c r="A57" s="2242"/>
      <c r="B57" s="503"/>
      <c r="C57" s="504" t="s">
        <v>39</v>
      </c>
      <c r="D57" s="234">
        <v>228.20000000000002</v>
      </c>
      <c r="E57" s="228"/>
      <c r="F57" s="246">
        <v>0.10453504351809437</v>
      </c>
      <c r="G57" s="228"/>
      <c r="H57" s="296" t="s">
        <v>38</v>
      </c>
      <c r="I57" s="297" t="s">
        <v>38</v>
      </c>
      <c r="J57" s="298">
        <v>6524</v>
      </c>
      <c r="K57" s="507"/>
      <c r="L57" s="409" t="s">
        <v>38</v>
      </c>
      <c r="M57" s="559" t="s">
        <v>38</v>
      </c>
      <c r="N57" s="556">
        <v>6524</v>
      </c>
      <c r="O57" s="507"/>
      <c r="P57" s="296" t="s">
        <v>38</v>
      </c>
      <c r="Q57" s="297" t="s">
        <v>38</v>
      </c>
      <c r="R57" s="556">
        <v>0</v>
      </c>
      <c r="S57" s="507"/>
      <c r="T57" s="296" t="s">
        <v>38</v>
      </c>
      <c r="U57" s="297" t="s">
        <v>38</v>
      </c>
      <c r="V57" s="231">
        <v>28.588957055214721</v>
      </c>
      <c r="W57" s="231"/>
      <c r="X57" s="234">
        <v>238.3</v>
      </c>
      <c r="Y57" s="228"/>
      <c r="Z57" s="246">
        <v>0.10911172161172161</v>
      </c>
      <c r="AA57" s="228"/>
      <c r="AB57" s="296" t="s">
        <v>38</v>
      </c>
      <c r="AC57" s="297" t="s">
        <v>38</v>
      </c>
      <c r="AD57" s="298">
        <v>6314</v>
      </c>
      <c r="AE57" s="507"/>
      <c r="AF57" s="409" t="s">
        <v>38</v>
      </c>
      <c r="AG57" s="559" t="s">
        <v>38</v>
      </c>
      <c r="AH57" s="556">
        <v>6314</v>
      </c>
      <c r="AI57" s="507"/>
      <c r="AJ57" s="296" t="s">
        <v>38</v>
      </c>
      <c r="AK57" s="297" t="s">
        <v>38</v>
      </c>
      <c r="AL57" s="556">
        <v>0</v>
      </c>
      <c r="AM57" s="507"/>
      <c r="AN57" s="296" t="s">
        <v>38</v>
      </c>
      <c r="AO57" s="297" t="s">
        <v>38</v>
      </c>
      <c r="AP57" s="231">
        <v>26.49601342845153</v>
      </c>
      <c r="AQ57" s="231"/>
      <c r="AR57" s="234">
        <v>225.5</v>
      </c>
      <c r="AS57" s="228"/>
      <c r="AT57" s="246">
        <v>0.10212862318840579</v>
      </c>
      <c r="AU57" s="228"/>
      <c r="AV57" s="296" t="s">
        <v>38</v>
      </c>
      <c r="AW57" s="297" t="s">
        <v>38</v>
      </c>
      <c r="AX57" s="298">
        <v>6604</v>
      </c>
      <c r="AY57" s="507"/>
      <c r="AZ57" s="409" t="s">
        <v>38</v>
      </c>
      <c r="BA57" s="559" t="s">
        <v>38</v>
      </c>
      <c r="BB57" s="556">
        <v>6604</v>
      </c>
      <c r="BC57" s="507"/>
      <c r="BD57" s="296" t="s">
        <v>38</v>
      </c>
      <c r="BE57" s="297" t="s">
        <v>38</v>
      </c>
      <c r="BF57" s="556">
        <v>0</v>
      </c>
      <c r="BG57" s="507"/>
      <c r="BH57" s="296" t="s">
        <v>38</v>
      </c>
      <c r="BI57" s="297" t="s">
        <v>38</v>
      </c>
      <c r="BJ57" s="231">
        <v>29.286031042128602</v>
      </c>
      <c r="BK57" s="231"/>
      <c r="BL57" s="234">
        <v>246.2</v>
      </c>
      <c r="BM57" s="228"/>
      <c r="BN57" s="246">
        <v>0.11145314622000906</v>
      </c>
      <c r="BO57" s="228"/>
      <c r="BP57" s="296" t="s">
        <v>38</v>
      </c>
      <c r="BQ57" s="297" t="s">
        <v>38</v>
      </c>
      <c r="BR57" s="298">
        <v>6093</v>
      </c>
      <c r="BS57" s="507"/>
      <c r="BT57" s="409" t="s">
        <v>38</v>
      </c>
      <c r="BU57" s="559" t="s">
        <v>38</v>
      </c>
      <c r="BV57" s="506">
        <v>6093</v>
      </c>
      <c r="BW57" s="507"/>
      <c r="BX57" s="296" t="s">
        <v>38</v>
      </c>
      <c r="BY57" s="297" t="s">
        <v>38</v>
      </c>
      <c r="BZ57" s="556">
        <v>0</v>
      </c>
      <c r="CA57" s="507"/>
      <c r="CB57" s="296" t="s">
        <v>38</v>
      </c>
      <c r="CC57" s="297" t="s">
        <v>38</v>
      </c>
      <c r="CD57" s="231">
        <v>24.748172217709179</v>
      </c>
      <c r="CE57" s="231"/>
      <c r="CF57" s="508">
        <f t="shared" si="6"/>
        <v>938.2</v>
      </c>
      <c r="CG57" s="231"/>
      <c r="CH57" s="246">
        <f t="shared" si="5"/>
        <v>0.10710045662100458</v>
      </c>
      <c r="CI57" s="554"/>
      <c r="CJ57" s="409" t="s">
        <v>38</v>
      </c>
      <c r="CK57" s="559" t="s">
        <v>38</v>
      </c>
      <c r="CL57" s="506">
        <f t="shared" si="7"/>
        <v>25535</v>
      </c>
      <c r="CM57" s="239"/>
      <c r="CN57" s="560" t="s">
        <v>38</v>
      </c>
      <c r="CO57" s="559" t="s">
        <v>38</v>
      </c>
      <c r="CP57" s="506">
        <f t="shared" si="8"/>
        <v>25535</v>
      </c>
      <c r="CQ57" s="208"/>
      <c r="CR57" s="409" t="s">
        <v>38</v>
      </c>
      <c r="CS57" s="559" t="s">
        <v>38</v>
      </c>
      <c r="CT57" s="506">
        <f t="shared" si="9"/>
        <v>0</v>
      </c>
      <c r="CU57" s="208"/>
      <c r="CV57" s="409" t="s">
        <v>38</v>
      </c>
      <c r="CW57" s="559" t="s">
        <v>38</v>
      </c>
      <c r="CX57" s="506">
        <f t="shared" si="4"/>
        <v>27.217011298230652</v>
      </c>
      <c r="CY57" s="235"/>
      <c r="CZ57" s="512"/>
      <c r="DA57" s="513"/>
      <c r="DB57" s="229"/>
      <c r="DC57" s="515"/>
      <c r="DD57" s="506"/>
      <c r="DE57" s="231"/>
      <c r="DF57" s="296"/>
      <c r="DG57" s="297"/>
      <c r="DH57" s="506"/>
      <c r="DI57" s="208"/>
      <c r="DJ57" s="296"/>
      <c r="DK57" s="297"/>
      <c r="DL57" s="506"/>
      <c r="DM57" s="208"/>
      <c r="DN57" s="296"/>
      <c r="DO57" s="297"/>
      <c r="DP57" s="506"/>
      <c r="DQ57" s="516"/>
      <c r="DR57" s="242"/>
      <c r="DS57" s="517"/>
      <c r="DT57" s="296"/>
      <c r="DU57" s="297"/>
      <c r="DV57" s="509"/>
      <c r="DW57" s="510"/>
      <c r="DX57" s="518"/>
      <c r="DY57" s="519"/>
      <c r="DZ57" s="509"/>
      <c r="EA57" s="510"/>
      <c r="EB57" s="296"/>
      <c r="EC57" s="297"/>
      <c r="ED57" s="509"/>
      <c r="EE57" s="517"/>
      <c r="EF57" s="244"/>
      <c r="EG57" s="557"/>
      <c r="EH57" s="298"/>
      <c r="EI57" s="521"/>
    </row>
    <row r="58" spans="1:139" x14ac:dyDescent="0.25">
      <c r="A58" s="2242"/>
      <c r="B58" s="23"/>
      <c r="C58" s="524" t="s">
        <v>40</v>
      </c>
      <c r="D58" s="234">
        <v>1232.5999999999999</v>
      </c>
      <c r="E58" s="228"/>
      <c r="F58" s="246">
        <v>0.56463582226294085</v>
      </c>
      <c r="G58" s="228"/>
      <c r="H58" s="296" t="s">
        <v>38</v>
      </c>
      <c r="I58" s="297" t="s">
        <v>38</v>
      </c>
      <c r="J58" s="298">
        <v>21849</v>
      </c>
      <c r="K58" s="507"/>
      <c r="L58" s="409" t="s">
        <v>38</v>
      </c>
      <c r="M58" s="559" t="s">
        <v>38</v>
      </c>
      <c r="N58" s="506">
        <v>21849</v>
      </c>
      <c r="O58" s="208"/>
      <c r="P58" s="296" t="s">
        <v>38</v>
      </c>
      <c r="Q58" s="297" t="s">
        <v>38</v>
      </c>
      <c r="R58" s="506">
        <v>0</v>
      </c>
      <c r="S58" s="208"/>
      <c r="T58" s="296" t="s">
        <v>38</v>
      </c>
      <c r="U58" s="297" t="s">
        <v>38</v>
      </c>
      <c r="V58" s="231">
        <v>17.725945156579588</v>
      </c>
      <c r="W58" s="231"/>
      <c r="X58" s="234">
        <v>1230.5999999999999</v>
      </c>
      <c r="Y58" s="228"/>
      <c r="Z58" s="246">
        <v>0.56346153846153846</v>
      </c>
      <c r="AA58" s="228"/>
      <c r="AB58" s="296" t="s">
        <v>38</v>
      </c>
      <c r="AC58" s="297" t="s">
        <v>38</v>
      </c>
      <c r="AD58" s="298">
        <v>24923</v>
      </c>
      <c r="AE58" s="507"/>
      <c r="AF58" s="409" t="s">
        <v>38</v>
      </c>
      <c r="AG58" s="559" t="s">
        <v>38</v>
      </c>
      <c r="AH58" s="506">
        <v>24923</v>
      </c>
      <c r="AI58" s="208"/>
      <c r="AJ58" s="296" t="s">
        <v>38</v>
      </c>
      <c r="AK58" s="297" t="s">
        <v>38</v>
      </c>
      <c r="AL58" s="506">
        <v>0</v>
      </c>
      <c r="AM58" s="208"/>
      <c r="AN58" s="296" t="s">
        <v>38</v>
      </c>
      <c r="AO58" s="297" t="s">
        <v>38</v>
      </c>
      <c r="AP58" s="231">
        <v>20.252722249309283</v>
      </c>
      <c r="AQ58" s="231"/>
      <c r="AR58" s="234">
        <v>1241.2</v>
      </c>
      <c r="AS58" s="228"/>
      <c r="AT58" s="246">
        <v>0.56213768115942031</v>
      </c>
      <c r="AU58" s="228"/>
      <c r="AV58" s="296" t="s">
        <v>38</v>
      </c>
      <c r="AW58" s="297" t="s">
        <v>38</v>
      </c>
      <c r="AX58" s="298">
        <v>23422</v>
      </c>
      <c r="AY58" s="507"/>
      <c r="AZ58" s="409" t="s">
        <v>38</v>
      </c>
      <c r="BA58" s="559" t="s">
        <v>38</v>
      </c>
      <c r="BB58" s="506">
        <v>23422</v>
      </c>
      <c r="BC58" s="208"/>
      <c r="BD58" s="296" t="s">
        <v>38</v>
      </c>
      <c r="BE58" s="297" t="s">
        <v>38</v>
      </c>
      <c r="BF58" s="506">
        <v>0</v>
      </c>
      <c r="BG58" s="208"/>
      <c r="BH58" s="296" t="s">
        <v>38</v>
      </c>
      <c r="BI58" s="297" t="s">
        <v>38</v>
      </c>
      <c r="BJ58" s="231">
        <v>18.870447953593295</v>
      </c>
      <c r="BK58" s="231"/>
      <c r="BL58" s="234">
        <v>1249.5999999999999</v>
      </c>
      <c r="BM58" s="228"/>
      <c r="BN58" s="246">
        <v>0.56568583069262102</v>
      </c>
      <c r="BO58" s="228"/>
      <c r="BP58" s="296" t="s">
        <v>38</v>
      </c>
      <c r="BQ58" s="297" t="s">
        <v>38</v>
      </c>
      <c r="BR58" s="298">
        <v>23468</v>
      </c>
      <c r="BS58" s="507"/>
      <c r="BT58" s="409" t="s">
        <v>38</v>
      </c>
      <c r="BU58" s="559" t="s">
        <v>38</v>
      </c>
      <c r="BV58" s="506">
        <v>23468</v>
      </c>
      <c r="BW58" s="208"/>
      <c r="BX58" s="296" t="s">
        <v>38</v>
      </c>
      <c r="BY58" s="297" t="s">
        <v>38</v>
      </c>
      <c r="BZ58" s="506">
        <v>0</v>
      </c>
      <c r="CA58" s="208"/>
      <c r="CB58" s="296" t="s">
        <v>38</v>
      </c>
      <c r="CC58" s="297" t="s">
        <v>38</v>
      </c>
      <c r="CD58" s="231">
        <v>18.780409731113959</v>
      </c>
      <c r="CE58" s="231"/>
      <c r="CF58" s="508">
        <f t="shared" si="6"/>
        <v>4954</v>
      </c>
      <c r="CG58" s="231"/>
      <c r="CH58" s="246">
        <f t="shared" si="5"/>
        <v>0.5655251141552512</v>
      </c>
      <c r="CI58" s="554"/>
      <c r="CJ58" s="409" t="s">
        <v>38</v>
      </c>
      <c r="CK58" s="559" t="s">
        <v>38</v>
      </c>
      <c r="CL58" s="506">
        <f t="shared" si="7"/>
        <v>93662</v>
      </c>
      <c r="CM58" s="239"/>
      <c r="CN58" s="560" t="s">
        <v>38</v>
      </c>
      <c r="CO58" s="559" t="s">
        <v>38</v>
      </c>
      <c r="CP58" s="506">
        <f t="shared" si="8"/>
        <v>93662</v>
      </c>
      <c r="CQ58" s="208"/>
      <c r="CR58" s="409" t="s">
        <v>38</v>
      </c>
      <c r="CS58" s="559" t="s">
        <v>38</v>
      </c>
      <c r="CT58" s="506">
        <f t="shared" si="9"/>
        <v>0</v>
      </c>
      <c r="CU58" s="208"/>
      <c r="CV58" s="409" t="s">
        <v>38</v>
      </c>
      <c r="CW58" s="559" t="s">
        <v>38</v>
      </c>
      <c r="CX58" s="506">
        <f t="shared" si="4"/>
        <v>18.906338312474769</v>
      </c>
      <c r="CY58" s="235"/>
      <c r="CZ58" s="512"/>
      <c r="DA58" s="513"/>
      <c r="DB58" s="229"/>
      <c r="DC58" s="515"/>
      <c r="DD58" s="506"/>
      <c r="DE58" s="231"/>
      <c r="DF58" s="296"/>
      <c r="DG58" s="297"/>
      <c r="DH58" s="506"/>
      <c r="DI58" s="208"/>
      <c r="DJ58" s="296"/>
      <c r="DK58" s="297"/>
      <c r="DL58" s="506"/>
      <c r="DM58" s="208"/>
      <c r="DN58" s="296"/>
      <c r="DO58" s="297"/>
      <c r="DP58" s="506"/>
      <c r="DQ58" s="516"/>
      <c r="DR58" s="242"/>
      <c r="DS58" s="517"/>
      <c r="DT58" s="296"/>
      <c r="DU58" s="297"/>
      <c r="DV58" s="509"/>
      <c r="DW58" s="510"/>
      <c r="DX58" s="518"/>
      <c r="DY58" s="519"/>
      <c r="DZ58" s="509"/>
      <c r="EA58" s="510"/>
      <c r="EB58" s="296"/>
      <c r="EC58" s="297"/>
      <c r="ED58" s="509"/>
      <c r="EE58" s="517"/>
      <c r="EF58" s="244"/>
      <c r="EG58" s="557"/>
      <c r="EH58" s="298"/>
      <c r="EI58" s="521"/>
    </row>
    <row r="59" spans="1:139" s="204" customFormat="1" x14ac:dyDescent="0.25">
      <c r="A59" s="2242"/>
      <c r="B59" s="23"/>
      <c r="C59" s="524" t="s">
        <v>41</v>
      </c>
      <c r="D59" s="234">
        <v>1018.1</v>
      </c>
      <c r="E59" s="228"/>
      <c r="F59" s="246">
        <v>0.46637654603756301</v>
      </c>
      <c r="G59" s="228"/>
      <c r="H59" s="293" t="s">
        <v>38</v>
      </c>
      <c r="I59" s="230" t="s">
        <v>38</v>
      </c>
      <c r="J59" s="285">
        <v>28894</v>
      </c>
      <c r="K59" s="208"/>
      <c r="L59" s="406" t="s">
        <v>38</v>
      </c>
      <c r="M59" s="505" t="s">
        <v>38</v>
      </c>
      <c r="N59" s="506">
        <v>28894</v>
      </c>
      <c r="O59" s="208"/>
      <c r="P59" s="293" t="s">
        <v>38</v>
      </c>
      <c r="Q59" s="230" t="s">
        <v>38</v>
      </c>
      <c r="R59" s="506">
        <v>0</v>
      </c>
      <c r="S59" s="208"/>
      <c r="T59" s="293" t="s">
        <v>38</v>
      </c>
      <c r="U59" s="230" t="s">
        <v>38</v>
      </c>
      <c r="V59" s="231">
        <v>28.380316275414987</v>
      </c>
      <c r="W59" s="231"/>
      <c r="X59" s="234">
        <v>892.2</v>
      </c>
      <c r="Y59" s="228"/>
      <c r="Z59" s="246">
        <v>0.40851648351648356</v>
      </c>
      <c r="AA59" s="228"/>
      <c r="AB59" s="293" t="s">
        <v>38</v>
      </c>
      <c r="AC59" s="230" t="s">
        <v>38</v>
      </c>
      <c r="AD59" s="285">
        <v>32212</v>
      </c>
      <c r="AE59" s="208"/>
      <c r="AF59" s="406" t="s">
        <v>38</v>
      </c>
      <c r="AG59" s="505" t="s">
        <v>38</v>
      </c>
      <c r="AH59" s="506">
        <v>32212</v>
      </c>
      <c r="AI59" s="208"/>
      <c r="AJ59" s="293" t="s">
        <v>38</v>
      </c>
      <c r="AK59" s="230" t="s">
        <v>38</v>
      </c>
      <c r="AL59" s="506">
        <v>0</v>
      </c>
      <c r="AM59" s="208"/>
      <c r="AN59" s="293" t="s">
        <v>38</v>
      </c>
      <c r="AO59" s="230" t="s">
        <v>38</v>
      </c>
      <c r="AP59" s="231">
        <v>36.10401255323918</v>
      </c>
      <c r="AQ59" s="231"/>
      <c r="AR59" s="234">
        <v>652.80000000000007</v>
      </c>
      <c r="AS59" s="228"/>
      <c r="AT59" s="246">
        <v>0.29565217391304349</v>
      </c>
      <c r="AU59" s="228"/>
      <c r="AV59" s="293" t="s">
        <v>38</v>
      </c>
      <c r="AW59" s="230" t="s">
        <v>38</v>
      </c>
      <c r="AX59" s="285">
        <v>30485</v>
      </c>
      <c r="AY59" s="208"/>
      <c r="AZ59" s="406" t="s">
        <v>38</v>
      </c>
      <c r="BA59" s="505" t="s">
        <v>38</v>
      </c>
      <c r="BB59" s="506">
        <v>30485</v>
      </c>
      <c r="BC59" s="208"/>
      <c r="BD59" s="293" t="s">
        <v>38</v>
      </c>
      <c r="BE59" s="230" t="s">
        <v>38</v>
      </c>
      <c r="BF59" s="506">
        <v>0</v>
      </c>
      <c r="BG59" s="208"/>
      <c r="BH59" s="293" t="s">
        <v>38</v>
      </c>
      <c r="BI59" s="230" t="s">
        <v>38</v>
      </c>
      <c r="BJ59" s="231">
        <v>46.698835784313722</v>
      </c>
      <c r="BK59" s="231"/>
      <c r="BL59" s="234">
        <v>1056.3</v>
      </c>
      <c r="BM59" s="228"/>
      <c r="BN59" s="246">
        <v>0.47818017202354002</v>
      </c>
      <c r="BO59" s="228"/>
      <c r="BP59" s="293" t="s">
        <v>38</v>
      </c>
      <c r="BQ59" s="230" t="s">
        <v>38</v>
      </c>
      <c r="BR59" s="285">
        <v>32173</v>
      </c>
      <c r="BS59" s="208"/>
      <c r="BT59" s="406" t="s">
        <v>38</v>
      </c>
      <c r="BU59" s="505" t="s">
        <v>38</v>
      </c>
      <c r="BV59" s="506">
        <v>32173</v>
      </c>
      <c r="BW59" s="208"/>
      <c r="BX59" s="293" t="s">
        <v>38</v>
      </c>
      <c r="BY59" s="230" t="s">
        <v>38</v>
      </c>
      <c r="BZ59" s="506">
        <v>0</v>
      </c>
      <c r="CA59" s="208"/>
      <c r="CB59" s="293" t="s">
        <v>38</v>
      </c>
      <c r="CC59" s="230" t="s">
        <v>38</v>
      </c>
      <c r="CD59" s="231">
        <v>30.458203161980499</v>
      </c>
      <c r="CE59" s="231"/>
      <c r="CF59" s="508">
        <f t="shared" si="6"/>
        <v>3619.4</v>
      </c>
      <c r="CG59" s="231"/>
      <c r="CH59" s="246">
        <f t="shared" si="5"/>
        <v>0.41317351598173518</v>
      </c>
      <c r="CI59" s="232"/>
      <c r="CJ59" s="406" t="s">
        <v>38</v>
      </c>
      <c r="CK59" s="505" t="s">
        <v>38</v>
      </c>
      <c r="CL59" s="506">
        <f t="shared" si="7"/>
        <v>123764</v>
      </c>
      <c r="CM59" s="239"/>
      <c r="CN59" s="209" t="s">
        <v>38</v>
      </c>
      <c r="CO59" s="505" t="s">
        <v>38</v>
      </c>
      <c r="CP59" s="506">
        <f t="shared" si="8"/>
        <v>123764</v>
      </c>
      <c r="CQ59" s="208"/>
      <c r="CR59" s="406" t="s">
        <v>38</v>
      </c>
      <c r="CS59" s="505" t="s">
        <v>38</v>
      </c>
      <c r="CT59" s="506">
        <f t="shared" si="9"/>
        <v>0</v>
      </c>
      <c r="CU59" s="208"/>
      <c r="CV59" s="406" t="s">
        <v>38</v>
      </c>
      <c r="CW59" s="505" t="s">
        <v>38</v>
      </c>
      <c r="CX59" s="506">
        <f t="shared" si="4"/>
        <v>34.194617892468365</v>
      </c>
      <c r="CY59" s="551"/>
      <c r="CZ59" s="512"/>
      <c r="DA59" s="513"/>
      <c r="DB59" s="229"/>
      <c r="DC59" s="515"/>
      <c r="DD59" s="506"/>
      <c r="DE59" s="231"/>
      <c r="DF59" s="293"/>
      <c r="DG59" s="230"/>
      <c r="DH59" s="506"/>
      <c r="DI59" s="208"/>
      <c r="DJ59" s="293"/>
      <c r="DK59" s="230"/>
      <c r="DL59" s="506"/>
      <c r="DM59" s="208"/>
      <c r="DN59" s="293"/>
      <c r="DO59" s="230"/>
      <c r="DP59" s="506"/>
      <c r="DQ59" s="516"/>
      <c r="DR59" s="242"/>
      <c r="DS59" s="517"/>
      <c r="DT59" s="293"/>
      <c r="DU59" s="230"/>
      <c r="DV59" s="509"/>
      <c r="DW59" s="510"/>
      <c r="DX59" s="518"/>
      <c r="DY59" s="519"/>
      <c r="DZ59" s="509"/>
      <c r="EA59" s="510"/>
      <c r="EB59" s="293"/>
      <c r="EC59" s="230"/>
      <c r="ED59" s="509"/>
      <c r="EE59" s="517"/>
      <c r="EF59" s="244"/>
      <c r="EG59" s="557"/>
      <c r="EH59" s="285"/>
      <c r="EI59" s="249"/>
    </row>
    <row r="60" spans="1:139" x14ac:dyDescent="0.25">
      <c r="A60" s="2242"/>
      <c r="B60" s="23"/>
      <c r="C60" s="524" t="s">
        <v>42</v>
      </c>
      <c r="D60" s="234">
        <v>968.9</v>
      </c>
      <c r="E60" s="228"/>
      <c r="F60" s="246">
        <v>0.44383875400824552</v>
      </c>
      <c r="G60" s="228"/>
      <c r="H60" s="296" t="s">
        <v>38</v>
      </c>
      <c r="I60" s="297" t="s">
        <v>38</v>
      </c>
      <c r="J60" s="298">
        <v>18257</v>
      </c>
      <c r="K60" s="507"/>
      <c r="L60" s="409" t="s">
        <v>38</v>
      </c>
      <c r="M60" s="559" t="s">
        <v>38</v>
      </c>
      <c r="N60" s="506">
        <v>18257</v>
      </c>
      <c r="O60" s="522"/>
      <c r="P60" s="296" t="s">
        <v>38</v>
      </c>
      <c r="Q60" s="297" t="s">
        <v>38</v>
      </c>
      <c r="R60" s="506">
        <v>0</v>
      </c>
      <c r="S60" s="208"/>
      <c r="T60" s="296" t="s">
        <v>38</v>
      </c>
      <c r="U60" s="297" t="s">
        <v>38</v>
      </c>
      <c r="V60" s="231">
        <v>18.843017855299824</v>
      </c>
      <c r="W60" s="231"/>
      <c r="X60" s="234">
        <v>970.4</v>
      </c>
      <c r="Y60" s="228"/>
      <c r="Z60" s="246">
        <v>0.4443223443223443</v>
      </c>
      <c r="AA60" s="228"/>
      <c r="AB60" s="296" t="s">
        <v>38</v>
      </c>
      <c r="AC60" s="297" t="s">
        <v>38</v>
      </c>
      <c r="AD60" s="298">
        <v>20080</v>
      </c>
      <c r="AE60" s="507"/>
      <c r="AF60" s="409" t="s">
        <v>38</v>
      </c>
      <c r="AG60" s="559" t="s">
        <v>38</v>
      </c>
      <c r="AH60" s="506">
        <v>20080</v>
      </c>
      <c r="AI60" s="522"/>
      <c r="AJ60" s="296" t="s">
        <v>38</v>
      </c>
      <c r="AK60" s="297" t="s">
        <v>38</v>
      </c>
      <c r="AL60" s="506">
        <v>0</v>
      </c>
      <c r="AM60" s="208"/>
      <c r="AN60" s="296" t="s">
        <v>38</v>
      </c>
      <c r="AO60" s="297" t="s">
        <v>38</v>
      </c>
      <c r="AP60" s="231">
        <v>20.692497938994229</v>
      </c>
      <c r="AQ60" s="231"/>
      <c r="AR60" s="234">
        <v>980.7</v>
      </c>
      <c r="AS60" s="228"/>
      <c r="AT60" s="246">
        <v>0.44415760869565218</v>
      </c>
      <c r="AU60" s="228"/>
      <c r="AV60" s="296" t="s">
        <v>38</v>
      </c>
      <c r="AW60" s="297" t="s">
        <v>38</v>
      </c>
      <c r="AX60" s="298">
        <v>19389</v>
      </c>
      <c r="AY60" s="507"/>
      <c r="AZ60" s="409" t="s">
        <v>38</v>
      </c>
      <c r="BA60" s="559" t="s">
        <v>38</v>
      </c>
      <c r="BB60" s="506">
        <v>19389</v>
      </c>
      <c r="BC60" s="522"/>
      <c r="BD60" s="296" t="s">
        <v>38</v>
      </c>
      <c r="BE60" s="297" t="s">
        <v>38</v>
      </c>
      <c r="BF60" s="506">
        <v>0</v>
      </c>
      <c r="BG60" s="208"/>
      <c r="BH60" s="296" t="s">
        <v>38</v>
      </c>
      <c r="BI60" s="297" t="s">
        <v>38</v>
      </c>
      <c r="BJ60" s="231">
        <v>19.770572040379321</v>
      </c>
      <c r="BK60" s="231"/>
      <c r="BL60" s="234">
        <v>981</v>
      </c>
      <c r="BM60" s="228"/>
      <c r="BN60" s="246">
        <v>0.44409234947940246</v>
      </c>
      <c r="BO60" s="228"/>
      <c r="BP60" s="296" t="s">
        <v>38</v>
      </c>
      <c r="BQ60" s="297" t="s">
        <v>38</v>
      </c>
      <c r="BR60" s="298">
        <v>19336</v>
      </c>
      <c r="BS60" s="507"/>
      <c r="BT60" s="409" t="s">
        <v>38</v>
      </c>
      <c r="BU60" s="559" t="s">
        <v>38</v>
      </c>
      <c r="BV60" s="506">
        <v>19336</v>
      </c>
      <c r="BW60" s="522"/>
      <c r="BX60" s="296" t="s">
        <v>38</v>
      </c>
      <c r="BY60" s="297" t="s">
        <v>38</v>
      </c>
      <c r="BZ60" s="506">
        <v>0</v>
      </c>
      <c r="CA60" s="208"/>
      <c r="CB60" s="296" t="s">
        <v>38</v>
      </c>
      <c r="CC60" s="297" t="s">
        <v>38</v>
      </c>
      <c r="CD60" s="231">
        <v>19.710499490316003</v>
      </c>
      <c r="CE60" s="231"/>
      <c r="CF60" s="508">
        <f t="shared" si="6"/>
        <v>3901</v>
      </c>
      <c r="CG60" s="231"/>
      <c r="CH60" s="246">
        <f t="shared" si="5"/>
        <v>0.44531963470319635</v>
      </c>
      <c r="CI60" s="554"/>
      <c r="CJ60" s="409" t="s">
        <v>38</v>
      </c>
      <c r="CK60" s="559" t="s">
        <v>38</v>
      </c>
      <c r="CL60" s="506">
        <f t="shared" si="7"/>
        <v>77062</v>
      </c>
      <c r="CM60" s="239"/>
      <c r="CN60" s="560" t="s">
        <v>38</v>
      </c>
      <c r="CO60" s="559" t="s">
        <v>38</v>
      </c>
      <c r="CP60" s="506">
        <f t="shared" si="8"/>
        <v>77062</v>
      </c>
      <c r="CQ60" s="208"/>
      <c r="CR60" s="409" t="s">
        <v>38</v>
      </c>
      <c r="CS60" s="559" t="s">
        <v>38</v>
      </c>
      <c r="CT60" s="506">
        <f t="shared" si="9"/>
        <v>0</v>
      </c>
      <c r="CU60" s="208"/>
      <c r="CV60" s="409" t="s">
        <v>38</v>
      </c>
      <c r="CW60" s="559" t="s">
        <v>38</v>
      </c>
      <c r="CX60" s="506">
        <f t="shared" si="4"/>
        <v>19.754421943091515</v>
      </c>
      <c r="CY60" s="235"/>
      <c r="CZ60" s="512"/>
      <c r="DA60" s="513"/>
      <c r="DB60" s="229"/>
      <c r="DC60" s="515"/>
      <c r="DD60" s="506"/>
      <c r="DE60" s="231"/>
      <c r="DF60" s="296"/>
      <c r="DG60" s="297"/>
      <c r="DH60" s="506"/>
      <c r="DI60" s="208"/>
      <c r="DJ60" s="296"/>
      <c r="DK60" s="297"/>
      <c r="DL60" s="506"/>
      <c r="DM60" s="208"/>
      <c r="DN60" s="296"/>
      <c r="DO60" s="297"/>
      <c r="DP60" s="506"/>
      <c r="DQ60" s="516"/>
      <c r="DR60" s="242"/>
      <c r="DS60" s="517"/>
      <c r="DT60" s="296"/>
      <c r="DU60" s="297"/>
      <c r="DV60" s="509"/>
      <c r="DW60" s="510"/>
      <c r="DX60" s="518"/>
      <c r="DY60" s="245"/>
      <c r="DZ60" s="509"/>
      <c r="EA60" s="510"/>
      <c r="EB60" s="296"/>
      <c r="EC60" s="297"/>
      <c r="ED60" s="509"/>
      <c r="EE60" s="517"/>
      <c r="EF60" s="244"/>
      <c r="EG60" s="557"/>
      <c r="EH60" s="298"/>
      <c r="EI60" s="521"/>
    </row>
    <row r="61" spans="1:139" x14ac:dyDescent="0.25">
      <c r="A61" s="2242"/>
      <c r="B61" s="22"/>
      <c r="C61" s="504" t="s">
        <v>43</v>
      </c>
      <c r="D61" s="234">
        <v>1269</v>
      </c>
      <c r="E61" s="228"/>
      <c r="F61" s="246">
        <v>0.58131012368300505</v>
      </c>
      <c r="G61" s="228"/>
      <c r="H61" s="296" t="s">
        <v>38</v>
      </c>
      <c r="I61" s="297" t="s">
        <v>38</v>
      </c>
      <c r="J61" s="298">
        <v>18890</v>
      </c>
      <c r="K61" s="507"/>
      <c r="L61" s="409" t="s">
        <v>38</v>
      </c>
      <c r="M61" s="559" t="s">
        <v>38</v>
      </c>
      <c r="N61" s="506">
        <v>18890</v>
      </c>
      <c r="O61" s="522"/>
      <c r="P61" s="296" t="s">
        <v>38</v>
      </c>
      <c r="Q61" s="297" t="s">
        <v>38</v>
      </c>
      <c r="R61" s="506">
        <v>0</v>
      </c>
      <c r="S61" s="208"/>
      <c r="T61" s="296" t="s">
        <v>38</v>
      </c>
      <c r="U61" s="297" t="s">
        <v>38</v>
      </c>
      <c r="V61" s="231">
        <v>14.885736800630418</v>
      </c>
      <c r="W61" s="231"/>
      <c r="X61" s="234">
        <v>1299.4000000000001</v>
      </c>
      <c r="Y61" s="228"/>
      <c r="Z61" s="246">
        <v>0.59496336996336996</v>
      </c>
      <c r="AA61" s="228"/>
      <c r="AB61" s="296" t="s">
        <v>38</v>
      </c>
      <c r="AC61" s="297" t="s">
        <v>38</v>
      </c>
      <c r="AD61" s="298">
        <v>18067</v>
      </c>
      <c r="AE61" s="507"/>
      <c r="AF61" s="409" t="s">
        <v>38</v>
      </c>
      <c r="AG61" s="559" t="s">
        <v>38</v>
      </c>
      <c r="AH61" s="506">
        <v>18067</v>
      </c>
      <c r="AI61" s="522"/>
      <c r="AJ61" s="296" t="s">
        <v>38</v>
      </c>
      <c r="AK61" s="297" t="s">
        <v>38</v>
      </c>
      <c r="AL61" s="506">
        <v>0</v>
      </c>
      <c r="AM61" s="208"/>
      <c r="AN61" s="296" t="s">
        <v>38</v>
      </c>
      <c r="AO61" s="297" t="s">
        <v>38</v>
      </c>
      <c r="AP61" s="231">
        <v>13.904109589041095</v>
      </c>
      <c r="AQ61" s="231"/>
      <c r="AR61" s="234">
        <v>1249.4000000000001</v>
      </c>
      <c r="AS61" s="228"/>
      <c r="AT61" s="246">
        <v>0.56585144927536235</v>
      </c>
      <c r="AU61" s="228"/>
      <c r="AV61" s="296" t="s">
        <v>38</v>
      </c>
      <c r="AW61" s="297" t="s">
        <v>38</v>
      </c>
      <c r="AX61" s="298">
        <v>18581</v>
      </c>
      <c r="AY61" s="507"/>
      <c r="AZ61" s="409" t="s">
        <v>38</v>
      </c>
      <c r="BA61" s="559" t="s">
        <v>38</v>
      </c>
      <c r="BB61" s="506">
        <v>18581</v>
      </c>
      <c r="BC61" s="522"/>
      <c r="BD61" s="296" t="s">
        <v>38</v>
      </c>
      <c r="BE61" s="297" t="s">
        <v>38</v>
      </c>
      <c r="BF61" s="506">
        <v>0</v>
      </c>
      <c r="BG61" s="208"/>
      <c r="BH61" s="296" t="s">
        <v>38</v>
      </c>
      <c r="BI61" s="297" t="s">
        <v>38</v>
      </c>
      <c r="BJ61" s="231">
        <v>14.871938530494637</v>
      </c>
      <c r="BK61" s="231"/>
      <c r="BL61" s="234">
        <v>1216.0999999999999</v>
      </c>
      <c r="BM61" s="228"/>
      <c r="BN61" s="246">
        <v>0.5505205975554549</v>
      </c>
      <c r="BO61" s="228"/>
      <c r="BP61" s="296" t="s">
        <v>38</v>
      </c>
      <c r="BQ61" s="297" t="s">
        <v>38</v>
      </c>
      <c r="BR61" s="298">
        <v>18275</v>
      </c>
      <c r="BS61" s="507"/>
      <c r="BT61" s="409" t="s">
        <v>38</v>
      </c>
      <c r="BU61" s="559" t="s">
        <v>38</v>
      </c>
      <c r="BV61" s="506">
        <v>18275</v>
      </c>
      <c r="BW61" s="522"/>
      <c r="BX61" s="296" t="s">
        <v>38</v>
      </c>
      <c r="BY61" s="297" t="s">
        <v>38</v>
      </c>
      <c r="BZ61" s="506">
        <v>0</v>
      </c>
      <c r="CA61" s="208"/>
      <c r="CB61" s="296" t="s">
        <v>38</v>
      </c>
      <c r="CC61" s="297" t="s">
        <v>38</v>
      </c>
      <c r="CD61" s="231">
        <v>15.027547076720666</v>
      </c>
      <c r="CE61" s="231"/>
      <c r="CF61" s="508">
        <f t="shared" si="6"/>
        <v>5033.8999999999996</v>
      </c>
      <c r="CG61" s="231"/>
      <c r="CH61" s="246">
        <f t="shared" si="5"/>
        <v>0.5746461187214611</v>
      </c>
      <c r="CI61" s="232"/>
      <c r="CJ61" s="409" t="s">
        <v>38</v>
      </c>
      <c r="CK61" s="559" t="s">
        <v>38</v>
      </c>
      <c r="CL61" s="506">
        <f t="shared" si="7"/>
        <v>73813</v>
      </c>
      <c r="CM61" s="239"/>
      <c r="CN61" s="560" t="s">
        <v>38</v>
      </c>
      <c r="CO61" s="559" t="s">
        <v>38</v>
      </c>
      <c r="CP61" s="506">
        <f t="shared" si="8"/>
        <v>73813</v>
      </c>
      <c r="CQ61" s="208"/>
      <c r="CR61" s="409" t="s">
        <v>38</v>
      </c>
      <c r="CS61" s="559" t="s">
        <v>38</v>
      </c>
      <c r="CT61" s="506">
        <f t="shared" si="9"/>
        <v>0</v>
      </c>
      <c r="CU61" s="208"/>
      <c r="CV61" s="409" t="s">
        <v>38</v>
      </c>
      <c r="CW61" s="559" t="s">
        <v>38</v>
      </c>
      <c r="CX61" s="506">
        <f t="shared" si="4"/>
        <v>14.663183615089693</v>
      </c>
      <c r="CY61" s="235"/>
      <c r="CZ61" s="512"/>
      <c r="DA61" s="513"/>
      <c r="DB61" s="229"/>
      <c r="DC61" s="515"/>
      <c r="DD61" s="506"/>
      <c r="DE61" s="231"/>
      <c r="DF61" s="296"/>
      <c r="DG61" s="297"/>
      <c r="DH61" s="506"/>
      <c r="DI61" s="208"/>
      <c r="DJ61" s="296"/>
      <c r="DK61" s="297"/>
      <c r="DL61" s="506"/>
      <c r="DM61" s="208"/>
      <c r="DN61" s="296"/>
      <c r="DO61" s="297"/>
      <c r="DP61" s="506"/>
      <c r="DQ61" s="516"/>
      <c r="DR61" s="242"/>
      <c r="DS61" s="517"/>
      <c r="DT61" s="296"/>
      <c r="DU61" s="297"/>
      <c r="DV61" s="509"/>
      <c r="DW61" s="510"/>
      <c r="DX61" s="518"/>
      <c r="DY61" s="519"/>
      <c r="DZ61" s="509"/>
      <c r="EA61" s="510"/>
      <c r="EB61" s="296"/>
      <c r="EC61" s="297"/>
      <c r="ED61" s="509"/>
      <c r="EE61" s="517"/>
      <c r="EF61" s="244"/>
      <c r="EG61" s="557"/>
      <c r="EH61" s="298"/>
      <c r="EI61" s="521"/>
    </row>
    <row r="62" spans="1:139" ht="15.75" thickBot="1" x14ac:dyDescent="0.3">
      <c r="A62" s="2243"/>
      <c r="B62" s="25" t="s">
        <v>53</v>
      </c>
      <c r="C62" s="26"/>
      <c r="D62" s="299">
        <v>10218.300000000001</v>
      </c>
      <c r="E62" s="27"/>
      <c r="F62" s="182">
        <v>0.9291982285916941</v>
      </c>
      <c r="G62" s="33"/>
      <c r="H62" s="28" t="s">
        <v>38</v>
      </c>
      <c r="I62" s="29" t="s">
        <v>38</v>
      </c>
      <c r="J62" s="300">
        <v>1373744.7955981733</v>
      </c>
      <c r="K62" s="34"/>
      <c r="L62" s="410" t="s">
        <v>38</v>
      </c>
      <c r="M62" s="30" t="s">
        <v>38</v>
      </c>
      <c r="N62" s="31">
        <v>1355613.7825981732</v>
      </c>
      <c r="O62" s="35"/>
      <c r="P62" s="28" t="s">
        <v>38</v>
      </c>
      <c r="Q62" s="29" t="s">
        <v>38</v>
      </c>
      <c r="R62" s="31">
        <v>18131.012999999999</v>
      </c>
      <c r="S62" s="35">
        <v>0</v>
      </c>
      <c r="T62" s="28" t="s">
        <v>38</v>
      </c>
      <c r="U62" s="32" t="s">
        <v>38</v>
      </c>
      <c r="V62" s="31">
        <v>134.43966174394694</v>
      </c>
      <c r="W62" s="36"/>
      <c r="X62" s="299">
        <v>10012.499999999998</v>
      </c>
      <c r="Y62" s="27"/>
      <c r="Z62" s="182">
        <v>0.91007007880457003</v>
      </c>
      <c r="AA62" s="33"/>
      <c r="AB62" s="28" t="s">
        <v>38</v>
      </c>
      <c r="AC62" s="29" t="s">
        <v>38</v>
      </c>
      <c r="AD62" s="300">
        <v>1326683.7571291032</v>
      </c>
      <c r="AE62" s="34"/>
      <c r="AF62" s="410" t="s">
        <v>38</v>
      </c>
      <c r="AG62" s="30" t="s">
        <v>38</v>
      </c>
      <c r="AH62" s="31">
        <v>1308552.7571291032</v>
      </c>
      <c r="AI62" s="35"/>
      <c r="AJ62" s="28" t="s">
        <v>38</v>
      </c>
      <c r="AK62" s="29" t="s">
        <v>38</v>
      </c>
      <c r="AL62" s="31">
        <v>18131</v>
      </c>
      <c r="AM62" s="35">
        <v>0</v>
      </c>
      <c r="AN62" s="28" t="s">
        <v>38</v>
      </c>
      <c r="AO62" s="32" t="s">
        <v>38</v>
      </c>
      <c r="AP62" s="31">
        <v>132.50274727881182</v>
      </c>
      <c r="AQ62" s="36"/>
      <c r="AR62" s="299">
        <v>9785.8000000000011</v>
      </c>
      <c r="AS62" s="27"/>
      <c r="AT62" s="182">
        <v>0.88105592019375356</v>
      </c>
      <c r="AU62" s="33"/>
      <c r="AV62" s="28" t="s">
        <v>38</v>
      </c>
      <c r="AW62" s="29" t="s">
        <v>38</v>
      </c>
      <c r="AX62" s="300">
        <v>1264533.0747065835</v>
      </c>
      <c r="AY62" s="34"/>
      <c r="AZ62" s="410" t="s">
        <v>38</v>
      </c>
      <c r="BA62" s="30" t="s">
        <v>38</v>
      </c>
      <c r="BB62" s="31">
        <v>1238041.0747065835</v>
      </c>
      <c r="BC62" s="35"/>
      <c r="BD62" s="28" t="s">
        <v>38</v>
      </c>
      <c r="BE62" s="29" t="s">
        <v>38</v>
      </c>
      <c r="BF62" s="31">
        <v>26492</v>
      </c>
      <c r="BG62" s="35">
        <v>0</v>
      </c>
      <c r="BH62" s="28" t="s">
        <v>38</v>
      </c>
      <c r="BI62" s="32" t="s">
        <v>38</v>
      </c>
      <c r="BJ62" s="31">
        <v>129.22122613445845</v>
      </c>
      <c r="BK62" s="36"/>
      <c r="BL62" s="299">
        <v>10312.800000000001</v>
      </c>
      <c r="BM62" s="27"/>
      <c r="BN62" s="182">
        <v>0.92934062666150019</v>
      </c>
      <c r="BO62" s="33"/>
      <c r="BP62" s="28" t="s">
        <v>38</v>
      </c>
      <c r="BQ62" s="29" t="s">
        <v>38</v>
      </c>
      <c r="BR62" s="300">
        <v>1333569.6692756279</v>
      </c>
      <c r="BS62" s="34"/>
      <c r="BT62" s="410" t="s">
        <v>38</v>
      </c>
      <c r="BU62" s="30" t="s">
        <v>38</v>
      </c>
      <c r="BV62" s="31">
        <v>1315438.6692756279</v>
      </c>
      <c r="BW62" s="35"/>
      <c r="BX62" s="28" t="s">
        <v>38</v>
      </c>
      <c r="BY62" s="29" t="s">
        <v>38</v>
      </c>
      <c r="BZ62" s="31">
        <v>18131</v>
      </c>
      <c r="CA62" s="35">
        <v>0</v>
      </c>
      <c r="CB62" s="28" t="s">
        <v>38</v>
      </c>
      <c r="CC62" s="32" t="s">
        <v>38</v>
      </c>
      <c r="CD62" s="31">
        <v>129.31208491153012</v>
      </c>
      <c r="CE62" s="36"/>
      <c r="CF62" s="561">
        <f t="shared" si="6"/>
        <v>40329.4</v>
      </c>
      <c r="CG62" s="34"/>
      <c r="CH62" s="182">
        <f>CF62/44202.6</f>
        <v>0.91237619506544865</v>
      </c>
      <c r="CI62" s="37"/>
      <c r="CJ62" s="410" t="s">
        <v>38</v>
      </c>
      <c r="CK62" s="30" t="s">
        <v>38</v>
      </c>
      <c r="CL62" s="562">
        <f t="shared" si="7"/>
        <v>5298531.2967094881</v>
      </c>
      <c r="CM62" s="38"/>
      <c r="CN62" s="39" t="s">
        <v>38</v>
      </c>
      <c r="CO62" s="30" t="s">
        <v>38</v>
      </c>
      <c r="CP62" s="562">
        <f t="shared" si="8"/>
        <v>5217646.2837094879</v>
      </c>
      <c r="CQ62" s="34"/>
      <c r="CR62" s="410" t="s">
        <v>38</v>
      </c>
      <c r="CS62" s="30" t="s">
        <v>38</v>
      </c>
      <c r="CT62" s="562">
        <f t="shared" si="9"/>
        <v>80885.013000000006</v>
      </c>
      <c r="CU62" s="34"/>
      <c r="CV62" s="410" t="s">
        <v>38</v>
      </c>
      <c r="CW62" s="30" t="s">
        <v>38</v>
      </c>
      <c r="CX62" s="562">
        <f t="shared" si="4"/>
        <v>131.38135694330904</v>
      </c>
      <c r="CY62" s="563"/>
      <c r="CZ62" s="40"/>
      <c r="DA62" s="225"/>
      <c r="DB62" s="41"/>
      <c r="DC62" s="42"/>
      <c r="DD62" s="43"/>
      <c r="DE62" s="36"/>
      <c r="DF62" s="28"/>
      <c r="DG62" s="29"/>
      <c r="DH62" s="31"/>
      <c r="DI62" s="35"/>
      <c r="DJ62" s="28"/>
      <c r="DK62" s="29"/>
      <c r="DL62" s="31"/>
      <c r="DM62" s="35"/>
      <c r="DN62" s="28"/>
      <c r="DO62" s="32"/>
      <c r="DP62" s="31"/>
      <c r="DQ62" s="44"/>
      <c r="DR62" s="45"/>
      <c r="DS62" s="176"/>
      <c r="DT62" s="28"/>
      <c r="DU62" s="29"/>
      <c r="DV62" s="46"/>
      <c r="DW62" s="179"/>
      <c r="DX62" s="47"/>
      <c r="DY62" s="48"/>
      <c r="DZ62" s="46"/>
      <c r="EA62" s="179"/>
      <c r="EB62" s="28"/>
      <c r="EC62" s="29"/>
      <c r="ED62" s="46"/>
      <c r="EE62" s="176"/>
      <c r="EF62" s="203"/>
      <c r="EG62" s="48"/>
      <c r="EH62" s="564"/>
      <c r="EI62" s="565"/>
    </row>
    <row r="63" spans="1:139" ht="45" x14ac:dyDescent="0.25">
      <c r="A63" s="2241" t="s">
        <v>54</v>
      </c>
      <c r="B63" s="566" t="s">
        <v>55</v>
      </c>
      <c r="C63" s="49"/>
      <c r="D63" s="301" t="s">
        <v>38</v>
      </c>
      <c r="E63" s="302"/>
      <c r="F63" s="302" t="s">
        <v>38</v>
      </c>
      <c r="G63" s="302"/>
      <c r="H63" s="303" t="s">
        <v>38</v>
      </c>
      <c r="I63" s="304" t="s">
        <v>38</v>
      </c>
      <c r="J63" s="303" t="s">
        <v>38</v>
      </c>
      <c r="K63" s="567"/>
      <c r="L63" s="411" t="s">
        <v>38</v>
      </c>
      <c r="M63" s="568" t="s">
        <v>38</v>
      </c>
      <c r="N63" s="569" t="s">
        <v>38</v>
      </c>
      <c r="O63" s="411"/>
      <c r="P63" s="303" t="s">
        <v>38</v>
      </c>
      <c r="Q63" s="304" t="s">
        <v>38</v>
      </c>
      <c r="R63" s="411" t="s">
        <v>38</v>
      </c>
      <c r="S63" s="411"/>
      <c r="T63" s="303" t="s">
        <v>38</v>
      </c>
      <c r="U63" s="304" t="s">
        <v>38</v>
      </c>
      <c r="V63" s="569" t="s">
        <v>38</v>
      </c>
      <c r="W63" s="570"/>
      <c r="X63" s="301" t="s">
        <v>38</v>
      </c>
      <c r="Y63" s="302"/>
      <c r="Z63" s="302" t="s">
        <v>38</v>
      </c>
      <c r="AA63" s="302"/>
      <c r="AB63" s="303" t="s">
        <v>38</v>
      </c>
      <c r="AC63" s="304" t="s">
        <v>38</v>
      </c>
      <c r="AD63" s="303" t="s">
        <v>38</v>
      </c>
      <c r="AE63" s="567"/>
      <c r="AF63" s="411" t="s">
        <v>38</v>
      </c>
      <c r="AG63" s="568" t="s">
        <v>38</v>
      </c>
      <c r="AH63" s="569" t="s">
        <v>38</v>
      </c>
      <c r="AI63" s="411"/>
      <c r="AJ63" s="303" t="s">
        <v>38</v>
      </c>
      <c r="AK63" s="304" t="s">
        <v>38</v>
      </c>
      <c r="AL63" s="411" t="s">
        <v>38</v>
      </c>
      <c r="AM63" s="411"/>
      <c r="AN63" s="303" t="s">
        <v>38</v>
      </c>
      <c r="AO63" s="304" t="s">
        <v>38</v>
      </c>
      <c r="AP63" s="569" t="s">
        <v>38</v>
      </c>
      <c r="AQ63" s="570"/>
      <c r="AR63" s="301" t="s">
        <v>38</v>
      </c>
      <c r="AS63" s="302" t="s">
        <v>38</v>
      </c>
      <c r="AT63" s="302" t="s">
        <v>38</v>
      </c>
      <c r="AU63" s="302"/>
      <c r="AV63" s="303" t="s">
        <v>38</v>
      </c>
      <c r="AW63" s="304" t="s">
        <v>38</v>
      </c>
      <c r="AX63" s="303" t="s">
        <v>38</v>
      </c>
      <c r="AY63" s="567"/>
      <c r="AZ63" s="411" t="s">
        <v>38</v>
      </c>
      <c r="BA63" s="568" t="s">
        <v>38</v>
      </c>
      <c r="BB63" s="569" t="s">
        <v>38</v>
      </c>
      <c r="BC63" s="411"/>
      <c r="BD63" s="303" t="s">
        <v>38</v>
      </c>
      <c r="BE63" s="304" t="s">
        <v>38</v>
      </c>
      <c r="BF63" s="411" t="s">
        <v>38</v>
      </c>
      <c r="BG63" s="411"/>
      <c r="BH63" s="303" t="s">
        <v>38</v>
      </c>
      <c r="BI63" s="304" t="s">
        <v>38</v>
      </c>
      <c r="BJ63" s="569" t="s">
        <v>38</v>
      </c>
      <c r="BK63" s="570"/>
      <c r="BL63" s="301" t="s">
        <v>38</v>
      </c>
      <c r="BM63" s="302" t="s">
        <v>38</v>
      </c>
      <c r="BN63" s="302" t="s">
        <v>38</v>
      </c>
      <c r="BO63" s="302"/>
      <c r="BP63" s="303" t="s">
        <v>38</v>
      </c>
      <c r="BQ63" s="304" t="s">
        <v>38</v>
      </c>
      <c r="BR63" s="303" t="s">
        <v>38</v>
      </c>
      <c r="BS63" s="567"/>
      <c r="BT63" s="411" t="s">
        <v>38</v>
      </c>
      <c r="BU63" s="568" t="s">
        <v>38</v>
      </c>
      <c r="BV63" s="569" t="s">
        <v>38</v>
      </c>
      <c r="BW63" s="411"/>
      <c r="BX63" s="303" t="s">
        <v>38</v>
      </c>
      <c r="BY63" s="304" t="s">
        <v>38</v>
      </c>
      <c r="BZ63" s="411" t="s">
        <v>38</v>
      </c>
      <c r="CA63" s="411"/>
      <c r="CB63" s="303" t="s">
        <v>38</v>
      </c>
      <c r="CC63" s="304" t="s">
        <v>38</v>
      </c>
      <c r="CD63" s="569" t="s">
        <v>38</v>
      </c>
      <c r="CE63" s="570"/>
      <c r="CF63" s="301" t="s">
        <v>38</v>
      </c>
      <c r="CG63" s="571"/>
      <c r="CH63" s="302" t="s">
        <v>38</v>
      </c>
      <c r="CI63" s="302"/>
      <c r="CJ63" s="411" t="s">
        <v>38</v>
      </c>
      <c r="CK63" s="568" t="s">
        <v>38</v>
      </c>
      <c r="CL63" s="303" t="s">
        <v>38</v>
      </c>
      <c r="CM63" s="572"/>
      <c r="CN63" s="567" t="s">
        <v>38</v>
      </c>
      <c r="CO63" s="568" t="s">
        <v>38</v>
      </c>
      <c r="CP63" s="569" t="s">
        <v>38</v>
      </c>
      <c r="CQ63" s="411"/>
      <c r="CR63" s="411" t="s">
        <v>38</v>
      </c>
      <c r="CS63" s="568" t="s">
        <v>38</v>
      </c>
      <c r="CT63" s="411" t="s">
        <v>38</v>
      </c>
      <c r="CU63" s="411"/>
      <c r="CV63" s="411" t="s">
        <v>38</v>
      </c>
      <c r="CW63" s="568" t="s">
        <v>38</v>
      </c>
      <c r="CX63" s="303" t="s">
        <v>38</v>
      </c>
      <c r="CY63" s="573"/>
      <c r="CZ63" s="574"/>
      <c r="DA63" s="575"/>
      <c r="DB63" s="567"/>
      <c r="DC63" s="572"/>
      <c r="DD63" s="569"/>
      <c r="DE63" s="567"/>
      <c r="DF63" s="303"/>
      <c r="DG63" s="304"/>
      <c r="DH63" s="576"/>
      <c r="DI63" s="576"/>
      <c r="DJ63" s="303"/>
      <c r="DK63" s="304"/>
      <c r="DL63" s="576"/>
      <c r="DM63" s="576"/>
      <c r="DN63" s="303"/>
      <c r="DO63" s="304"/>
      <c r="DP63" s="308"/>
      <c r="DQ63" s="577"/>
      <c r="DR63" s="578"/>
      <c r="DS63" s="579"/>
      <c r="DT63" s="303"/>
      <c r="DU63" s="304"/>
      <c r="DV63" s="302"/>
      <c r="DW63" s="580"/>
      <c r="DX63" s="302"/>
      <c r="DY63" s="581"/>
      <c r="DZ63" s="582"/>
      <c r="EA63" s="580"/>
      <c r="EB63" s="303"/>
      <c r="EC63" s="304"/>
      <c r="ED63" s="302"/>
      <c r="EE63" s="583"/>
      <c r="EF63" s="582"/>
      <c r="EG63" s="581"/>
      <c r="EH63" s="581"/>
      <c r="EI63" s="584"/>
    </row>
    <row r="64" spans="1:139" ht="45" x14ac:dyDescent="0.25">
      <c r="A64" s="2242"/>
      <c r="B64" s="585" t="s">
        <v>105</v>
      </c>
      <c r="C64" s="586" t="s">
        <v>56</v>
      </c>
      <c r="D64" s="305">
        <v>70</v>
      </c>
      <c r="E64" s="306"/>
      <c r="F64" s="307">
        <v>3.2065964269354097E-2</v>
      </c>
      <c r="G64" s="306"/>
      <c r="H64" s="308" t="s">
        <v>38</v>
      </c>
      <c r="I64" s="309" t="s">
        <v>38</v>
      </c>
      <c r="J64" s="310">
        <v>90</v>
      </c>
      <c r="K64" s="587"/>
      <c r="L64" s="412" t="s">
        <v>38</v>
      </c>
      <c r="M64" s="588" t="s">
        <v>38</v>
      </c>
      <c r="N64" s="589">
        <v>90</v>
      </c>
      <c r="O64" s="590"/>
      <c r="P64" s="308" t="s">
        <v>38</v>
      </c>
      <c r="Q64" s="309" t="s">
        <v>38</v>
      </c>
      <c r="R64" s="591">
        <v>0</v>
      </c>
      <c r="S64" s="590"/>
      <c r="T64" s="308" t="s">
        <v>38</v>
      </c>
      <c r="U64" s="309" t="s">
        <v>38</v>
      </c>
      <c r="V64" s="591">
        <v>1.2857142857142858</v>
      </c>
      <c r="W64" s="591"/>
      <c r="X64" s="305">
        <v>70</v>
      </c>
      <c r="Y64" s="306"/>
      <c r="Z64" s="307">
        <v>3.2051282051282048E-2</v>
      </c>
      <c r="AA64" s="306"/>
      <c r="AB64" s="308" t="s">
        <v>38</v>
      </c>
      <c r="AC64" s="309" t="s">
        <v>38</v>
      </c>
      <c r="AD64" s="310">
        <v>90</v>
      </c>
      <c r="AE64" s="587"/>
      <c r="AF64" s="412" t="s">
        <v>38</v>
      </c>
      <c r="AG64" s="588" t="s">
        <v>38</v>
      </c>
      <c r="AH64" s="589">
        <v>90</v>
      </c>
      <c r="AI64" s="590"/>
      <c r="AJ64" s="308" t="s">
        <v>38</v>
      </c>
      <c r="AK64" s="309" t="s">
        <v>38</v>
      </c>
      <c r="AL64" s="591">
        <v>0</v>
      </c>
      <c r="AM64" s="590"/>
      <c r="AN64" s="308" t="s">
        <v>38</v>
      </c>
      <c r="AO64" s="309" t="s">
        <v>38</v>
      </c>
      <c r="AP64" s="591">
        <v>1.2857142857142858</v>
      </c>
      <c r="AQ64" s="591"/>
      <c r="AR64" s="305">
        <v>55</v>
      </c>
      <c r="AS64" s="306"/>
      <c r="AT64" s="307">
        <v>2.4909420289855072E-2</v>
      </c>
      <c r="AU64" s="306"/>
      <c r="AV64" s="308" t="s">
        <v>38</v>
      </c>
      <c r="AW64" s="309" t="s">
        <v>38</v>
      </c>
      <c r="AX64" s="310">
        <v>70</v>
      </c>
      <c r="AY64" s="587"/>
      <c r="AZ64" s="412" t="s">
        <v>38</v>
      </c>
      <c r="BA64" s="588" t="s">
        <v>38</v>
      </c>
      <c r="BB64" s="589">
        <v>70</v>
      </c>
      <c r="BC64" s="590"/>
      <c r="BD64" s="308" t="s">
        <v>38</v>
      </c>
      <c r="BE64" s="309" t="s">
        <v>38</v>
      </c>
      <c r="BF64" s="591">
        <v>0</v>
      </c>
      <c r="BG64" s="590"/>
      <c r="BH64" s="308" t="s">
        <v>38</v>
      </c>
      <c r="BI64" s="309" t="s">
        <v>38</v>
      </c>
      <c r="BJ64" s="591">
        <v>1.2727272727272727</v>
      </c>
      <c r="BK64" s="591"/>
      <c r="BL64" s="305">
        <v>40</v>
      </c>
      <c r="BM64" s="306"/>
      <c r="BN64" s="307">
        <v>1.8107741059302851E-2</v>
      </c>
      <c r="BO64" s="306"/>
      <c r="BP64" s="308" t="s">
        <v>38</v>
      </c>
      <c r="BQ64" s="309" t="s">
        <v>38</v>
      </c>
      <c r="BR64" s="310">
        <v>50</v>
      </c>
      <c r="BS64" s="587"/>
      <c r="BT64" s="412" t="s">
        <v>38</v>
      </c>
      <c r="BU64" s="588" t="s">
        <v>38</v>
      </c>
      <c r="BV64" s="589">
        <v>50</v>
      </c>
      <c r="BW64" s="590"/>
      <c r="BX64" s="308" t="s">
        <v>38</v>
      </c>
      <c r="BY64" s="309" t="s">
        <v>38</v>
      </c>
      <c r="BZ64" s="591">
        <v>0</v>
      </c>
      <c r="CA64" s="590"/>
      <c r="CB64" s="308" t="s">
        <v>38</v>
      </c>
      <c r="CC64" s="309" t="s">
        <v>38</v>
      </c>
      <c r="CD64" s="591">
        <v>1.25</v>
      </c>
      <c r="CE64" s="591"/>
      <c r="CF64" s="592">
        <f t="shared" ref="CF64:CF88" si="10">BL64+AR64+X64+D64</f>
        <v>235</v>
      </c>
      <c r="CG64" s="591"/>
      <c r="CH64" s="307">
        <f>CF64/8784</f>
        <v>2.6753187613843352E-2</v>
      </c>
      <c r="CI64" s="593"/>
      <c r="CJ64" s="594" t="s">
        <v>38</v>
      </c>
      <c r="CK64" s="595" t="s">
        <v>38</v>
      </c>
      <c r="CL64" s="310">
        <f t="shared" ref="CL64:CL92" si="11">BR64+AX64+AD64+J64</f>
        <v>300</v>
      </c>
      <c r="CM64" s="596"/>
      <c r="CN64" s="594" t="s">
        <v>38</v>
      </c>
      <c r="CO64" s="595" t="s">
        <v>38</v>
      </c>
      <c r="CP64" s="310">
        <f t="shared" ref="CP64:CP92" si="12">BV64+BB64+AH64+N64</f>
        <v>300</v>
      </c>
      <c r="CQ64" s="587"/>
      <c r="CR64" s="594" t="s">
        <v>38</v>
      </c>
      <c r="CS64" s="595" t="s">
        <v>38</v>
      </c>
      <c r="CT64" s="310">
        <f t="shared" ref="CT64:CV92" si="13">BZ64+BF64+AL64+R64</f>
        <v>0</v>
      </c>
      <c r="CU64" s="587"/>
      <c r="CV64" s="594" t="s">
        <v>38</v>
      </c>
      <c r="CW64" s="595" t="s">
        <v>38</v>
      </c>
      <c r="CX64" s="310">
        <f>CL64/CF64</f>
        <v>1.2765957446808511</v>
      </c>
      <c r="CY64" s="597"/>
      <c r="CZ64" s="598"/>
      <c r="DA64" s="599"/>
      <c r="DB64" s="600"/>
      <c r="DC64" s="601"/>
      <c r="DD64" s="310"/>
      <c r="DE64" s="602"/>
      <c r="DF64" s="603"/>
      <c r="DG64" s="604"/>
      <c r="DH64" s="310"/>
      <c r="DI64" s="587"/>
      <c r="DJ64" s="603"/>
      <c r="DK64" s="604"/>
      <c r="DL64" s="310"/>
      <c r="DM64" s="587"/>
      <c r="DN64" s="603"/>
      <c r="DO64" s="604"/>
      <c r="DP64" s="506"/>
      <c r="DQ64" s="516"/>
      <c r="DR64" s="605"/>
      <c r="DS64" s="606"/>
      <c r="DT64" s="603"/>
      <c r="DU64" s="604"/>
      <c r="DV64" s="602"/>
      <c r="DW64" s="607"/>
      <c r="DX64" s="412"/>
      <c r="DY64" s="608"/>
      <c r="DZ64" s="602"/>
      <c r="EA64" s="607"/>
      <c r="EB64" s="308"/>
      <c r="EC64" s="604"/>
      <c r="ED64" s="602"/>
      <c r="EE64" s="609"/>
      <c r="EF64" s="610"/>
      <c r="EG64" s="608"/>
      <c r="EH64" s="611"/>
      <c r="EI64" s="612"/>
    </row>
    <row r="65" spans="1:139" ht="15.75" thickBot="1" x14ac:dyDescent="0.3">
      <c r="A65" s="2243"/>
      <c r="B65" s="50" t="s">
        <v>57</v>
      </c>
      <c r="C65" s="51"/>
      <c r="D65" s="311">
        <v>10288.300000000001</v>
      </c>
      <c r="E65" s="58"/>
      <c r="F65" s="214">
        <v>0.93556365884931225</v>
      </c>
      <c r="G65" s="52"/>
      <c r="H65" s="53" t="s">
        <v>38</v>
      </c>
      <c r="I65" s="54" t="s">
        <v>38</v>
      </c>
      <c r="J65" s="55">
        <v>1373834.7955981733</v>
      </c>
      <c r="K65" s="59"/>
      <c r="L65" s="413" t="s">
        <v>38</v>
      </c>
      <c r="M65" s="54" t="s">
        <v>38</v>
      </c>
      <c r="N65" s="55">
        <v>1355703.7825981732</v>
      </c>
      <c r="O65" s="60"/>
      <c r="P65" s="53" t="s">
        <v>38</v>
      </c>
      <c r="Q65" s="54" t="s">
        <v>38</v>
      </c>
      <c r="R65" s="55">
        <v>18131.012999999999</v>
      </c>
      <c r="S65" s="60"/>
      <c r="T65" s="53" t="s">
        <v>38</v>
      </c>
      <c r="U65" s="54" t="s">
        <v>38</v>
      </c>
      <c r="V65" s="57">
        <v>135.72537602966122</v>
      </c>
      <c r="W65" s="61"/>
      <c r="X65" s="311">
        <v>10082.499999999998</v>
      </c>
      <c r="Y65" s="58"/>
      <c r="Z65" s="214">
        <v>0.91643261618447713</v>
      </c>
      <c r="AA65" s="52"/>
      <c r="AB65" s="53" t="s">
        <v>38</v>
      </c>
      <c r="AC65" s="54" t="s">
        <v>38</v>
      </c>
      <c r="AD65" s="55">
        <v>1326773.7571291032</v>
      </c>
      <c r="AE65" s="59"/>
      <c r="AF65" s="413" t="s">
        <v>38</v>
      </c>
      <c r="AG65" s="54" t="s">
        <v>38</v>
      </c>
      <c r="AH65" s="55">
        <v>1308642.7571291032</v>
      </c>
      <c r="AI65" s="60"/>
      <c r="AJ65" s="53" t="s">
        <v>38</v>
      </c>
      <c r="AK65" s="54" t="s">
        <v>38</v>
      </c>
      <c r="AL65" s="55">
        <v>18131</v>
      </c>
      <c r="AM65" s="60"/>
      <c r="AN65" s="53" t="s">
        <v>38</v>
      </c>
      <c r="AO65" s="54" t="s">
        <v>38</v>
      </c>
      <c r="AP65" s="57">
        <v>133.7884615645261</v>
      </c>
      <c r="AQ65" s="61"/>
      <c r="AR65" s="311">
        <v>9840.8000000000011</v>
      </c>
      <c r="AS65" s="58"/>
      <c r="AT65" s="214">
        <v>0.88600779695504606</v>
      </c>
      <c r="AU65" s="52"/>
      <c r="AV65" s="53" t="s">
        <v>38</v>
      </c>
      <c r="AW65" s="54" t="s">
        <v>38</v>
      </c>
      <c r="AX65" s="55">
        <v>1264603.0747065835</v>
      </c>
      <c r="AY65" s="59"/>
      <c r="AZ65" s="413" t="s">
        <v>38</v>
      </c>
      <c r="BA65" s="54" t="s">
        <v>38</v>
      </c>
      <c r="BB65" s="55">
        <v>1238111.0747065835</v>
      </c>
      <c r="BC65" s="60"/>
      <c r="BD65" s="53" t="s">
        <v>38</v>
      </c>
      <c r="BE65" s="54" t="s">
        <v>38</v>
      </c>
      <c r="BF65" s="55">
        <v>26492</v>
      </c>
      <c r="BG65" s="60"/>
      <c r="BH65" s="53" t="s">
        <v>38</v>
      </c>
      <c r="BI65" s="54" t="s">
        <v>38</v>
      </c>
      <c r="BJ65" s="57">
        <v>130.49395340718573</v>
      </c>
      <c r="BK65" s="61"/>
      <c r="BL65" s="311">
        <v>10352.800000000001</v>
      </c>
      <c r="BM65" s="58"/>
      <c r="BN65" s="214">
        <v>0.93294523695806952</v>
      </c>
      <c r="BO65" s="52"/>
      <c r="BP65" s="53" t="s">
        <v>38</v>
      </c>
      <c r="BQ65" s="54" t="s">
        <v>38</v>
      </c>
      <c r="BR65" s="55">
        <v>1333619.6692756279</v>
      </c>
      <c r="BS65" s="59"/>
      <c r="BT65" s="413" t="s">
        <v>38</v>
      </c>
      <c r="BU65" s="54" t="s">
        <v>38</v>
      </c>
      <c r="BV65" s="55">
        <v>1315488.6692756279</v>
      </c>
      <c r="BW65" s="60"/>
      <c r="BX65" s="53" t="s">
        <v>38</v>
      </c>
      <c r="BY65" s="54" t="s">
        <v>38</v>
      </c>
      <c r="BZ65" s="55">
        <v>18131</v>
      </c>
      <c r="CA65" s="60"/>
      <c r="CB65" s="53" t="s">
        <v>38</v>
      </c>
      <c r="CC65" s="54" t="s">
        <v>38</v>
      </c>
      <c r="CD65" s="57">
        <v>130.56208491153012</v>
      </c>
      <c r="CE65" s="61"/>
      <c r="CF65" s="613">
        <f t="shared" si="10"/>
        <v>40564.400000000001</v>
      </c>
      <c r="CG65" s="59"/>
      <c r="CH65" s="215">
        <f>CF65/44202.6</f>
        <v>0.91769262441575838</v>
      </c>
      <c r="CI65" s="62"/>
      <c r="CJ65" s="413" t="s">
        <v>38</v>
      </c>
      <c r="CK65" s="54" t="s">
        <v>38</v>
      </c>
      <c r="CL65" s="614">
        <f t="shared" si="11"/>
        <v>5298831.2967094881</v>
      </c>
      <c r="CM65" s="60"/>
      <c r="CN65" s="413" t="s">
        <v>38</v>
      </c>
      <c r="CO65" s="54" t="s">
        <v>38</v>
      </c>
      <c r="CP65" s="55">
        <f t="shared" si="12"/>
        <v>5217946.2837094879</v>
      </c>
      <c r="CQ65" s="59"/>
      <c r="CR65" s="413" t="s">
        <v>38</v>
      </c>
      <c r="CS65" s="54" t="s">
        <v>38</v>
      </c>
      <c r="CT65" s="614">
        <f t="shared" si="13"/>
        <v>80885.013000000006</v>
      </c>
      <c r="CU65" s="59"/>
      <c r="CV65" s="413" t="s">
        <v>38</v>
      </c>
      <c r="CW65" s="54" t="s">
        <v>38</v>
      </c>
      <c r="CX65" s="614">
        <f t="shared" ref="CX65:CX88" si="14">CL65/CF65</f>
        <v>130.627626606322</v>
      </c>
      <c r="CY65" s="615"/>
      <c r="CZ65" s="63"/>
      <c r="DA65" s="226"/>
      <c r="DB65" s="52"/>
      <c r="DC65" s="42"/>
      <c r="DD65" s="64"/>
      <c r="DE65" s="65"/>
      <c r="DF65" s="53"/>
      <c r="DG65" s="54"/>
      <c r="DH65" s="55"/>
      <c r="DI65" s="66"/>
      <c r="DJ65" s="53"/>
      <c r="DK65" s="54"/>
      <c r="DL65" s="55"/>
      <c r="DM65" s="66"/>
      <c r="DN65" s="53"/>
      <c r="DO65" s="54"/>
      <c r="DP65" s="55"/>
      <c r="DQ65" s="67"/>
      <c r="DR65" s="68"/>
      <c r="DS65" s="177"/>
      <c r="DT65" s="53"/>
      <c r="DU65" s="54"/>
      <c r="DV65" s="56"/>
      <c r="DW65" s="180"/>
      <c r="DX65" s="69"/>
      <c r="DY65" s="70"/>
      <c r="DZ65" s="56"/>
      <c r="EA65" s="180"/>
      <c r="EB65" s="53"/>
      <c r="EC65" s="54"/>
      <c r="ED65" s="56"/>
      <c r="EE65" s="177"/>
      <c r="EF65" s="175"/>
      <c r="EG65" s="70"/>
      <c r="EH65" s="616"/>
      <c r="EI65" s="617"/>
    </row>
    <row r="66" spans="1:139" x14ac:dyDescent="0.25">
      <c r="A66" s="71" t="s">
        <v>58</v>
      </c>
      <c r="B66" s="72" t="s">
        <v>59</v>
      </c>
      <c r="C66" s="618"/>
      <c r="D66" s="312">
        <v>560.80000000000007</v>
      </c>
      <c r="E66" s="313"/>
      <c r="F66" s="253">
        <v>5.0996189835317236E-2</v>
      </c>
      <c r="G66" s="314"/>
      <c r="H66" s="315" t="s">
        <v>38</v>
      </c>
      <c r="I66" s="316" t="s">
        <v>38</v>
      </c>
      <c r="J66" s="317">
        <v>45768.100000000006</v>
      </c>
      <c r="K66" s="619"/>
      <c r="L66" s="414" t="s">
        <v>38</v>
      </c>
      <c r="M66" s="620" t="s">
        <v>38</v>
      </c>
      <c r="N66" s="621">
        <v>45768.100000000006</v>
      </c>
      <c r="O66" s="414"/>
      <c r="P66" s="315" t="s">
        <v>38</v>
      </c>
      <c r="Q66" s="316" t="s">
        <v>38</v>
      </c>
      <c r="R66" s="622">
        <v>0</v>
      </c>
      <c r="S66" s="414"/>
      <c r="T66" s="315" t="s">
        <v>38</v>
      </c>
      <c r="U66" s="316" t="s">
        <v>38</v>
      </c>
      <c r="V66" s="622">
        <v>81.612161198288163</v>
      </c>
      <c r="W66" s="414"/>
      <c r="X66" s="312">
        <v>761.59999999999991</v>
      </c>
      <c r="Y66" s="313"/>
      <c r="Z66" s="253">
        <v>6.922440669338932E-2</v>
      </c>
      <c r="AA66" s="314"/>
      <c r="AB66" s="315" t="s">
        <v>38</v>
      </c>
      <c r="AC66" s="316" t="s">
        <v>38</v>
      </c>
      <c r="AD66" s="317">
        <v>54797.5</v>
      </c>
      <c r="AE66" s="619"/>
      <c r="AF66" s="414" t="s">
        <v>38</v>
      </c>
      <c r="AG66" s="620" t="s">
        <v>38</v>
      </c>
      <c r="AH66" s="621">
        <v>54797.5</v>
      </c>
      <c r="AI66" s="414"/>
      <c r="AJ66" s="315" t="s">
        <v>38</v>
      </c>
      <c r="AK66" s="316" t="s">
        <v>38</v>
      </c>
      <c r="AL66" s="622">
        <v>0</v>
      </c>
      <c r="AM66" s="414"/>
      <c r="AN66" s="315" t="s">
        <v>38</v>
      </c>
      <c r="AO66" s="316" t="s">
        <v>38</v>
      </c>
      <c r="AP66" s="622">
        <v>71.950498949579838</v>
      </c>
      <c r="AQ66" s="414"/>
      <c r="AR66" s="312">
        <v>1113.9000000000001</v>
      </c>
      <c r="AS66" s="313"/>
      <c r="AT66" s="253">
        <v>0.10028900953461363</v>
      </c>
      <c r="AU66" s="314"/>
      <c r="AV66" s="315" t="s">
        <v>38</v>
      </c>
      <c r="AW66" s="316" t="s">
        <v>38</v>
      </c>
      <c r="AX66" s="317">
        <v>68981.5</v>
      </c>
      <c r="AY66" s="619"/>
      <c r="AZ66" s="414" t="s">
        <v>38</v>
      </c>
      <c r="BA66" s="620" t="s">
        <v>38</v>
      </c>
      <c r="BB66" s="621">
        <v>68981.5</v>
      </c>
      <c r="BC66" s="414"/>
      <c r="BD66" s="315" t="s">
        <v>38</v>
      </c>
      <c r="BE66" s="316" t="s">
        <v>38</v>
      </c>
      <c r="BF66" s="622">
        <v>0</v>
      </c>
      <c r="BG66" s="414"/>
      <c r="BH66" s="315" t="s">
        <v>38</v>
      </c>
      <c r="BI66" s="316" t="s">
        <v>38</v>
      </c>
      <c r="BJ66" s="622">
        <v>61.927910943531728</v>
      </c>
      <c r="BK66" s="414"/>
      <c r="BL66" s="312">
        <v>589.29999999999995</v>
      </c>
      <c r="BM66" s="313"/>
      <c r="BN66" s="253">
        <v>5.3104921194207386E-2</v>
      </c>
      <c r="BO66" s="314"/>
      <c r="BP66" s="315" t="s">
        <v>38</v>
      </c>
      <c r="BQ66" s="316" t="s">
        <v>38</v>
      </c>
      <c r="BR66" s="317">
        <v>50759.7</v>
      </c>
      <c r="BS66" s="619"/>
      <c r="BT66" s="414" t="s">
        <v>38</v>
      </c>
      <c r="BU66" s="620" t="s">
        <v>38</v>
      </c>
      <c r="BV66" s="621">
        <v>50759.7</v>
      </c>
      <c r="BW66" s="414"/>
      <c r="BX66" s="315" t="s">
        <v>38</v>
      </c>
      <c r="BY66" s="316" t="s">
        <v>38</v>
      </c>
      <c r="BZ66" s="622"/>
      <c r="CA66" s="414"/>
      <c r="CB66" s="315" t="s">
        <v>38</v>
      </c>
      <c r="CC66" s="316" t="s">
        <v>38</v>
      </c>
      <c r="CD66" s="622">
        <v>86.135584591888687</v>
      </c>
      <c r="CE66" s="414"/>
      <c r="CF66" s="312">
        <f t="shared" si="10"/>
        <v>3025.6000000000004</v>
      </c>
      <c r="CG66" s="623"/>
      <c r="CH66" s="624">
        <f>CF66/44202.6</f>
        <v>6.8448462307647076E-2</v>
      </c>
      <c r="CI66" s="625"/>
      <c r="CJ66" s="414" t="s">
        <v>38</v>
      </c>
      <c r="CK66" s="626" t="s">
        <v>38</v>
      </c>
      <c r="CL66" s="317">
        <f t="shared" si="11"/>
        <v>220306.80000000002</v>
      </c>
      <c r="CM66" s="627"/>
      <c r="CN66" s="619" t="s">
        <v>38</v>
      </c>
      <c r="CO66" s="626" t="s">
        <v>38</v>
      </c>
      <c r="CP66" s="628">
        <f t="shared" si="12"/>
        <v>220306.80000000002</v>
      </c>
      <c r="CQ66" s="414"/>
      <c r="CR66" s="414" t="s">
        <v>38</v>
      </c>
      <c r="CS66" s="626" t="s">
        <v>38</v>
      </c>
      <c r="CT66" s="622">
        <f t="shared" si="13"/>
        <v>0</v>
      </c>
      <c r="CU66" s="414"/>
      <c r="CV66" s="414" t="s">
        <v>38</v>
      </c>
      <c r="CW66" s="626" t="s">
        <v>38</v>
      </c>
      <c r="CX66" s="628">
        <f t="shared" si="14"/>
        <v>72.814251718667364</v>
      </c>
      <c r="CY66" s="629"/>
      <c r="CZ66" s="630"/>
      <c r="DA66" s="631"/>
      <c r="DB66" s="632"/>
      <c r="DC66" s="633"/>
      <c r="DD66" s="630"/>
      <c r="DE66" s="634"/>
      <c r="DF66" s="315"/>
      <c r="DG66" s="316"/>
      <c r="DH66" s="635"/>
      <c r="DI66" s="635"/>
      <c r="DJ66" s="315"/>
      <c r="DK66" s="316"/>
      <c r="DL66" s="635"/>
      <c r="DM66" s="635"/>
      <c r="DN66" s="315"/>
      <c r="DO66" s="316"/>
      <c r="DP66" s="636"/>
      <c r="DQ66" s="637"/>
      <c r="DR66" s="638"/>
      <c r="DS66" s="639"/>
      <c r="DT66" s="315"/>
      <c r="DU66" s="316"/>
      <c r="DV66" s="640"/>
      <c r="DW66" s="641"/>
      <c r="DX66" s="642"/>
      <c r="DY66" s="643"/>
      <c r="DZ66" s="644"/>
      <c r="EA66" s="645"/>
      <c r="EB66" s="315"/>
      <c r="EC66" s="316"/>
      <c r="ED66" s="640"/>
      <c r="EE66" s="646"/>
      <c r="EF66" s="644"/>
      <c r="EG66" s="316"/>
      <c r="EH66" s="647"/>
      <c r="EI66" s="648"/>
    </row>
    <row r="67" spans="1:139" x14ac:dyDescent="0.25">
      <c r="A67" s="73"/>
      <c r="B67" s="74"/>
      <c r="C67" s="649" t="s">
        <v>39</v>
      </c>
      <c r="D67" s="318">
        <v>220.8</v>
      </c>
      <c r="E67" s="319"/>
      <c r="F67" s="320">
        <v>0.10114521300961979</v>
      </c>
      <c r="G67" s="321"/>
      <c r="H67" s="322" t="s">
        <v>38</v>
      </c>
      <c r="I67" s="323" t="s">
        <v>38</v>
      </c>
      <c r="J67" s="324">
        <v>33340.800000000003</v>
      </c>
      <c r="K67" s="650"/>
      <c r="L67" s="415" t="s">
        <v>38</v>
      </c>
      <c r="M67" s="323" t="s">
        <v>38</v>
      </c>
      <c r="N67" s="651">
        <v>33340.800000000003</v>
      </c>
      <c r="O67" s="323"/>
      <c r="P67" s="322" t="s">
        <v>38</v>
      </c>
      <c r="Q67" s="323" t="s">
        <v>38</v>
      </c>
      <c r="R67" s="651">
        <v>0</v>
      </c>
      <c r="S67" s="323"/>
      <c r="T67" s="322" t="s">
        <v>38</v>
      </c>
      <c r="U67" s="323" t="s">
        <v>38</v>
      </c>
      <c r="V67" s="651">
        <v>151</v>
      </c>
      <c r="W67" s="650"/>
      <c r="X67" s="318">
        <v>239.7</v>
      </c>
      <c r="Y67" s="319"/>
      <c r="Z67" s="320">
        <v>0.10975274725274725</v>
      </c>
      <c r="AA67" s="321"/>
      <c r="AB67" s="322" t="s">
        <v>38</v>
      </c>
      <c r="AC67" s="323" t="s">
        <v>38</v>
      </c>
      <c r="AD67" s="324">
        <v>36194.699999999997</v>
      </c>
      <c r="AE67" s="650"/>
      <c r="AF67" s="415" t="s">
        <v>38</v>
      </c>
      <c r="AG67" s="323" t="s">
        <v>38</v>
      </c>
      <c r="AH67" s="651">
        <v>36194.699999999997</v>
      </c>
      <c r="AI67" s="323"/>
      <c r="AJ67" s="322" t="s">
        <v>38</v>
      </c>
      <c r="AK67" s="323" t="s">
        <v>38</v>
      </c>
      <c r="AL67" s="651">
        <v>0</v>
      </c>
      <c r="AM67" s="323"/>
      <c r="AN67" s="322" t="s">
        <v>38</v>
      </c>
      <c r="AO67" s="323" t="s">
        <v>38</v>
      </c>
      <c r="AP67" s="651">
        <v>151</v>
      </c>
      <c r="AQ67" s="650"/>
      <c r="AR67" s="318">
        <v>277.10000000000002</v>
      </c>
      <c r="AS67" s="319"/>
      <c r="AT67" s="320">
        <v>0.12693540998625746</v>
      </c>
      <c r="AU67" s="321"/>
      <c r="AV67" s="322" t="s">
        <v>38</v>
      </c>
      <c r="AW67" s="323" t="s">
        <v>38</v>
      </c>
      <c r="AX67" s="324">
        <v>41842.100000000006</v>
      </c>
      <c r="AY67" s="650"/>
      <c r="AZ67" s="415" t="s">
        <v>38</v>
      </c>
      <c r="BA67" s="323" t="s">
        <v>38</v>
      </c>
      <c r="BB67" s="651">
        <v>41842.100000000006</v>
      </c>
      <c r="BC67" s="323"/>
      <c r="BD67" s="322" t="s">
        <v>38</v>
      </c>
      <c r="BE67" s="323" t="s">
        <v>38</v>
      </c>
      <c r="BF67" s="651"/>
      <c r="BG67" s="323"/>
      <c r="BH67" s="322" t="s">
        <v>38</v>
      </c>
      <c r="BI67" s="323" t="s">
        <v>38</v>
      </c>
      <c r="BJ67" s="651">
        <v>151</v>
      </c>
      <c r="BK67" s="650"/>
      <c r="BL67" s="318">
        <v>250.7</v>
      </c>
      <c r="BM67" s="319"/>
      <c r="BN67" s="320">
        <v>0.11349026708918061</v>
      </c>
      <c r="BO67" s="321"/>
      <c r="BP67" s="322" t="s">
        <v>38</v>
      </c>
      <c r="BQ67" s="323" t="s">
        <v>38</v>
      </c>
      <c r="BR67" s="324">
        <v>37855.699999999997</v>
      </c>
      <c r="BS67" s="650"/>
      <c r="BT67" s="415" t="s">
        <v>38</v>
      </c>
      <c r="BU67" s="323" t="s">
        <v>38</v>
      </c>
      <c r="BV67" s="651">
        <v>37855.699999999997</v>
      </c>
      <c r="BW67" s="323"/>
      <c r="BX67" s="322" t="s">
        <v>38</v>
      </c>
      <c r="BY67" s="323" t="s">
        <v>38</v>
      </c>
      <c r="BZ67" s="651">
        <v>0</v>
      </c>
      <c r="CA67" s="323"/>
      <c r="CB67" s="322" t="s">
        <v>38</v>
      </c>
      <c r="CC67" s="323" t="s">
        <v>38</v>
      </c>
      <c r="CD67" s="651">
        <v>151</v>
      </c>
      <c r="CE67" s="650"/>
      <c r="CF67" s="318">
        <f t="shared" si="10"/>
        <v>988.3</v>
      </c>
      <c r="CG67" s="652"/>
      <c r="CH67" s="320">
        <f t="shared" ref="CH67:CH88" si="15">CF67/8760</f>
        <v>0.11281963470319634</v>
      </c>
      <c r="CI67" s="653"/>
      <c r="CJ67" s="322" t="s">
        <v>38</v>
      </c>
      <c r="CK67" s="323" t="s">
        <v>38</v>
      </c>
      <c r="CL67" s="324">
        <f t="shared" si="11"/>
        <v>149233.29999999999</v>
      </c>
      <c r="CM67" s="415"/>
      <c r="CN67" s="415" t="s">
        <v>38</v>
      </c>
      <c r="CO67" s="323" t="s">
        <v>38</v>
      </c>
      <c r="CP67" s="651">
        <f t="shared" si="12"/>
        <v>149233.29999999999</v>
      </c>
      <c r="CQ67" s="415"/>
      <c r="CR67" s="415" t="s">
        <v>38</v>
      </c>
      <c r="CS67" s="323" t="s">
        <v>38</v>
      </c>
      <c r="CT67" s="324">
        <f t="shared" si="13"/>
        <v>0</v>
      </c>
      <c r="CU67" s="415"/>
      <c r="CV67" s="415" t="s">
        <v>38</v>
      </c>
      <c r="CW67" s="323" t="s">
        <v>38</v>
      </c>
      <c r="CX67" s="651">
        <f t="shared" si="14"/>
        <v>151</v>
      </c>
      <c r="CY67" s="654"/>
      <c r="CZ67" s="655"/>
      <c r="DA67" s="656"/>
      <c r="DB67" s="657"/>
      <c r="DC67" s="658"/>
      <c r="DD67" s="659"/>
      <c r="DE67" s="659"/>
      <c r="DF67" s="322"/>
      <c r="DG67" s="323"/>
      <c r="DH67" s="659"/>
      <c r="DI67" s="659"/>
      <c r="DJ67" s="322"/>
      <c r="DK67" s="323"/>
      <c r="DL67" s="659"/>
      <c r="DM67" s="659"/>
      <c r="DN67" s="322"/>
      <c r="DO67" s="323"/>
      <c r="DP67" s="659"/>
      <c r="DQ67" s="660"/>
      <c r="DR67" s="661"/>
      <c r="DS67" s="662"/>
      <c r="DT67" s="322"/>
      <c r="DU67" s="323"/>
      <c r="DV67" s="663"/>
      <c r="DW67" s="320"/>
      <c r="DX67" s="415"/>
      <c r="DY67" s="323"/>
      <c r="DZ67" s="324"/>
      <c r="EA67" s="320"/>
      <c r="EB67" s="322"/>
      <c r="EC67" s="323"/>
      <c r="ED67" s="663"/>
      <c r="EE67" s="664"/>
      <c r="EF67" s="665"/>
      <c r="EG67" s="323"/>
      <c r="EH67" s="324"/>
      <c r="EI67" s="666"/>
    </row>
    <row r="68" spans="1:139" x14ac:dyDescent="0.25">
      <c r="A68" s="75"/>
      <c r="B68" s="76"/>
      <c r="C68" s="667" t="s">
        <v>45</v>
      </c>
      <c r="D68" s="325">
        <v>0</v>
      </c>
      <c r="E68" s="326"/>
      <c r="F68" s="327">
        <v>0</v>
      </c>
      <c r="G68" s="328"/>
      <c r="H68" s="329" t="s">
        <v>38</v>
      </c>
      <c r="I68" s="330" t="s">
        <v>38</v>
      </c>
      <c r="J68" s="331">
        <v>0</v>
      </c>
      <c r="K68" s="668"/>
      <c r="L68" s="416" t="s">
        <v>38</v>
      </c>
      <c r="M68" s="330" t="s">
        <v>38</v>
      </c>
      <c r="N68" s="669">
        <v>0</v>
      </c>
      <c r="O68" s="330"/>
      <c r="P68" s="329" t="s">
        <v>38</v>
      </c>
      <c r="Q68" s="330" t="s">
        <v>38</v>
      </c>
      <c r="R68" s="669">
        <v>0</v>
      </c>
      <c r="S68" s="330"/>
      <c r="T68" s="329" t="s">
        <v>38</v>
      </c>
      <c r="U68" s="330" t="s">
        <v>38</v>
      </c>
      <c r="V68" s="669">
        <v>0</v>
      </c>
      <c r="W68" s="670"/>
      <c r="X68" s="325">
        <v>0</v>
      </c>
      <c r="Y68" s="326"/>
      <c r="Z68" s="327">
        <v>0</v>
      </c>
      <c r="AA68" s="328"/>
      <c r="AB68" s="329" t="s">
        <v>38</v>
      </c>
      <c r="AC68" s="330" t="s">
        <v>38</v>
      </c>
      <c r="AD68" s="331">
        <v>0</v>
      </c>
      <c r="AE68" s="668"/>
      <c r="AF68" s="416" t="s">
        <v>38</v>
      </c>
      <c r="AG68" s="330" t="s">
        <v>38</v>
      </c>
      <c r="AH68" s="669">
        <v>0</v>
      </c>
      <c r="AI68" s="330"/>
      <c r="AJ68" s="329" t="s">
        <v>38</v>
      </c>
      <c r="AK68" s="330" t="s">
        <v>38</v>
      </c>
      <c r="AL68" s="669">
        <v>0</v>
      </c>
      <c r="AM68" s="330"/>
      <c r="AN68" s="329" t="s">
        <v>38</v>
      </c>
      <c r="AO68" s="330" t="s">
        <v>38</v>
      </c>
      <c r="AP68" s="669">
        <v>0</v>
      </c>
      <c r="AQ68" s="670"/>
      <c r="AR68" s="325">
        <v>0</v>
      </c>
      <c r="AS68" s="326"/>
      <c r="AT68" s="327">
        <v>0</v>
      </c>
      <c r="AU68" s="328"/>
      <c r="AV68" s="329" t="s">
        <v>38</v>
      </c>
      <c r="AW68" s="330" t="s">
        <v>38</v>
      </c>
      <c r="AX68" s="331">
        <v>0</v>
      </c>
      <c r="AY68" s="668"/>
      <c r="AZ68" s="416" t="s">
        <v>38</v>
      </c>
      <c r="BA68" s="330" t="s">
        <v>38</v>
      </c>
      <c r="BB68" s="669">
        <v>0</v>
      </c>
      <c r="BC68" s="330"/>
      <c r="BD68" s="329" t="s">
        <v>38</v>
      </c>
      <c r="BE68" s="330" t="s">
        <v>38</v>
      </c>
      <c r="BF68" s="669">
        <v>0</v>
      </c>
      <c r="BG68" s="330"/>
      <c r="BH68" s="329" t="s">
        <v>38</v>
      </c>
      <c r="BI68" s="330" t="s">
        <v>38</v>
      </c>
      <c r="BJ68" s="669">
        <v>0</v>
      </c>
      <c r="BK68" s="670"/>
      <c r="BL68" s="325">
        <v>0</v>
      </c>
      <c r="BM68" s="326"/>
      <c r="BN68" s="327">
        <v>0</v>
      </c>
      <c r="BO68" s="328"/>
      <c r="BP68" s="329" t="s">
        <v>38</v>
      </c>
      <c r="BQ68" s="330" t="s">
        <v>38</v>
      </c>
      <c r="BR68" s="331">
        <v>0</v>
      </c>
      <c r="BS68" s="668"/>
      <c r="BT68" s="416" t="s">
        <v>38</v>
      </c>
      <c r="BU68" s="330" t="s">
        <v>38</v>
      </c>
      <c r="BV68" s="669">
        <v>0</v>
      </c>
      <c r="BW68" s="330"/>
      <c r="BX68" s="329" t="s">
        <v>38</v>
      </c>
      <c r="BY68" s="330" t="s">
        <v>38</v>
      </c>
      <c r="BZ68" s="669">
        <v>0</v>
      </c>
      <c r="CA68" s="330"/>
      <c r="CB68" s="329" t="s">
        <v>38</v>
      </c>
      <c r="CC68" s="330" t="s">
        <v>38</v>
      </c>
      <c r="CD68" s="669">
        <v>0</v>
      </c>
      <c r="CE68" s="670"/>
      <c r="CF68" s="325">
        <f t="shared" si="10"/>
        <v>0</v>
      </c>
      <c r="CG68" s="671"/>
      <c r="CH68" s="327" t="e">
        <f>CF68/#REF!</f>
        <v>#REF!</v>
      </c>
      <c r="CI68" s="672"/>
      <c r="CJ68" s="329" t="s">
        <v>38</v>
      </c>
      <c r="CK68" s="330" t="s">
        <v>38</v>
      </c>
      <c r="CL68" s="331">
        <f t="shared" si="11"/>
        <v>0</v>
      </c>
      <c r="CM68" s="416"/>
      <c r="CN68" s="416" t="s">
        <v>38</v>
      </c>
      <c r="CO68" s="330" t="s">
        <v>38</v>
      </c>
      <c r="CP68" s="669">
        <f t="shared" si="12"/>
        <v>0</v>
      </c>
      <c r="CQ68" s="416"/>
      <c r="CR68" s="416" t="s">
        <v>38</v>
      </c>
      <c r="CS68" s="330" t="s">
        <v>38</v>
      </c>
      <c r="CT68" s="331">
        <f t="shared" si="13"/>
        <v>0</v>
      </c>
      <c r="CU68" s="416"/>
      <c r="CV68" s="416" t="s">
        <v>38</v>
      </c>
      <c r="CW68" s="330" t="s">
        <v>38</v>
      </c>
      <c r="CX68" s="673">
        <v>0</v>
      </c>
      <c r="CY68" s="674"/>
      <c r="CZ68" s="675"/>
      <c r="DA68" s="676"/>
      <c r="DB68" s="677"/>
      <c r="DC68" s="678"/>
      <c r="DD68" s="679"/>
      <c r="DE68" s="679"/>
      <c r="DF68" s="336"/>
      <c r="DG68" s="337"/>
      <c r="DH68" s="679"/>
      <c r="DI68" s="679"/>
      <c r="DJ68" s="336"/>
      <c r="DK68" s="337"/>
      <c r="DL68" s="679"/>
      <c r="DM68" s="679"/>
      <c r="DN68" s="336"/>
      <c r="DO68" s="337"/>
      <c r="DP68" s="679"/>
      <c r="DQ68" s="680"/>
      <c r="DR68" s="681"/>
      <c r="DS68" s="682"/>
      <c r="DT68" s="336"/>
      <c r="DU68" s="337"/>
      <c r="DV68" s="683"/>
      <c r="DW68" s="334"/>
      <c r="DX68" s="417"/>
      <c r="DY68" s="337"/>
      <c r="DZ68" s="684"/>
      <c r="EA68" s="334"/>
      <c r="EB68" s="336"/>
      <c r="EC68" s="337"/>
      <c r="ED68" s="417"/>
      <c r="EE68" s="685"/>
      <c r="EF68" s="686"/>
      <c r="EG68" s="337"/>
      <c r="EH68" s="684"/>
      <c r="EI68" s="687"/>
    </row>
    <row r="69" spans="1:139" x14ac:dyDescent="0.25">
      <c r="A69" s="77"/>
      <c r="B69" s="76"/>
      <c r="C69" s="667" t="s">
        <v>41</v>
      </c>
      <c r="D69" s="332">
        <v>292.3</v>
      </c>
      <c r="E69" s="333"/>
      <c r="F69" s="334">
        <v>0.13389830508474576</v>
      </c>
      <c r="G69" s="335"/>
      <c r="H69" s="336" t="s">
        <v>38</v>
      </c>
      <c r="I69" s="337" t="s">
        <v>38</v>
      </c>
      <c r="J69" s="331">
        <v>7892.1</v>
      </c>
      <c r="K69" s="688"/>
      <c r="L69" s="417" t="s">
        <v>38</v>
      </c>
      <c r="M69" s="337" t="s">
        <v>38</v>
      </c>
      <c r="N69" s="673">
        <v>7892.1</v>
      </c>
      <c r="O69" s="337"/>
      <c r="P69" s="336" t="s">
        <v>38</v>
      </c>
      <c r="Q69" s="337" t="s">
        <v>38</v>
      </c>
      <c r="R69" s="673">
        <v>0</v>
      </c>
      <c r="S69" s="337"/>
      <c r="T69" s="336" t="s">
        <v>38</v>
      </c>
      <c r="U69" s="337" t="s">
        <v>38</v>
      </c>
      <c r="V69" s="673">
        <v>27</v>
      </c>
      <c r="W69" s="688"/>
      <c r="X69" s="332">
        <v>448.4</v>
      </c>
      <c r="Y69" s="333"/>
      <c r="Z69" s="334">
        <v>0.2053113553113553</v>
      </c>
      <c r="AA69" s="335"/>
      <c r="AB69" s="336" t="s">
        <v>38</v>
      </c>
      <c r="AC69" s="337" t="s">
        <v>38</v>
      </c>
      <c r="AD69" s="331">
        <v>12106.8</v>
      </c>
      <c r="AE69" s="688"/>
      <c r="AF69" s="417" t="s">
        <v>38</v>
      </c>
      <c r="AG69" s="337" t="s">
        <v>38</v>
      </c>
      <c r="AH69" s="669">
        <v>12106.8</v>
      </c>
      <c r="AI69" s="337"/>
      <c r="AJ69" s="336" t="s">
        <v>38</v>
      </c>
      <c r="AK69" s="337" t="s">
        <v>38</v>
      </c>
      <c r="AL69" s="673">
        <v>0</v>
      </c>
      <c r="AM69" s="337"/>
      <c r="AN69" s="336" t="s">
        <v>38</v>
      </c>
      <c r="AO69" s="337" t="s">
        <v>38</v>
      </c>
      <c r="AP69" s="673">
        <v>27</v>
      </c>
      <c r="AQ69" s="688"/>
      <c r="AR69" s="332">
        <v>762.6</v>
      </c>
      <c r="AS69" s="333"/>
      <c r="AT69" s="334">
        <v>0.34933577645442054</v>
      </c>
      <c r="AU69" s="335"/>
      <c r="AV69" s="336" t="s">
        <v>38</v>
      </c>
      <c r="AW69" s="337" t="s">
        <v>38</v>
      </c>
      <c r="AX69" s="331">
        <v>20590.2</v>
      </c>
      <c r="AY69" s="688"/>
      <c r="AZ69" s="417" t="s">
        <v>38</v>
      </c>
      <c r="BA69" s="337" t="s">
        <v>38</v>
      </c>
      <c r="BB69" s="673">
        <v>20590.2</v>
      </c>
      <c r="BC69" s="337"/>
      <c r="BD69" s="336" t="s">
        <v>38</v>
      </c>
      <c r="BE69" s="337" t="s">
        <v>38</v>
      </c>
      <c r="BF69" s="673">
        <v>0</v>
      </c>
      <c r="BG69" s="337"/>
      <c r="BH69" s="336" t="s">
        <v>38</v>
      </c>
      <c r="BI69" s="337" t="s">
        <v>38</v>
      </c>
      <c r="BJ69" s="673">
        <v>27</v>
      </c>
      <c r="BK69" s="688"/>
      <c r="BL69" s="332">
        <v>280.39999999999998</v>
      </c>
      <c r="BM69" s="333"/>
      <c r="BN69" s="334">
        <v>0.12693526482571299</v>
      </c>
      <c r="BO69" s="335"/>
      <c r="BP69" s="336" t="s">
        <v>38</v>
      </c>
      <c r="BQ69" s="337" t="s">
        <v>38</v>
      </c>
      <c r="BR69" s="331">
        <v>7570.7999999999993</v>
      </c>
      <c r="BS69" s="688"/>
      <c r="BT69" s="417" t="s">
        <v>38</v>
      </c>
      <c r="BU69" s="337" t="s">
        <v>38</v>
      </c>
      <c r="BV69" s="673">
        <v>7570.7999999999993</v>
      </c>
      <c r="BW69" s="337"/>
      <c r="BX69" s="336" t="s">
        <v>38</v>
      </c>
      <c r="BY69" s="337" t="s">
        <v>38</v>
      </c>
      <c r="BZ69" s="673">
        <v>0</v>
      </c>
      <c r="CA69" s="337"/>
      <c r="CB69" s="336" t="s">
        <v>38</v>
      </c>
      <c r="CC69" s="337" t="s">
        <v>38</v>
      </c>
      <c r="CD69" s="673">
        <v>27</v>
      </c>
      <c r="CE69" s="688"/>
      <c r="CF69" s="332">
        <f t="shared" si="10"/>
        <v>1783.7</v>
      </c>
      <c r="CG69" s="689"/>
      <c r="CH69" s="334">
        <f t="shared" si="15"/>
        <v>0.20361872146118723</v>
      </c>
      <c r="CI69" s="690"/>
      <c r="CJ69" s="336" t="s">
        <v>38</v>
      </c>
      <c r="CK69" s="337" t="s">
        <v>38</v>
      </c>
      <c r="CL69" s="684">
        <f t="shared" si="11"/>
        <v>48159.9</v>
      </c>
      <c r="CM69" s="417"/>
      <c r="CN69" s="417" t="s">
        <v>38</v>
      </c>
      <c r="CO69" s="337" t="s">
        <v>38</v>
      </c>
      <c r="CP69" s="673">
        <f t="shared" si="12"/>
        <v>48159.9</v>
      </c>
      <c r="CQ69" s="417"/>
      <c r="CR69" s="417" t="s">
        <v>38</v>
      </c>
      <c r="CS69" s="337" t="s">
        <v>38</v>
      </c>
      <c r="CT69" s="684">
        <f t="shared" si="13"/>
        <v>0</v>
      </c>
      <c r="CU69" s="417"/>
      <c r="CV69" s="417" t="s">
        <v>38</v>
      </c>
      <c r="CW69" s="337" t="s">
        <v>38</v>
      </c>
      <c r="CX69" s="673">
        <f t="shared" si="14"/>
        <v>27</v>
      </c>
      <c r="CY69" s="670"/>
      <c r="CZ69" s="675"/>
      <c r="DA69" s="676"/>
      <c r="DB69" s="677"/>
      <c r="DC69" s="678"/>
      <c r="DD69" s="679"/>
      <c r="DE69" s="679"/>
      <c r="DF69" s="336"/>
      <c r="DG69" s="337"/>
      <c r="DH69" s="679"/>
      <c r="DI69" s="679"/>
      <c r="DJ69" s="336"/>
      <c r="DK69" s="337"/>
      <c r="DL69" s="679"/>
      <c r="DM69" s="679"/>
      <c r="DN69" s="336"/>
      <c r="DO69" s="337"/>
      <c r="DP69" s="679"/>
      <c r="DQ69" s="680"/>
      <c r="DR69" s="681"/>
      <c r="DS69" s="682"/>
      <c r="DT69" s="336"/>
      <c r="DU69" s="337"/>
      <c r="DV69" s="683"/>
      <c r="DW69" s="334"/>
      <c r="DX69" s="417"/>
      <c r="DY69" s="337"/>
      <c r="DZ69" s="684"/>
      <c r="EA69" s="334"/>
      <c r="EB69" s="336"/>
      <c r="EC69" s="337"/>
      <c r="ED69" s="417"/>
      <c r="EE69" s="685"/>
      <c r="EF69" s="686"/>
      <c r="EG69" s="337"/>
      <c r="EH69" s="684"/>
      <c r="EI69" s="687"/>
    </row>
    <row r="70" spans="1:139" x14ac:dyDescent="0.25">
      <c r="A70" s="78"/>
      <c r="B70" s="79"/>
      <c r="C70" s="691" t="s">
        <v>42</v>
      </c>
      <c r="D70" s="338">
        <v>47.7</v>
      </c>
      <c r="E70" s="339"/>
      <c r="F70" s="340">
        <v>2.185066422354558E-2</v>
      </c>
      <c r="G70" s="341"/>
      <c r="H70" s="342" t="s">
        <v>38</v>
      </c>
      <c r="I70" s="343" t="s">
        <v>38</v>
      </c>
      <c r="J70" s="344">
        <v>4535.2000000000007</v>
      </c>
      <c r="K70" s="692"/>
      <c r="L70" s="418" t="s">
        <v>38</v>
      </c>
      <c r="M70" s="343" t="s">
        <v>38</v>
      </c>
      <c r="N70" s="693">
        <v>4535.2000000000007</v>
      </c>
      <c r="O70" s="343"/>
      <c r="P70" s="342" t="s">
        <v>38</v>
      </c>
      <c r="Q70" s="343" t="s">
        <v>38</v>
      </c>
      <c r="R70" s="693">
        <v>0</v>
      </c>
      <c r="S70" s="343"/>
      <c r="T70" s="342" t="s">
        <v>38</v>
      </c>
      <c r="U70" s="343" t="s">
        <v>38</v>
      </c>
      <c r="V70" s="693">
        <v>95.077568134171912</v>
      </c>
      <c r="W70" s="692"/>
      <c r="X70" s="338">
        <v>73.5</v>
      </c>
      <c r="Y70" s="339"/>
      <c r="Z70" s="340">
        <v>3.3653846153846152E-2</v>
      </c>
      <c r="AA70" s="341"/>
      <c r="AB70" s="342" t="s">
        <v>38</v>
      </c>
      <c r="AC70" s="343" t="s">
        <v>38</v>
      </c>
      <c r="AD70" s="344">
        <v>6496</v>
      </c>
      <c r="AE70" s="692"/>
      <c r="AF70" s="418" t="s">
        <v>38</v>
      </c>
      <c r="AG70" s="343" t="s">
        <v>38</v>
      </c>
      <c r="AH70" s="693">
        <v>6496</v>
      </c>
      <c r="AI70" s="343"/>
      <c r="AJ70" s="342" t="s">
        <v>38</v>
      </c>
      <c r="AK70" s="343" t="s">
        <v>38</v>
      </c>
      <c r="AL70" s="693">
        <v>0</v>
      </c>
      <c r="AM70" s="343"/>
      <c r="AN70" s="342" t="s">
        <v>38</v>
      </c>
      <c r="AO70" s="343" t="s">
        <v>38</v>
      </c>
      <c r="AP70" s="693">
        <v>88.38095238095238</v>
      </c>
      <c r="AQ70" s="692"/>
      <c r="AR70" s="338">
        <v>74.2</v>
      </c>
      <c r="AS70" s="339"/>
      <c r="AT70" s="340">
        <v>3.3989922125515347E-2</v>
      </c>
      <c r="AU70" s="341"/>
      <c r="AV70" s="342" t="s">
        <v>38</v>
      </c>
      <c r="AW70" s="343" t="s">
        <v>38</v>
      </c>
      <c r="AX70" s="344">
        <v>6549.2</v>
      </c>
      <c r="AY70" s="692"/>
      <c r="AZ70" s="418" t="s">
        <v>38</v>
      </c>
      <c r="BA70" s="343" t="s">
        <v>38</v>
      </c>
      <c r="BB70" s="693">
        <v>6549.2</v>
      </c>
      <c r="BC70" s="343"/>
      <c r="BD70" s="342" t="s">
        <v>38</v>
      </c>
      <c r="BE70" s="343" t="s">
        <v>38</v>
      </c>
      <c r="BF70" s="693">
        <v>0</v>
      </c>
      <c r="BG70" s="343"/>
      <c r="BH70" s="342" t="s">
        <v>38</v>
      </c>
      <c r="BI70" s="343" t="s">
        <v>38</v>
      </c>
      <c r="BJ70" s="693">
        <v>88.264150943396217</v>
      </c>
      <c r="BK70" s="692"/>
      <c r="BL70" s="338">
        <v>58.2</v>
      </c>
      <c r="BM70" s="339"/>
      <c r="BN70" s="340">
        <v>2.634676324128565E-2</v>
      </c>
      <c r="BO70" s="341"/>
      <c r="BP70" s="342" t="s">
        <v>38</v>
      </c>
      <c r="BQ70" s="343" t="s">
        <v>38</v>
      </c>
      <c r="BR70" s="344">
        <v>5333.2</v>
      </c>
      <c r="BS70" s="692"/>
      <c r="BT70" s="418" t="s">
        <v>38</v>
      </c>
      <c r="BU70" s="343" t="s">
        <v>38</v>
      </c>
      <c r="BV70" s="693">
        <v>5333.2</v>
      </c>
      <c r="BW70" s="343"/>
      <c r="BX70" s="342" t="s">
        <v>38</v>
      </c>
      <c r="BY70" s="343" t="s">
        <v>38</v>
      </c>
      <c r="BZ70" s="693">
        <v>0</v>
      </c>
      <c r="CA70" s="343"/>
      <c r="CB70" s="342" t="s">
        <v>38</v>
      </c>
      <c r="CC70" s="343" t="s">
        <v>38</v>
      </c>
      <c r="CD70" s="693">
        <v>91.635738831615114</v>
      </c>
      <c r="CE70" s="692"/>
      <c r="CF70" s="338">
        <f t="shared" si="10"/>
        <v>253.60000000000002</v>
      </c>
      <c r="CG70" s="694"/>
      <c r="CH70" s="340">
        <f t="shared" si="15"/>
        <v>2.8949771689497718E-2</v>
      </c>
      <c r="CI70" s="695"/>
      <c r="CJ70" s="342" t="s">
        <v>38</v>
      </c>
      <c r="CK70" s="343" t="s">
        <v>38</v>
      </c>
      <c r="CL70" s="344">
        <f t="shared" si="11"/>
        <v>22913.600000000002</v>
      </c>
      <c r="CM70" s="418"/>
      <c r="CN70" s="418" t="s">
        <v>38</v>
      </c>
      <c r="CO70" s="343" t="s">
        <v>38</v>
      </c>
      <c r="CP70" s="693">
        <f t="shared" si="12"/>
        <v>22913.600000000002</v>
      </c>
      <c r="CQ70" s="418"/>
      <c r="CR70" s="418" t="s">
        <v>38</v>
      </c>
      <c r="CS70" s="343" t="s">
        <v>38</v>
      </c>
      <c r="CT70" s="344">
        <f t="shared" si="13"/>
        <v>0</v>
      </c>
      <c r="CU70" s="418"/>
      <c r="CV70" s="418" t="s">
        <v>38</v>
      </c>
      <c r="CW70" s="343" t="s">
        <v>38</v>
      </c>
      <c r="CX70" s="693">
        <f t="shared" si="14"/>
        <v>90.353312302839115</v>
      </c>
      <c r="CY70" s="696"/>
      <c r="CZ70" s="697"/>
      <c r="DA70" s="698"/>
      <c r="DB70" s="699"/>
      <c r="DC70" s="700"/>
      <c r="DD70" s="701"/>
      <c r="DE70" s="701"/>
      <c r="DF70" s="342"/>
      <c r="DG70" s="343"/>
      <c r="DH70" s="701"/>
      <c r="DI70" s="701"/>
      <c r="DJ70" s="342"/>
      <c r="DK70" s="343"/>
      <c r="DL70" s="701"/>
      <c r="DM70" s="701"/>
      <c r="DN70" s="342"/>
      <c r="DO70" s="343"/>
      <c r="DP70" s="701"/>
      <c r="DQ70" s="702"/>
      <c r="DR70" s="703"/>
      <c r="DS70" s="704"/>
      <c r="DT70" s="342"/>
      <c r="DU70" s="343"/>
      <c r="DV70" s="705"/>
      <c r="DW70" s="340"/>
      <c r="DX70" s="418"/>
      <c r="DY70" s="343"/>
      <c r="DZ70" s="344"/>
      <c r="EA70" s="340"/>
      <c r="EB70" s="342"/>
      <c r="EC70" s="343"/>
      <c r="ED70" s="418"/>
      <c r="EE70" s="706"/>
      <c r="EF70" s="707"/>
      <c r="EG70" s="343"/>
      <c r="EH70" s="344"/>
      <c r="EI70" s="708"/>
    </row>
    <row r="71" spans="1:139" x14ac:dyDescent="0.25">
      <c r="A71" s="80" t="s">
        <v>60</v>
      </c>
      <c r="B71" s="81" t="s">
        <v>61</v>
      </c>
      <c r="C71" s="82"/>
      <c r="D71" s="345">
        <v>98.300000000000011</v>
      </c>
      <c r="E71" s="346"/>
      <c r="F71" s="251">
        <v>8.9961471231547845E-3</v>
      </c>
      <c r="G71" s="346"/>
      <c r="H71" s="347" t="s">
        <v>38</v>
      </c>
      <c r="I71" s="348" t="s">
        <v>38</v>
      </c>
      <c r="J71" s="349">
        <v>9289</v>
      </c>
      <c r="K71" s="709"/>
      <c r="L71" s="419" t="s">
        <v>38</v>
      </c>
      <c r="M71" s="710" t="s">
        <v>38</v>
      </c>
      <c r="N71" s="711">
        <v>9289</v>
      </c>
      <c r="O71" s="709"/>
      <c r="P71" s="347" t="s">
        <v>38</v>
      </c>
      <c r="Q71" s="348" t="s">
        <v>38</v>
      </c>
      <c r="R71" s="712">
        <v>0</v>
      </c>
      <c r="S71" s="709"/>
      <c r="T71" s="347" t="s">
        <v>38</v>
      </c>
      <c r="U71" s="348" t="s">
        <v>38</v>
      </c>
      <c r="V71" s="713">
        <v>94.496439471007108</v>
      </c>
      <c r="W71" s="713"/>
      <c r="X71" s="345">
        <v>102.2</v>
      </c>
      <c r="Y71" s="346"/>
      <c r="Z71" s="251">
        <v>9.2893045746643768E-3</v>
      </c>
      <c r="AA71" s="346"/>
      <c r="AB71" s="347" t="s">
        <v>38</v>
      </c>
      <c r="AC71" s="348" t="s">
        <v>38</v>
      </c>
      <c r="AD71" s="349">
        <v>9368</v>
      </c>
      <c r="AE71" s="709"/>
      <c r="AF71" s="419" t="s">
        <v>38</v>
      </c>
      <c r="AG71" s="710" t="s">
        <v>38</v>
      </c>
      <c r="AH71" s="711">
        <v>9368</v>
      </c>
      <c r="AI71" s="709"/>
      <c r="AJ71" s="347" t="s">
        <v>38</v>
      </c>
      <c r="AK71" s="348" t="s">
        <v>38</v>
      </c>
      <c r="AL71" s="712">
        <v>0</v>
      </c>
      <c r="AM71" s="709"/>
      <c r="AN71" s="347" t="s">
        <v>38</v>
      </c>
      <c r="AO71" s="348" t="s">
        <v>38</v>
      </c>
      <c r="AP71" s="713">
        <v>91.663405088062618</v>
      </c>
      <c r="AQ71" s="713"/>
      <c r="AR71" s="345">
        <v>102.5</v>
      </c>
      <c r="AS71" s="346"/>
      <c r="AT71" s="216">
        <v>9.2284976005906245E-3</v>
      </c>
      <c r="AU71" s="346"/>
      <c r="AV71" s="347" t="s">
        <v>38</v>
      </c>
      <c r="AW71" s="348" t="s">
        <v>38</v>
      </c>
      <c r="AX71" s="349">
        <v>9292</v>
      </c>
      <c r="AY71" s="709"/>
      <c r="AZ71" s="419" t="s">
        <v>38</v>
      </c>
      <c r="BA71" s="710" t="s">
        <v>38</v>
      </c>
      <c r="BB71" s="711">
        <v>9292</v>
      </c>
      <c r="BC71" s="709"/>
      <c r="BD71" s="347" t="s">
        <v>38</v>
      </c>
      <c r="BE71" s="348" t="s">
        <v>38</v>
      </c>
      <c r="BF71" s="712">
        <v>0</v>
      </c>
      <c r="BG71" s="709"/>
      <c r="BH71" s="347" t="s">
        <v>38</v>
      </c>
      <c r="BI71" s="348" t="s">
        <v>38</v>
      </c>
      <c r="BJ71" s="713">
        <v>90.653658536585368</v>
      </c>
      <c r="BK71" s="713"/>
      <c r="BL71" s="345">
        <v>103.7</v>
      </c>
      <c r="BM71" s="346"/>
      <c r="BN71" s="216">
        <v>9.3449521938559418E-3</v>
      </c>
      <c r="BO71" s="346"/>
      <c r="BP71" s="347" t="s">
        <v>38</v>
      </c>
      <c r="BQ71" s="348" t="s">
        <v>38</v>
      </c>
      <c r="BR71" s="349">
        <v>9348</v>
      </c>
      <c r="BS71" s="709"/>
      <c r="BT71" s="419" t="s">
        <v>38</v>
      </c>
      <c r="BU71" s="710" t="s">
        <v>38</v>
      </c>
      <c r="BV71" s="711">
        <v>9348</v>
      </c>
      <c r="BW71" s="709"/>
      <c r="BX71" s="347" t="s">
        <v>38</v>
      </c>
      <c r="BY71" s="348" t="s">
        <v>38</v>
      </c>
      <c r="BZ71" s="712">
        <v>0</v>
      </c>
      <c r="CA71" s="709"/>
      <c r="CB71" s="347" t="s">
        <v>38</v>
      </c>
      <c r="CC71" s="348" t="s">
        <v>38</v>
      </c>
      <c r="CD71" s="713">
        <v>90.144648023143688</v>
      </c>
      <c r="CE71" s="713"/>
      <c r="CF71" s="345">
        <f t="shared" si="10"/>
        <v>406.7</v>
      </c>
      <c r="CG71" s="709"/>
      <c r="CH71" s="356">
        <f>CF71/44202.6</f>
        <v>9.2008162415785494E-3</v>
      </c>
      <c r="CI71" s="714"/>
      <c r="CJ71" s="715" t="s">
        <v>38</v>
      </c>
      <c r="CK71" s="716" t="s">
        <v>38</v>
      </c>
      <c r="CL71" s="712">
        <f t="shared" si="11"/>
        <v>37297</v>
      </c>
      <c r="CM71" s="717"/>
      <c r="CN71" s="718" t="s">
        <v>38</v>
      </c>
      <c r="CO71" s="716" t="s">
        <v>38</v>
      </c>
      <c r="CP71" s="713">
        <f t="shared" si="12"/>
        <v>37297</v>
      </c>
      <c r="CQ71" s="709"/>
      <c r="CR71" s="419" t="s">
        <v>38</v>
      </c>
      <c r="CS71" s="716" t="s">
        <v>38</v>
      </c>
      <c r="CT71" s="712">
        <f t="shared" si="13"/>
        <v>0</v>
      </c>
      <c r="CU71" s="709"/>
      <c r="CV71" s="419" t="s">
        <v>38</v>
      </c>
      <c r="CW71" s="716" t="s">
        <v>38</v>
      </c>
      <c r="CX71" s="712">
        <f t="shared" si="14"/>
        <v>91.706417506761738</v>
      </c>
      <c r="CY71" s="719"/>
      <c r="CZ71" s="720"/>
      <c r="DA71" s="721"/>
      <c r="DB71" s="722"/>
      <c r="DC71" s="723"/>
      <c r="DD71" s="712"/>
      <c r="DE71" s="713"/>
      <c r="DF71" s="347"/>
      <c r="DG71" s="348"/>
      <c r="DH71" s="712"/>
      <c r="DI71" s="709"/>
      <c r="DJ71" s="347"/>
      <c r="DK71" s="348"/>
      <c r="DL71" s="712"/>
      <c r="DM71" s="709"/>
      <c r="DN71" s="347"/>
      <c r="DO71" s="348"/>
      <c r="DP71" s="712"/>
      <c r="DQ71" s="724"/>
      <c r="DR71" s="725"/>
      <c r="DS71" s="726"/>
      <c r="DT71" s="347"/>
      <c r="DU71" s="348"/>
      <c r="DV71" s="713"/>
      <c r="DW71" s="356"/>
      <c r="DX71" s="419"/>
      <c r="DY71" s="716"/>
      <c r="DZ71" s="713"/>
      <c r="EA71" s="356"/>
      <c r="EB71" s="347"/>
      <c r="EC71" s="348"/>
      <c r="ED71" s="419"/>
      <c r="EE71" s="727"/>
      <c r="EF71" s="419"/>
      <c r="EG71" s="728"/>
      <c r="EH71" s="349"/>
      <c r="EI71" s="729"/>
    </row>
    <row r="72" spans="1:139" x14ac:dyDescent="0.25">
      <c r="A72" s="83"/>
      <c r="B72" s="23"/>
      <c r="C72" s="504" t="s">
        <v>39</v>
      </c>
      <c r="D72" s="234">
        <v>27.4</v>
      </c>
      <c r="E72" s="228"/>
      <c r="F72" s="246">
        <v>1.2551534585432889E-2</v>
      </c>
      <c r="G72" s="228"/>
      <c r="H72" s="293" t="s">
        <v>38</v>
      </c>
      <c r="I72" s="230" t="s">
        <v>38</v>
      </c>
      <c r="J72" s="298">
        <v>6550</v>
      </c>
      <c r="K72" s="507"/>
      <c r="L72" s="409" t="s">
        <v>38</v>
      </c>
      <c r="M72" s="559" t="s">
        <v>38</v>
      </c>
      <c r="N72" s="556">
        <v>6550</v>
      </c>
      <c r="O72" s="208"/>
      <c r="P72" s="293" t="s">
        <v>38</v>
      </c>
      <c r="Q72" s="230" t="s">
        <v>38</v>
      </c>
      <c r="R72" s="556">
        <v>0</v>
      </c>
      <c r="S72" s="507"/>
      <c r="T72" s="293" t="s">
        <v>38</v>
      </c>
      <c r="U72" s="230" t="s">
        <v>38</v>
      </c>
      <c r="V72" s="509">
        <v>239.05109489051097</v>
      </c>
      <c r="W72" s="509"/>
      <c r="X72" s="234">
        <v>27.4</v>
      </c>
      <c r="Y72" s="228"/>
      <c r="Z72" s="246">
        <v>1.2545787545787545E-2</v>
      </c>
      <c r="AA72" s="228"/>
      <c r="AB72" s="293" t="s">
        <v>38</v>
      </c>
      <c r="AC72" s="230" t="s">
        <v>38</v>
      </c>
      <c r="AD72" s="298">
        <v>6461</v>
      </c>
      <c r="AE72" s="507"/>
      <c r="AF72" s="409" t="s">
        <v>38</v>
      </c>
      <c r="AG72" s="559" t="s">
        <v>38</v>
      </c>
      <c r="AH72" s="556">
        <v>6461</v>
      </c>
      <c r="AI72" s="208"/>
      <c r="AJ72" s="293" t="s">
        <v>38</v>
      </c>
      <c r="AK72" s="230" t="s">
        <v>38</v>
      </c>
      <c r="AL72" s="556">
        <v>0</v>
      </c>
      <c r="AM72" s="507"/>
      <c r="AN72" s="293" t="s">
        <v>38</v>
      </c>
      <c r="AO72" s="230" t="s">
        <v>38</v>
      </c>
      <c r="AP72" s="509">
        <v>235.80291970802921</v>
      </c>
      <c r="AQ72" s="509"/>
      <c r="AR72" s="234">
        <v>28.1</v>
      </c>
      <c r="AS72" s="228"/>
      <c r="AT72" s="246">
        <v>1.2872194228126433E-2</v>
      </c>
      <c r="AU72" s="228"/>
      <c r="AV72" s="293" t="s">
        <v>38</v>
      </c>
      <c r="AW72" s="230" t="s">
        <v>38</v>
      </c>
      <c r="AX72" s="298">
        <v>6385</v>
      </c>
      <c r="AY72" s="507"/>
      <c r="AZ72" s="409" t="s">
        <v>38</v>
      </c>
      <c r="BA72" s="559" t="s">
        <v>38</v>
      </c>
      <c r="BB72" s="556">
        <v>6385</v>
      </c>
      <c r="BC72" s="208"/>
      <c r="BD72" s="293" t="s">
        <v>38</v>
      </c>
      <c r="BE72" s="230" t="s">
        <v>38</v>
      </c>
      <c r="BF72" s="556">
        <v>0</v>
      </c>
      <c r="BG72" s="507"/>
      <c r="BH72" s="293" t="s">
        <v>38</v>
      </c>
      <c r="BI72" s="230" t="s">
        <v>38</v>
      </c>
      <c r="BJ72" s="509">
        <v>227.22419928825622</v>
      </c>
      <c r="BK72" s="509"/>
      <c r="BL72" s="234">
        <v>26.8</v>
      </c>
      <c r="BM72" s="228"/>
      <c r="BN72" s="246">
        <v>1.2132186509732912E-2</v>
      </c>
      <c r="BO72" s="228"/>
      <c r="BP72" s="293" t="s">
        <v>38</v>
      </c>
      <c r="BQ72" s="230" t="s">
        <v>38</v>
      </c>
      <c r="BR72" s="298">
        <v>6459</v>
      </c>
      <c r="BS72" s="507"/>
      <c r="BT72" s="409" t="s">
        <v>38</v>
      </c>
      <c r="BU72" s="559" t="s">
        <v>38</v>
      </c>
      <c r="BV72" s="556">
        <v>6459</v>
      </c>
      <c r="BW72" s="208"/>
      <c r="BX72" s="293" t="s">
        <v>38</v>
      </c>
      <c r="BY72" s="230" t="s">
        <v>38</v>
      </c>
      <c r="BZ72" s="556">
        <v>0</v>
      </c>
      <c r="CA72" s="507"/>
      <c r="CB72" s="293" t="s">
        <v>38</v>
      </c>
      <c r="CC72" s="230" t="s">
        <v>38</v>
      </c>
      <c r="CD72" s="509">
        <v>241.00746268656715</v>
      </c>
      <c r="CE72" s="509"/>
      <c r="CF72" s="730">
        <f t="shared" si="10"/>
        <v>109.70000000000002</v>
      </c>
      <c r="CG72" s="208"/>
      <c r="CH72" s="246">
        <f t="shared" si="15"/>
        <v>1.2522831050228313E-2</v>
      </c>
      <c r="CI72" s="554"/>
      <c r="CJ72" s="409" t="s">
        <v>38</v>
      </c>
      <c r="CK72" s="559" t="s">
        <v>38</v>
      </c>
      <c r="CL72" s="506">
        <f t="shared" si="11"/>
        <v>25855</v>
      </c>
      <c r="CM72" s="239"/>
      <c r="CN72" s="560" t="s">
        <v>38</v>
      </c>
      <c r="CO72" s="559" t="s">
        <v>38</v>
      </c>
      <c r="CP72" s="231">
        <f t="shared" si="12"/>
        <v>25855</v>
      </c>
      <c r="CQ72" s="208"/>
      <c r="CR72" s="409" t="s">
        <v>38</v>
      </c>
      <c r="CS72" s="559" t="s">
        <v>38</v>
      </c>
      <c r="CT72" s="506">
        <f t="shared" si="13"/>
        <v>0</v>
      </c>
      <c r="CU72" s="208"/>
      <c r="CV72" s="409" t="s">
        <v>38</v>
      </c>
      <c r="CW72" s="559" t="s">
        <v>38</v>
      </c>
      <c r="CX72" s="506">
        <f t="shared" si="14"/>
        <v>235.68824065633541</v>
      </c>
      <c r="CY72" s="235"/>
      <c r="CZ72" s="512"/>
      <c r="DA72" s="513"/>
      <c r="DB72" s="229"/>
      <c r="DC72" s="515"/>
      <c r="DD72" s="506"/>
      <c r="DE72" s="231"/>
      <c r="DF72" s="293"/>
      <c r="DG72" s="230"/>
      <c r="DH72" s="506"/>
      <c r="DI72" s="208"/>
      <c r="DJ72" s="293"/>
      <c r="DK72" s="230"/>
      <c r="DL72" s="506"/>
      <c r="DM72" s="208"/>
      <c r="DN72" s="293"/>
      <c r="DO72" s="230"/>
      <c r="DP72" s="237"/>
      <c r="DQ72" s="731"/>
      <c r="DR72" s="242"/>
      <c r="DS72" s="517"/>
      <c r="DT72" s="293"/>
      <c r="DU72" s="230"/>
      <c r="DV72" s="509"/>
      <c r="DW72" s="510"/>
      <c r="DX72" s="409"/>
      <c r="DY72" s="559"/>
      <c r="DZ72" s="509"/>
      <c r="EA72" s="510"/>
      <c r="EB72" s="293"/>
      <c r="EC72" s="230"/>
      <c r="ED72" s="244"/>
      <c r="EE72" s="732"/>
      <c r="EF72" s="244"/>
      <c r="EG72" s="557"/>
      <c r="EH72" s="298"/>
      <c r="EI72" s="521"/>
    </row>
    <row r="73" spans="1:139" x14ac:dyDescent="0.25">
      <c r="A73" s="83"/>
      <c r="B73" s="523"/>
      <c r="C73" s="524" t="s">
        <v>40</v>
      </c>
      <c r="D73" s="234">
        <v>27.5</v>
      </c>
      <c r="E73" s="228"/>
      <c r="F73" s="246">
        <v>1.2597343105817681E-2</v>
      </c>
      <c r="G73" s="228"/>
      <c r="H73" s="293" t="s">
        <v>38</v>
      </c>
      <c r="I73" s="230" t="s">
        <v>38</v>
      </c>
      <c r="J73" s="298">
        <v>384</v>
      </c>
      <c r="K73" s="507"/>
      <c r="L73" s="409" t="s">
        <v>38</v>
      </c>
      <c r="M73" s="559" t="s">
        <v>38</v>
      </c>
      <c r="N73" s="506">
        <v>384</v>
      </c>
      <c r="O73" s="507"/>
      <c r="P73" s="293" t="s">
        <v>38</v>
      </c>
      <c r="Q73" s="230" t="s">
        <v>38</v>
      </c>
      <c r="R73" s="506">
        <v>0</v>
      </c>
      <c r="S73" s="208"/>
      <c r="T73" s="293" t="s">
        <v>38</v>
      </c>
      <c r="U73" s="230" t="s">
        <v>38</v>
      </c>
      <c r="V73" s="509">
        <v>13.963636363636363</v>
      </c>
      <c r="W73" s="509"/>
      <c r="X73" s="234">
        <v>30.8</v>
      </c>
      <c r="Y73" s="228"/>
      <c r="Z73" s="246">
        <v>1.4102564102564103E-2</v>
      </c>
      <c r="AA73" s="228"/>
      <c r="AB73" s="293" t="s">
        <v>38</v>
      </c>
      <c r="AC73" s="230" t="s">
        <v>38</v>
      </c>
      <c r="AD73" s="298">
        <v>470</v>
      </c>
      <c r="AE73" s="507"/>
      <c r="AF73" s="409" t="s">
        <v>38</v>
      </c>
      <c r="AG73" s="559" t="s">
        <v>38</v>
      </c>
      <c r="AH73" s="506">
        <v>470</v>
      </c>
      <c r="AI73" s="507"/>
      <c r="AJ73" s="293" t="s">
        <v>38</v>
      </c>
      <c r="AK73" s="230" t="s">
        <v>38</v>
      </c>
      <c r="AL73" s="506">
        <v>0</v>
      </c>
      <c r="AM73" s="208"/>
      <c r="AN73" s="293" t="s">
        <v>38</v>
      </c>
      <c r="AO73" s="230" t="s">
        <v>38</v>
      </c>
      <c r="AP73" s="509">
        <v>15.25974025974026</v>
      </c>
      <c r="AQ73" s="509"/>
      <c r="AR73" s="234">
        <v>31.4</v>
      </c>
      <c r="AS73" s="228"/>
      <c r="AT73" s="246">
        <v>1.4383875400824553E-2</v>
      </c>
      <c r="AU73" s="228"/>
      <c r="AV73" s="293" t="s">
        <v>38</v>
      </c>
      <c r="AW73" s="230" t="s">
        <v>38</v>
      </c>
      <c r="AX73" s="298">
        <v>449</v>
      </c>
      <c r="AY73" s="507"/>
      <c r="AZ73" s="409" t="s">
        <v>38</v>
      </c>
      <c r="BA73" s="559" t="s">
        <v>38</v>
      </c>
      <c r="BB73" s="506">
        <v>449</v>
      </c>
      <c r="BC73" s="507"/>
      <c r="BD73" s="293" t="s">
        <v>38</v>
      </c>
      <c r="BE73" s="230" t="s">
        <v>38</v>
      </c>
      <c r="BF73" s="506">
        <v>0</v>
      </c>
      <c r="BG73" s="208"/>
      <c r="BH73" s="293" t="s">
        <v>38</v>
      </c>
      <c r="BI73" s="230" t="s">
        <v>38</v>
      </c>
      <c r="BJ73" s="509">
        <v>14.299363057324841</v>
      </c>
      <c r="BK73" s="509"/>
      <c r="BL73" s="234">
        <v>31.2</v>
      </c>
      <c r="BM73" s="228"/>
      <c r="BN73" s="246">
        <v>1.4124038026256225E-2</v>
      </c>
      <c r="BO73" s="228"/>
      <c r="BP73" s="293" t="s">
        <v>38</v>
      </c>
      <c r="BQ73" s="230" t="s">
        <v>38</v>
      </c>
      <c r="BR73" s="298">
        <v>445</v>
      </c>
      <c r="BS73" s="507"/>
      <c r="BT73" s="409" t="s">
        <v>38</v>
      </c>
      <c r="BU73" s="559" t="s">
        <v>38</v>
      </c>
      <c r="BV73" s="506">
        <v>445</v>
      </c>
      <c r="BW73" s="507"/>
      <c r="BX73" s="293" t="s">
        <v>38</v>
      </c>
      <c r="BY73" s="230" t="s">
        <v>38</v>
      </c>
      <c r="BZ73" s="506">
        <v>0</v>
      </c>
      <c r="CA73" s="208"/>
      <c r="CB73" s="293" t="s">
        <v>38</v>
      </c>
      <c r="CC73" s="230" t="s">
        <v>38</v>
      </c>
      <c r="CD73" s="509">
        <v>14.262820512820513</v>
      </c>
      <c r="CE73" s="509"/>
      <c r="CF73" s="730">
        <f t="shared" si="10"/>
        <v>120.89999999999999</v>
      </c>
      <c r="CG73" s="208"/>
      <c r="CH73" s="246">
        <f t="shared" si="15"/>
        <v>1.3801369863013698E-2</v>
      </c>
      <c r="CI73" s="554"/>
      <c r="CJ73" s="409" t="s">
        <v>38</v>
      </c>
      <c r="CK73" s="559" t="s">
        <v>38</v>
      </c>
      <c r="CL73" s="506">
        <f t="shared" si="11"/>
        <v>1748</v>
      </c>
      <c r="CM73" s="239"/>
      <c r="CN73" s="560" t="s">
        <v>38</v>
      </c>
      <c r="CO73" s="559" t="s">
        <v>38</v>
      </c>
      <c r="CP73" s="231">
        <f t="shared" si="12"/>
        <v>1748</v>
      </c>
      <c r="CQ73" s="208"/>
      <c r="CR73" s="409" t="s">
        <v>38</v>
      </c>
      <c r="CS73" s="559" t="s">
        <v>38</v>
      </c>
      <c r="CT73" s="506">
        <f t="shared" si="13"/>
        <v>0</v>
      </c>
      <c r="CU73" s="208"/>
      <c r="CV73" s="409" t="s">
        <v>38</v>
      </c>
      <c r="CW73" s="559" t="s">
        <v>38</v>
      </c>
      <c r="CX73" s="506">
        <f t="shared" si="14"/>
        <v>14.45822994210091</v>
      </c>
      <c r="CY73" s="235"/>
      <c r="CZ73" s="512"/>
      <c r="DA73" s="513"/>
      <c r="DB73" s="229"/>
      <c r="DC73" s="515"/>
      <c r="DD73" s="506"/>
      <c r="DE73" s="231"/>
      <c r="DF73" s="293"/>
      <c r="DG73" s="230"/>
      <c r="DH73" s="506"/>
      <c r="DI73" s="208"/>
      <c r="DJ73" s="293"/>
      <c r="DK73" s="230"/>
      <c r="DL73" s="506"/>
      <c r="DM73" s="208"/>
      <c r="DN73" s="293"/>
      <c r="DO73" s="230"/>
      <c r="DP73" s="237"/>
      <c r="DQ73" s="731"/>
      <c r="DR73" s="242"/>
      <c r="DS73" s="517"/>
      <c r="DT73" s="293"/>
      <c r="DU73" s="230"/>
      <c r="DV73" s="509"/>
      <c r="DW73" s="510"/>
      <c r="DX73" s="406"/>
      <c r="DY73" s="505"/>
      <c r="DZ73" s="509"/>
      <c r="EA73" s="510"/>
      <c r="EB73" s="293"/>
      <c r="EC73" s="230"/>
      <c r="ED73" s="244"/>
      <c r="EE73" s="732"/>
      <c r="EF73" s="244"/>
      <c r="EG73" s="557"/>
      <c r="EH73" s="285"/>
      <c r="EI73" s="249"/>
    </row>
    <row r="74" spans="1:139" x14ac:dyDescent="0.25">
      <c r="A74" s="83"/>
      <c r="B74" s="523"/>
      <c r="C74" s="524" t="s">
        <v>41</v>
      </c>
      <c r="D74" s="234">
        <v>16.3</v>
      </c>
      <c r="E74" s="228"/>
      <c r="F74" s="246">
        <v>7.4667888227210261E-3</v>
      </c>
      <c r="G74" s="228"/>
      <c r="H74" s="293" t="s">
        <v>38</v>
      </c>
      <c r="I74" s="230" t="s">
        <v>38</v>
      </c>
      <c r="J74" s="298">
        <v>1123</v>
      </c>
      <c r="K74" s="507"/>
      <c r="L74" s="409" t="s">
        <v>38</v>
      </c>
      <c r="M74" s="559" t="s">
        <v>38</v>
      </c>
      <c r="N74" s="506">
        <v>1123</v>
      </c>
      <c r="O74" s="507"/>
      <c r="P74" s="293" t="s">
        <v>38</v>
      </c>
      <c r="Q74" s="230" t="s">
        <v>38</v>
      </c>
      <c r="R74" s="506">
        <v>0</v>
      </c>
      <c r="S74" s="208"/>
      <c r="T74" s="293" t="s">
        <v>38</v>
      </c>
      <c r="U74" s="230" t="s">
        <v>38</v>
      </c>
      <c r="V74" s="509">
        <v>68.895705521472394</v>
      </c>
      <c r="W74" s="509"/>
      <c r="X74" s="234">
        <v>16.8</v>
      </c>
      <c r="Y74" s="228"/>
      <c r="Z74" s="246">
        <v>7.6923076923076927E-3</v>
      </c>
      <c r="AA74" s="228"/>
      <c r="AB74" s="293" t="s">
        <v>38</v>
      </c>
      <c r="AC74" s="230" t="s">
        <v>38</v>
      </c>
      <c r="AD74" s="298">
        <v>1179</v>
      </c>
      <c r="AE74" s="507"/>
      <c r="AF74" s="409" t="s">
        <v>38</v>
      </c>
      <c r="AG74" s="559" t="s">
        <v>38</v>
      </c>
      <c r="AH74" s="506">
        <v>1179</v>
      </c>
      <c r="AI74" s="507"/>
      <c r="AJ74" s="293" t="s">
        <v>38</v>
      </c>
      <c r="AK74" s="230" t="s">
        <v>38</v>
      </c>
      <c r="AL74" s="506">
        <v>0</v>
      </c>
      <c r="AM74" s="208"/>
      <c r="AN74" s="293" t="s">
        <v>38</v>
      </c>
      <c r="AO74" s="230" t="s">
        <v>38</v>
      </c>
      <c r="AP74" s="509">
        <v>70.178571428571431</v>
      </c>
      <c r="AQ74" s="509"/>
      <c r="AR74" s="234">
        <v>15.4</v>
      </c>
      <c r="AS74" s="228"/>
      <c r="AT74" s="246">
        <v>7.0545121392579018E-3</v>
      </c>
      <c r="AU74" s="228"/>
      <c r="AV74" s="293" t="s">
        <v>38</v>
      </c>
      <c r="AW74" s="230" t="s">
        <v>38</v>
      </c>
      <c r="AX74" s="298">
        <v>1208</v>
      </c>
      <c r="AY74" s="507"/>
      <c r="AZ74" s="409" t="s">
        <v>38</v>
      </c>
      <c r="BA74" s="559" t="s">
        <v>38</v>
      </c>
      <c r="BB74" s="506">
        <v>1208</v>
      </c>
      <c r="BC74" s="507"/>
      <c r="BD74" s="293" t="s">
        <v>38</v>
      </c>
      <c r="BE74" s="230" t="s">
        <v>38</v>
      </c>
      <c r="BF74" s="506">
        <v>0</v>
      </c>
      <c r="BG74" s="208"/>
      <c r="BH74" s="293" t="s">
        <v>38</v>
      </c>
      <c r="BI74" s="230" t="s">
        <v>38</v>
      </c>
      <c r="BJ74" s="509">
        <v>78.441558441558442</v>
      </c>
      <c r="BK74" s="509"/>
      <c r="BL74" s="234">
        <v>18.2</v>
      </c>
      <c r="BM74" s="228"/>
      <c r="BN74" s="246">
        <v>8.2390221819827972E-3</v>
      </c>
      <c r="BO74" s="228"/>
      <c r="BP74" s="293" t="s">
        <v>38</v>
      </c>
      <c r="BQ74" s="230" t="s">
        <v>38</v>
      </c>
      <c r="BR74" s="298">
        <v>1196</v>
      </c>
      <c r="BS74" s="507"/>
      <c r="BT74" s="409" t="s">
        <v>38</v>
      </c>
      <c r="BU74" s="559" t="s">
        <v>38</v>
      </c>
      <c r="BV74" s="506">
        <v>1196</v>
      </c>
      <c r="BW74" s="507"/>
      <c r="BX74" s="293" t="s">
        <v>38</v>
      </c>
      <c r="BY74" s="230" t="s">
        <v>38</v>
      </c>
      <c r="BZ74" s="506">
        <v>0</v>
      </c>
      <c r="CA74" s="208"/>
      <c r="CB74" s="293" t="s">
        <v>38</v>
      </c>
      <c r="CC74" s="230" t="s">
        <v>38</v>
      </c>
      <c r="CD74" s="509">
        <v>65.714285714285722</v>
      </c>
      <c r="CE74" s="509"/>
      <c r="CF74" s="730">
        <f t="shared" si="10"/>
        <v>66.7</v>
      </c>
      <c r="CG74" s="208"/>
      <c r="CH74" s="246">
        <f t="shared" si="15"/>
        <v>7.6141552511415529E-3</v>
      </c>
      <c r="CI74" s="554"/>
      <c r="CJ74" s="409" t="s">
        <v>38</v>
      </c>
      <c r="CK74" s="559" t="s">
        <v>38</v>
      </c>
      <c r="CL74" s="506">
        <f t="shared" si="11"/>
        <v>4706</v>
      </c>
      <c r="CM74" s="239"/>
      <c r="CN74" s="560" t="s">
        <v>38</v>
      </c>
      <c r="CO74" s="559" t="s">
        <v>38</v>
      </c>
      <c r="CP74" s="231">
        <f t="shared" si="12"/>
        <v>4706</v>
      </c>
      <c r="CQ74" s="208"/>
      <c r="CR74" s="409" t="s">
        <v>38</v>
      </c>
      <c r="CS74" s="559" t="s">
        <v>38</v>
      </c>
      <c r="CT74" s="506">
        <f t="shared" si="13"/>
        <v>0</v>
      </c>
      <c r="CU74" s="208"/>
      <c r="CV74" s="409" t="s">
        <v>38</v>
      </c>
      <c r="CW74" s="559" t="s">
        <v>38</v>
      </c>
      <c r="CX74" s="506">
        <f t="shared" si="14"/>
        <v>70.554722638680659</v>
      </c>
      <c r="CY74" s="235"/>
      <c r="CZ74" s="512"/>
      <c r="DA74" s="513"/>
      <c r="DB74" s="229"/>
      <c r="DC74" s="515"/>
      <c r="DD74" s="506"/>
      <c r="DE74" s="231"/>
      <c r="DF74" s="293"/>
      <c r="DG74" s="230"/>
      <c r="DH74" s="506"/>
      <c r="DI74" s="208"/>
      <c r="DJ74" s="293"/>
      <c r="DK74" s="230"/>
      <c r="DL74" s="506"/>
      <c r="DM74" s="208"/>
      <c r="DN74" s="293"/>
      <c r="DO74" s="230"/>
      <c r="DP74" s="237"/>
      <c r="DQ74" s="731"/>
      <c r="DR74" s="242"/>
      <c r="DS74" s="517"/>
      <c r="DT74" s="293"/>
      <c r="DU74" s="230"/>
      <c r="DV74" s="509"/>
      <c r="DW74" s="510"/>
      <c r="DX74" s="409"/>
      <c r="DY74" s="559"/>
      <c r="DZ74" s="509"/>
      <c r="EA74" s="510"/>
      <c r="EB74" s="293"/>
      <c r="EC74" s="230"/>
      <c r="ED74" s="244"/>
      <c r="EE74" s="732"/>
      <c r="EF74" s="244"/>
      <c r="EG74" s="557"/>
      <c r="EH74" s="298"/>
      <c r="EI74" s="521"/>
    </row>
    <row r="75" spans="1:139" x14ac:dyDescent="0.25">
      <c r="A75" s="83"/>
      <c r="B75" s="23"/>
      <c r="C75" s="524" t="s">
        <v>42</v>
      </c>
      <c r="D75" s="234">
        <v>14.4</v>
      </c>
      <c r="E75" s="228"/>
      <c r="F75" s="246">
        <v>6.5964269354099863E-3</v>
      </c>
      <c r="G75" s="228"/>
      <c r="H75" s="293" t="s">
        <v>38</v>
      </c>
      <c r="I75" s="230" t="s">
        <v>38</v>
      </c>
      <c r="J75" s="298">
        <v>1232</v>
      </c>
      <c r="K75" s="507"/>
      <c r="L75" s="409" t="s">
        <v>38</v>
      </c>
      <c r="M75" s="559" t="s">
        <v>38</v>
      </c>
      <c r="N75" s="506">
        <v>1232</v>
      </c>
      <c r="O75" s="522"/>
      <c r="P75" s="293" t="s">
        <v>38</v>
      </c>
      <c r="Q75" s="230" t="s">
        <v>38</v>
      </c>
      <c r="R75" s="506">
        <v>0</v>
      </c>
      <c r="S75" s="208"/>
      <c r="T75" s="293" t="s">
        <v>38</v>
      </c>
      <c r="U75" s="230" t="s">
        <v>38</v>
      </c>
      <c r="V75" s="509">
        <v>85.555555555555557</v>
      </c>
      <c r="W75" s="509"/>
      <c r="X75" s="234">
        <v>14.4</v>
      </c>
      <c r="Y75" s="228"/>
      <c r="Z75" s="246">
        <v>6.5934065934065934E-3</v>
      </c>
      <c r="AA75" s="228"/>
      <c r="AB75" s="293" t="s">
        <v>38</v>
      </c>
      <c r="AC75" s="230" t="s">
        <v>38</v>
      </c>
      <c r="AD75" s="298">
        <v>1258</v>
      </c>
      <c r="AE75" s="507"/>
      <c r="AF75" s="409" t="s">
        <v>38</v>
      </c>
      <c r="AG75" s="559" t="s">
        <v>38</v>
      </c>
      <c r="AH75" s="506">
        <v>1258</v>
      </c>
      <c r="AI75" s="522"/>
      <c r="AJ75" s="293" t="s">
        <v>38</v>
      </c>
      <c r="AK75" s="230" t="s">
        <v>38</v>
      </c>
      <c r="AL75" s="506">
        <v>0</v>
      </c>
      <c r="AM75" s="208"/>
      <c r="AN75" s="293" t="s">
        <v>38</v>
      </c>
      <c r="AO75" s="230" t="s">
        <v>38</v>
      </c>
      <c r="AP75" s="509">
        <v>87.361111111111114</v>
      </c>
      <c r="AQ75" s="509"/>
      <c r="AR75" s="234">
        <v>14.8</v>
      </c>
      <c r="AS75" s="228"/>
      <c r="AT75" s="246">
        <v>6.7796610169491532E-3</v>
      </c>
      <c r="AU75" s="228"/>
      <c r="AV75" s="293" t="s">
        <v>38</v>
      </c>
      <c r="AW75" s="230" t="s">
        <v>38</v>
      </c>
      <c r="AX75" s="298">
        <v>1250</v>
      </c>
      <c r="AY75" s="507"/>
      <c r="AZ75" s="409" t="s">
        <v>38</v>
      </c>
      <c r="BA75" s="559" t="s">
        <v>38</v>
      </c>
      <c r="BB75" s="506">
        <v>1250</v>
      </c>
      <c r="BC75" s="522"/>
      <c r="BD75" s="293" t="s">
        <v>38</v>
      </c>
      <c r="BE75" s="230" t="s">
        <v>38</v>
      </c>
      <c r="BF75" s="506">
        <v>0</v>
      </c>
      <c r="BG75" s="208"/>
      <c r="BH75" s="293" t="s">
        <v>38</v>
      </c>
      <c r="BI75" s="230" t="s">
        <v>38</v>
      </c>
      <c r="BJ75" s="509">
        <v>84.459459459459453</v>
      </c>
      <c r="BK75" s="509"/>
      <c r="BL75" s="234">
        <v>14.6</v>
      </c>
      <c r="BM75" s="228"/>
      <c r="BN75" s="246">
        <v>6.6093254866455408E-3</v>
      </c>
      <c r="BO75" s="228"/>
      <c r="BP75" s="293" t="s">
        <v>38</v>
      </c>
      <c r="BQ75" s="230" t="s">
        <v>38</v>
      </c>
      <c r="BR75" s="298">
        <v>1248</v>
      </c>
      <c r="BS75" s="507"/>
      <c r="BT75" s="409" t="s">
        <v>38</v>
      </c>
      <c r="BU75" s="559" t="s">
        <v>38</v>
      </c>
      <c r="BV75" s="506">
        <v>1248</v>
      </c>
      <c r="BW75" s="522"/>
      <c r="BX75" s="293" t="s">
        <v>38</v>
      </c>
      <c r="BY75" s="230" t="s">
        <v>38</v>
      </c>
      <c r="BZ75" s="506">
        <v>0</v>
      </c>
      <c r="CA75" s="208"/>
      <c r="CB75" s="293" t="s">
        <v>38</v>
      </c>
      <c r="CC75" s="230" t="s">
        <v>38</v>
      </c>
      <c r="CD75" s="509">
        <v>85.479452054794521</v>
      </c>
      <c r="CE75" s="509"/>
      <c r="CF75" s="730">
        <f t="shared" si="10"/>
        <v>58.199999999999996</v>
      </c>
      <c r="CG75" s="208"/>
      <c r="CH75" s="246">
        <f t="shared" si="15"/>
        <v>6.6438356164383559E-3</v>
      </c>
      <c r="CI75" s="554"/>
      <c r="CJ75" s="409" t="s">
        <v>38</v>
      </c>
      <c r="CK75" s="559" t="s">
        <v>38</v>
      </c>
      <c r="CL75" s="506">
        <f t="shared" si="11"/>
        <v>4988</v>
      </c>
      <c r="CM75" s="239"/>
      <c r="CN75" s="560" t="s">
        <v>38</v>
      </c>
      <c r="CO75" s="559" t="s">
        <v>38</v>
      </c>
      <c r="CP75" s="231">
        <f t="shared" si="12"/>
        <v>4988</v>
      </c>
      <c r="CQ75" s="208"/>
      <c r="CR75" s="409" t="s">
        <v>38</v>
      </c>
      <c r="CS75" s="559" t="s">
        <v>38</v>
      </c>
      <c r="CT75" s="506">
        <f t="shared" si="13"/>
        <v>0</v>
      </c>
      <c r="CU75" s="208"/>
      <c r="CV75" s="409" t="s">
        <v>38</v>
      </c>
      <c r="CW75" s="559" t="s">
        <v>38</v>
      </c>
      <c r="CX75" s="506">
        <f t="shared" si="14"/>
        <v>85.704467353951898</v>
      </c>
      <c r="CY75" s="235"/>
      <c r="CZ75" s="512"/>
      <c r="DA75" s="513"/>
      <c r="DB75" s="229"/>
      <c r="DC75" s="515"/>
      <c r="DD75" s="506"/>
      <c r="DE75" s="231"/>
      <c r="DF75" s="293"/>
      <c r="DG75" s="230"/>
      <c r="DH75" s="506"/>
      <c r="DI75" s="208"/>
      <c r="DJ75" s="293"/>
      <c r="DK75" s="230"/>
      <c r="DL75" s="506"/>
      <c r="DM75" s="208"/>
      <c r="DN75" s="293"/>
      <c r="DO75" s="230"/>
      <c r="DP75" s="237"/>
      <c r="DQ75" s="731"/>
      <c r="DR75" s="242"/>
      <c r="DS75" s="517"/>
      <c r="DT75" s="293"/>
      <c r="DU75" s="230"/>
      <c r="DV75" s="509"/>
      <c r="DW75" s="510"/>
      <c r="DX75" s="409"/>
      <c r="DY75" s="559"/>
      <c r="DZ75" s="509"/>
      <c r="EA75" s="510"/>
      <c r="EB75" s="293"/>
      <c r="EC75" s="230"/>
      <c r="ED75" s="244"/>
      <c r="EE75" s="732"/>
      <c r="EF75" s="244"/>
      <c r="EG75" s="557"/>
      <c r="EH75" s="298"/>
      <c r="EI75" s="521"/>
    </row>
    <row r="76" spans="1:139" x14ac:dyDescent="0.25">
      <c r="A76" s="84"/>
      <c r="B76" s="196"/>
      <c r="C76" s="733" t="s">
        <v>43</v>
      </c>
      <c r="D76" s="350">
        <v>12.7</v>
      </c>
      <c r="E76" s="351"/>
      <c r="F76" s="352">
        <v>5.8176820888685291E-3</v>
      </c>
      <c r="G76" s="351"/>
      <c r="H76" s="353" t="s">
        <v>38</v>
      </c>
      <c r="I76" s="354" t="s">
        <v>38</v>
      </c>
      <c r="J76" s="355">
        <v>0</v>
      </c>
      <c r="K76" s="734"/>
      <c r="L76" s="420" t="s">
        <v>38</v>
      </c>
      <c r="M76" s="735" t="s">
        <v>38</v>
      </c>
      <c r="N76" s="736">
        <v>0</v>
      </c>
      <c r="O76" s="737"/>
      <c r="P76" s="353" t="s">
        <v>38</v>
      </c>
      <c r="Q76" s="354" t="s">
        <v>38</v>
      </c>
      <c r="R76" s="736">
        <v>0</v>
      </c>
      <c r="S76" s="738"/>
      <c r="T76" s="353" t="s">
        <v>38</v>
      </c>
      <c r="U76" s="354" t="s">
        <v>38</v>
      </c>
      <c r="V76" s="736">
        <v>0</v>
      </c>
      <c r="W76" s="739"/>
      <c r="X76" s="350">
        <v>12.8</v>
      </c>
      <c r="Y76" s="351"/>
      <c r="Z76" s="740">
        <v>5.8608058608058608E-3</v>
      </c>
      <c r="AA76" s="351"/>
      <c r="AB76" s="353" t="s">
        <v>38</v>
      </c>
      <c r="AC76" s="354" t="s">
        <v>38</v>
      </c>
      <c r="AD76" s="355">
        <v>0</v>
      </c>
      <c r="AE76" s="734"/>
      <c r="AF76" s="420" t="s">
        <v>38</v>
      </c>
      <c r="AG76" s="735" t="s">
        <v>38</v>
      </c>
      <c r="AH76" s="736">
        <v>0</v>
      </c>
      <c r="AI76" s="737"/>
      <c r="AJ76" s="353" t="s">
        <v>38</v>
      </c>
      <c r="AK76" s="354" t="s">
        <v>38</v>
      </c>
      <c r="AL76" s="736">
        <v>0</v>
      </c>
      <c r="AM76" s="738"/>
      <c r="AN76" s="353" t="s">
        <v>38</v>
      </c>
      <c r="AO76" s="354" t="s">
        <v>38</v>
      </c>
      <c r="AP76" s="736">
        <v>0</v>
      </c>
      <c r="AQ76" s="739"/>
      <c r="AR76" s="350">
        <v>12.8</v>
      </c>
      <c r="AS76" s="351"/>
      <c r="AT76" s="352">
        <v>5.8634906092533213E-3</v>
      </c>
      <c r="AU76" s="351"/>
      <c r="AV76" s="353" t="s">
        <v>38</v>
      </c>
      <c r="AW76" s="354" t="s">
        <v>38</v>
      </c>
      <c r="AX76" s="355">
        <v>0</v>
      </c>
      <c r="AY76" s="734"/>
      <c r="AZ76" s="420" t="s">
        <v>38</v>
      </c>
      <c r="BA76" s="735" t="s">
        <v>38</v>
      </c>
      <c r="BB76" s="736">
        <v>0</v>
      </c>
      <c r="BC76" s="737"/>
      <c r="BD76" s="353" t="s">
        <v>38</v>
      </c>
      <c r="BE76" s="354" t="s">
        <v>38</v>
      </c>
      <c r="BF76" s="736">
        <v>0</v>
      </c>
      <c r="BG76" s="738"/>
      <c r="BH76" s="353" t="s">
        <v>38</v>
      </c>
      <c r="BI76" s="354" t="s">
        <v>38</v>
      </c>
      <c r="BJ76" s="736">
        <v>0</v>
      </c>
      <c r="BK76" s="739"/>
      <c r="BL76" s="350">
        <v>12.9</v>
      </c>
      <c r="BM76" s="351"/>
      <c r="BN76" s="352">
        <v>5.8397464916251701E-3</v>
      </c>
      <c r="BO76" s="351"/>
      <c r="BP76" s="353" t="s">
        <v>38</v>
      </c>
      <c r="BQ76" s="354" t="s">
        <v>38</v>
      </c>
      <c r="BR76" s="355">
        <v>0</v>
      </c>
      <c r="BS76" s="734"/>
      <c r="BT76" s="420" t="s">
        <v>38</v>
      </c>
      <c r="BU76" s="735" t="s">
        <v>38</v>
      </c>
      <c r="BV76" s="736">
        <v>0</v>
      </c>
      <c r="BW76" s="737"/>
      <c r="BX76" s="353" t="s">
        <v>38</v>
      </c>
      <c r="BY76" s="354" t="s">
        <v>38</v>
      </c>
      <c r="BZ76" s="736">
        <v>0</v>
      </c>
      <c r="CA76" s="738"/>
      <c r="CB76" s="353" t="s">
        <v>38</v>
      </c>
      <c r="CC76" s="354" t="s">
        <v>38</v>
      </c>
      <c r="CD76" s="736">
        <v>0</v>
      </c>
      <c r="CE76" s="739"/>
      <c r="CF76" s="741">
        <f t="shared" si="10"/>
        <v>51.2</v>
      </c>
      <c r="CG76" s="738"/>
      <c r="CH76" s="352">
        <f t="shared" si="15"/>
        <v>5.8447488584474887E-3</v>
      </c>
      <c r="CI76" s="742"/>
      <c r="CJ76" s="420" t="s">
        <v>38</v>
      </c>
      <c r="CK76" s="735" t="s">
        <v>38</v>
      </c>
      <c r="CL76" s="736">
        <f t="shared" si="11"/>
        <v>0</v>
      </c>
      <c r="CM76" s="743"/>
      <c r="CN76" s="744" t="s">
        <v>38</v>
      </c>
      <c r="CO76" s="735" t="s">
        <v>38</v>
      </c>
      <c r="CP76" s="745">
        <f t="shared" si="12"/>
        <v>0</v>
      </c>
      <c r="CQ76" s="738"/>
      <c r="CR76" s="420" t="s">
        <v>38</v>
      </c>
      <c r="CS76" s="735" t="s">
        <v>38</v>
      </c>
      <c r="CT76" s="736">
        <f t="shared" si="13"/>
        <v>0</v>
      </c>
      <c r="CU76" s="738"/>
      <c r="CV76" s="420" t="s">
        <v>38</v>
      </c>
      <c r="CW76" s="735" t="s">
        <v>38</v>
      </c>
      <c r="CX76" s="736">
        <f t="shared" si="14"/>
        <v>0</v>
      </c>
      <c r="CY76" s="746"/>
      <c r="CZ76" s="747"/>
      <c r="DA76" s="748"/>
      <c r="DB76" s="229"/>
      <c r="DC76" s="749"/>
      <c r="DD76" s="750"/>
      <c r="DE76" s="750"/>
      <c r="DF76" s="353"/>
      <c r="DG76" s="354"/>
      <c r="DH76" s="736"/>
      <c r="DI76" s="738"/>
      <c r="DJ76" s="353"/>
      <c r="DK76" s="354"/>
      <c r="DL76" s="736"/>
      <c r="DM76" s="738"/>
      <c r="DN76" s="353"/>
      <c r="DO76" s="354"/>
      <c r="DP76" s="736"/>
      <c r="DQ76" s="739"/>
      <c r="DR76" s="751"/>
      <c r="DS76" s="752"/>
      <c r="DT76" s="353"/>
      <c r="DU76" s="354"/>
      <c r="DV76" s="745"/>
      <c r="DW76" s="352"/>
      <c r="DX76" s="420"/>
      <c r="DY76" s="735"/>
      <c r="DZ76" s="745"/>
      <c r="EA76" s="352"/>
      <c r="EB76" s="353"/>
      <c r="EC76" s="354"/>
      <c r="ED76" s="753"/>
      <c r="EE76" s="754"/>
      <c r="EF76" s="753"/>
      <c r="EG76" s="385"/>
      <c r="EH76" s="355"/>
      <c r="EI76" s="755"/>
    </row>
    <row r="77" spans="1:139" x14ac:dyDescent="0.25">
      <c r="A77" s="2244" t="s">
        <v>62</v>
      </c>
      <c r="B77" s="81" t="s">
        <v>63</v>
      </c>
      <c r="C77" s="82"/>
      <c r="D77" s="345">
        <v>24.8</v>
      </c>
      <c r="E77" s="346"/>
      <c r="F77" s="216">
        <v>2.2551810055561113E-3</v>
      </c>
      <c r="G77" s="346"/>
      <c r="H77" s="347" t="s">
        <v>38</v>
      </c>
      <c r="I77" s="348" t="s">
        <v>38</v>
      </c>
      <c r="J77" s="349">
        <v>327</v>
      </c>
      <c r="K77" s="709"/>
      <c r="L77" s="419" t="s">
        <v>38</v>
      </c>
      <c r="M77" s="756" t="s">
        <v>38</v>
      </c>
      <c r="N77" s="757">
        <v>327</v>
      </c>
      <c r="O77" s="758"/>
      <c r="P77" s="347" t="s">
        <v>38</v>
      </c>
      <c r="Q77" s="348" t="s">
        <v>38</v>
      </c>
      <c r="R77" s="759">
        <v>0</v>
      </c>
      <c r="S77" s="758"/>
      <c r="T77" s="347" t="s">
        <v>38</v>
      </c>
      <c r="U77" s="348" t="s">
        <v>38</v>
      </c>
      <c r="V77" s="713">
        <v>13.185483870967742</v>
      </c>
      <c r="W77" s="713"/>
      <c r="X77" s="345">
        <v>27.9</v>
      </c>
      <c r="Y77" s="346"/>
      <c r="Z77" s="252">
        <v>2.5359256128486898E-3</v>
      </c>
      <c r="AA77" s="346"/>
      <c r="AB77" s="347" t="s">
        <v>38</v>
      </c>
      <c r="AC77" s="348" t="s">
        <v>38</v>
      </c>
      <c r="AD77" s="349">
        <v>420</v>
      </c>
      <c r="AE77" s="709"/>
      <c r="AF77" s="419" t="s">
        <v>38</v>
      </c>
      <c r="AG77" s="756" t="s">
        <v>38</v>
      </c>
      <c r="AH77" s="757">
        <v>420</v>
      </c>
      <c r="AI77" s="758"/>
      <c r="AJ77" s="347" t="s">
        <v>38</v>
      </c>
      <c r="AK77" s="348" t="s">
        <v>38</v>
      </c>
      <c r="AL77" s="759">
        <v>0</v>
      </c>
      <c r="AM77" s="758"/>
      <c r="AN77" s="347" t="s">
        <v>38</v>
      </c>
      <c r="AO77" s="348" t="s">
        <v>38</v>
      </c>
      <c r="AP77" s="713">
        <v>15.053763440860216</v>
      </c>
      <c r="AQ77" s="713"/>
      <c r="AR77" s="345">
        <v>24.7</v>
      </c>
      <c r="AS77" s="346"/>
      <c r="AT77" s="216">
        <v>2.2238428364350087E-3</v>
      </c>
      <c r="AU77" s="346"/>
      <c r="AV77" s="347" t="s">
        <v>38</v>
      </c>
      <c r="AW77" s="348" t="s">
        <v>38</v>
      </c>
      <c r="AX77" s="349">
        <v>354</v>
      </c>
      <c r="AY77" s="709"/>
      <c r="AZ77" s="419" t="s">
        <v>38</v>
      </c>
      <c r="BA77" s="756" t="s">
        <v>38</v>
      </c>
      <c r="BB77" s="757">
        <v>354</v>
      </c>
      <c r="BC77" s="758"/>
      <c r="BD77" s="347" t="s">
        <v>38</v>
      </c>
      <c r="BE77" s="348" t="s">
        <v>38</v>
      </c>
      <c r="BF77" s="759">
        <v>0</v>
      </c>
      <c r="BG77" s="758"/>
      <c r="BH77" s="347" t="s">
        <v>38</v>
      </c>
      <c r="BI77" s="348" t="s">
        <v>38</v>
      </c>
      <c r="BJ77" s="713">
        <v>14.331983805668017</v>
      </c>
      <c r="BK77" s="713"/>
      <c r="BL77" s="345">
        <v>25.5</v>
      </c>
      <c r="BM77" s="346"/>
      <c r="BN77" s="216">
        <v>2.2979390640629365E-3</v>
      </c>
      <c r="BO77" s="346"/>
      <c r="BP77" s="347" t="s">
        <v>38</v>
      </c>
      <c r="BQ77" s="348" t="s">
        <v>38</v>
      </c>
      <c r="BR77" s="349">
        <v>360</v>
      </c>
      <c r="BS77" s="709"/>
      <c r="BT77" s="419" t="s">
        <v>38</v>
      </c>
      <c r="BU77" s="756" t="s">
        <v>38</v>
      </c>
      <c r="BV77" s="757">
        <v>360</v>
      </c>
      <c r="BW77" s="758"/>
      <c r="BX77" s="347" t="s">
        <v>38</v>
      </c>
      <c r="BY77" s="348" t="s">
        <v>38</v>
      </c>
      <c r="BZ77" s="759">
        <v>0</v>
      </c>
      <c r="CA77" s="758"/>
      <c r="CB77" s="347" t="s">
        <v>38</v>
      </c>
      <c r="CC77" s="348" t="s">
        <v>38</v>
      </c>
      <c r="CD77" s="713">
        <v>14.117647058823529</v>
      </c>
      <c r="CE77" s="713"/>
      <c r="CF77" s="345">
        <f t="shared" si="10"/>
        <v>102.89999999999999</v>
      </c>
      <c r="CG77" s="709"/>
      <c r="CH77" s="356">
        <f>CF77/44202.6</f>
        <v>2.3279173623271029E-3</v>
      </c>
      <c r="CI77" s="760"/>
      <c r="CJ77" s="419" t="s">
        <v>38</v>
      </c>
      <c r="CK77" s="716" t="s">
        <v>38</v>
      </c>
      <c r="CL77" s="712">
        <f t="shared" si="11"/>
        <v>1461</v>
      </c>
      <c r="CM77" s="717"/>
      <c r="CN77" s="718" t="s">
        <v>38</v>
      </c>
      <c r="CO77" s="716" t="s">
        <v>38</v>
      </c>
      <c r="CP77" s="713">
        <f t="shared" si="12"/>
        <v>1461</v>
      </c>
      <c r="CQ77" s="709"/>
      <c r="CR77" s="419" t="s">
        <v>38</v>
      </c>
      <c r="CS77" s="716" t="s">
        <v>38</v>
      </c>
      <c r="CT77" s="712">
        <f t="shared" si="13"/>
        <v>0</v>
      </c>
      <c r="CU77" s="709"/>
      <c r="CV77" s="419" t="s">
        <v>38</v>
      </c>
      <c r="CW77" s="716" t="s">
        <v>38</v>
      </c>
      <c r="CX77" s="712">
        <f t="shared" si="14"/>
        <v>14.198250728862975</v>
      </c>
      <c r="CY77" s="719"/>
      <c r="CZ77" s="761"/>
      <c r="DA77" s="762"/>
      <c r="DB77" s="763"/>
      <c r="DC77" s="764"/>
      <c r="DD77" s="759"/>
      <c r="DE77" s="765"/>
      <c r="DF77" s="347"/>
      <c r="DG77" s="348"/>
      <c r="DH77" s="712"/>
      <c r="DI77" s="709"/>
      <c r="DJ77" s="347"/>
      <c r="DK77" s="348"/>
      <c r="DL77" s="712"/>
      <c r="DM77" s="709"/>
      <c r="DN77" s="347"/>
      <c r="DO77" s="348"/>
      <c r="DP77" s="712"/>
      <c r="DQ77" s="724"/>
      <c r="DR77" s="725"/>
      <c r="DS77" s="726"/>
      <c r="DT77" s="347"/>
      <c r="DU77" s="348"/>
      <c r="DV77" s="713"/>
      <c r="DW77" s="356"/>
      <c r="DX77" s="419"/>
      <c r="DY77" s="716"/>
      <c r="DZ77" s="713"/>
      <c r="EA77" s="356"/>
      <c r="EB77" s="347"/>
      <c r="EC77" s="348"/>
      <c r="ED77" s="419"/>
      <c r="EE77" s="727"/>
      <c r="EF77" s="419"/>
      <c r="EG77" s="728"/>
      <c r="EH77" s="349"/>
      <c r="EI77" s="729"/>
    </row>
    <row r="78" spans="1:139" x14ac:dyDescent="0.25">
      <c r="A78" s="2242"/>
      <c r="B78" s="23"/>
      <c r="C78" s="524" t="s">
        <v>39</v>
      </c>
      <c r="D78" s="234">
        <v>7.2</v>
      </c>
      <c r="E78" s="228"/>
      <c r="F78" s="246">
        <v>3.2982134677049932E-3</v>
      </c>
      <c r="G78" s="228"/>
      <c r="H78" s="293" t="s">
        <v>38</v>
      </c>
      <c r="I78" s="230" t="s">
        <v>38</v>
      </c>
      <c r="J78" s="298">
        <v>97</v>
      </c>
      <c r="K78" s="507"/>
      <c r="L78" s="409" t="s">
        <v>38</v>
      </c>
      <c r="M78" s="559" t="s">
        <v>38</v>
      </c>
      <c r="N78" s="556">
        <v>97</v>
      </c>
      <c r="O78" s="208"/>
      <c r="P78" s="293" t="s">
        <v>38</v>
      </c>
      <c r="Q78" s="230" t="s">
        <v>38</v>
      </c>
      <c r="R78" s="556">
        <v>0</v>
      </c>
      <c r="S78" s="507"/>
      <c r="T78" s="293" t="s">
        <v>38</v>
      </c>
      <c r="U78" s="230" t="s">
        <v>38</v>
      </c>
      <c r="V78" s="509">
        <v>13.472222222222221</v>
      </c>
      <c r="W78" s="509"/>
      <c r="X78" s="234">
        <v>10.4</v>
      </c>
      <c r="Y78" s="228"/>
      <c r="Z78" s="246">
        <v>4.7619047619047623E-3</v>
      </c>
      <c r="AA78" s="228"/>
      <c r="AB78" s="293" t="s">
        <v>38</v>
      </c>
      <c r="AC78" s="230" t="s">
        <v>38</v>
      </c>
      <c r="AD78" s="298">
        <v>160</v>
      </c>
      <c r="AE78" s="507"/>
      <c r="AF78" s="409" t="s">
        <v>38</v>
      </c>
      <c r="AG78" s="559" t="s">
        <v>38</v>
      </c>
      <c r="AH78" s="556">
        <v>160</v>
      </c>
      <c r="AI78" s="208"/>
      <c r="AJ78" s="293" t="s">
        <v>38</v>
      </c>
      <c r="AK78" s="230" t="s">
        <v>38</v>
      </c>
      <c r="AL78" s="556">
        <v>0</v>
      </c>
      <c r="AM78" s="507"/>
      <c r="AN78" s="293" t="s">
        <v>38</v>
      </c>
      <c r="AO78" s="230" t="s">
        <v>38</v>
      </c>
      <c r="AP78" s="509">
        <v>15.384615384615383</v>
      </c>
      <c r="AQ78" s="509"/>
      <c r="AR78" s="234">
        <v>7</v>
      </c>
      <c r="AS78" s="228"/>
      <c r="AT78" s="246">
        <v>3.2065964269354101E-3</v>
      </c>
      <c r="AU78" s="228"/>
      <c r="AV78" s="293" t="s">
        <v>38</v>
      </c>
      <c r="AW78" s="230" t="s">
        <v>38</v>
      </c>
      <c r="AX78" s="298">
        <v>105</v>
      </c>
      <c r="AY78" s="507"/>
      <c r="AZ78" s="409" t="s">
        <v>38</v>
      </c>
      <c r="BA78" s="559" t="s">
        <v>38</v>
      </c>
      <c r="BB78" s="556">
        <v>105</v>
      </c>
      <c r="BC78" s="208"/>
      <c r="BD78" s="293" t="s">
        <v>38</v>
      </c>
      <c r="BE78" s="230" t="s">
        <v>38</v>
      </c>
      <c r="BF78" s="556">
        <v>0</v>
      </c>
      <c r="BG78" s="507"/>
      <c r="BH78" s="293" t="s">
        <v>38</v>
      </c>
      <c r="BI78" s="230" t="s">
        <v>38</v>
      </c>
      <c r="BJ78" s="509">
        <v>15</v>
      </c>
      <c r="BK78" s="509"/>
      <c r="BL78" s="234">
        <v>7.2</v>
      </c>
      <c r="BM78" s="228"/>
      <c r="BN78" s="246">
        <v>3.2593933906745133E-3</v>
      </c>
      <c r="BO78" s="228"/>
      <c r="BP78" s="293" t="s">
        <v>38</v>
      </c>
      <c r="BQ78" s="230" t="s">
        <v>38</v>
      </c>
      <c r="BR78" s="298">
        <v>105</v>
      </c>
      <c r="BS78" s="507"/>
      <c r="BT78" s="409" t="s">
        <v>38</v>
      </c>
      <c r="BU78" s="559" t="s">
        <v>38</v>
      </c>
      <c r="BV78" s="556">
        <v>105</v>
      </c>
      <c r="BW78" s="208"/>
      <c r="BX78" s="293" t="s">
        <v>38</v>
      </c>
      <c r="BY78" s="230" t="s">
        <v>38</v>
      </c>
      <c r="BZ78" s="556">
        <v>0</v>
      </c>
      <c r="CA78" s="507"/>
      <c r="CB78" s="293" t="s">
        <v>38</v>
      </c>
      <c r="CC78" s="230" t="s">
        <v>38</v>
      </c>
      <c r="CD78" s="509">
        <v>14.583333333333332</v>
      </c>
      <c r="CE78" s="509"/>
      <c r="CF78" s="730">
        <f t="shared" si="10"/>
        <v>31.8</v>
      </c>
      <c r="CG78" s="208"/>
      <c r="CH78" s="246">
        <f t="shared" si="15"/>
        <v>3.63013698630137E-3</v>
      </c>
      <c r="CI78" s="554"/>
      <c r="CJ78" s="409" t="s">
        <v>38</v>
      </c>
      <c r="CK78" s="559" t="s">
        <v>38</v>
      </c>
      <c r="CL78" s="506">
        <f t="shared" si="11"/>
        <v>467</v>
      </c>
      <c r="CM78" s="239"/>
      <c r="CN78" s="560" t="s">
        <v>38</v>
      </c>
      <c r="CO78" s="559" t="s">
        <v>38</v>
      </c>
      <c r="CP78" s="231">
        <f t="shared" si="12"/>
        <v>467</v>
      </c>
      <c r="CQ78" s="208"/>
      <c r="CR78" s="409" t="s">
        <v>38</v>
      </c>
      <c r="CS78" s="559" t="s">
        <v>38</v>
      </c>
      <c r="CT78" s="506">
        <f t="shared" si="13"/>
        <v>0</v>
      </c>
      <c r="CU78" s="208"/>
      <c r="CV78" s="409" t="s">
        <v>38</v>
      </c>
      <c r="CW78" s="559" t="s">
        <v>38</v>
      </c>
      <c r="CX78" s="506">
        <f t="shared" si="14"/>
        <v>14.685534591194969</v>
      </c>
      <c r="CY78" s="235"/>
      <c r="CZ78" s="512"/>
      <c r="DA78" s="513"/>
      <c r="DB78" s="229"/>
      <c r="DC78" s="515"/>
      <c r="DD78" s="506"/>
      <c r="DE78" s="231"/>
      <c r="DF78" s="293"/>
      <c r="DG78" s="230"/>
      <c r="DH78" s="506"/>
      <c r="DI78" s="208"/>
      <c r="DJ78" s="293"/>
      <c r="DK78" s="230"/>
      <c r="DL78" s="506"/>
      <c r="DM78" s="208"/>
      <c r="DN78" s="293"/>
      <c r="DO78" s="230"/>
      <c r="DP78" s="237"/>
      <c r="DQ78" s="731"/>
      <c r="DR78" s="242"/>
      <c r="DS78" s="517"/>
      <c r="DT78" s="293"/>
      <c r="DU78" s="230"/>
      <c r="DV78" s="509"/>
      <c r="DW78" s="510"/>
      <c r="DX78" s="409"/>
      <c r="DY78" s="559"/>
      <c r="DZ78" s="509"/>
      <c r="EA78" s="510"/>
      <c r="EB78" s="293"/>
      <c r="EC78" s="230"/>
      <c r="ED78" s="244"/>
      <c r="EE78" s="732"/>
      <c r="EF78" s="244"/>
      <c r="EG78" s="557"/>
      <c r="EH78" s="298"/>
      <c r="EI78" s="521"/>
    </row>
    <row r="79" spans="1:139" x14ac:dyDescent="0.25">
      <c r="A79" s="2242"/>
      <c r="B79" s="523"/>
      <c r="C79" s="524" t="s">
        <v>40</v>
      </c>
      <c r="D79" s="234">
        <v>7</v>
      </c>
      <c r="E79" s="228"/>
      <c r="F79" s="246">
        <v>3.2065964269354101E-3</v>
      </c>
      <c r="G79" s="228"/>
      <c r="H79" s="293" t="s">
        <v>38</v>
      </c>
      <c r="I79" s="230" t="s">
        <v>38</v>
      </c>
      <c r="J79" s="298">
        <v>95</v>
      </c>
      <c r="K79" s="507"/>
      <c r="L79" s="409" t="s">
        <v>38</v>
      </c>
      <c r="M79" s="559" t="s">
        <v>38</v>
      </c>
      <c r="N79" s="506">
        <v>95</v>
      </c>
      <c r="O79" s="208"/>
      <c r="P79" s="293" t="s">
        <v>38</v>
      </c>
      <c r="Q79" s="230" t="s">
        <v>38</v>
      </c>
      <c r="R79" s="506">
        <v>0</v>
      </c>
      <c r="S79" s="507"/>
      <c r="T79" s="293" t="s">
        <v>38</v>
      </c>
      <c r="U79" s="230" t="s">
        <v>38</v>
      </c>
      <c r="V79" s="509">
        <v>13.571428571428571</v>
      </c>
      <c r="W79" s="509"/>
      <c r="X79" s="234">
        <v>7</v>
      </c>
      <c r="Y79" s="228"/>
      <c r="Z79" s="246">
        <v>3.205128205128205E-3</v>
      </c>
      <c r="AA79" s="228"/>
      <c r="AB79" s="293" t="s">
        <v>38</v>
      </c>
      <c r="AC79" s="230" t="s">
        <v>38</v>
      </c>
      <c r="AD79" s="298">
        <v>108</v>
      </c>
      <c r="AE79" s="507"/>
      <c r="AF79" s="409" t="s">
        <v>38</v>
      </c>
      <c r="AG79" s="559" t="s">
        <v>38</v>
      </c>
      <c r="AH79" s="506">
        <v>108</v>
      </c>
      <c r="AI79" s="208"/>
      <c r="AJ79" s="293" t="s">
        <v>38</v>
      </c>
      <c r="AK79" s="230" t="s">
        <v>38</v>
      </c>
      <c r="AL79" s="506">
        <v>0</v>
      </c>
      <c r="AM79" s="507"/>
      <c r="AN79" s="293" t="s">
        <v>38</v>
      </c>
      <c r="AO79" s="230" t="s">
        <v>38</v>
      </c>
      <c r="AP79" s="509">
        <v>15.428571428571429</v>
      </c>
      <c r="AQ79" s="509"/>
      <c r="AR79" s="234">
        <v>7.1</v>
      </c>
      <c r="AS79" s="228"/>
      <c r="AT79" s="246">
        <v>3.2524049473202014E-3</v>
      </c>
      <c r="AU79" s="228"/>
      <c r="AV79" s="293" t="s">
        <v>38</v>
      </c>
      <c r="AW79" s="230" t="s">
        <v>38</v>
      </c>
      <c r="AX79" s="298">
        <v>103</v>
      </c>
      <c r="AY79" s="507"/>
      <c r="AZ79" s="409" t="s">
        <v>38</v>
      </c>
      <c r="BA79" s="559" t="s">
        <v>38</v>
      </c>
      <c r="BB79" s="506">
        <v>103</v>
      </c>
      <c r="BC79" s="208"/>
      <c r="BD79" s="293" t="s">
        <v>38</v>
      </c>
      <c r="BE79" s="230" t="s">
        <v>38</v>
      </c>
      <c r="BF79" s="506">
        <v>0</v>
      </c>
      <c r="BG79" s="507"/>
      <c r="BH79" s="293" t="s">
        <v>38</v>
      </c>
      <c r="BI79" s="230" t="s">
        <v>38</v>
      </c>
      <c r="BJ79" s="509">
        <v>14.507042253521128</v>
      </c>
      <c r="BK79" s="509"/>
      <c r="BL79" s="234">
        <v>7.2</v>
      </c>
      <c r="BM79" s="228"/>
      <c r="BN79" s="246">
        <v>3.2593933906745133E-3</v>
      </c>
      <c r="BO79" s="228"/>
      <c r="BP79" s="293" t="s">
        <v>38</v>
      </c>
      <c r="BQ79" s="230" t="s">
        <v>38</v>
      </c>
      <c r="BR79" s="298">
        <v>103</v>
      </c>
      <c r="BS79" s="507"/>
      <c r="BT79" s="409" t="s">
        <v>38</v>
      </c>
      <c r="BU79" s="559" t="s">
        <v>38</v>
      </c>
      <c r="BV79" s="506">
        <v>103</v>
      </c>
      <c r="BW79" s="208"/>
      <c r="BX79" s="293" t="s">
        <v>38</v>
      </c>
      <c r="BY79" s="230" t="s">
        <v>38</v>
      </c>
      <c r="BZ79" s="506">
        <v>0</v>
      </c>
      <c r="CA79" s="507"/>
      <c r="CB79" s="293" t="s">
        <v>38</v>
      </c>
      <c r="CC79" s="230" t="s">
        <v>38</v>
      </c>
      <c r="CD79" s="509">
        <v>14.305555555555555</v>
      </c>
      <c r="CE79" s="509"/>
      <c r="CF79" s="730">
        <f t="shared" si="10"/>
        <v>28.3</v>
      </c>
      <c r="CG79" s="208"/>
      <c r="CH79" s="246">
        <f t="shared" si="15"/>
        <v>3.2305936073059364E-3</v>
      </c>
      <c r="CI79" s="554"/>
      <c r="CJ79" s="409" t="s">
        <v>38</v>
      </c>
      <c r="CK79" s="559" t="s">
        <v>38</v>
      </c>
      <c r="CL79" s="506">
        <f t="shared" si="11"/>
        <v>409</v>
      </c>
      <c r="CM79" s="239"/>
      <c r="CN79" s="560" t="s">
        <v>38</v>
      </c>
      <c r="CO79" s="559" t="s">
        <v>38</v>
      </c>
      <c r="CP79" s="231">
        <f t="shared" si="12"/>
        <v>409</v>
      </c>
      <c r="CQ79" s="208"/>
      <c r="CR79" s="409" t="s">
        <v>38</v>
      </c>
      <c r="CS79" s="559" t="s">
        <v>38</v>
      </c>
      <c r="CT79" s="506">
        <f t="shared" si="13"/>
        <v>0</v>
      </c>
      <c r="CU79" s="208"/>
      <c r="CV79" s="409" t="s">
        <v>38</v>
      </c>
      <c r="CW79" s="559" t="s">
        <v>38</v>
      </c>
      <c r="CX79" s="506">
        <f t="shared" si="14"/>
        <v>14.452296819787986</v>
      </c>
      <c r="CY79" s="235"/>
      <c r="CZ79" s="512"/>
      <c r="DA79" s="766"/>
      <c r="DB79" s="229"/>
      <c r="DC79" s="515"/>
      <c r="DD79" s="506"/>
      <c r="DE79" s="231"/>
      <c r="DF79" s="293"/>
      <c r="DG79" s="230"/>
      <c r="DH79" s="506"/>
      <c r="DI79" s="208"/>
      <c r="DJ79" s="293"/>
      <c r="DK79" s="230"/>
      <c r="DL79" s="506"/>
      <c r="DM79" s="208"/>
      <c r="DN79" s="293"/>
      <c r="DO79" s="230"/>
      <c r="DP79" s="237"/>
      <c r="DQ79" s="731"/>
      <c r="DR79" s="242"/>
      <c r="DS79" s="517"/>
      <c r="DT79" s="293"/>
      <c r="DU79" s="230"/>
      <c r="DV79" s="509"/>
      <c r="DW79" s="510"/>
      <c r="DX79" s="409"/>
      <c r="DY79" s="559"/>
      <c r="DZ79" s="509"/>
      <c r="EA79" s="510"/>
      <c r="EB79" s="293"/>
      <c r="EC79" s="230"/>
      <c r="ED79" s="244"/>
      <c r="EE79" s="732"/>
      <c r="EF79" s="244"/>
      <c r="EG79" s="557"/>
      <c r="EH79" s="298"/>
      <c r="EI79" s="521"/>
    </row>
    <row r="80" spans="1:139" x14ac:dyDescent="0.25">
      <c r="A80" s="2242"/>
      <c r="B80" s="523"/>
      <c r="C80" s="524" t="s">
        <v>41</v>
      </c>
      <c r="D80" s="234">
        <v>6.3</v>
      </c>
      <c r="E80" s="228"/>
      <c r="F80" s="246">
        <v>2.8859367842418689E-3</v>
      </c>
      <c r="G80" s="228"/>
      <c r="H80" s="293" t="s">
        <v>38</v>
      </c>
      <c r="I80" s="230" t="s">
        <v>38</v>
      </c>
      <c r="J80" s="298">
        <v>84</v>
      </c>
      <c r="K80" s="507"/>
      <c r="L80" s="409" t="s">
        <v>38</v>
      </c>
      <c r="M80" s="559" t="s">
        <v>38</v>
      </c>
      <c r="N80" s="506">
        <v>84</v>
      </c>
      <c r="O80" s="208"/>
      <c r="P80" s="293" t="s">
        <v>38</v>
      </c>
      <c r="Q80" s="230" t="s">
        <v>38</v>
      </c>
      <c r="R80" s="506">
        <v>0</v>
      </c>
      <c r="S80" s="208"/>
      <c r="T80" s="293" t="s">
        <v>38</v>
      </c>
      <c r="U80" s="230" t="s">
        <v>38</v>
      </c>
      <c r="V80" s="509">
        <v>13.333333333333334</v>
      </c>
      <c r="W80" s="509"/>
      <c r="X80" s="234">
        <v>6.2</v>
      </c>
      <c r="Y80" s="228"/>
      <c r="Z80" s="246">
        <v>2.8388278388278387E-3</v>
      </c>
      <c r="AA80" s="228"/>
      <c r="AB80" s="293" t="s">
        <v>38</v>
      </c>
      <c r="AC80" s="230" t="s">
        <v>38</v>
      </c>
      <c r="AD80" s="298">
        <v>95</v>
      </c>
      <c r="AE80" s="507"/>
      <c r="AF80" s="409" t="s">
        <v>38</v>
      </c>
      <c r="AG80" s="559" t="s">
        <v>38</v>
      </c>
      <c r="AH80" s="506">
        <v>95</v>
      </c>
      <c r="AI80" s="208"/>
      <c r="AJ80" s="293" t="s">
        <v>38</v>
      </c>
      <c r="AK80" s="230" t="s">
        <v>38</v>
      </c>
      <c r="AL80" s="506">
        <v>0</v>
      </c>
      <c r="AM80" s="208"/>
      <c r="AN80" s="293" t="s">
        <v>38</v>
      </c>
      <c r="AO80" s="230" t="s">
        <v>38</v>
      </c>
      <c r="AP80" s="509">
        <v>15.32258064516129</v>
      </c>
      <c r="AQ80" s="509"/>
      <c r="AR80" s="234">
        <v>6.3</v>
      </c>
      <c r="AS80" s="228"/>
      <c r="AT80" s="246">
        <v>2.8859367842418689E-3</v>
      </c>
      <c r="AU80" s="228"/>
      <c r="AV80" s="293" t="s">
        <v>38</v>
      </c>
      <c r="AW80" s="230" t="s">
        <v>38</v>
      </c>
      <c r="AX80" s="298">
        <v>91</v>
      </c>
      <c r="AY80" s="507"/>
      <c r="AZ80" s="409" t="s">
        <v>38</v>
      </c>
      <c r="BA80" s="559" t="s">
        <v>38</v>
      </c>
      <c r="BB80" s="506">
        <v>91</v>
      </c>
      <c r="BC80" s="208"/>
      <c r="BD80" s="293" t="s">
        <v>38</v>
      </c>
      <c r="BE80" s="230" t="s">
        <v>38</v>
      </c>
      <c r="BF80" s="506">
        <v>0</v>
      </c>
      <c r="BG80" s="208"/>
      <c r="BH80" s="293" t="s">
        <v>38</v>
      </c>
      <c r="BI80" s="230" t="s">
        <v>38</v>
      </c>
      <c r="BJ80" s="509">
        <v>14.444444444444445</v>
      </c>
      <c r="BK80" s="509"/>
      <c r="BL80" s="234">
        <v>6.8</v>
      </c>
      <c r="BM80" s="228"/>
      <c r="BN80" s="246">
        <v>3.0783159800814846E-3</v>
      </c>
      <c r="BO80" s="228"/>
      <c r="BP80" s="293" t="s">
        <v>38</v>
      </c>
      <c r="BQ80" s="230" t="s">
        <v>38</v>
      </c>
      <c r="BR80" s="298">
        <v>97</v>
      </c>
      <c r="BS80" s="507"/>
      <c r="BT80" s="409" t="s">
        <v>38</v>
      </c>
      <c r="BU80" s="559" t="s">
        <v>38</v>
      </c>
      <c r="BV80" s="506">
        <v>97</v>
      </c>
      <c r="BW80" s="208"/>
      <c r="BX80" s="293" t="s">
        <v>38</v>
      </c>
      <c r="BY80" s="230" t="s">
        <v>38</v>
      </c>
      <c r="BZ80" s="506">
        <v>0</v>
      </c>
      <c r="CA80" s="208"/>
      <c r="CB80" s="293" t="s">
        <v>38</v>
      </c>
      <c r="CC80" s="230" t="s">
        <v>38</v>
      </c>
      <c r="CD80" s="509">
        <v>14.264705882352942</v>
      </c>
      <c r="CE80" s="509"/>
      <c r="CF80" s="730">
        <f t="shared" si="10"/>
        <v>25.6</v>
      </c>
      <c r="CG80" s="208"/>
      <c r="CH80" s="246">
        <f t="shared" si="15"/>
        <v>2.9223744292237444E-3</v>
      </c>
      <c r="CI80" s="554"/>
      <c r="CJ80" s="409" t="s">
        <v>38</v>
      </c>
      <c r="CK80" s="559" t="s">
        <v>38</v>
      </c>
      <c r="CL80" s="506">
        <f t="shared" si="11"/>
        <v>367</v>
      </c>
      <c r="CM80" s="239"/>
      <c r="CN80" s="560" t="s">
        <v>38</v>
      </c>
      <c r="CO80" s="559" t="s">
        <v>38</v>
      </c>
      <c r="CP80" s="231">
        <f t="shared" si="12"/>
        <v>367</v>
      </c>
      <c r="CQ80" s="208"/>
      <c r="CR80" s="409" t="s">
        <v>38</v>
      </c>
      <c r="CS80" s="559" t="s">
        <v>38</v>
      </c>
      <c r="CT80" s="506">
        <f t="shared" si="13"/>
        <v>0</v>
      </c>
      <c r="CU80" s="208"/>
      <c r="CV80" s="409" t="s">
        <v>38</v>
      </c>
      <c r="CW80" s="559" t="s">
        <v>38</v>
      </c>
      <c r="CX80" s="506">
        <f t="shared" si="14"/>
        <v>14.3359375</v>
      </c>
      <c r="CY80" s="235"/>
      <c r="CZ80" s="512"/>
      <c r="DA80" s="513"/>
      <c r="DB80" s="229"/>
      <c r="DC80" s="515"/>
      <c r="DD80" s="506"/>
      <c r="DE80" s="231"/>
      <c r="DF80" s="293"/>
      <c r="DG80" s="230"/>
      <c r="DH80" s="506"/>
      <c r="DI80" s="208"/>
      <c r="DJ80" s="293"/>
      <c r="DK80" s="230"/>
      <c r="DL80" s="506"/>
      <c r="DM80" s="208"/>
      <c r="DN80" s="293"/>
      <c r="DO80" s="230"/>
      <c r="DP80" s="237"/>
      <c r="DQ80" s="731"/>
      <c r="DR80" s="242"/>
      <c r="DS80" s="517"/>
      <c r="DT80" s="293"/>
      <c r="DU80" s="230"/>
      <c r="DV80" s="509"/>
      <c r="DW80" s="510"/>
      <c r="DX80" s="409"/>
      <c r="DY80" s="559"/>
      <c r="DZ80" s="509"/>
      <c r="EA80" s="510"/>
      <c r="EB80" s="293"/>
      <c r="EC80" s="230"/>
      <c r="ED80" s="244"/>
      <c r="EE80" s="732"/>
      <c r="EF80" s="244"/>
      <c r="EG80" s="557"/>
      <c r="EH80" s="298"/>
      <c r="EI80" s="521"/>
    </row>
    <row r="81" spans="1:140" x14ac:dyDescent="0.25">
      <c r="A81" s="2242"/>
      <c r="B81" s="23"/>
      <c r="C81" s="524" t="s">
        <v>42</v>
      </c>
      <c r="D81" s="234">
        <v>3.8</v>
      </c>
      <c r="E81" s="228"/>
      <c r="F81" s="246">
        <v>1.7407237746220796E-3</v>
      </c>
      <c r="G81" s="228"/>
      <c r="H81" s="293" t="s">
        <v>38</v>
      </c>
      <c r="I81" s="230" t="s">
        <v>38</v>
      </c>
      <c r="J81" s="298">
        <v>51</v>
      </c>
      <c r="K81" s="507"/>
      <c r="L81" s="409" t="s">
        <v>38</v>
      </c>
      <c r="M81" s="559" t="s">
        <v>38</v>
      </c>
      <c r="N81" s="506">
        <v>51</v>
      </c>
      <c r="O81" s="208"/>
      <c r="P81" s="293" t="s">
        <v>38</v>
      </c>
      <c r="Q81" s="230" t="s">
        <v>38</v>
      </c>
      <c r="R81" s="506">
        <v>0</v>
      </c>
      <c r="S81" s="208"/>
      <c r="T81" s="293" t="s">
        <v>38</v>
      </c>
      <c r="U81" s="230" t="s">
        <v>38</v>
      </c>
      <c r="V81" s="509">
        <v>13.421052631578949</v>
      </c>
      <c r="W81" s="509"/>
      <c r="X81" s="234">
        <v>3.8</v>
      </c>
      <c r="Y81" s="228"/>
      <c r="Z81" s="246">
        <v>1.7399267399267398E-3</v>
      </c>
      <c r="AA81" s="228"/>
      <c r="AB81" s="293" t="s">
        <v>38</v>
      </c>
      <c r="AC81" s="230" t="s">
        <v>38</v>
      </c>
      <c r="AD81" s="298">
        <v>57</v>
      </c>
      <c r="AE81" s="507"/>
      <c r="AF81" s="409" t="s">
        <v>38</v>
      </c>
      <c r="AG81" s="559" t="s">
        <v>38</v>
      </c>
      <c r="AH81" s="506">
        <v>57</v>
      </c>
      <c r="AI81" s="208"/>
      <c r="AJ81" s="293" t="s">
        <v>38</v>
      </c>
      <c r="AK81" s="230" t="s">
        <v>38</v>
      </c>
      <c r="AL81" s="506">
        <v>0</v>
      </c>
      <c r="AM81" s="208"/>
      <c r="AN81" s="293" t="s">
        <v>38</v>
      </c>
      <c r="AO81" s="230" t="s">
        <v>38</v>
      </c>
      <c r="AP81" s="509">
        <v>15</v>
      </c>
      <c r="AQ81" s="509"/>
      <c r="AR81" s="234">
        <v>3.8</v>
      </c>
      <c r="AS81" s="228"/>
      <c r="AT81" s="246">
        <v>1.7407237746220796E-3</v>
      </c>
      <c r="AU81" s="228"/>
      <c r="AV81" s="293" t="s">
        <v>38</v>
      </c>
      <c r="AW81" s="230" t="s">
        <v>38</v>
      </c>
      <c r="AX81" s="298">
        <v>55</v>
      </c>
      <c r="AY81" s="507"/>
      <c r="AZ81" s="409" t="s">
        <v>38</v>
      </c>
      <c r="BA81" s="559" t="s">
        <v>38</v>
      </c>
      <c r="BB81" s="506">
        <v>55</v>
      </c>
      <c r="BC81" s="208"/>
      <c r="BD81" s="293" t="s">
        <v>38</v>
      </c>
      <c r="BE81" s="230" t="s">
        <v>38</v>
      </c>
      <c r="BF81" s="506">
        <v>0</v>
      </c>
      <c r="BG81" s="208"/>
      <c r="BH81" s="293" t="s">
        <v>38</v>
      </c>
      <c r="BI81" s="230" t="s">
        <v>38</v>
      </c>
      <c r="BJ81" s="509">
        <v>14.473684210526317</v>
      </c>
      <c r="BK81" s="509"/>
      <c r="BL81" s="234">
        <v>3.8</v>
      </c>
      <c r="BM81" s="228"/>
      <c r="BN81" s="246">
        <v>1.7202354006337708E-3</v>
      </c>
      <c r="BO81" s="228"/>
      <c r="BP81" s="293" t="s">
        <v>38</v>
      </c>
      <c r="BQ81" s="230" t="s">
        <v>38</v>
      </c>
      <c r="BR81" s="298">
        <v>55</v>
      </c>
      <c r="BS81" s="507"/>
      <c r="BT81" s="409" t="s">
        <v>38</v>
      </c>
      <c r="BU81" s="559" t="s">
        <v>38</v>
      </c>
      <c r="BV81" s="506">
        <v>55</v>
      </c>
      <c r="BW81" s="208"/>
      <c r="BX81" s="293" t="s">
        <v>38</v>
      </c>
      <c r="BY81" s="230" t="s">
        <v>38</v>
      </c>
      <c r="BZ81" s="506">
        <v>0</v>
      </c>
      <c r="CA81" s="208"/>
      <c r="CB81" s="293" t="s">
        <v>38</v>
      </c>
      <c r="CC81" s="230" t="s">
        <v>38</v>
      </c>
      <c r="CD81" s="509">
        <v>14.473684210526317</v>
      </c>
      <c r="CE81" s="509"/>
      <c r="CF81" s="730">
        <f t="shared" si="10"/>
        <v>15.2</v>
      </c>
      <c r="CG81" s="208"/>
      <c r="CH81" s="246">
        <f t="shared" si="15"/>
        <v>1.7351598173515981E-3</v>
      </c>
      <c r="CI81" s="554"/>
      <c r="CJ81" s="409" t="s">
        <v>38</v>
      </c>
      <c r="CK81" s="559" t="s">
        <v>38</v>
      </c>
      <c r="CL81" s="506">
        <f t="shared" si="11"/>
        <v>218</v>
      </c>
      <c r="CM81" s="239"/>
      <c r="CN81" s="560" t="s">
        <v>38</v>
      </c>
      <c r="CO81" s="559" t="s">
        <v>38</v>
      </c>
      <c r="CP81" s="231">
        <f t="shared" si="12"/>
        <v>218</v>
      </c>
      <c r="CQ81" s="208"/>
      <c r="CR81" s="409" t="s">
        <v>38</v>
      </c>
      <c r="CS81" s="559" t="s">
        <v>38</v>
      </c>
      <c r="CT81" s="506">
        <f t="shared" si="13"/>
        <v>0</v>
      </c>
      <c r="CU81" s="208"/>
      <c r="CV81" s="409" t="s">
        <v>38</v>
      </c>
      <c r="CW81" s="559" t="s">
        <v>38</v>
      </c>
      <c r="CX81" s="506">
        <f t="shared" si="14"/>
        <v>14.342105263157896</v>
      </c>
      <c r="CY81" s="235"/>
      <c r="CZ81" s="512"/>
      <c r="DA81" s="513"/>
      <c r="DB81" s="229"/>
      <c r="DC81" s="515"/>
      <c r="DD81" s="506"/>
      <c r="DE81" s="231"/>
      <c r="DF81" s="293"/>
      <c r="DG81" s="230"/>
      <c r="DH81" s="506"/>
      <c r="DI81" s="208"/>
      <c r="DJ81" s="293"/>
      <c r="DK81" s="230"/>
      <c r="DL81" s="506"/>
      <c r="DM81" s="208"/>
      <c r="DN81" s="293"/>
      <c r="DO81" s="230"/>
      <c r="DP81" s="237"/>
      <c r="DQ81" s="731"/>
      <c r="DR81" s="242"/>
      <c r="DS81" s="517"/>
      <c r="DT81" s="293"/>
      <c r="DU81" s="230"/>
      <c r="DV81" s="509"/>
      <c r="DW81" s="510"/>
      <c r="DX81" s="409"/>
      <c r="DY81" s="559"/>
      <c r="DZ81" s="509"/>
      <c r="EA81" s="510"/>
      <c r="EB81" s="293"/>
      <c r="EC81" s="230"/>
      <c r="ED81" s="244"/>
      <c r="EE81" s="732"/>
      <c r="EF81" s="244"/>
      <c r="EG81" s="557"/>
      <c r="EH81" s="298"/>
      <c r="EI81" s="521"/>
    </row>
    <row r="82" spans="1:140" x14ac:dyDescent="0.25">
      <c r="A82" s="2242"/>
      <c r="B82" s="23"/>
      <c r="C82" s="524" t="s">
        <v>43</v>
      </c>
      <c r="D82" s="234">
        <v>0.5</v>
      </c>
      <c r="E82" s="228"/>
      <c r="F82" s="246">
        <v>2.2904260192395785E-4</v>
      </c>
      <c r="G82" s="228"/>
      <c r="H82" s="293" t="s">
        <v>38</v>
      </c>
      <c r="I82" s="230" t="s">
        <v>38</v>
      </c>
      <c r="J82" s="298">
        <v>0</v>
      </c>
      <c r="K82" s="507"/>
      <c r="L82" s="409" t="s">
        <v>38</v>
      </c>
      <c r="M82" s="559" t="s">
        <v>38</v>
      </c>
      <c r="N82" s="506"/>
      <c r="O82" s="208"/>
      <c r="P82" s="293" t="s">
        <v>38</v>
      </c>
      <c r="Q82" s="230" t="s">
        <v>38</v>
      </c>
      <c r="R82" s="506">
        <v>0</v>
      </c>
      <c r="S82" s="208"/>
      <c r="T82" s="293" t="s">
        <v>38</v>
      </c>
      <c r="U82" s="230" t="s">
        <v>38</v>
      </c>
      <c r="V82" s="509">
        <v>0</v>
      </c>
      <c r="W82" s="509"/>
      <c r="X82" s="234">
        <v>0.5</v>
      </c>
      <c r="Y82" s="228"/>
      <c r="Z82" s="246">
        <v>2.2893772893772894E-4</v>
      </c>
      <c r="AA82" s="228"/>
      <c r="AB82" s="293" t="s">
        <v>38</v>
      </c>
      <c r="AC82" s="230" t="s">
        <v>38</v>
      </c>
      <c r="AD82" s="298">
        <v>0</v>
      </c>
      <c r="AE82" s="507"/>
      <c r="AF82" s="409" t="s">
        <v>38</v>
      </c>
      <c r="AG82" s="559" t="s">
        <v>38</v>
      </c>
      <c r="AH82" s="506">
        <v>0</v>
      </c>
      <c r="AI82" s="208"/>
      <c r="AJ82" s="293" t="s">
        <v>38</v>
      </c>
      <c r="AK82" s="230" t="s">
        <v>38</v>
      </c>
      <c r="AL82" s="506">
        <v>0</v>
      </c>
      <c r="AM82" s="208"/>
      <c r="AN82" s="293" t="s">
        <v>38</v>
      </c>
      <c r="AO82" s="230" t="s">
        <v>38</v>
      </c>
      <c r="AP82" s="509">
        <v>0</v>
      </c>
      <c r="AQ82" s="509"/>
      <c r="AR82" s="234">
        <v>0.5</v>
      </c>
      <c r="AS82" s="228"/>
      <c r="AT82" s="246">
        <v>2.2904260192395785E-4</v>
      </c>
      <c r="AU82" s="228"/>
      <c r="AV82" s="293" t="s">
        <v>38</v>
      </c>
      <c r="AW82" s="230" t="s">
        <v>38</v>
      </c>
      <c r="AX82" s="298">
        <v>0</v>
      </c>
      <c r="AY82" s="507"/>
      <c r="AZ82" s="409" t="s">
        <v>38</v>
      </c>
      <c r="BA82" s="559" t="s">
        <v>38</v>
      </c>
      <c r="BB82" s="506">
        <v>0</v>
      </c>
      <c r="BC82" s="208"/>
      <c r="BD82" s="293" t="s">
        <v>38</v>
      </c>
      <c r="BE82" s="230" t="s">
        <v>38</v>
      </c>
      <c r="BF82" s="506">
        <v>0</v>
      </c>
      <c r="BG82" s="208"/>
      <c r="BH82" s="293" t="s">
        <v>38</v>
      </c>
      <c r="BI82" s="230" t="s">
        <v>38</v>
      </c>
      <c r="BJ82" s="509">
        <v>0</v>
      </c>
      <c r="BK82" s="509"/>
      <c r="BL82" s="234">
        <v>0.5</v>
      </c>
      <c r="BM82" s="228"/>
      <c r="BN82" s="246">
        <v>2.2634676324128565E-4</v>
      </c>
      <c r="BO82" s="228"/>
      <c r="BP82" s="293" t="s">
        <v>38</v>
      </c>
      <c r="BQ82" s="230" t="s">
        <v>38</v>
      </c>
      <c r="BR82" s="298">
        <v>0</v>
      </c>
      <c r="BS82" s="507"/>
      <c r="BT82" s="409" t="s">
        <v>38</v>
      </c>
      <c r="BU82" s="559" t="s">
        <v>38</v>
      </c>
      <c r="BV82" s="506">
        <v>0</v>
      </c>
      <c r="BW82" s="208"/>
      <c r="BX82" s="293" t="s">
        <v>38</v>
      </c>
      <c r="BY82" s="230" t="s">
        <v>38</v>
      </c>
      <c r="BZ82" s="506">
        <v>0</v>
      </c>
      <c r="CA82" s="208"/>
      <c r="CB82" s="293" t="s">
        <v>38</v>
      </c>
      <c r="CC82" s="230" t="s">
        <v>38</v>
      </c>
      <c r="CD82" s="509">
        <v>0</v>
      </c>
      <c r="CE82" s="509"/>
      <c r="CF82" s="730">
        <f t="shared" si="10"/>
        <v>2</v>
      </c>
      <c r="CG82" s="208"/>
      <c r="CH82" s="246">
        <f t="shared" si="15"/>
        <v>2.2831050228310502E-4</v>
      </c>
      <c r="CI82" s="554"/>
      <c r="CJ82" s="409" t="s">
        <v>38</v>
      </c>
      <c r="CK82" s="559" t="s">
        <v>38</v>
      </c>
      <c r="CL82" s="506">
        <f t="shared" si="11"/>
        <v>0</v>
      </c>
      <c r="CM82" s="239"/>
      <c r="CN82" s="560" t="s">
        <v>38</v>
      </c>
      <c r="CO82" s="559" t="s">
        <v>38</v>
      </c>
      <c r="CP82" s="231">
        <f t="shared" si="12"/>
        <v>0</v>
      </c>
      <c r="CQ82" s="208"/>
      <c r="CR82" s="409" t="s">
        <v>38</v>
      </c>
      <c r="CS82" s="559" t="s">
        <v>38</v>
      </c>
      <c r="CT82" s="506">
        <f t="shared" si="13"/>
        <v>0</v>
      </c>
      <c r="CU82" s="208"/>
      <c r="CV82" s="409" t="s">
        <v>38</v>
      </c>
      <c r="CW82" s="559" t="s">
        <v>38</v>
      </c>
      <c r="CX82" s="506">
        <f t="shared" si="14"/>
        <v>0</v>
      </c>
      <c r="CY82" s="235"/>
      <c r="CZ82" s="512"/>
      <c r="DA82" s="513"/>
      <c r="DB82" s="229"/>
      <c r="DC82" s="515"/>
      <c r="DD82" s="506"/>
      <c r="DE82" s="231"/>
      <c r="DF82" s="293"/>
      <c r="DG82" s="230"/>
      <c r="DH82" s="506"/>
      <c r="DI82" s="208"/>
      <c r="DJ82" s="293"/>
      <c r="DK82" s="230"/>
      <c r="DL82" s="506"/>
      <c r="DM82" s="208"/>
      <c r="DN82" s="293"/>
      <c r="DO82" s="230"/>
      <c r="DP82" s="237"/>
      <c r="DQ82" s="731"/>
      <c r="DR82" s="242"/>
      <c r="DS82" s="517"/>
      <c r="DT82" s="293"/>
      <c r="DU82" s="230"/>
      <c r="DV82" s="509"/>
      <c r="DW82" s="510"/>
      <c r="DX82" s="409"/>
      <c r="DY82" s="559"/>
      <c r="DZ82" s="509"/>
      <c r="EA82" s="510"/>
      <c r="EB82" s="293"/>
      <c r="EC82" s="230"/>
      <c r="ED82" s="244"/>
      <c r="EE82" s="732"/>
      <c r="EF82" s="244"/>
      <c r="EG82" s="557"/>
      <c r="EH82" s="298"/>
      <c r="EI82" s="521"/>
    </row>
    <row r="83" spans="1:140" x14ac:dyDescent="0.25">
      <c r="A83" s="2242"/>
      <c r="B83" s="2246" t="s">
        <v>64</v>
      </c>
      <c r="C83" s="2247"/>
      <c r="D83" s="345">
        <v>24.7</v>
      </c>
      <c r="E83" s="346"/>
      <c r="F83" s="356">
        <v>2.2460875337595139E-3</v>
      </c>
      <c r="G83" s="346"/>
      <c r="H83" s="347" t="s">
        <v>38</v>
      </c>
      <c r="I83" s="348" t="s">
        <v>38</v>
      </c>
      <c r="J83" s="349">
        <v>327</v>
      </c>
      <c r="K83" s="709"/>
      <c r="L83" s="419" t="s">
        <v>38</v>
      </c>
      <c r="M83" s="767" t="s">
        <v>38</v>
      </c>
      <c r="N83" s="757">
        <v>327</v>
      </c>
      <c r="O83" s="768"/>
      <c r="P83" s="347" t="s">
        <v>38</v>
      </c>
      <c r="Q83" s="348" t="s">
        <v>38</v>
      </c>
      <c r="R83" s="769">
        <v>0</v>
      </c>
      <c r="S83" s="768"/>
      <c r="T83" s="347" t="s">
        <v>38</v>
      </c>
      <c r="U83" s="348" t="s">
        <v>38</v>
      </c>
      <c r="V83" s="713">
        <v>13.238866396761134</v>
      </c>
      <c r="W83" s="713"/>
      <c r="X83" s="345">
        <v>27.700000000000003</v>
      </c>
      <c r="Y83" s="346"/>
      <c r="Z83" s="356">
        <v>2.5177469346203841E-3</v>
      </c>
      <c r="AA83" s="346"/>
      <c r="AB83" s="347" t="s">
        <v>38</v>
      </c>
      <c r="AC83" s="348" t="s">
        <v>38</v>
      </c>
      <c r="AD83" s="349">
        <v>420</v>
      </c>
      <c r="AE83" s="709"/>
      <c r="AF83" s="419" t="s">
        <v>38</v>
      </c>
      <c r="AG83" s="767" t="s">
        <v>38</v>
      </c>
      <c r="AH83" s="757">
        <v>420</v>
      </c>
      <c r="AI83" s="768"/>
      <c r="AJ83" s="347" t="s">
        <v>38</v>
      </c>
      <c r="AK83" s="348" t="s">
        <v>38</v>
      </c>
      <c r="AL83" s="769">
        <v>0</v>
      </c>
      <c r="AM83" s="768"/>
      <c r="AN83" s="347" t="s">
        <v>38</v>
      </c>
      <c r="AO83" s="348" t="s">
        <v>38</v>
      </c>
      <c r="AP83" s="713">
        <v>15.162454873646208</v>
      </c>
      <c r="AQ83" s="713"/>
      <c r="AR83" s="345">
        <v>25</v>
      </c>
      <c r="AS83" s="346"/>
      <c r="AT83" s="356">
        <v>2.2508530733147862E-3</v>
      </c>
      <c r="AU83" s="346"/>
      <c r="AV83" s="347" t="s">
        <v>38</v>
      </c>
      <c r="AW83" s="348" t="s">
        <v>38</v>
      </c>
      <c r="AX83" s="349">
        <v>354</v>
      </c>
      <c r="AY83" s="709"/>
      <c r="AZ83" s="419" t="s">
        <v>38</v>
      </c>
      <c r="BA83" s="767" t="s">
        <v>38</v>
      </c>
      <c r="BB83" s="757">
        <v>354</v>
      </c>
      <c r="BC83" s="768"/>
      <c r="BD83" s="347" t="s">
        <v>38</v>
      </c>
      <c r="BE83" s="348" t="s">
        <v>38</v>
      </c>
      <c r="BF83" s="769">
        <v>0</v>
      </c>
      <c r="BG83" s="768"/>
      <c r="BH83" s="347" t="s">
        <v>38</v>
      </c>
      <c r="BI83" s="348" t="s">
        <v>38</v>
      </c>
      <c r="BJ83" s="713">
        <v>14.16</v>
      </c>
      <c r="BK83" s="713"/>
      <c r="BL83" s="345">
        <v>25.599999999999998</v>
      </c>
      <c r="BM83" s="346"/>
      <c r="BN83" s="356">
        <v>2.3069505898043598E-3</v>
      </c>
      <c r="BO83" s="346"/>
      <c r="BP83" s="347" t="s">
        <v>38</v>
      </c>
      <c r="BQ83" s="348" t="s">
        <v>38</v>
      </c>
      <c r="BR83" s="349">
        <v>362</v>
      </c>
      <c r="BS83" s="709"/>
      <c r="BT83" s="419" t="s">
        <v>38</v>
      </c>
      <c r="BU83" s="767" t="s">
        <v>38</v>
      </c>
      <c r="BV83" s="757">
        <v>362</v>
      </c>
      <c r="BW83" s="768"/>
      <c r="BX83" s="347" t="s">
        <v>38</v>
      </c>
      <c r="BY83" s="348" t="s">
        <v>38</v>
      </c>
      <c r="BZ83" s="769">
        <v>0</v>
      </c>
      <c r="CA83" s="768"/>
      <c r="CB83" s="347" t="s">
        <v>38</v>
      </c>
      <c r="CC83" s="348" t="s">
        <v>38</v>
      </c>
      <c r="CD83" s="713">
        <v>14.140625000000002</v>
      </c>
      <c r="CE83" s="713"/>
      <c r="CF83" s="770">
        <f t="shared" si="10"/>
        <v>103</v>
      </c>
      <c r="CG83" s="768"/>
      <c r="CH83" s="771">
        <f>CF83/44202.6</f>
        <v>2.330179672688937E-3</v>
      </c>
      <c r="CI83" s="772"/>
      <c r="CJ83" s="419" t="s">
        <v>38</v>
      </c>
      <c r="CK83" s="716" t="s">
        <v>38</v>
      </c>
      <c r="CL83" s="769">
        <f t="shared" si="11"/>
        <v>1463</v>
      </c>
      <c r="CM83" s="773"/>
      <c r="CN83" s="718" t="s">
        <v>38</v>
      </c>
      <c r="CO83" s="716" t="s">
        <v>38</v>
      </c>
      <c r="CP83" s="774">
        <f t="shared" si="12"/>
        <v>1463</v>
      </c>
      <c r="CQ83" s="768"/>
      <c r="CR83" s="419" t="s">
        <v>38</v>
      </c>
      <c r="CS83" s="716" t="s">
        <v>38</v>
      </c>
      <c r="CT83" s="769">
        <f t="shared" si="13"/>
        <v>0</v>
      </c>
      <c r="CU83" s="768"/>
      <c r="CV83" s="419" t="s">
        <v>38</v>
      </c>
      <c r="CW83" s="716" t="s">
        <v>38</v>
      </c>
      <c r="CX83" s="769">
        <f t="shared" si="14"/>
        <v>14.203883495145631</v>
      </c>
      <c r="CY83" s="775"/>
      <c r="CZ83" s="776"/>
      <c r="DA83" s="777"/>
      <c r="DB83" s="778"/>
      <c r="DC83" s="779"/>
      <c r="DD83" s="769"/>
      <c r="DE83" s="774"/>
      <c r="DF83" s="347"/>
      <c r="DG83" s="348"/>
      <c r="DH83" s="769"/>
      <c r="DI83" s="768"/>
      <c r="DJ83" s="347"/>
      <c r="DK83" s="348"/>
      <c r="DL83" s="769"/>
      <c r="DM83" s="768"/>
      <c r="DN83" s="347"/>
      <c r="DO83" s="348"/>
      <c r="DP83" s="712"/>
      <c r="DQ83" s="724"/>
      <c r="DR83" s="780"/>
      <c r="DS83" s="726"/>
      <c r="DT83" s="419"/>
      <c r="DU83" s="781"/>
      <c r="DV83" s="713"/>
      <c r="DW83" s="356"/>
      <c r="DX83" s="419"/>
      <c r="DY83" s="716"/>
      <c r="DZ83" s="713"/>
      <c r="EA83" s="356"/>
      <c r="EB83" s="347"/>
      <c r="EC83" s="348"/>
      <c r="ED83" s="419"/>
      <c r="EE83" s="727"/>
      <c r="EF83" s="419"/>
      <c r="EG83" s="728"/>
      <c r="EH83" s="782"/>
      <c r="EI83" s="783"/>
    </row>
    <row r="84" spans="1:140" x14ac:dyDescent="0.25">
      <c r="A84" s="2242"/>
      <c r="B84" s="23"/>
      <c r="C84" s="524" t="s">
        <v>39</v>
      </c>
      <c r="D84" s="234">
        <v>7.2</v>
      </c>
      <c r="E84" s="228"/>
      <c r="F84" s="246">
        <v>3.2982134677049932E-3</v>
      </c>
      <c r="G84" s="228"/>
      <c r="H84" s="293" t="s">
        <v>38</v>
      </c>
      <c r="I84" s="230" t="s">
        <v>38</v>
      </c>
      <c r="J84" s="298">
        <v>97</v>
      </c>
      <c r="K84" s="507"/>
      <c r="L84" s="409" t="s">
        <v>38</v>
      </c>
      <c r="M84" s="559" t="s">
        <v>38</v>
      </c>
      <c r="N84" s="556">
        <v>97</v>
      </c>
      <c r="O84" s="208"/>
      <c r="P84" s="293" t="s">
        <v>38</v>
      </c>
      <c r="Q84" s="230" t="s">
        <v>38</v>
      </c>
      <c r="R84" s="556">
        <v>0</v>
      </c>
      <c r="S84" s="507"/>
      <c r="T84" s="293" t="s">
        <v>38</v>
      </c>
      <c r="U84" s="230" t="s">
        <v>38</v>
      </c>
      <c r="V84" s="509">
        <v>13.472222222222221</v>
      </c>
      <c r="W84" s="509"/>
      <c r="X84" s="234">
        <v>10.4</v>
      </c>
      <c r="Y84" s="228"/>
      <c r="Z84" s="246">
        <v>4.7619047619047623E-3</v>
      </c>
      <c r="AA84" s="228"/>
      <c r="AB84" s="293" t="s">
        <v>38</v>
      </c>
      <c r="AC84" s="230" t="s">
        <v>38</v>
      </c>
      <c r="AD84" s="298">
        <v>160</v>
      </c>
      <c r="AE84" s="507"/>
      <c r="AF84" s="409" t="s">
        <v>38</v>
      </c>
      <c r="AG84" s="559" t="s">
        <v>38</v>
      </c>
      <c r="AH84" s="556">
        <v>160</v>
      </c>
      <c r="AI84" s="208"/>
      <c r="AJ84" s="293" t="s">
        <v>38</v>
      </c>
      <c r="AK84" s="230" t="s">
        <v>38</v>
      </c>
      <c r="AL84" s="556">
        <v>0</v>
      </c>
      <c r="AM84" s="507"/>
      <c r="AN84" s="293" t="s">
        <v>38</v>
      </c>
      <c r="AO84" s="230" t="s">
        <v>38</v>
      </c>
      <c r="AP84" s="509">
        <v>15.384615384615383</v>
      </c>
      <c r="AQ84" s="509"/>
      <c r="AR84" s="234">
        <v>7.3</v>
      </c>
      <c r="AS84" s="228"/>
      <c r="AT84" s="246">
        <v>3.3440219880897844E-3</v>
      </c>
      <c r="AU84" s="228"/>
      <c r="AV84" s="293" t="s">
        <v>38</v>
      </c>
      <c r="AW84" s="230" t="s">
        <v>38</v>
      </c>
      <c r="AX84" s="298">
        <v>105</v>
      </c>
      <c r="AY84" s="507"/>
      <c r="AZ84" s="409" t="s">
        <v>38</v>
      </c>
      <c r="BA84" s="559" t="s">
        <v>38</v>
      </c>
      <c r="BB84" s="556">
        <v>105</v>
      </c>
      <c r="BC84" s="208"/>
      <c r="BD84" s="293" t="s">
        <v>38</v>
      </c>
      <c r="BE84" s="230" t="s">
        <v>38</v>
      </c>
      <c r="BF84" s="556">
        <v>0</v>
      </c>
      <c r="BG84" s="507"/>
      <c r="BH84" s="293" t="s">
        <v>38</v>
      </c>
      <c r="BI84" s="230" t="s">
        <v>38</v>
      </c>
      <c r="BJ84" s="509">
        <v>14.383561643835616</v>
      </c>
      <c r="BK84" s="509"/>
      <c r="BL84" s="234">
        <v>7.3</v>
      </c>
      <c r="BM84" s="228"/>
      <c r="BN84" s="246">
        <v>3.3046627433227704E-3</v>
      </c>
      <c r="BO84" s="228"/>
      <c r="BP84" s="293" t="s">
        <v>38</v>
      </c>
      <c r="BQ84" s="230" t="s">
        <v>38</v>
      </c>
      <c r="BR84" s="298">
        <v>106</v>
      </c>
      <c r="BS84" s="507"/>
      <c r="BT84" s="409" t="s">
        <v>38</v>
      </c>
      <c r="BU84" s="559" t="s">
        <v>38</v>
      </c>
      <c r="BV84" s="556">
        <v>106</v>
      </c>
      <c r="BW84" s="208"/>
      <c r="BX84" s="293" t="s">
        <v>38</v>
      </c>
      <c r="BY84" s="230" t="s">
        <v>38</v>
      </c>
      <c r="BZ84" s="556">
        <v>0</v>
      </c>
      <c r="CA84" s="507"/>
      <c r="CB84" s="293" t="s">
        <v>38</v>
      </c>
      <c r="CC84" s="230" t="s">
        <v>38</v>
      </c>
      <c r="CD84" s="509">
        <v>14.520547945205481</v>
      </c>
      <c r="CE84" s="509"/>
      <c r="CF84" s="508">
        <f t="shared" si="10"/>
        <v>32.200000000000003</v>
      </c>
      <c r="CG84" s="231"/>
      <c r="CH84" s="246">
        <f t="shared" si="15"/>
        <v>3.675799086757991E-3</v>
      </c>
      <c r="CI84" s="554"/>
      <c r="CJ84" s="409" t="s">
        <v>38</v>
      </c>
      <c r="CK84" s="559" t="s">
        <v>38</v>
      </c>
      <c r="CL84" s="506">
        <f t="shared" si="11"/>
        <v>468</v>
      </c>
      <c r="CM84" s="239"/>
      <c r="CN84" s="560" t="s">
        <v>38</v>
      </c>
      <c r="CO84" s="559" t="s">
        <v>38</v>
      </c>
      <c r="CP84" s="231">
        <f t="shared" si="12"/>
        <v>468</v>
      </c>
      <c r="CQ84" s="208"/>
      <c r="CR84" s="409" t="s">
        <v>38</v>
      </c>
      <c r="CS84" s="559" t="s">
        <v>38</v>
      </c>
      <c r="CT84" s="506">
        <f t="shared" si="13"/>
        <v>0</v>
      </c>
      <c r="CU84" s="208"/>
      <c r="CV84" s="409" t="s">
        <v>38</v>
      </c>
      <c r="CW84" s="559" t="s">
        <v>38</v>
      </c>
      <c r="CX84" s="506">
        <f t="shared" si="14"/>
        <v>14.534161490683228</v>
      </c>
      <c r="CY84" s="235"/>
      <c r="CZ84" s="512"/>
      <c r="DA84" s="513"/>
      <c r="DB84" s="229"/>
      <c r="DC84" s="749"/>
      <c r="DD84" s="231"/>
      <c r="DE84" s="231"/>
      <c r="DF84" s="293"/>
      <c r="DG84" s="230"/>
      <c r="DH84" s="506"/>
      <c r="DI84" s="208"/>
      <c r="DJ84" s="293"/>
      <c r="DK84" s="230"/>
      <c r="DL84" s="506"/>
      <c r="DM84" s="208"/>
      <c r="DN84" s="293"/>
      <c r="DO84" s="230"/>
      <c r="DP84" s="237"/>
      <c r="DQ84" s="731"/>
      <c r="DR84" s="242"/>
      <c r="DS84" s="517"/>
      <c r="DT84" s="244"/>
      <c r="DU84" s="519"/>
      <c r="DV84" s="509"/>
      <c r="DW84" s="510"/>
      <c r="DX84" s="409"/>
      <c r="DY84" s="559"/>
      <c r="DZ84" s="509"/>
      <c r="EA84" s="510"/>
      <c r="EB84" s="293"/>
      <c r="EC84" s="230"/>
      <c r="ED84" s="244"/>
      <c r="EE84" s="732"/>
      <c r="EF84" s="244"/>
      <c r="EG84" s="557"/>
      <c r="EH84" s="298"/>
      <c r="EI84" s="521"/>
    </row>
    <row r="85" spans="1:140" x14ac:dyDescent="0.25">
      <c r="A85" s="2242"/>
      <c r="B85" s="523"/>
      <c r="C85" s="524" t="s">
        <v>40</v>
      </c>
      <c r="D85" s="234">
        <v>7</v>
      </c>
      <c r="E85" s="228"/>
      <c r="F85" s="246">
        <v>3.2065964269354101E-3</v>
      </c>
      <c r="G85" s="228"/>
      <c r="H85" s="293" t="s">
        <v>38</v>
      </c>
      <c r="I85" s="230" t="s">
        <v>38</v>
      </c>
      <c r="J85" s="298">
        <v>95</v>
      </c>
      <c r="K85" s="507"/>
      <c r="L85" s="409" t="s">
        <v>38</v>
      </c>
      <c r="M85" s="559" t="s">
        <v>38</v>
      </c>
      <c r="N85" s="506">
        <v>95</v>
      </c>
      <c r="O85" s="208"/>
      <c r="P85" s="293" t="s">
        <v>38</v>
      </c>
      <c r="Q85" s="230" t="s">
        <v>38</v>
      </c>
      <c r="R85" s="506">
        <v>0</v>
      </c>
      <c r="S85" s="507"/>
      <c r="T85" s="293" t="s">
        <v>38</v>
      </c>
      <c r="U85" s="230" t="s">
        <v>38</v>
      </c>
      <c r="V85" s="509">
        <v>13.571428571428571</v>
      </c>
      <c r="W85" s="509"/>
      <c r="X85" s="234">
        <v>7.2</v>
      </c>
      <c r="Y85" s="228"/>
      <c r="Z85" s="246">
        <v>3.2967032967032967E-3</v>
      </c>
      <c r="AA85" s="228"/>
      <c r="AB85" s="293" t="s">
        <v>38</v>
      </c>
      <c r="AC85" s="230" t="s">
        <v>38</v>
      </c>
      <c r="AD85" s="298">
        <v>108</v>
      </c>
      <c r="AE85" s="507"/>
      <c r="AF85" s="409" t="s">
        <v>38</v>
      </c>
      <c r="AG85" s="559" t="s">
        <v>38</v>
      </c>
      <c r="AH85" s="506">
        <v>108</v>
      </c>
      <c r="AI85" s="208"/>
      <c r="AJ85" s="293" t="s">
        <v>38</v>
      </c>
      <c r="AK85" s="230" t="s">
        <v>38</v>
      </c>
      <c r="AL85" s="506">
        <v>0</v>
      </c>
      <c r="AM85" s="507"/>
      <c r="AN85" s="293" t="s">
        <v>38</v>
      </c>
      <c r="AO85" s="230" t="s">
        <v>38</v>
      </c>
      <c r="AP85" s="509">
        <v>15</v>
      </c>
      <c r="AQ85" s="509"/>
      <c r="AR85" s="234">
        <v>7.1</v>
      </c>
      <c r="AS85" s="228"/>
      <c r="AT85" s="246">
        <v>3.2524049473202014E-3</v>
      </c>
      <c r="AU85" s="228"/>
      <c r="AV85" s="293" t="s">
        <v>38</v>
      </c>
      <c r="AW85" s="230" t="s">
        <v>38</v>
      </c>
      <c r="AX85" s="298">
        <v>104</v>
      </c>
      <c r="AY85" s="507"/>
      <c r="AZ85" s="409" t="s">
        <v>38</v>
      </c>
      <c r="BA85" s="559" t="s">
        <v>38</v>
      </c>
      <c r="BB85" s="506">
        <v>104</v>
      </c>
      <c r="BC85" s="208"/>
      <c r="BD85" s="293" t="s">
        <v>38</v>
      </c>
      <c r="BE85" s="230" t="s">
        <v>38</v>
      </c>
      <c r="BF85" s="506">
        <v>0</v>
      </c>
      <c r="BG85" s="507"/>
      <c r="BH85" s="293" t="s">
        <v>38</v>
      </c>
      <c r="BI85" s="230" t="s">
        <v>38</v>
      </c>
      <c r="BJ85" s="509">
        <v>14.647887323943662</v>
      </c>
      <c r="BK85" s="509"/>
      <c r="BL85" s="234">
        <v>7.2</v>
      </c>
      <c r="BM85" s="228"/>
      <c r="BN85" s="246">
        <v>3.2593933906745133E-3</v>
      </c>
      <c r="BO85" s="228"/>
      <c r="BP85" s="293" t="s">
        <v>38</v>
      </c>
      <c r="BQ85" s="230" t="s">
        <v>38</v>
      </c>
      <c r="BR85" s="298">
        <v>103</v>
      </c>
      <c r="BS85" s="507"/>
      <c r="BT85" s="409" t="s">
        <v>38</v>
      </c>
      <c r="BU85" s="559" t="s">
        <v>38</v>
      </c>
      <c r="BV85" s="506">
        <v>103</v>
      </c>
      <c r="BW85" s="208"/>
      <c r="BX85" s="293" t="s">
        <v>38</v>
      </c>
      <c r="BY85" s="230" t="s">
        <v>38</v>
      </c>
      <c r="BZ85" s="506">
        <v>0</v>
      </c>
      <c r="CA85" s="507"/>
      <c r="CB85" s="293" t="s">
        <v>38</v>
      </c>
      <c r="CC85" s="230" t="s">
        <v>38</v>
      </c>
      <c r="CD85" s="509">
        <v>14.305555555555555</v>
      </c>
      <c r="CE85" s="509"/>
      <c r="CF85" s="508">
        <f t="shared" si="10"/>
        <v>28.5</v>
      </c>
      <c r="CG85" s="231"/>
      <c r="CH85" s="246">
        <f t="shared" si="15"/>
        <v>3.2534246575342467E-3</v>
      </c>
      <c r="CI85" s="554"/>
      <c r="CJ85" s="409" t="s">
        <v>38</v>
      </c>
      <c r="CK85" s="559" t="s">
        <v>38</v>
      </c>
      <c r="CL85" s="506">
        <f t="shared" si="11"/>
        <v>410</v>
      </c>
      <c r="CM85" s="239"/>
      <c r="CN85" s="560" t="s">
        <v>38</v>
      </c>
      <c r="CO85" s="559" t="s">
        <v>38</v>
      </c>
      <c r="CP85" s="231">
        <f t="shared" si="12"/>
        <v>410</v>
      </c>
      <c r="CQ85" s="208"/>
      <c r="CR85" s="409" t="s">
        <v>38</v>
      </c>
      <c r="CS85" s="559" t="s">
        <v>38</v>
      </c>
      <c r="CT85" s="506">
        <f t="shared" si="13"/>
        <v>0</v>
      </c>
      <c r="CU85" s="208"/>
      <c r="CV85" s="409" t="s">
        <v>38</v>
      </c>
      <c r="CW85" s="559" t="s">
        <v>38</v>
      </c>
      <c r="CX85" s="506">
        <f t="shared" si="14"/>
        <v>14.385964912280702</v>
      </c>
      <c r="CY85" s="235"/>
      <c r="CZ85" s="512"/>
      <c r="DA85" s="513"/>
      <c r="DB85" s="229"/>
      <c r="DC85" s="749"/>
      <c r="DD85" s="231"/>
      <c r="DE85" s="231"/>
      <c r="DF85" s="293"/>
      <c r="DG85" s="230"/>
      <c r="DH85" s="506"/>
      <c r="DI85" s="208"/>
      <c r="DJ85" s="293"/>
      <c r="DK85" s="230"/>
      <c r="DL85" s="506"/>
      <c r="DM85" s="208"/>
      <c r="DN85" s="293"/>
      <c r="DO85" s="230"/>
      <c r="DP85" s="237"/>
      <c r="DQ85" s="731"/>
      <c r="DR85" s="242"/>
      <c r="DS85" s="517"/>
      <c r="DT85" s="244"/>
      <c r="DU85" s="519"/>
      <c r="DV85" s="509"/>
      <c r="DW85" s="510"/>
      <c r="DX85" s="409"/>
      <c r="DY85" s="559"/>
      <c r="DZ85" s="509"/>
      <c r="EA85" s="510"/>
      <c r="EB85" s="293"/>
      <c r="EC85" s="230"/>
      <c r="ED85" s="244"/>
      <c r="EE85" s="732"/>
      <c r="EF85" s="244"/>
      <c r="EG85" s="557"/>
      <c r="EH85" s="298"/>
      <c r="EI85" s="521"/>
    </row>
    <row r="86" spans="1:140" x14ac:dyDescent="0.25">
      <c r="A86" s="2242"/>
      <c r="B86" s="523"/>
      <c r="C86" s="524" t="s">
        <v>41</v>
      </c>
      <c r="D86" s="234">
        <v>6.2</v>
      </c>
      <c r="E86" s="228"/>
      <c r="F86" s="246">
        <v>2.8401282638570776E-3</v>
      </c>
      <c r="G86" s="228"/>
      <c r="H86" s="293" t="s">
        <v>38</v>
      </c>
      <c r="I86" s="230" t="s">
        <v>38</v>
      </c>
      <c r="J86" s="298">
        <v>84</v>
      </c>
      <c r="K86" s="507"/>
      <c r="L86" s="409" t="s">
        <v>38</v>
      </c>
      <c r="M86" s="559" t="s">
        <v>38</v>
      </c>
      <c r="N86" s="506">
        <v>84</v>
      </c>
      <c r="O86" s="208"/>
      <c r="P86" s="293" t="s">
        <v>38</v>
      </c>
      <c r="Q86" s="230" t="s">
        <v>38</v>
      </c>
      <c r="R86" s="506">
        <v>0</v>
      </c>
      <c r="S86" s="208"/>
      <c r="T86" s="293" t="s">
        <v>38</v>
      </c>
      <c r="U86" s="230" t="s">
        <v>38</v>
      </c>
      <c r="V86" s="509">
        <v>13.548387096774194</v>
      </c>
      <c r="W86" s="509"/>
      <c r="X86" s="234">
        <v>6</v>
      </c>
      <c r="Y86" s="228"/>
      <c r="Z86" s="246">
        <v>2.7472527472527475E-3</v>
      </c>
      <c r="AA86" s="228"/>
      <c r="AB86" s="293" t="s">
        <v>38</v>
      </c>
      <c r="AC86" s="230" t="s">
        <v>38</v>
      </c>
      <c r="AD86" s="298">
        <v>94</v>
      </c>
      <c r="AE86" s="507"/>
      <c r="AF86" s="409" t="s">
        <v>38</v>
      </c>
      <c r="AG86" s="559" t="s">
        <v>38</v>
      </c>
      <c r="AH86" s="506">
        <v>94</v>
      </c>
      <c r="AI86" s="208"/>
      <c r="AJ86" s="293" t="s">
        <v>38</v>
      </c>
      <c r="AK86" s="230" t="s">
        <v>38</v>
      </c>
      <c r="AL86" s="506">
        <v>0</v>
      </c>
      <c r="AM86" s="208"/>
      <c r="AN86" s="293" t="s">
        <v>38</v>
      </c>
      <c r="AO86" s="230" t="s">
        <v>38</v>
      </c>
      <c r="AP86" s="509">
        <v>15.666666666666666</v>
      </c>
      <c r="AQ86" s="509"/>
      <c r="AR86" s="234">
        <v>6.3</v>
      </c>
      <c r="AS86" s="228"/>
      <c r="AT86" s="246">
        <v>2.8859367842418689E-3</v>
      </c>
      <c r="AU86" s="228"/>
      <c r="AV86" s="293" t="s">
        <v>38</v>
      </c>
      <c r="AW86" s="230" t="s">
        <v>38</v>
      </c>
      <c r="AX86" s="298">
        <v>90</v>
      </c>
      <c r="AY86" s="507"/>
      <c r="AZ86" s="409" t="s">
        <v>38</v>
      </c>
      <c r="BA86" s="559" t="s">
        <v>38</v>
      </c>
      <c r="BB86" s="506">
        <v>90</v>
      </c>
      <c r="BC86" s="208"/>
      <c r="BD86" s="293" t="s">
        <v>38</v>
      </c>
      <c r="BE86" s="230" t="s">
        <v>38</v>
      </c>
      <c r="BF86" s="506">
        <v>0</v>
      </c>
      <c r="BG86" s="208"/>
      <c r="BH86" s="293" t="s">
        <v>38</v>
      </c>
      <c r="BI86" s="230" t="s">
        <v>38</v>
      </c>
      <c r="BJ86" s="509">
        <v>14.285714285714286</v>
      </c>
      <c r="BK86" s="509"/>
      <c r="BL86" s="234">
        <v>6.7</v>
      </c>
      <c r="BM86" s="228"/>
      <c r="BN86" s="246">
        <v>3.0330466274332279E-3</v>
      </c>
      <c r="BO86" s="228"/>
      <c r="BP86" s="293" t="s">
        <v>38</v>
      </c>
      <c r="BQ86" s="230" t="s">
        <v>38</v>
      </c>
      <c r="BR86" s="298">
        <v>98</v>
      </c>
      <c r="BS86" s="507"/>
      <c r="BT86" s="409" t="s">
        <v>38</v>
      </c>
      <c r="BU86" s="559" t="s">
        <v>38</v>
      </c>
      <c r="BV86" s="506">
        <v>98</v>
      </c>
      <c r="BW86" s="208"/>
      <c r="BX86" s="293" t="s">
        <v>38</v>
      </c>
      <c r="BY86" s="230" t="s">
        <v>38</v>
      </c>
      <c r="BZ86" s="506">
        <v>0</v>
      </c>
      <c r="CA86" s="208"/>
      <c r="CB86" s="293" t="s">
        <v>38</v>
      </c>
      <c r="CC86" s="230" t="s">
        <v>38</v>
      </c>
      <c r="CD86" s="509">
        <v>14.626865671641792</v>
      </c>
      <c r="CE86" s="509"/>
      <c r="CF86" s="508">
        <f t="shared" si="10"/>
        <v>25.2</v>
      </c>
      <c r="CG86" s="231"/>
      <c r="CH86" s="246">
        <f t="shared" si="15"/>
        <v>2.8767123287671234E-3</v>
      </c>
      <c r="CI86" s="554"/>
      <c r="CJ86" s="409" t="s">
        <v>38</v>
      </c>
      <c r="CK86" s="559" t="s">
        <v>38</v>
      </c>
      <c r="CL86" s="506">
        <f t="shared" si="11"/>
        <v>366</v>
      </c>
      <c r="CM86" s="239"/>
      <c r="CN86" s="560" t="s">
        <v>38</v>
      </c>
      <c r="CO86" s="559" t="s">
        <v>38</v>
      </c>
      <c r="CP86" s="231">
        <f t="shared" si="12"/>
        <v>366</v>
      </c>
      <c r="CQ86" s="208"/>
      <c r="CR86" s="409" t="s">
        <v>38</v>
      </c>
      <c r="CS86" s="559" t="s">
        <v>38</v>
      </c>
      <c r="CT86" s="506">
        <f t="shared" si="13"/>
        <v>0</v>
      </c>
      <c r="CU86" s="208"/>
      <c r="CV86" s="409" t="s">
        <v>38</v>
      </c>
      <c r="CW86" s="559" t="s">
        <v>38</v>
      </c>
      <c r="CX86" s="506">
        <f t="shared" si="14"/>
        <v>14.523809523809524</v>
      </c>
      <c r="CY86" s="235"/>
      <c r="CZ86" s="512"/>
      <c r="DA86" s="513"/>
      <c r="DB86" s="229"/>
      <c r="DC86" s="749"/>
      <c r="DD86" s="231"/>
      <c r="DE86" s="231"/>
      <c r="DF86" s="293"/>
      <c r="DG86" s="230"/>
      <c r="DH86" s="506"/>
      <c r="DI86" s="208"/>
      <c r="DJ86" s="293"/>
      <c r="DK86" s="230"/>
      <c r="DL86" s="506"/>
      <c r="DM86" s="208"/>
      <c r="DN86" s="293"/>
      <c r="DO86" s="230"/>
      <c r="DP86" s="237"/>
      <c r="DQ86" s="731"/>
      <c r="DR86" s="242"/>
      <c r="DS86" s="517"/>
      <c r="DT86" s="244"/>
      <c r="DU86" s="519"/>
      <c r="DV86" s="509"/>
      <c r="DW86" s="510"/>
      <c r="DX86" s="409"/>
      <c r="DY86" s="559"/>
      <c r="DZ86" s="509"/>
      <c r="EA86" s="510"/>
      <c r="EB86" s="293"/>
      <c r="EC86" s="230"/>
      <c r="ED86" s="244"/>
      <c r="EE86" s="732"/>
      <c r="EF86" s="244"/>
      <c r="EG86" s="557"/>
      <c r="EH86" s="298"/>
      <c r="EI86" s="521"/>
    </row>
    <row r="87" spans="1:140" x14ac:dyDescent="0.25">
      <c r="A87" s="2242"/>
      <c r="B87" s="20"/>
      <c r="C87" s="504" t="s">
        <v>42</v>
      </c>
      <c r="D87" s="234">
        <v>3.8</v>
      </c>
      <c r="E87" s="228"/>
      <c r="F87" s="246">
        <v>1.7407237746220796E-3</v>
      </c>
      <c r="G87" s="228"/>
      <c r="H87" s="293" t="s">
        <v>38</v>
      </c>
      <c r="I87" s="230" t="s">
        <v>38</v>
      </c>
      <c r="J87" s="298">
        <v>51</v>
      </c>
      <c r="K87" s="507"/>
      <c r="L87" s="409" t="s">
        <v>38</v>
      </c>
      <c r="M87" s="559" t="s">
        <v>38</v>
      </c>
      <c r="N87" s="506">
        <v>51</v>
      </c>
      <c r="O87" s="208"/>
      <c r="P87" s="293" t="s">
        <v>38</v>
      </c>
      <c r="Q87" s="230" t="s">
        <v>38</v>
      </c>
      <c r="R87" s="506">
        <v>0</v>
      </c>
      <c r="S87" s="208"/>
      <c r="T87" s="293" t="s">
        <v>38</v>
      </c>
      <c r="U87" s="230" t="s">
        <v>38</v>
      </c>
      <c r="V87" s="509">
        <v>13.421052631578949</v>
      </c>
      <c r="W87" s="509"/>
      <c r="X87" s="234">
        <v>3.6</v>
      </c>
      <c r="Y87" s="228"/>
      <c r="Z87" s="246">
        <v>1.6483516483516484E-3</v>
      </c>
      <c r="AA87" s="228"/>
      <c r="AB87" s="293" t="s">
        <v>38</v>
      </c>
      <c r="AC87" s="230" t="s">
        <v>38</v>
      </c>
      <c r="AD87" s="298">
        <v>58</v>
      </c>
      <c r="AE87" s="507"/>
      <c r="AF87" s="409" t="s">
        <v>38</v>
      </c>
      <c r="AG87" s="559" t="s">
        <v>38</v>
      </c>
      <c r="AH87" s="506">
        <v>58</v>
      </c>
      <c r="AI87" s="208"/>
      <c r="AJ87" s="293" t="s">
        <v>38</v>
      </c>
      <c r="AK87" s="230" t="s">
        <v>38</v>
      </c>
      <c r="AL87" s="506">
        <v>0</v>
      </c>
      <c r="AM87" s="208"/>
      <c r="AN87" s="293" t="s">
        <v>38</v>
      </c>
      <c r="AO87" s="230" t="s">
        <v>38</v>
      </c>
      <c r="AP87" s="509">
        <v>16.111111111111111</v>
      </c>
      <c r="AQ87" s="509"/>
      <c r="AR87" s="234">
        <v>3.8</v>
      </c>
      <c r="AS87" s="228"/>
      <c r="AT87" s="246">
        <v>1.7407237746220796E-3</v>
      </c>
      <c r="AU87" s="228"/>
      <c r="AV87" s="293" t="s">
        <v>38</v>
      </c>
      <c r="AW87" s="230" t="s">
        <v>38</v>
      </c>
      <c r="AX87" s="298">
        <v>55</v>
      </c>
      <c r="AY87" s="507"/>
      <c r="AZ87" s="409" t="s">
        <v>38</v>
      </c>
      <c r="BA87" s="559" t="s">
        <v>38</v>
      </c>
      <c r="BB87" s="506">
        <v>55</v>
      </c>
      <c r="BC87" s="208"/>
      <c r="BD87" s="293" t="s">
        <v>38</v>
      </c>
      <c r="BE87" s="230" t="s">
        <v>38</v>
      </c>
      <c r="BF87" s="506">
        <v>0</v>
      </c>
      <c r="BG87" s="208"/>
      <c r="BH87" s="293" t="s">
        <v>38</v>
      </c>
      <c r="BI87" s="230" t="s">
        <v>38</v>
      </c>
      <c r="BJ87" s="509">
        <v>14.473684210526317</v>
      </c>
      <c r="BK87" s="509"/>
      <c r="BL87" s="234">
        <v>3.9</v>
      </c>
      <c r="BM87" s="228"/>
      <c r="BN87" s="246">
        <v>1.7655047532820281E-3</v>
      </c>
      <c r="BO87" s="228"/>
      <c r="BP87" s="293" t="s">
        <v>38</v>
      </c>
      <c r="BQ87" s="230" t="s">
        <v>38</v>
      </c>
      <c r="BR87" s="298">
        <v>55</v>
      </c>
      <c r="BS87" s="507"/>
      <c r="BT87" s="409" t="s">
        <v>38</v>
      </c>
      <c r="BU87" s="559" t="s">
        <v>38</v>
      </c>
      <c r="BV87" s="506">
        <v>55</v>
      </c>
      <c r="BW87" s="208"/>
      <c r="BX87" s="293" t="s">
        <v>38</v>
      </c>
      <c r="BY87" s="230" t="s">
        <v>38</v>
      </c>
      <c r="BZ87" s="506">
        <v>0</v>
      </c>
      <c r="CA87" s="208"/>
      <c r="CB87" s="293" t="s">
        <v>38</v>
      </c>
      <c r="CC87" s="230" t="s">
        <v>38</v>
      </c>
      <c r="CD87" s="509">
        <v>14.102564102564102</v>
      </c>
      <c r="CE87" s="509"/>
      <c r="CF87" s="784">
        <f t="shared" si="10"/>
        <v>15.099999999999998</v>
      </c>
      <c r="CG87" s="231"/>
      <c r="CH87" s="246">
        <f t="shared" si="15"/>
        <v>1.7237442922374427E-3</v>
      </c>
      <c r="CI87" s="554"/>
      <c r="CJ87" s="409" t="s">
        <v>38</v>
      </c>
      <c r="CK87" s="559" t="s">
        <v>38</v>
      </c>
      <c r="CL87" s="506">
        <f t="shared" si="11"/>
        <v>219</v>
      </c>
      <c r="CM87" s="239"/>
      <c r="CN87" s="560" t="s">
        <v>38</v>
      </c>
      <c r="CO87" s="559" t="s">
        <v>38</v>
      </c>
      <c r="CP87" s="231">
        <f t="shared" si="12"/>
        <v>219</v>
      </c>
      <c r="CQ87" s="208"/>
      <c r="CR87" s="409" t="s">
        <v>38</v>
      </c>
      <c r="CS87" s="559" t="s">
        <v>38</v>
      </c>
      <c r="CT87" s="506">
        <f t="shared" si="13"/>
        <v>0</v>
      </c>
      <c r="CU87" s="208"/>
      <c r="CV87" s="409" t="s">
        <v>38</v>
      </c>
      <c r="CW87" s="559" t="s">
        <v>38</v>
      </c>
      <c r="CX87" s="506">
        <f t="shared" si="14"/>
        <v>14.503311258278147</v>
      </c>
      <c r="CY87" s="235"/>
      <c r="CZ87" s="512"/>
      <c r="DA87" s="513"/>
      <c r="DB87" s="229"/>
      <c r="DC87" s="749"/>
      <c r="DD87" s="231"/>
      <c r="DE87" s="231"/>
      <c r="DF87" s="293"/>
      <c r="DG87" s="230"/>
      <c r="DH87" s="506"/>
      <c r="DI87" s="208"/>
      <c r="DJ87" s="293"/>
      <c r="DK87" s="230"/>
      <c r="DL87" s="506"/>
      <c r="DM87" s="208"/>
      <c r="DN87" s="293"/>
      <c r="DO87" s="230"/>
      <c r="DP87" s="237"/>
      <c r="DQ87" s="731"/>
      <c r="DR87" s="242"/>
      <c r="DS87" s="517"/>
      <c r="DT87" s="244"/>
      <c r="DU87" s="519"/>
      <c r="DV87" s="509"/>
      <c r="DW87" s="510"/>
      <c r="DX87" s="409"/>
      <c r="DY87" s="559"/>
      <c r="DZ87" s="509"/>
      <c r="EA87" s="510"/>
      <c r="EB87" s="293"/>
      <c r="EC87" s="230"/>
      <c r="ED87" s="244"/>
      <c r="EE87" s="732"/>
      <c r="EF87" s="244"/>
      <c r="EG87" s="557"/>
      <c r="EH87" s="298"/>
      <c r="EI87" s="521"/>
    </row>
    <row r="88" spans="1:140" x14ac:dyDescent="0.25">
      <c r="A88" s="2245"/>
      <c r="B88" s="85"/>
      <c r="C88" s="785" t="s">
        <v>43</v>
      </c>
      <c r="D88" s="350">
        <v>0.5</v>
      </c>
      <c r="E88" s="228"/>
      <c r="F88" s="352">
        <v>2.2904260192395785E-4</v>
      </c>
      <c r="G88" s="351"/>
      <c r="H88" s="353" t="s">
        <v>38</v>
      </c>
      <c r="I88" s="354" t="s">
        <v>38</v>
      </c>
      <c r="J88" s="355">
        <v>0</v>
      </c>
      <c r="K88" s="734"/>
      <c r="L88" s="409" t="s">
        <v>38</v>
      </c>
      <c r="M88" s="559" t="s">
        <v>38</v>
      </c>
      <c r="N88" s="736">
        <v>0</v>
      </c>
      <c r="O88" s="738"/>
      <c r="P88" s="353" t="s">
        <v>38</v>
      </c>
      <c r="Q88" s="354" t="s">
        <v>38</v>
      </c>
      <c r="R88" s="736">
        <v>0</v>
      </c>
      <c r="S88" s="738"/>
      <c r="T88" s="353" t="s">
        <v>38</v>
      </c>
      <c r="U88" s="354" t="s">
        <v>38</v>
      </c>
      <c r="V88" s="736">
        <v>0</v>
      </c>
      <c r="W88" s="739"/>
      <c r="X88" s="350">
        <v>0.5</v>
      </c>
      <c r="Y88" s="228"/>
      <c r="Z88" s="352">
        <v>2.2893772893772894E-4</v>
      </c>
      <c r="AA88" s="351"/>
      <c r="AB88" s="353" t="s">
        <v>38</v>
      </c>
      <c r="AC88" s="354" t="s">
        <v>38</v>
      </c>
      <c r="AD88" s="355">
        <v>0</v>
      </c>
      <c r="AE88" s="734"/>
      <c r="AF88" s="409" t="s">
        <v>38</v>
      </c>
      <c r="AG88" s="559" t="s">
        <v>38</v>
      </c>
      <c r="AH88" s="736">
        <v>0</v>
      </c>
      <c r="AI88" s="738"/>
      <c r="AJ88" s="353" t="s">
        <v>38</v>
      </c>
      <c r="AK88" s="354" t="s">
        <v>38</v>
      </c>
      <c r="AL88" s="736">
        <v>0</v>
      </c>
      <c r="AM88" s="738"/>
      <c r="AN88" s="353" t="s">
        <v>38</v>
      </c>
      <c r="AO88" s="354" t="s">
        <v>38</v>
      </c>
      <c r="AP88" s="736">
        <v>0</v>
      </c>
      <c r="AQ88" s="739"/>
      <c r="AR88" s="350">
        <v>0.5</v>
      </c>
      <c r="AS88" s="228"/>
      <c r="AT88" s="352">
        <v>2.2904260192395785E-4</v>
      </c>
      <c r="AU88" s="351"/>
      <c r="AV88" s="353" t="s">
        <v>38</v>
      </c>
      <c r="AW88" s="354" t="s">
        <v>38</v>
      </c>
      <c r="AX88" s="355">
        <v>0</v>
      </c>
      <c r="AY88" s="734"/>
      <c r="AZ88" s="409" t="s">
        <v>38</v>
      </c>
      <c r="BA88" s="559" t="s">
        <v>38</v>
      </c>
      <c r="BB88" s="736">
        <v>0</v>
      </c>
      <c r="BC88" s="738"/>
      <c r="BD88" s="353" t="s">
        <v>38</v>
      </c>
      <c r="BE88" s="354" t="s">
        <v>38</v>
      </c>
      <c r="BF88" s="736">
        <v>0</v>
      </c>
      <c r="BG88" s="738"/>
      <c r="BH88" s="353" t="s">
        <v>38</v>
      </c>
      <c r="BI88" s="354" t="s">
        <v>38</v>
      </c>
      <c r="BJ88" s="736">
        <v>0</v>
      </c>
      <c r="BK88" s="739"/>
      <c r="BL88" s="350">
        <v>0.5</v>
      </c>
      <c r="BM88" s="228"/>
      <c r="BN88" s="352">
        <v>2.2634676324128565E-4</v>
      </c>
      <c r="BO88" s="351"/>
      <c r="BP88" s="353" t="s">
        <v>38</v>
      </c>
      <c r="BQ88" s="354" t="s">
        <v>38</v>
      </c>
      <c r="BR88" s="355">
        <v>0</v>
      </c>
      <c r="BS88" s="734"/>
      <c r="BT88" s="409" t="s">
        <v>38</v>
      </c>
      <c r="BU88" s="559" t="s">
        <v>38</v>
      </c>
      <c r="BV88" s="736">
        <v>0</v>
      </c>
      <c r="BW88" s="738"/>
      <c r="BX88" s="353" t="s">
        <v>38</v>
      </c>
      <c r="BY88" s="354" t="s">
        <v>38</v>
      </c>
      <c r="BZ88" s="736">
        <v>0</v>
      </c>
      <c r="CA88" s="738"/>
      <c r="CB88" s="353" t="s">
        <v>38</v>
      </c>
      <c r="CC88" s="354" t="s">
        <v>38</v>
      </c>
      <c r="CD88" s="736">
        <v>0</v>
      </c>
      <c r="CE88" s="739"/>
      <c r="CF88" s="592">
        <f t="shared" si="10"/>
        <v>2</v>
      </c>
      <c r="CG88" s="745"/>
      <c r="CH88" s="352">
        <f t="shared" si="15"/>
        <v>2.2831050228310502E-4</v>
      </c>
      <c r="CI88" s="742"/>
      <c r="CJ88" s="409" t="s">
        <v>38</v>
      </c>
      <c r="CK88" s="559" t="s">
        <v>38</v>
      </c>
      <c r="CL88" s="736">
        <f t="shared" si="11"/>
        <v>0</v>
      </c>
      <c r="CM88" s="743"/>
      <c r="CN88" s="560" t="s">
        <v>38</v>
      </c>
      <c r="CO88" s="559" t="s">
        <v>38</v>
      </c>
      <c r="CP88" s="745">
        <f t="shared" si="12"/>
        <v>0</v>
      </c>
      <c r="CQ88" s="738"/>
      <c r="CR88" s="409" t="s">
        <v>38</v>
      </c>
      <c r="CS88" s="559" t="s">
        <v>38</v>
      </c>
      <c r="CT88" s="736">
        <f t="shared" si="13"/>
        <v>0</v>
      </c>
      <c r="CU88" s="738"/>
      <c r="CV88" s="409" t="s">
        <v>38</v>
      </c>
      <c r="CW88" s="559" t="s">
        <v>38</v>
      </c>
      <c r="CX88" s="736">
        <f t="shared" si="14"/>
        <v>0</v>
      </c>
      <c r="CY88" s="746"/>
      <c r="CZ88" s="512"/>
      <c r="DA88" s="513"/>
      <c r="DB88" s="229"/>
      <c r="DC88" s="786"/>
      <c r="DD88" s="736"/>
      <c r="DE88" s="745"/>
      <c r="DF88" s="353"/>
      <c r="DG88" s="354"/>
      <c r="DH88" s="736"/>
      <c r="DI88" s="738"/>
      <c r="DJ88" s="353"/>
      <c r="DK88" s="354"/>
      <c r="DL88" s="736"/>
      <c r="DM88" s="738"/>
      <c r="DN88" s="353"/>
      <c r="DO88" s="354"/>
      <c r="DP88" s="736"/>
      <c r="DQ88" s="739"/>
      <c r="DR88" s="751"/>
      <c r="DS88" s="752"/>
      <c r="DT88" s="753"/>
      <c r="DU88" s="385"/>
      <c r="DV88" s="753"/>
      <c r="DW88" s="787"/>
      <c r="DX88" s="409"/>
      <c r="DY88" s="559"/>
      <c r="DZ88" s="753"/>
      <c r="EA88" s="787"/>
      <c r="EB88" s="353"/>
      <c r="EC88" s="354"/>
      <c r="ED88" s="353"/>
      <c r="EE88" s="354"/>
      <c r="EF88" s="753"/>
      <c r="EG88" s="788"/>
      <c r="EH88" s="355"/>
      <c r="EI88" s="755"/>
    </row>
    <row r="89" spans="1:140" ht="15.75" thickBot="1" x14ac:dyDescent="0.3">
      <c r="A89" s="86" t="s">
        <v>65</v>
      </c>
      <c r="B89" s="87" t="s">
        <v>66</v>
      </c>
      <c r="C89" s="88"/>
      <c r="D89" s="357" t="s">
        <v>38</v>
      </c>
      <c r="E89" s="358"/>
      <c r="F89" s="359" t="s">
        <v>38</v>
      </c>
      <c r="G89" s="360" t="s">
        <v>38</v>
      </c>
      <c r="H89" s="89" t="s">
        <v>38</v>
      </c>
      <c r="I89" s="90" t="s">
        <v>38</v>
      </c>
      <c r="J89" s="361">
        <v>510029</v>
      </c>
      <c r="K89" s="94"/>
      <c r="L89" s="91" t="s">
        <v>38</v>
      </c>
      <c r="M89" s="92" t="s">
        <v>38</v>
      </c>
      <c r="N89" s="789">
        <v>510029</v>
      </c>
      <c r="O89" s="93"/>
      <c r="P89" s="89" t="s">
        <v>38</v>
      </c>
      <c r="Q89" s="90" t="s">
        <v>38</v>
      </c>
      <c r="R89" s="790">
        <v>0</v>
      </c>
      <c r="S89" s="93"/>
      <c r="T89" s="89" t="s">
        <v>38</v>
      </c>
      <c r="U89" s="90" t="s">
        <v>38</v>
      </c>
      <c r="V89" s="791" t="s">
        <v>38</v>
      </c>
      <c r="W89" s="519"/>
      <c r="X89" s="357" t="s">
        <v>38</v>
      </c>
      <c r="Y89" s="358" t="s">
        <v>38</v>
      </c>
      <c r="Z89" s="359" t="s">
        <v>38</v>
      </c>
      <c r="AA89" s="360" t="s">
        <v>38</v>
      </c>
      <c r="AB89" s="89" t="s">
        <v>38</v>
      </c>
      <c r="AC89" s="90" t="s">
        <v>38</v>
      </c>
      <c r="AD89" s="361">
        <v>510029</v>
      </c>
      <c r="AE89" s="94"/>
      <c r="AF89" s="91" t="s">
        <v>38</v>
      </c>
      <c r="AG89" s="92" t="s">
        <v>38</v>
      </c>
      <c r="AH89" s="789">
        <v>510029</v>
      </c>
      <c r="AI89" s="93"/>
      <c r="AJ89" s="89" t="s">
        <v>38</v>
      </c>
      <c r="AK89" s="90" t="s">
        <v>38</v>
      </c>
      <c r="AL89" s="790">
        <v>0</v>
      </c>
      <c r="AM89" s="93"/>
      <c r="AN89" s="89" t="s">
        <v>38</v>
      </c>
      <c r="AO89" s="90" t="s">
        <v>38</v>
      </c>
      <c r="AP89" s="791" t="s">
        <v>38</v>
      </c>
      <c r="AQ89" s="519"/>
      <c r="AR89" s="357" t="s">
        <v>38</v>
      </c>
      <c r="AS89" s="358" t="s">
        <v>38</v>
      </c>
      <c r="AT89" s="359" t="s">
        <v>38</v>
      </c>
      <c r="AU89" s="360" t="s">
        <v>38</v>
      </c>
      <c r="AV89" s="89" t="s">
        <v>38</v>
      </c>
      <c r="AW89" s="90" t="s">
        <v>38</v>
      </c>
      <c r="AX89" s="361">
        <v>510029</v>
      </c>
      <c r="AY89" s="94"/>
      <c r="AZ89" s="91" t="s">
        <v>38</v>
      </c>
      <c r="BA89" s="92" t="s">
        <v>38</v>
      </c>
      <c r="BB89" s="789">
        <v>510029</v>
      </c>
      <c r="BC89" s="93"/>
      <c r="BD89" s="89" t="s">
        <v>38</v>
      </c>
      <c r="BE89" s="90" t="s">
        <v>38</v>
      </c>
      <c r="BF89" s="790">
        <v>0</v>
      </c>
      <c r="BG89" s="93"/>
      <c r="BH89" s="89" t="s">
        <v>38</v>
      </c>
      <c r="BI89" s="90" t="s">
        <v>38</v>
      </c>
      <c r="BJ89" s="791" t="s">
        <v>38</v>
      </c>
      <c r="BK89" s="519"/>
      <c r="BL89" s="357" t="s">
        <v>38</v>
      </c>
      <c r="BM89" s="358" t="s">
        <v>38</v>
      </c>
      <c r="BN89" s="359" t="s">
        <v>38</v>
      </c>
      <c r="BO89" s="360" t="s">
        <v>38</v>
      </c>
      <c r="BP89" s="89" t="s">
        <v>38</v>
      </c>
      <c r="BQ89" s="90" t="s">
        <v>38</v>
      </c>
      <c r="BR89" s="361">
        <v>510029</v>
      </c>
      <c r="BS89" s="94"/>
      <c r="BT89" s="91" t="s">
        <v>38</v>
      </c>
      <c r="BU89" s="92" t="s">
        <v>38</v>
      </c>
      <c r="BV89" s="789">
        <v>510029</v>
      </c>
      <c r="BW89" s="93"/>
      <c r="BX89" s="89" t="s">
        <v>38</v>
      </c>
      <c r="BY89" s="90" t="s">
        <v>38</v>
      </c>
      <c r="BZ89" s="790">
        <v>0</v>
      </c>
      <c r="CA89" s="93"/>
      <c r="CB89" s="89" t="s">
        <v>38</v>
      </c>
      <c r="CC89" s="90" t="s">
        <v>38</v>
      </c>
      <c r="CD89" s="791" t="s">
        <v>38</v>
      </c>
      <c r="CE89" s="519"/>
      <c r="CF89" s="357" t="s">
        <v>38</v>
      </c>
      <c r="CG89" s="359" t="s">
        <v>38</v>
      </c>
      <c r="CH89" s="359" t="s">
        <v>38</v>
      </c>
      <c r="CI89" s="360" t="s">
        <v>38</v>
      </c>
      <c r="CJ89" s="91" t="s">
        <v>38</v>
      </c>
      <c r="CK89" s="92" t="s">
        <v>38</v>
      </c>
      <c r="CL89" s="792">
        <f t="shared" si="11"/>
        <v>2040116</v>
      </c>
      <c r="CM89" s="95"/>
      <c r="CN89" s="91" t="s">
        <v>38</v>
      </c>
      <c r="CO89" s="92" t="s">
        <v>38</v>
      </c>
      <c r="CP89" s="361">
        <f t="shared" si="12"/>
        <v>2040116</v>
      </c>
      <c r="CQ89" s="93"/>
      <c r="CR89" s="91" t="s">
        <v>38</v>
      </c>
      <c r="CS89" s="92" t="s">
        <v>38</v>
      </c>
      <c r="CT89" s="361">
        <f t="shared" si="13"/>
        <v>0</v>
      </c>
      <c r="CU89" s="93"/>
      <c r="CV89" s="91" t="s">
        <v>38</v>
      </c>
      <c r="CW89" s="92" t="s">
        <v>38</v>
      </c>
      <c r="CX89" s="793" t="s">
        <v>38</v>
      </c>
      <c r="CY89" s="794"/>
      <c r="CZ89" s="357"/>
      <c r="DA89" s="795"/>
      <c r="DB89" s="359"/>
      <c r="DC89" s="360"/>
      <c r="DD89" s="796"/>
      <c r="DE89" s="796"/>
      <c r="DF89" s="89"/>
      <c r="DG89" s="90"/>
      <c r="DH89" s="797"/>
      <c r="DI89" s="798"/>
      <c r="DJ89" s="89"/>
      <c r="DK89" s="90"/>
      <c r="DL89" s="797"/>
      <c r="DM89" s="798"/>
      <c r="DN89" s="89"/>
      <c r="DO89" s="90"/>
      <c r="DP89" s="799"/>
      <c r="DQ89" s="800"/>
      <c r="DR89" s="357"/>
      <c r="DS89" s="801"/>
      <c r="DT89" s="802"/>
      <c r="DU89" s="803"/>
      <c r="DV89" s="796"/>
      <c r="DW89" s="804"/>
      <c r="DX89" s="91"/>
      <c r="DY89" s="92"/>
      <c r="DZ89" s="796"/>
      <c r="EA89" s="804"/>
      <c r="EB89" s="89"/>
      <c r="EC89" s="90"/>
      <c r="ED89" s="802"/>
      <c r="EE89" s="805"/>
      <c r="EF89" s="802"/>
      <c r="EG89" s="806"/>
      <c r="EH89" s="799"/>
      <c r="EI89" s="807"/>
    </row>
    <row r="90" spans="1:140" ht="26.25" thickBot="1" x14ac:dyDescent="0.3">
      <c r="A90" s="96"/>
      <c r="B90" s="97" t="s">
        <v>67</v>
      </c>
      <c r="C90" s="391"/>
      <c r="D90" s="362">
        <v>10996.900000000001</v>
      </c>
      <c r="E90" s="103"/>
      <c r="F90" s="217">
        <v>1.0000572643471</v>
      </c>
      <c r="G90" s="98"/>
      <c r="H90" s="99">
        <v>2965759.84820945</v>
      </c>
      <c r="I90" s="100"/>
      <c r="J90" s="99">
        <v>1939574.8955981734</v>
      </c>
      <c r="K90" s="98"/>
      <c r="L90" s="98">
        <v>1026184.9526112766</v>
      </c>
      <c r="M90" s="101"/>
      <c r="N90" s="99">
        <v>1921443.8825981733</v>
      </c>
      <c r="O90" s="98"/>
      <c r="P90" s="809">
        <v>1024423.6204160325</v>
      </c>
      <c r="Q90" s="808"/>
      <c r="R90" s="809">
        <v>18131.012999999999</v>
      </c>
      <c r="S90" s="810"/>
      <c r="T90" s="809">
        <v>1761.3321952442043</v>
      </c>
      <c r="U90" s="100"/>
      <c r="V90" s="99">
        <v>176.3746961050999</v>
      </c>
      <c r="W90" s="102"/>
      <c r="X90" s="362">
        <v>11001.899999999998</v>
      </c>
      <c r="Y90" s="103"/>
      <c r="Z90" s="217">
        <v>0.99999999999999989</v>
      </c>
      <c r="AA90" s="98"/>
      <c r="AB90" s="99">
        <v>3172253.7062740764</v>
      </c>
      <c r="AC90" s="100"/>
      <c r="AD90" s="99">
        <v>1901808.2571291032</v>
      </c>
      <c r="AE90" s="98"/>
      <c r="AF90" s="98">
        <v>1270445.4491449732</v>
      </c>
      <c r="AG90" s="101"/>
      <c r="AH90" s="99">
        <v>1883677.2571291032</v>
      </c>
      <c r="AI90" s="98"/>
      <c r="AJ90" s="809">
        <v>1252940.0581458306</v>
      </c>
      <c r="AK90" s="808"/>
      <c r="AL90" s="809">
        <v>18131</v>
      </c>
      <c r="AM90" s="810"/>
      <c r="AN90" s="809">
        <v>17505.390999142466</v>
      </c>
      <c r="AO90" s="100"/>
      <c r="AP90" s="99">
        <v>172.86180179142727</v>
      </c>
      <c r="AQ90" s="102"/>
      <c r="AR90" s="362">
        <v>11106.900000000001</v>
      </c>
      <c r="AS90" s="103"/>
      <c r="AT90" s="217">
        <v>1</v>
      </c>
      <c r="AU90" s="98"/>
      <c r="AV90" s="99">
        <v>3289937.4117860943</v>
      </c>
      <c r="AW90" s="100"/>
      <c r="AX90" s="99">
        <v>1853613.5747065835</v>
      </c>
      <c r="AY90" s="98"/>
      <c r="AZ90" s="98">
        <v>1436323.8370795108</v>
      </c>
      <c r="BA90" s="101"/>
      <c r="BB90" s="99">
        <v>1827121.5747065835</v>
      </c>
      <c r="BC90" s="98"/>
      <c r="BD90" s="809">
        <v>1412830.9712645309</v>
      </c>
      <c r="BE90" s="808"/>
      <c r="BF90" s="809">
        <v>26492</v>
      </c>
      <c r="BG90" s="810"/>
      <c r="BH90" s="809">
        <v>23492.865814979821</v>
      </c>
      <c r="BI90" s="100"/>
      <c r="BJ90" s="99">
        <v>166.8884724546528</v>
      </c>
      <c r="BK90" s="102"/>
      <c r="BL90" s="362">
        <v>11096.900000000001</v>
      </c>
      <c r="BM90" s="103"/>
      <c r="BN90" s="217">
        <v>1.0046989588048891</v>
      </c>
      <c r="BO90" s="98"/>
      <c r="BP90" s="99">
        <v>3593127.4910868695</v>
      </c>
      <c r="BQ90" s="100"/>
      <c r="BR90" s="99">
        <v>1904478.3692756279</v>
      </c>
      <c r="BS90" s="98"/>
      <c r="BT90" s="98">
        <v>1688649.1218112418</v>
      </c>
      <c r="BU90" s="101"/>
      <c r="BV90" s="99">
        <v>1886347.3692756279</v>
      </c>
      <c r="BW90" s="98"/>
      <c r="BX90" s="809">
        <v>1665087.846647155</v>
      </c>
      <c r="BY90" s="808"/>
      <c r="BZ90" s="809">
        <v>18131</v>
      </c>
      <c r="CA90" s="810"/>
      <c r="CB90" s="809">
        <v>23561.275164086725</v>
      </c>
      <c r="CC90" s="100"/>
      <c r="CD90" s="99">
        <v>171.62255848711149</v>
      </c>
      <c r="CE90" s="102"/>
      <c r="CF90" s="811">
        <f>BL90+AR90+X90+D90</f>
        <v>44202.6</v>
      </c>
      <c r="CG90" s="98"/>
      <c r="CH90" s="217">
        <f>CH83+CH77+CH71+CH66+CH65</f>
        <v>1</v>
      </c>
      <c r="CI90" s="101"/>
      <c r="CJ90" s="98">
        <f>BP90+AV90+AB90+H90</f>
        <v>13021078.45735649</v>
      </c>
      <c r="CK90" s="101"/>
      <c r="CL90" s="99">
        <f t="shared" si="11"/>
        <v>7599475.096709488</v>
      </c>
      <c r="CM90" s="104"/>
      <c r="CN90" s="99">
        <f>BT90+AZ90+AF90+L90</f>
        <v>5421603.3606470032</v>
      </c>
      <c r="CO90" s="101"/>
      <c r="CP90" s="99">
        <f t="shared" si="12"/>
        <v>7518590.0837094877</v>
      </c>
      <c r="CQ90" s="98"/>
      <c r="CR90" s="99">
        <f>BX90+BD90+AJ90+P90</f>
        <v>5355282.4964735489</v>
      </c>
      <c r="CS90" s="99"/>
      <c r="CT90" s="99">
        <f t="shared" si="13"/>
        <v>80885.013000000006</v>
      </c>
      <c r="CU90" s="99"/>
      <c r="CV90" s="99">
        <f>CB90+BH90+AN90+T90</f>
        <v>66320.864173453214</v>
      </c>
      <c r="CW90" s="101"/>
      <c r="CX90" s="99">
        <f>CL90/CF90</f>
        <v>171.92371255784701</v>
      </c>
      <c r="CY90" s="102"/>
      <c r="CZ90" s="105"/>
      <c r="DA90" s="104"/>
      <c r="DB90" s="98"/>
      <c r="DC90" s="104"/>
      <c r="DD90" s="99"/>
      <c r="DE90" s="100"/>
      <c r="DF90" s="99"/>
      <c r="DG90" s="103"/>
      <c r="DH90" s="99"/>
      <c r="DI90" s="101"/>
      <c r="DJ90" s="99"/>
      <c r="DK90" s="103"/>
      <c r="DL90" s="99"/>
      <c r="DM90" s="101"/>
      <c r="DN90" s="99"/>
      <c r="DO90" s="100"/>
      <c r="DP90" s="200"/>
      <c r="DQ90" s="201"/>
      <c r="DR90" s="107"/>
      <c r="DS90" s="178"/>
      <c r="DT90" s="100"/>
      <c r="DU90" s="108"/>
      <c r="DV90" s="100"/>
      <c r="DW90" s="181"/>
      <c r="DX90" s="100"/>
      <c r="DY90" s="184"/>
      <c r="DZ90" s="100"/>
      <c r="EA90" s="181"/>
      <c r="EB90" s="99"/>
      <c r="EC90" s="195"/>
      <c r="ED90" s="100"/>
      <c r="EE90" s="178"/>
      <c r="EF90" s="100"/>
      <c r="EG90" s="108"/>
      <c r="EH90" s="106"/>
      <c r="EI90" s="189"/>
    </row>
    <row r="91" spans="1:140" x14ac:dyDescent="0.25">
      <c r="A91" s="109" t="s">
        <v>68</v>
      </c>
      <c r="B91" s="2248" t="s">
        <v>69</v>
      </c>
      <c r="C91" s="2249"/>
      <c r="D91" s="363" t="s">
        <v>38</v>
      </c>
      <c r="E91" s="364" t="s">
        <v>38</v>
      </c>
      <c r="F91" s="365" t="s">
        <v>38</v>
      </c>
      <c r="G91" s="366" t="s">
        <v>38</v>
      </c>
      <c r="H91" s="367">
        <v>328191.6534134972</v>
      </c>
      <c r="I91" s="368"/>
      <c r="J91" s="369">
        <v>261611.33333333334</v>
      </c>
      <c r="K91" s="812"/>
      <c r="L91" s="421">
        <v>66580.320080163845</v>
      </c>
      <c r="M91" s="813"/>
      <c r="N91" s="814">
        <v>94416</v>
      </c>
      <c r="O91" s="421"/>
      <c r="P91" s="822">
        <v>50338.176108694272</v>
      </c>
      <c r="Q91" s="813"/>
      <c r="R91" s="814">
        <v>167195.33333333334</v>
      </c>
      <c r="S91" s="421"/>
      <c r="T91" s="822">
        <v>16242.143971469575</v>
      </c>
      <c r="U91" s="368"/>
      <c r="V91" s="815" t="s">
        <v>38</v>
      </c>
      <c r="W91" s="816" t="s">
        <v>38</v>
      </c>
      <c r="X91" s="363" t="s">
        <v>38</v>
      </c>
      <c r="Y91" s="364" t="s">
        <v>38</v>
      </c>
      <c r="Z91" s="365" t="s">
        <v>38</v>
      </c>
      <c r="AA91" s="366" t="s">
        <v>38</v>
      </c>
      <c r="AB91" s="367">
        <v>158716.12921689384</v>
      </c>
      <c r="AC91" s="368"/>
      <c r="AD91" s="369">
        <v>94945.333333333328</v>
      </c>
      <c r="AE91" s="812"/>
      <c r="AF91" s="421">
        <v>63770.795883560502</v>
      </c>
      <c r="AG91" s="813"/>
      <c r="AH91" s="814">
        <v>92890</v>
      </c>
      <c r="AI91" s="421"/>
      <c r="AJ91" s="822">
        <v>61786.381696060045</v>
      </c>
      <c r="AK91" s="813"/>
      <c r="AL91" s="814">
        <v>2055.333333333333</v>
      </c>
      <c r="AM91" s="421"/>
      <c r="AN91" s="822">
        <v>1984.4141875004582</v>
      </c>
      <c r="AO91" s="368"/>
      <c r="AP91" s="815" t="s">
        <v>38</v>
      </c>
      <c r="AQ91" s="816" t="s">
        <v>38</v>
      </c>
      <c r="AR91" s="363" t="s">
        <v>38</v>
      </c>
      <c r="AS91" s="364" t="s">
        <v>38</v>
      </c>
      <c r="AT91" s="365" t="s">
        <v>38</v>
      </c>
      <c r="AU91" s="366" t="s">
        <v>38</v>
      </c>
      <c r="AV91" s="367">
        <v>18755.594138289252</v>
      </c>
      <c r="AW91" s="368"/>
      <c r="AX91" s="369">
        <v>10445.333333333332</v>
      </c>
      <c r="AY91" s="812"/>
      <c r="AZ91" s="421">
        <v>8310.2608049559203</v>
      </c>
      <c r="BA91" s="813"/>
      <c r="BB91" s="814">
        <v>8390</v>
      </c>
      <c r="BC91" s="421"/>
      <c r="BD91" s="822">
        <v>6487.6098082378476</v>
      </c>
      <c r="BE91" s="813"/>
      <c r="BF91" s="814">
        <v>2055.333333333333</v>
      </c>
      <c r="BG91" s="421"/>
      <c r="BH91" s="822">
        <v>1822.650996718073</v>
      </c>
      <c r="BI91" s="368"/>
      <c r="BJ91" s="815" t="s">
        <v>38</v>
      </c>
      <c r="BK91" s="816" t="s">
        <v>38</v>
      </c>
      <c r="BL91" s="363" t="s">
        <v>38</v>
      </c>
      <c r="BM91" s="364" t="s">
        <v>38</v>
      </c>
      <c r="BN91" s="365" t="s">
        <v>38</v>
      </c>
      <c r="BO91" s="366" t="s">
        <v>38</v>
      </c>
      <c r="BP91" s="367">
        <v>240986.86692070129</v>
      </c>
      <c r="BQ91" s="368"/>
      <c r="BR91" s="369">
        <v>127545.33333333333</v>
      </c>
      <c r="BS91" s="812"/>
      <c r="BT91" s="421">
        <v>113441.53358736796</v>
      </c>
      <c r="BU91" s="813"/>
      <c r="BV91" s="814">
        <v>125490</v>
      </c>
      <c r="BW91" s="421"/>
      <c r="BX91" s="822">
        <v>110770.6233110133</v>
      </c>
      <c r="BY91" s="813"/>
      <c r="BZ91" s="814">
        <v>2055.333333333333</v>
      </c>
      <c r="CA91" s="421"/>
      <c r="CB91" s="822">
        <v>2670.9102763546548</v>
      </c>
      <c r="CC91" s="368"/>
      <c r="CD91" s="815" t="s">
        <v>38</v>
      </c>
      <c r="CE91" s="816" t="s">
        <v>38</v>
      </c>
      <c r="CF91" s="363" t="s">
        <v>38</v>
      </c>
      <c r="CG91" s="817" t="s">
        <v>38</v>
      </c>
      <c r="CH91" s="365" t="s">
        <v>38</v>
      </c>
      <c r="CI91" s="366" t="s">
        <v>38</v>
      </c>
      <c r="CJ91" s="421">
        <f>BP91+AV91+AB91+H91</f>
        <v>746650.24368938152</v>
      </c>
      <c r="CK91" s="368"/>
      <c r="CL91" s="369">
        <f t="shared" si="11"/>
        <v>494547.33333333337</v>
      </c>
      <c r="CM91" s="818"/>
      <c r="CN91" s="421">
        <f>BT91+AZ91+AF91+L91</f>
        <v>252102.9103560482</v>
      </c>
      <c r="CO91" s="368"/>
      <c r="CP91" s="819">
        <f t="shared" si="12"/>
        <v>321186</v>
      </c>
      <c r="CQ91" s="812"/>
      <c r="CR91" s="369">
        <f>BX91+BD91+AJ91+P91</f>
        <v>229382.79092400544</v>
      </c>
      <c r="CS91" s="369"/>
      <c r="CT91" s="369">
        <f t="shared" si="13"/>
        <v>173361.33333333334</v>
      </c>
      <c r="CU91" s="820"/>
      <c r="CV91" s="421">
        <f t="shared" si="13"/>
        <v>22720.11943204276</v>
      </c>
      <c r="CW91" s="368"/>
      <c r="CX91" s="815" t="s">
        <v>38</v>
      </c>
      <c r="CY91" s="816" t="s">
        <v>38</v>
      </c>
      <c r="CZ91" s="363"/>
      <c r="DA91" s="817"/>
      <c r="DB91" s="365"/>
      <c r="DC91" s="366"/>
      <c r="DD91" s="369"/>
      <c r="DE91" s="821"/>
      <c r="DF91" s="822"/>
      <c r="DG91" s="823"/>
      <c r="DH91" s="369"/>
      <c r="DI91" s="369"/>
      <c r="DJ91" s="822"/>
      <c r="DK91" s="823"/>
      <c r="DL91" s="369"/>
      <c r="DM91" s="369"/>
      <c r="DN91" s="822"/>
      <c r="DO91" s="368"/>
      <c r="DP91" s="815"/>
      <c r="DQ91" s="816"/>
      <c r="DR91" s="365"/>
      <c r="DS91" s="824"/>
      <c r="DT91" s="821"/>
      <c r="DU91" s="825"/>
      <c r="DV91" s="821"/>
      <c r="DW91" s="826"/>
      <c r="DX91" s="827"/>
      <c r="DY91" s="828"/>
      <c r="DZ91" s="821"/>
      <c r="EA91" s="826"/>
      <c r="EB91" s="822"/>
      <c r="EC91" s="829"/>
      <c r="ED91" s="821"/>
      <c r="EE91" s="825"/>
      <c r="EF91" s="821"/>
      <c r="EG91" s="830"/>
      <c r="EH91" s="815"/>
      <c r="EI91" s="831"/>
      <c r="EJ91" s="210"/>
    </row>
    <row r="92" spans="1:140" ht="48.6" customHeight="1" x14ac:dyDescent="0.25">
      <c r="A92" s="2244" t="s">
        <v>70</v>
      </c>
      <c r="B92" s="2254" t="s">
        <v>71</v>
      </c>
      <c r="C92" s="2255"/>
      <c r="D92" s="370" t="s">
        <v>38</v>
      </c>
      <c r="E92" s="371" t="s">
        <v>38</v>
      </c>
      <c r="F92" s="372" t="s">
        <v>38</v>
      </c>
      <c r="G92" s="372" t="s">
        <v>38</v>
      </c>
      <c r="H92" s="373" t="s">
        <v>38</v>
      </c>
      <c r="I92" s="374" t="s">
        <v>38</v>
      </c>
      <c r="J92" s="375">
        <v>157998.74727272731</v>
      </c>
      <c r="K92" s="832"/>
      <c r="L92" s="422" t="s">
        <v>38</v>
      </c>
      <c r="M92" s="374" t="s">
        <v>38</v>
      </c>
      <c r="N92" s="833">
        <v>156134.6563636364</v>
      </c>
      <c r="O92" s="834"/>
      <c r="P92" s="373" t="s">
        <v>38</v>
      </c>
      <c r="Q92" s="374" t="s">
        <v>38</v>
      </c>
      <c r="R92" s="833">
        <v>1864.090909090909</v>
      </c>
      <c r="S92" s="834"/>
      <c r="T92" s="373" t="s">
        <v>38</v>
      </c>
      <c r="U92" s="374" t="s">
        <v>38</v>
      </c>
      <c r="V92" s="835" t="s">
        <v>38</v>
      </c>
      <c r="W92" s="836" t="s">
        <v>38</v>
      </c>
      <c r="X92" s="370" t="s">
        <v>38</v>
      </c>
      <c r="Y92" s="371" t="s">
        <v>38</v>
      </c>
      <c r="Z92" s="372" t="s">
        <v>38</v>
      </c>
      <c r="AA92" s="372" t="s">
        <v>38</v>
      </c>
      <c r="AB92" s="373" t="s">
        <v>38</v>
      </c>
      <c r="AC92" s="374" t="s">
        <v>38</v>
      </c>
      <c r="AD92" s="375">
        <v>202269.46727272731</v>
      </c>
      <c r="AE92" s="832"/>
      <c r="AF92" s="422" t="s">
        <v>38</v>
      </c>
      <c r="AG92" s="374" t="s">
        <v>38</v>
      </c>
      <c r="AH92" s="833">
        <v>200405.3763636364</v>
      </c>
      <c r="AI92" s="834"/>
      <c r="AJ92" s="373" t="s">
        <v>38</v>
      </c>
      <c r="AK92" s="374" t="s">
        <v>38</v>
      </c>
      <c r="AL92" s="833">
        <v>1864.090909090909</v>
      </c>
      <c r="AM92" s="834"/>
      <c r="AN92" s="373" t="s">
        <v>38</v>
      </c>
      <c r="AO92" s="374" t="s">
        <v>38</v>
      </c>
      <c r="AP92" s="835" t="s">
        <v>38</v>
      </c>
      <c r="AQ92" s="836" t="s">
        <v>38</v>
      </c>
      <c r="AR92" s="370" t="s">
        <v>38</v>
      </c>
      <c r="AS92" s="371" t="s">
        <v>38</v>
      </c>
      <c r="AT92" s="372" t="s">
        <v>38</v>
      </c>
      <c r="AU92" s="372" t="s">
        <v>38</v>
      </c>
      <c r="AV92" s="373" t="s">
        <v>38</v>
      </c>
      <c r="AW92" s="374" t="s">
        <v>38</v>
      </c>
      <c r="AX92" s="375">
        <v>202269.46727272731</v>
      </c>
      <c r="AY92" s="832"/>
      <c r="AZ92" s="422" t="s">
        <v>38</v>
      </c>
      <c r="BA92" s="374" t="s">
        <v>38</v>
      </c>
      <c r="BB92" s="833">
        <v>200405.3763636364</v>
      </c>
      <c r="BC92" s="834"/>
      <c r="BD92" s="373" t="s">
        <v>38</v>
      </c>
      <c r="BE92" s="374" t="s">
        <v>38</v>
      </c>
      <c r="BF92" s="833">
        <v>1864.090909090909</v>
      </c>
      <c r="BG92" s="834"/>
      <c r="BH92" s="373" t="s">
        <v>38</v>
      </c>
      <c r="BI92" s="374" t="s">
        <v>38</v>
      </c>
      <c r="BJ92" s="835" t="s">
        <v>38</v>
      </c>
      <c r="BK92" s="836" t="s">
        <v>38</v>
      </c>
      <c r="BL92" s="370" t="s">
        <v>38</v>
      </c>
      <c r="BM92" s="371" t="s">
        <v>38</v>
      </c>
      <c r="BN92" s="372" t="s">
        <v>38</v>
      </c>
      <c r="BO92" s="372" t="s">
        <v>38</v>
      </c>
      <c r="BP92" s="373" t="s">
        <v>38</v>
      </c>
      <c r="BQ92" s="374" t="s">
        <v>38</v>
      </c>
      <c r="BR92" s="375">
        <v>202269.46727272731</v>
      </c>
      <c r="BS92" s="832"/>
      <c r="BT92" s="422" t="s">
        <v>38</v>
      </c>
      <c r="BU92" s="374" t="s">
        <v>38</v>
      </c>
      <c r="BV92" s="833">
        <v>200405.3763636364</v>
      </c>
      <c r="BW92" s="834"/>
      <c r="BX92" s="373" t="s">
        <v>38</v>
      </c>
      <c r="BY92" s="374" t="s">
        <v>38</v>
      </c>
      <c r="BZ92" s="833">
        <v>1864.090909090909</v>
      </c>
      <c r="CA92" s="834"/>
      <c r="CB92" s="373" t="s">
        <v>38</v>
      </c>
      <c r="CC92" s="374" t="s">
        <v>38</v>
      </c>
      <c r="CD92" s="835" t="s">
        <v>38</v>
      </c>
      <c r="CE92" s="836" t="s">
        <v>38</v>
      </c>
      <c r="CF92" s="837" t="s">
        <v>38</v>
      </c>
      <c r="CG92" s="372" t="s">
        <v>38</v>
      </c>
      <c r="CH92" s="372" t="s">
        <v>38</v>
      </c>
      <c r="CI92" s="838" t="s">
        <v>38</v>
      </c>
      <c r="CJ92" s="422" t="s">
        <v>38</v>
      </c>
      <c r="CK92" s="374" t="s">
        <v>38</v>
      </c>
      <c r="CL92" s="375">
        <f t="shared" si="11"/>
        <v>764807.14909090928</v>
      </c>
      <c r="CM92" s="839"/>
      <c r="CN92" s="422" t="s">
        <v>38</v>
      </c>
      <c r="CO92" s="374" t="s">
        <v>38</v>
      </c>
      <c r="CP92" s="375">
        <f t="shared" si="12"/>
        <v>757350.78545454552</v>
      </c>
      <c r="CQ92" s="832"/>
      <c r="CR92" s="422" t="s">
        <v>38</v>
      </c>
      <c r="CS92" s="374" t="s">
        <v>38</v>
      </c>
      <c r="CT92" s="375">
        <f t="shared" si="13"/>
        <v>7456.363636363636</v>
      </c>
      <c r="CU92" s="840"/>
      <c r="CV92" s="422" t="s">
        <v>38</v>
      </c>
      <c r="CW92" s="374" t="s">
        <v>38</v>
      </c>
      <c r="CX92" s="841" t="s">
        <v>38</v>
      </c>
      <c r="CY92" s="836" t="s">
        <v>38</v>
      </c>
      <c r="CZ92" s="837"/>
      <c r="DA92" s="842"/>
      <c r="DB92" s="372"/>
      <c r="DC92" s="838"/>
      <c r="DD92" s="840"/>
      <c r="DE92" s="840"/>
      <c r="DF92" s="373"/>
      <c r="DG92" s="374"/>
      <c r="DH92" s="833"/>
      <c r="DI92" s="834"/>
      <c r="DJ92" s="373"/>
      <c r="DK92" s="374"/>
      <c r="DL92" s="833"/>
      <c r="DM92" s="834"/>
      <c r="DN92" s="373"/>
      <c r="DO92" s="374"/>
      <c r="DP92" s="841"/>
      <c r="DQ92" s="836"/>
      <c r="DR92" s="372"/>
      <c r="DS92" s="843"/>
      <c r="DT92" s="844"/>
      <c r="DU92" s="838"/>
      <c r="DV92" s="840"/>
      <c r="DW92" s="845"/>
      <c r="DX92" s="422"/>
      <c r="DY92" s="846"/>
      <c r="DZ92" s="840"/>
      <c r="EA92" s="845"/>
      <c r="EB92" s="373"/>
      <c r="EC92" s="847"/>
      <c r="ED92" s="840"/>
      <c r="EE92" s="848"/>
      <c r="EF92" s="844"/>
      <c r="EG92" s="842"/>
      <c r="EH92" s="841"/>
      <c r="EI92" s="849"/>
    </row>
    <row r="93" spans="1:140" x14ac:dyDescent="0.25">
      <c r="A93" s="2242"/>
      <c r="B93" s="506" t="s">
        <v>72</v>
      </c>
      <c r="C93" s="227"/>
      <c r="D93" s="376" t="s">
        <v>38</v>
      </c>
      <c r="E93" s="377" t="s">
        <v>38</v>
      </c>
      <c r="F93" s="378" t="s">
        <v>38</v>
      </c>
      <c r="G93" s="378" t="s">
        <v>38</v>
      </c>
      <c r="H93" s="379" t="s">
        <v>38</v>
      </c>
      <c r="I93" s="230" t="s">
        <v>38</v>
      </c>
      <c r="J93" s="209" t="s">
        <v>38</v>
      </c>
      <c r="K93" s="209" t="s">
        <v>38</v>
      </c>
      <c r="L93" s="209" t="s">
        <v>38</v>
      </c>
      <c r="M93" s="230" t="s">
        <v>38</v>
      </c>
      <c r="N93" s="209" t="s">
        <v>38</v>
      </c>
      <c r="O93" s="209" t="s">
        <v>38</v>
      </c>
      <c r="P93" s="379" t="s">
        <v>38</v>
      </c>
      <c r="Q93" s="230" t="s">
        <v>38</v>
      </c>
      <c r="R93" s="209" t="s">
        <v>38</v>
      </c>
      <c r="S93" s="209" t="s">
        <v>38</v>
      </c>
      <c r="T93" s="379" t="s">
        <v>38</v>
      </c>
      <c r="U93" s="230" t="s">
        <v>38</v>
      </c>
      <c r="V93" s="209" t="s">
        <v>38</v>
      </c>
      <c r="W93" s="209" t="s">
        <v>38</v>
      </c>
      <c r="X93" s="376" t="s">
        <v>38</v>
      </c>
      <c r="Y93" s="377" t="s">
        <v>38</v>
      </c>
      <c r="Z93" s="378" t="s">
        <v>38</v>
      </c>
      <c r="AA93" s="378" t="s">
        <v>38</v>
      </c>
      <c r="AB93" s="379" t="s">
        <v>38</v>
      </c>
      <c r="AC93" s="230" t="s">
        <v>38</v>
      </c>
      <c r="AD93" s="209" t="s">
        <v>38</v>
      </c>
      <c r="AE93" s="209" t="s">
        <v>38</v>
      </c>
      <c r="AF93" s="209" t="s">
        <v>38</v>
      </c>
      <c r="AG93" s="230" t="s">
        <v>38</v>
      </c>
      <c r="AH93" s="209" t="s">
        <v>38</v>
      </c>
      <c r="AI93" s="209" t="s">
        <v>38</v>
      </c>
      <c r="AJ93" s="379" t="s">
        <v>38</v>
      </c>
      <c r="AK93" s="230" t="s">
        <v>38</v>
      </c>
      <c r="AL93" s="209" t="s">
        <v>38</v>
      </c>
      <c r="AM93" s="209" t="s">
        <v>38</v>
      </c>
      <c r="AN93" s="379" t="s">
        <v>38</v>
      </c>
      <c r="AO93" s="230" t="s">
        <v>38</v>
      </c>
      <c r="AP93" s="209" t="s">
        <v>38</v>
      </c>
      <c r="AQ93" s="209" t="s">
        <v>38</v>
      </c>
      <c r="AR93" s="376" t="s">
        <v>38</v>
      </c>
      <c r="AS93" s="377" t="s">
        <v>38</v>
      </c>
      <c r="AT93" s="378" t="s">
        <v>38</v>
      </c>
      <c r="AU93" s="378" t="s">
        <v>38</v>
      </c>
      <c r="AV93" s="379" t="s">
        <v>38</v>
      </c>
      <c r="AW93" s="230" t="s">
        <v>38</v>
      </c>
      <c r="AX93" s="209" t="s">
        <v>38</v>
      </c>
      <c r="AY93" s="209" t="s">
        <v>38</v>
      </c>
      <c r="AZ93" s="209" t="s">
        <v>38</v>
      </c>
      <c r="BA93" s="230" t="s">
        <v>38</v>
      </c>
      <c r="BB93" s="209" t="s">
        <v>38</v>
      </c>
      <c r="BC93" s="209" t="s">
        <v>38</v>
      </c>
      <c r="BD93" s="379" t="s">
        <v>38</v>
      </c>
      <c r="BE93" s="230" t="s">
        <v>38</v>
      </c>
      <c r="BF93" s="209" t="s">
        <v>38</v>
      </c>
      <c r="BG93" s="209" t="s">
        <v>38</v>
      </c>
      <c r="BH93" s="379" t="s">
        <v>38</v>
      </c>
      <c r="BI93" s="230" t="s">
        <v>38</v>
      </c>
      <c r="BJ93" s="209" t="s">
        <v>38</v>
      </c>
      <c r="BK93" s="209" t="s">
        <v>38</v>
      </c>
      <c r="BL93" s="376" t="s">
        <v>38</v>
      </c>
      <c r="BM93" s="377" t="s">
        <v>38</v>
      </c>
      <c r="BN93" s="378" t="s">
        <v>38</v>
      </c>
      <c r="BO93" s="378" t="s">
        <v>38</v>
      </c>
      <c r="BP93" s="379" t="s">
        <v>38</v>
      </c>
      <c r="BQ93" s="230" t="s">
        <v>38</v>
      </c>
      <c r="BR93" s="209" t="s">
        <v>38</v>
      </c>
      <c r="BS93" s="209" t="s">
        <v>38</v>
      </c>
      <c r="BT93" s="209" t="s">
        <v>38</v>
      </c>
      <c r="BU93" s="230" t="s">
        <v>38</v>
      </c>
      <c r="BV93" s="209" t="s">
        <v>38</v>
      </c>
      <c r="BW93" s="209" t="s">
        <v>38</v>
      </c>
      <c r="BX93" s="379" t="s">
        <v>38</v>
      </c>
      <c r="BY93" s="230" t="s">
        <v>38</v>
      </c>
      <c r="BZ93" s="209" t="s">
        <v>38</v>
      </c>
      <c r="CA93" s="209" t="s">
        <v>38</v>
      </c>
      <c r="CB93" s="379" t="s">
        <v>38</v>
      </c>
      <c r="CC93" s="230" t="s">
        <v>38</v>
      </c>
      <c r="CD93" s="209" t="s">
        <v>38</v>
      </c>
      <c r="CE93" s="209" t="s">
        <v>38</v>
      </c>
      <c r="CF93" s="850" t="s">
        <v>38</v>
      </c>
      <c r="CG93" s="378" t="s">
        <v>38</v>
      </c>
      <c r="CH93" s="378" t="s">
        <v>38</v>
      </c>
      <c r="CI93" s="851" t="s">
        <v>38</v>
      </c>
      <c r="CJ93" s="209" t="s">
        <v>38</v>
      </c>
      <c r="CK93" s="230" t="s">
        <v>38</v>
      </c>
      <c r="CL93" s="209" t="s">
        <v>38</v>
      </c>
      <c r="CM93" s="209" t="s">
        <v>38</v>
      </c>
      <c r="CN93" s="209" t="s">
        <v>38</v>
      </c>
      <c r="CO93" s="230" t="s">
        <v>38</v>
      </c>
      <c r="CP93" s="209" t="s">
        <v>38</v>
      </c>
      <c r="CQ93" s="209" t="s">
        <v>38</v>
      </c>
      <c r="CR93" s="209" t="s">
        <v>38</v>
      </c>
      <c r="CS93" s="230" t="s">
        <v>38</v>
      </c>
      <c r="CT93" s="209" t="s">
        <v>38</v>
      </c>
      <c r="CU93" s="209" t="s">
        <v>38</v>
      </c>
      <c r="CV93" s="209" t="s">
        <v>38</v>
      </c>
      <c r="CW93" s="230" t="s">
        <v>38</v>
      </c>
      <c r="CX93" s="209" t="s">
        <v>38</v>
      </c>
      <c r="CY93" s="852" t="s">
        <v>38</v>
      </c>
      <c r="CZ93" s="850"/>
      <c r="DA93" s="853"/>
      <c r="DB93" s="378"/>
      <c r="DC93" s="851"/>
      <c r="DD93" s="379"/>
      <c r="DE93" s="230"/>
      <c r="DF93" s="379"/>
      <c r="DG93" s="230"/>
      <c r="DH93" s="379"/>
      <c r="DI93" s="209"/>
      <c r="DJ93" s="379"/>
      <c r="DK93" s="230"/>
      <c r="DL93" s="379"/>
      <c r="DM93" s="209"/>
      <c r="DN93" s="379"/>
      <c r="DO93" s="230"/>
      <c r="DP93" s="854"/>
      <c r="DQ93" s="855"/>
      <c r="DR93" s="378"/>
      <c r="DS93" s="856"/>
      <c r="DT93" s="244"/>
      <c r="DU93" s="245"/>
      <c r="DV93" s="244"/>
      <c r="DW93" s="857"/>
      <c r="DX93" s="518"/>
      <c r="DY93" s="858"/>
      <c r="DZ93" s="244"/>
      <c r="EA93" s="859"/>
      <c r="EB93" s="406"/>
      <c r="EC93" s="860"/>
      <c r="ED93" s="244"/>
      <c r="EE93" s="859"/>
      <c r="EF93" s="244"/>
      <c r="EG93" s="557"/>
      <c r="EH93" s="854"/>
      <c r="EI93" s="861"/>
    </row>
    <row r="94" spans="1:140" x14ac:dyDescent="0.25">
      <c r="A94" s="2242"/>
      <c r="B94" s="506" t="s">
        <v>73</v>
      </c>
      <c r="C94" s="862"/>
      <c r="D94" s="376" t="s">
        <v>38</v>
      </c>
      <c r="E94" s="377" t="s">
        <v>38</v>
      </c>
      <c r="F94" s="378" t="s">
        <v>38</v>
      </c>
      <c r="G94" s="378" t="s">
        <v>38</v>
      </c>
      <c r="H94" s="380" t="s">
        <v>38</v>
      </c>
      <c r="I94" s="381" t="s">
        <v>38</v>
      </c>
      <c r="J94" s="209" t="s">
        <v>38</v>
      </c>
      <c r="K94" s="209" t="s">
        <v>38</v>
      </c>
      <c r="L94" s="209" t="s">
        <v>38</v>
      </c>
      <c r="M94" s="230" t="s">
        <v>38</v>
      </c>
      <c r="N94" s="209" t="s">
        <v>38</v>
      </c>
      <c r="O94" s="209" t="s">
        <v>38</v>
      </c>
      <c r="P94" s="380" t="s">
        <v>38</v>
      </c>
      <c r="Q94" s="381" t="s">
        <v>38</v>
      </c>
      <c r="R94" s="209" t="s">
        <v>38</v>
      </c>
      <c r="S94" s="209" t="s">
        <v>38</v>
      </c>
      <c r="T94" s="380" t="s">
        <v>38</v>
      </c>
      <c r="U94" s="381" t="s">
        <v>38</v>
      </c>
      <c r="V94" s="209" t="s">
        <v>38</v>
      </c>
      <c r="W94" s="209" t="s">
        <v>38</v>
      </c>
      <c r="X94" s="376" t="s">
        <v>38</v>
      </c>
      <c r="Y94" s="377" t="s">
        <v>38</v>
      </c>
      <c r="Z94" s="378" t="s">
        <v>38</v>
      </c>
      <c r="AA94" s="378" t="s">
        <v>38</v>
      </c>
      <c r="AB94" s="380" t="s">
        <v>38</v>
      </c>
      <c r="AC94" s="381" t="s">
        <v>38</v>
      </c>
      <c r="AD94" s="209" t="s">
        <v>38</v>
      </c>
      <c r="AE94" s="209" t="s">
        <v>38</v>
      </c>
      <c r="AF94" s="209" t="s">
        <v>38</v>
      </c>
      <c r="AG94" s="230" t="s">
        <v>38</v>
      </c>
      <c r="AH94" s="209" t="s">
        <v>38</v>
      </c>
      <c r="AI94" s="209" t="s">
        <v>38</v>
      </c>
      <c r="AJ94" s="380" t="s">
        <v>38</v>
      </c>
      <c r="AK94" s="381" t="s">
        <v>38</v>
      </c>
      <c r="AL94" s="209" t="s">
        <v>38</v>
      </c>
      <c r="AM94" s="209" t="s">
        <v>38</v>
      </c>
      <c r="AN94" s="380" t="s">
        <v>38</v>
      </c>
      <c r="AO94" s="381" t="s">
        <v>38</v>
      </c>
      <c r="AP94" s="209" t="s">
        <v>38</v>
      </c>
      <c r="AQ94" s="209" t="s">
        <v>38</v>
      </c>
      <c r="AR94" s="376" t="s">
        <v>38</v>
      </c>
      <c r="AS94" s="377" t="s">
        <v>38</v>
      </c>
      <c r="AT94" s="378" t="s">
        <v>38</v>
      </c>
      <c r="AU94" s="378" t="s">
        <v>38</v>
      </c>
      <c r="AV94" s="380" t="s">
        <v>38</v>
      </c>
      <c r="AW94" s="381" t="s">
        <v>38</v>
      </c>
      <c r="AX94" s="209" t="s">
        <v>38</v>
      </c>
      <c r="AY94" s="209" t="s">
        <v>38</v>
      </c>
      <c r="AZ94" s="209" t="s">
        <v>38</v>
      </c>
      <c r="BA94" s="230" t="s">
        <v>38</v>
      </c>
      <c r="BB94" s="209" t="s">
        <v>38</v>
      </c>
      <c r="BC94" s="209" t="s">
        <v>38</v>
      </c>
      <c r="BD94" s="380" t="s">
        <v>38</v>
      </c>
      <c r="BE94" s="381" t="s">
        <v>38</v>
      </c>
      <c r="BF94" s="209" t="s">
        <v>38</v>
      </c>
      <c r="BG94" s="209" t="s">
        <v>38</v>
      </c>
      <c r="BH94" s="380" t="s">
        <v>38</v>
      </c>
      <c r="BI94" s="381" t="s">
        <v>38</v>
      </c>
      <c r="BJ94" s="209" t="s">
        <v>38</v>
      </c>
      <c r="BK94" s="209" t="s">
        <v>38</v>
      </c>
      <c r="BL94" s="376" t="s">
        <v>38</v>
      </c>
      <c r="BM94" s="377" t="s">
        <v>38</v>
      </c>
      <c r="BN94" s="378" t="s">
        <v>38</v>
      </c>
      <c r="BO94" s="378" t="s">
        <v>38</v>
      </c>
      <c r="BP94" s="380" t="s">
        <v>38</v>
      </c>
      <c r="BQ94" s="381" t="s">
        <v>38</v>
      </c>
      <c r="BR94" s="209" t="s">
        <v>38</v>
      </c>
      <c r="BS94" s="209" t="s">
        <v>38</v>
      </c>
      <c r="BT94" s="209" t="s">
        <v>38</v>
      </c>
      <c r="BU94" s="230" t="s">
        <v>38</v>
      </c>
      <c r="BV94" s="209" t="s">
        <v>38</v>
      </c>
      <c r="BW94" s="209" t="s">
        <v>38</v>
      </c>
      <c r="BX94" s="380" t="s">
        <v>38</v>
      </c>
      <c r="BY94" s="381" t="s">
        <v>38</v>
      </c>
      <c r="BZ94" s="209" t="s">
        <v>38</v>
      </c>
      <c r="CA94" s="209" t="s">
        <v>38</v>
      </c>
      <c r="CB94" s="380" t="s">
        <v>38</v>
      </c>
      <c r="CC94" s="381" t="s">
        <v>38</v>
      </c>
      <c r="CD94" s="209" t="s">
        <v>38</v>
      </c>
      <c r="CE94" s="209" t="s">
        <v>38</v>
      </c>
      <c r="CF94" s="863" t="s">
        <v>38</v>
      </c>
      <c r="CG94" s="864" t="s">
        <v>38</v>
      </c>
      <c r="CH94" s="864" t="s">
        <v>38</v>
      </c>
      <c r="CI94" s="865" t="s">
        <v>38</v>
      </c>
      <c r="CJ94" s="209" t="s">
        <v>38</v>
      </c>
      <c r="CK94" s="230" t="s">
        <v>38</v>
      </c>
      <c r="CL94" s="209" t="s">
        <v>38</v>
      </c>
      <c r="CM94" s="209" t="s">
        <v>38</v>
      </c>
      <c r="CN94" s="209" t="s">
        <v>38</v>
      </c>
      <c r="CO94" s="230" t="s">
        <v>38</v>
      </c>
      <c r="CP94" s="209" t="s">
        <v>38</v>
      </c>
      <c r="CQ94" s="209" t="s">
        <v>38</v>
      </c>
      <c r="CR94" s="209" t="s">
        <v>38</v>
      </c>
      <c r="CS94" s="230" t="s">
        <v>38</v>
      </c>
      <c r="CT94" s="209" t="s">
        <v>38</v>
      </c>
      <c r="CU94" s="209" t="s">
        <v>38</v>
      </c>
      <c r="CV94" s="209" t="s">
        <v>38</v>
      </c>
      <c r="CW94" s="230" t="s">
        <v>38</v>
      </c>
      <c r="CX94" s="209" t="s">
        <v>38</v>
      </c>
      <c r="CY94" s="852" t="s">
        <v>38</v>
      </c>
      <c r="CZ94" s="863"/>
      <c r="DA94" s="866"/>
      <c r="DB94" s="864"/>
      <c r="DC94" s="865"/>
      <c r="DD94" s="379"/>
      <c r="DE94" s="230"/>
      <c r="DF94" s="380"/>
      <c r="DG94" s="381"/>
      <c r="DH94" s="380"/>
      <c r="DI94" s="867"/>
      <c r="DJ94" s="380"/>
      <c r="DK94" s="381"/>
      <c r="DL94" s="380"/>
      <c r="DM94" s="867"/>
      <c r="DN94" s="380"/>
      <c r="DO94" s="381"/>
      <c r="DP94" s="854"/>
      <c r="DQ94" s="855"/>
      <c r="DR94" s="864"/>
      <c r="DS94" s="868"/>
      <c r="DT94" s="379"/>
      <c r="DU94" s="245"/>
      <c r="DV94" s="406"/>
      <c r="DW94" s="869"/>
      <c r="DX94" s="869"/>
      <c r="DY94" s="869"/>
      <c r="DZ94" s="869"/>
      <c r="EA94" s="859"/>
      <c r="EB94" s="406"/>
      <c r="EC94" s="860"/>
      <c r="ED94" s="406"/>
      <c r="EE94" s="859"/>
      <c r="EF94" s="406"/>
      <c r="EG94" s="870"/>
      <c r="EH94" s="378"/>
      <c r="EI94" s="861"/>
    </row>
    <row r="95" spans="1:140" x14ac:dyDescent="0.25">
      <c r="A95" s="2242"/>
      <c r="B95" s="506" t="s">
        <v>74</v>
      </c>
      <c r="C95" s="862"/>
      <c r="D95" s="376" t="s">
        <v>38</v>
      </c>
      <c r="E95" s="377" t="s">
        <v>38</v>
      </c>
      <c r="F95" s="378" t="s">
        <v>38</v>
      </c>
      <c r="G95" s="378" t="s">
        <v>38</v>
      </c>
      <c r="H95" s="380" t="s">
        <v>38</v>
      </c>
      <c r="I95" s="381" t="s">
        <v>38</v>
      </c>
      <c r="J95" s="209" t="s">
        <v>38</v>
      </c>
      <c r="K95" s="209" t="s">
        <v>38</v>
      </c>
      <c r="L95" s="209" t="s">
        <v>38</v>
      </c>
      <c r="M95" s="230" t="s">
        <v>38</v>
      </c>
      <c r="N95" s="209" t="s">
        <v>38</v>
      </c>
      <c r="O95" s="209" t="s">
        <v>38</v>
      </c>
      <c r="P95" s="380" t="s">
        <v>38</v>
      </c>
      <c r="Q95" s="381" t="s">
        <v>38</v>
      </c>
      <c r="R95" s="209" t="s">
        <v>38</v>
      </c>
      <c r="S95" s="209" t="s">
        <v>38</v>
      </c>
      <c r="T95" s="380" t="s">
        <v>38</v>
      </c>
      <c r="U95" s="381" t="s">
        <v>38</v>
      </c>
      <c r="V95" s="209" t="s">
        <v>38</v>
      </c>
      <c r="W95" s="209" t="s">
        <v>38</v>
      </c>
      <c r="X95" s="376" t="s">
        <v>38</v>
      </c>
      <c r="Y95" s="377" t="s">
        <v>38</v>
      </c>
      <c r="Z95" s="378" t="s">
        <v>38</v>
      </c>
      <c r="AA95" s="378" t="s">
        <v>38</v>
      </c>
      <c r="AB95" s="380" t="s">
        <v>38</v>
      </c>
      <c r="AC95" s="381" t="s">
        <v>38</v>
      </c>
      <c r="AD95" s="209" t="s">
        <v>38</v>
      </c>
      <c r="AE95" s="209" t="s">
        <v>38</v>
      </c>
      <c r="AF95" s="209" t="s">
        <v>38</v>
      </c>
      <c r="AG95" s="230" t="s">
        <v>38</v>
      </c>
      <c r="AH95" s="209" t="s">
        <v>38</v>
      </c>
      <c r="AI95" s="209" t="s">
        <v>38</v>
      </c>
      <c r="AJ95" s="380" t="s">
        <v>38</v>
      </c>
      <c r="AK95" s="381" t="s">
        <v>38</v>
      </c>
      <c r="AL95" s="209" t="s">
        <v>38</v>
      </c>
      <c r="AM95" s="209" t="s">
        <v>38</v>
      </c>
      <c r="AN95" s="380" t="s">
        <v>38</v>
      </c>
      <c r="AO95" s="381" t="s">
        <v>38</v>
      </c>
      <c r="AP95" s="209" t="s">
        <v>38</v>
      </c>
      <c r="AQ95" s="209" t="s">
        <v>38</v>
      </c>
      <c r="AR95" s="376" t="s">
        <v>38</v>
      </c>
      <c r="AS95" s="377" t="s">
        <v>38</v>
      </c>
      <c r="AT95" s="378" t="s">
        <v>38</v>
      </c>
      <c r="AU95" s="378" t="s">
        <v>38</v>
      </c>
      <c r="AV95" s="380" t="s">
        <v>38</v>
      </c>
      <c r="AW95" s="381" t="s">
        <v>38</v>
      </c>
      <c r="AX95" s="209" t="s">
        <v>38</v>
      </c>
      <c r="AY95" s="209" t="s">
        <v>38</v>
      </c>
      <c r="AZ95" s="209" t="s">
        <v>38</v>
      </c>
      <c r="BA95" s="230" t="s">
        <v>38</v>
      </c>
      <c r="BB95" s="209" t="s">
        <v>38</v>
      </c>
      <c r="BC95" s="209" t="s">
        <v>38</v>
      </c>
      <c r="BD95" s="380" t="s">
        <v>38</v>
      </c>
      <c r="BE95" s="381" t="s">
        <v>38</v>
      </c>
      <c r="BF95" s="209" t="s">
        <v>38</v>
      </c>
      <c r="BG95" s="209" t="s">
        <v>38</v>
      </c>
      <c r="BH95" s="380" t="s">
        <v>38</v>
      </c>
      <c r="BI95" s="381" t="s">
        <v>38</v>
      </c>
      <c r="BJ95" s="209" t="s">
        <v>38</v>
      </c>
      <c r="BK95" s="209" t="s">
        <v>38</v>
      </c>
      <c r="BL95" s="376" t="s">
        <v>38</v>
      </c>
      <c r="BM95" s="377" t="s">
        <v>38</v>
      </c>
      <c r="BN95" s="378" t="s">
        <v>38</v>
      </c>
      <c r="BO95" s="378" t="s">
        <v>38</v>
      </c>
      <c r="BP95" s="380" t="s">
        <v>38</v>
      </c>
      <c r="BQ95" s="381" t="s">
        <v>38</v>
      </c>
      <c r="BR95" s="209" t="s">
        <v>38</v>
      </c>
      <c r="BS95" s="209" t="s">
        <v>38</v>
      </c>
      <c r="BT95" s="209" t="s">
        <v>38</v>
      </c>
      <c r="BU95" s="230" t="s">
        <v>38</v>
      </c>
      <c r="BV95" s="209" t="s">
        <v>38</v>
      </c>
      <c r="BW95" s="209" t="s">
        <v>38</v>
      </c>
      <c r="BX95" s="380" t="s">
        <v>38</v>
      </c>
      <c r="BY95" s="381" t="s">
        <v>38</v>
      </c>
      <c r="BZ95" s="209" t="s">
        <v>38</v>
      </c>
      <c r="CA95" s="209" t="s">
        <v>38</v>
      </c>
      <c r="CB95" s="380" t="s">
        <v>38</v>
      </c>
      <c r="CC95" s="381" t="s">
        <v>38</v>
      </c>
      <c r="CD95" s="209" t="s">
        <v>38</v>
      </c>
      <c r="CE95" s="209" t="s">
        <v>38</v>
      </c>
      <c r="CF95" s="863" t="s">
        <v>38</v>
      </c>
      <c r="CG95" s="864" t="s">
        <v>38</v>
      </c>
      <c r="CH95" s="864" t="s">
        <v>38</v>
      </c>
      <c r="CI95" s="865" t="s">
        <v>38</v>
      </c>
      <c r="CJ95" s="209" t="s">
        <v>38</v>
      </c>
      <c r="CK95" s="230" t="s">
        <v>38</v>
      </c>
      <c r="CL95" s="209" t="s">
        <v>38</v>
      </c>
      <c r="CM95" s="209" t="s">
        <v>38</v>
      </c>
      <c r="CN95" s="209" t="s">
        <v>38</v>
      </c>
      <c r="CO95" s="230" t="s">
        <v>38</v>
      </c>
      <c r="CP95" s="209" t="s">
        <v>38</v>
      </c>
      <c r="CQ95" s="209" t="s">
        <v>38</v>
      </c>
      <c r="CR95" s="209" t="s">
        <v>38</v>
      </c>
      <c r="CS95" s="230" t="s">
        <v>38</v>
      </c>
      <c r="CT95" s="209" t="s">
        <v>38</v>
      </c>
      <c r="CU95" s="209" t="s">
        <v>38</v>
      </c>
      <c r="CV95" s="209" t="s">
        <v>38</v>
      </c>
      <c r="CW95" s="230" t="s">
        <v>38</v>
      </c>
      <c r="CX95" s="209" t="s">
        <v>38</v>
      </c>
      <c r="CY95" s="852" t="s">
        <v>38</v>
      </c>
      <c r="CZ95" s="863"/>
      <c r="DA95" s="866"/>
      <c r="DB95" s="864"/>
      <c r="DC95" s="865"/>
      <c r="DD95" s="379"/>
      <c r="DE95" s="230"/>
      <c r="DF95" s="380"/>
      <c r="DG95" s="381"/>
      <c r="DH95" s="380"/>
      <c r="DI95" s="867"/>
      <c r="DJ95" s="380"/>
      <c r="DK95" s="381"/>
      <c r="DL95" s="380"/>
      <c r="DM95" s="867"/>
      <c r="DN95" s="380"/>
      <c r="DO95" s="381"/>
      <c r="DP95" s="854"/>
      <c r="DQ95" s="855"/>
      <c r="DR95" s="864"/>
      <c r="DS95" s="868"/>
      <c r="DT95" s="379"/>
      <c r="DU95" s="245"/>
      <c r="DV95" s="406"/>
      <c r="DW95" s="869"/>
      <c r="DX95" s="209"/>
      <c r="DY95" s="871"/>
      <c r="DZ95" s="209"/>
      <c r="EA95" s="859"/>
      <c r="EB95" s="406"/>
      <c r="EC95" s="860"/>
      <c r="ED95" s="406"/>
      <c r="EE95" s="859"/>
      <c r="EF95" s="406"/>
      <c r="EG95" s="870"/>
      <c r="EH95" s="378"/>
      <c r="EI95" s="861"/>
    </row>
    <row r="96" spans="1:140" x14ac:dyDescent="0.25">
      <c r="A96" s="2242"/>
      <c r="B96" s="872" t="s">
        <v>75</v>
      </c>
      <c r="C96" s="873"/>
      <c r="D96" s="382" t="s">
        <v>38</v>
      </c>
      <c r="E96" s="383" t="s">
        <v>38</v>
      </c>
      <c r="F96" s="384" t="s">
        <v>38</v>
      </c>
      <c r="G96" s="385" t="s">
        <v>38</v>
      </c>
      <c r="H96" s="386" t="s">
        <v>38</v>
      </c>
      <c r="I96" s="354" t="s">
        <v>38</v>
      </c>
      <c r="J96" s="387" t="s">
        <v>38</v>
      </c>
      <c r="K96" s="387" t="s">
        <v>38</v>
      </c>
      <c r="L96" s="387" t="s">
        <v>38</v>
      </c>
      <c r="M96" s="354" t="s">
        <v>38</v>
      </c>
      <c r="N96" s="387" t="s">
        <v>38</v>
      </c>
      <c r="O96" s="387" t="s">
        <v>38</v>
      </c>
      <c r="P96" s="386" t="s">
        <v>38</v>
      </c>
      <c r="Q96" s="354" t="s">
        <v>38</v>
      </c>
      <c r="R96" s="387" t="s">
        <v>38</v>
      </c>
      <c r="S96" s="387" t="s">
        <v>38</v>
      </c>
      <c r="T96" s="386" t="s">
        <v>38</v>
      </c>
      <c r="U96" s="354" t="s">
        <v>38</v>
      </c>
      <c r="V96" s="387" t="s">
        <v>38</v>
      </c>
      <c r="W96" s="387" t="s">
        <v>38</v>
      </c>
      <c r="X96" s="382" t="s">
        <v>38</v>
      </c>
      <c r="Y96" s="383" t="s">
        <v>38</v>
      </c>
      <c r="Z96" s="384" t="s">
        <v>38</v>
      </c>
      <c r="AA96" s="385" t="s">
        <v>38</v>
      </c>
      <c r="AB96" s="386" t="s">
        <v>38</v>
      </c>
      <c r="AC96" s="354" t="s">
        <v>38</v>
      </c>
      <c r="AD96" s="387" t="s">
        <v>38</v>
      </c>
      <c r="AE96" s="387" t="s">
        <v>38</v>
      </c>
      <c r="AF96" s="387" t="s">
        <v>38</v>
      </c>
      <c r="AG96" s="354" t="s">
        <v>38</v>
      </c>
      <c r="AH96" s="387" t="s">
        <v>38</v>
      </c>
      <c r="AI96" s="387" t="s">
        <v>38</v>
      </c>
      <c r="AJ96" s="386" t="s">
        <v>38</v>
      </c>
      <c r="AK96" s="354" t="s">
        <v>38</v>
      </c>
      <c r="AL96" s="387" t="s">
        <v>38</v>
      </c>
      <c r="AM96" s="387" t="s">
        <v>38</v>
      </c>
      <c r="AN96" s="386" t="s">
        <v>38</v>
      </c>
      <c r="AO96" s="354" t="s">
        <v>38</v>
      </c>
      <c r="AP96" s="387" t="s">
        <v>38</v>
      </c>
      <c r="AQ96" s="387" t="s">
        <v>38</v>
      </c>
      <c r="AR96" s="382" t="s">
        <v>38</v>
      </c>
      <c r="AS96" s="383" t="s">
        <v>38</v>
      </c>
      <c r="AT96" s="384" t="s">
        <v>38</v>
      </c>
      <c r="AU96" s="385" t="s">
        <v>38</v>
      </c>
      <c r="AV96" s="386" t="s">
        <v>38</v>
      </c>
      <c r="AW96" s="354" t="s">
        <v>38</v>
      </c>
      <c r="AX96" s="387" t="s">
        <v>38</v>
      </c>
      <c r="AY96" s="387" t="s">
        <v>38</v>
      </c>
      <c r="AZ96" s="387" t="s">
        <v>38</v>
      </c>
      <c r="BA96" s="354" t="s">
        <v>38</v>
      </c>
      <c r="BB96" s="387" t="s">
        <v>38</v>
      </c>
      <c r="BC96" s="387" t="s">
        <v>38</v>
      </c>
      <c r="BD96" s="386" t="s">
        <v>38</v>
      </c>
      <c r="BE96" s="354" t="s">
        <v>38</v>
      </c>
      <c r="BF96" s="387" t="s">
        <v>38</v>
      </c>
      <c r="BG96" s="387" t="s">
        <v>38</v>
      </c>
      <c r="BH96" s="386" t="s">
        <v>38</v>
      </c>
      <c r="BI96" s="354" t="s">
        <v>38</v>
      </c>
      <c r="BJ96" s="387" t="s">
        <v>38</v>
      </c>
      <c r="BK96" s="387" t="s">
        <v>38</v>
      </c>
      <c r="BL96" s="382" t="s">
        <v>38</v>
      </c>
      <c r="BM96" s="383" t="s">
        <v>38</v>
      </c>
      <c r="BN96" s="384" t="s">
        <v>38</v>
      </c>
      <c r="BO96" s="385" t="s">
        <v>38</v>
      </c>
      <c r="BP96" s="386" t="s">
        <v>38</v>
      </c>
      <c r="BQ96" s="354" t="s">
        <v>38</v>
      </c>
      <c r="BR96" s="387" t="s">
        <v>38</v>
      </c>
      <c r="BS96" s="387" t="s">
        <v>38</v>
      </c>
      <c r="BT96" s="387" t="s">
        <v>38</v>
      </c>
      <c r="BU96" s="354" t="s">
        <v>38</v>
      </c>
      <c r="BV96" s="387" t="s">
        <v>38</v>
      </c>
      <c r="BW96" s="387" t="s">
        <v>38</v>
      </c>
      <c r="BX96" s="386" t="s">
        <v>38</v>
      </c>
      <c r="BY96" s="354" t="s">
        <v>38</v>
      </c>
      <c r="BZ96" s="387" t="s">
        <v>38</v>
      </c>
      <c r="CA96" s="387" t="s">
        <v>38</v>
      </c>
      <c r="CB96" s="386" t="s">
        <v>38</v>
      </c>
      <c r="CC96" s="354" t="s">
        <v>38</v>
      </c>
      <c r="CD96" s="387" t="s">
        <v>38</v>
      </c>
      <c r="CE96" s="387" t="s">
        <v>38</v>
      </c>
      <c r="CF96" s="382" t="s">
        <v>38</v>
      </c>
      <c r="CG96" s="384" t="s">
        <v>38</v>
      </c>
      <c r="CH96" s="384" t="s">
        <v>38</v>
      </c>
      <c r="CI96" s="385" t="s">
        <v>38</v>
      </c>
      <c r="CJ96" s="387" t="s">
        <v>38</v>
      </c>
      <c r="CK96" s="354" t="s">
        <v>38</v>
      </c>
      <c r="CL96" s="387" t="s">
        <v>38</v>
      </c>
      <c r="CM96" s="387" t="s">
        <v>38</v>
      </c>
      <c r="CN96" s="387" t="s">
        <v>38</v>
      </c>
      <c r="CO96" s="354" t="s">
        <v>38</v>
      </c>
      <c r="CP96" s="387" t="s">
        <v>38</v>
      </c>
      <c r="CQ96" s="387" t="s">
        <v>38</v>
      </c>
      <c r="CR96" s="387" t="s">
        <v>38</v>
      </c>
      <c r="CS96" s="354" t="s">
        <v>38</v>
      </c>
      <c r="CT96" s="387" t="s">
        <v>38</v>
      </c>
      <c r="CU96" s="387" t="s">
        <v>38</v>
      </c>
      <c r="CV96" s="387" t="s">
        <v>38</v>
      </c>
      <c r="CW96" s="354" t="s">
        <v>38</v>
      </c>
      <c r="CX96" s="387" t="s">
        <v>38</v>
      </c>
      <c r="CY96" s="874" t="s">
        <v>38</v>
      </c>
      <c r="CZ96" s="382"/>
      <c r="DA96" s="788"/>
      <c r="DB96" s="384"/>
      <c r="DC96" s="385"/>
      <c r="DD96" s="386"/>
      <c r="DE96" s="354"/>
      <c r="DF96" s="386"/>
      <c r="DG96" s="354"/>
      <c r="DH96" s="386"/>
      <c r="DI96" s="387"/>
      <c r="DJ96" s="386"/>
      <c r="DK96" s="354"/>
      <c r="DL96" s="386"/>
      <c r="DM96" s="387"/>
      <c r="DN96" s="386"/>
      <c r="DO96" s="354"/>
      <c r="DP96" s="875"/>
      <c r="DQ96" s="876"/>
      <c r="DR96" s="384"/>
      <c r="DS96" s="877"/>
      <c r="DT96" s="386"/>
      <c r="DU96" s="385"/>
      <c r="DV96" s="753"/>
      <c r="DW96" s="787"/>
      <c r="DX96" s="387"/>
      <c r="DY96" s="878"/>
      <c r="DZ96" s="753"/>
      <c r="EA96" s="754"/>
      <c r="EB96" s="753"/>
      <c r="EC96" s="878"/>
      <c r="ED96" s="753"/>
      <c r="EE96" s="754"/>
      <c r="EF96" s="753"/>
      <c r="EG96" s="385"/>
      <c r="EH96" s="875"/>
      <c r="EI96" s="879"/>
    </row>
    <row r="97" spans="1:139" ht="26.25" thickBot="1" x14ac:dyDescent="0.3">
      <c r="A97" s="110"/>
      <c r="B97" s="111" t="s">
        <v>76</v>
      </c>
      <c r="C97" s="880"/>
      <c r="D97" s="388" t="s">
        <v>38</v>
      </c>
      <c r="E97" s="112" t="s">
        <v>38</v>
      </c>
      <c r="F97" s="112" t="s">
        <v>38</v>
      </c>
      <c r="G97" s="113" t="s">
        <v>38</v>
      </c>
      <c r="H97" s="114">
        <v>241423.49837705301</v>
      </c>
      <c r="I97" s="115"/>
      <c r="J97" s="116">
        <v>157998.74727272731</v>
      </c>
      <c r="K97" s="123"/>
      <c r="L97" s="118">
        <v>83424.751104325696</v>
      </c>
      <c r="M97" s="115"/>
      <c r="N97" s="881">
        <v>156134.6563636364</v>
      </c>
      <c r="O97" s="882"/>
      <c r="P97" s="120">
        <v>83243.664513463737</v>
      </c>
      <c r="Q97" s="883"/>
      <c r="R97" s="884">
        <v>1864.090909090909</v>
      </c>
      <c r="S97" s="120"/>
      <c r="T97" s="120">
        <v>181.08659086195874</v>
      </c>
      <c r="U97" s="124"/>
      <c r="V97" s="121" t="s">
        <v>38</v>
      </c>
      <c r="W97" s="122" t="s">
        <v>38</v>
      </c>
      <c r="X97" s="388" t="s">
        <v>38</v>
      </c>
      <c r="Y97" s="112" t="s">
        <v>38</v>
      </c>
      <c r="Z97" s="112" t="s">
        <v>38</v>
      </c>
      <c r="AA97" s="113" t="s">
        <v>38</v>
      </c>
      <c r="AB97" s="114">
        <v>337370.16450903006</v>
      </c>
      <c r="AC97" s="115"/>
      <c r="AD97" s="116">
        <v>202269.46727272731</v>
      </c>
      <c r="AE97" s="123"/>
      <c r="AF97" s="118">
        <v>135100.69723630272</v>
      </c>
      <c r="AG97" s="115"/>
      <c r="AH97" s="881">
        <v>200405.3763636364</v>
      </c>
      <c r="AI97" s="882"/>
      <c r="AJ97" s="120">
        <v>133300.92666536989</v>
      </c>
      <c r="AK97" s="883"/>
      <c r="AL97" s="884">
        <v>1864.090909090909</v>
      </c>
      <c r="AM97" s="120"/>
      <c r="AN97" s="120">
        <v>1799.7705709328384</v>
      </c>
      <c r="AO97" s="124"/>
      <c r="AP97" s="121" t="s">
        <v>38</v>
      </c>
      <c r="AQ97" s="122" t="s">
        <v>38</v>
      </c>
      <c r="AR97" s="388" t="s">
        <v>38</v>
      </c>
      <c r="AS97" s="112" t="s">
        <v>38</v>
      </c>
      <c r="AT97" s="112" t="s">
        <v>38</v>
      </c>
      <c r="AU97" s="113" t="s">
        <v>38</v>
      </c>
      <c r="AV97" s="114">
        <v>358886.99407561647</v>
      </c>
      <c r="AW97" s="115"/>
      <c r="AX97" s="116">
        <v>202269.46727272731</v>
      </c>
      <c r="AY97" s="123"/>
      <c r="AZ97" s="118">
        <v>156617.52680288916</v>
      </c>
      <c r="BA97" s="115"/>
      <c r="BB97" s="881">
        <v>200405.3763636364</v>
      </c>
      <c r="BC97" s="882"/>
      <c r="BD97" s="120">
        <v>154964.4678570113</v>
      </c>
      <c r="BE97" s="883"/>
      <c r="BF97" s="884">
        <v>1864.090909090909</v>
      </c>
      <c r="BG97" s="120"/>
      <c r="BH97" s="120">
        <v>1653.0589458778679</v>
      </c>
      <c r="BI97" s="124"/>
      <c r="BJ97" s="121" t="s">
        <v>38</v>
      </c>
      <c r="BK97" s="122" t="s">
        <v>38</v>
      </c>
      <c r="BL97" s="388" t="s">
        <v>38</v>
      </c>
      <c r="BM97" s="112" t="s">
        <v>38</v>
      </c>
      <c r="BN97" s="112" t="s">
        <v>38</v>
      </c>
      <c r="BO97" s="113" t="s">
        <v>38</v>
      </c>
      <c r="BP97" s="114">
        <v>381590.64199242939</v>
      </c>
      <c r="BQ97" s="115"/>
      <c r="BR97" s="116">
        <v>202269.46727272731</v>
      </c>
      <c r="BS97" s="123"/>
      <c r="BT97" s="118">
        <v>179321.17471970204</v>
      </c>
      <c r="BU97" s="115"/>
      <c r="BV97" s="881">
        <v>200405.3763636364</v>
      </c>
      <c r="BW97" s="882"/>
      <c r="BX97" s="120">
        <v>176898.78440256766</v>
      </c>
      <c r="BY97" s="883"/>
      <c r="BZ97" s="884">
        <v>1864.090909090909</v>
      </c>
      <c r="CA97" s="120"/>
      <c r="CB97" s="120">
        <v>2422.3903171343818</v>
      </c>
      <c r="CC97" s="124"/>
      <c r="CD97" s="121" t="s">
        <v>38</v>
      </c>
      <c r="CE97" s="122" t="s">
        <v>38</v>
      </c>
      <c r="CF97" s="885" t="s">
        <v>38</v>
      </c>
      <c r="CG97" s="125" t="s">
        <v>38</v>
      </c>
      <c r="CH97" s="125" t="s">
        <v>38</v>
      </c>
      <c r="CI97" s="126" t="s">
        <v>38</v>
      </c>
      <c r="CJ97" s="118">
        <f t="shared" ref="CJ97:CV98" si="16">BP97+AV97+AB97+H97</f>
        <v>1319271.298954129</v>
      </c>
      <c r="CK97" s="218">
        <f t="shared" si="16"/>
        <v>0</v>
      </c>
      <c r="CL97" s="114">
        <f t="shared" si="16"/>
        <v>764807.14909090928</v>
      </c>
      <c r="CM97" s="219">
        <f t="shared" si="16"/>
        <v>0</v>
      </c>
      <c r="CN97" s="118">
        <f t="shared" si="16"/>
        <v>554464.14986321959</v>
      </c>
      <c r="CO97" s="218">
        <f t="shared" si="16"/>
        <v>0</v>
      </c>
      <c r="CP97" s="114">
        <f t="shared" si="16"/>
        <v>757350.78545454552</v>
      </c>
      <c r="CQ97" s="118">
        <f t="shared" si="16"/>
        <v>0</v>
      </c>
      <c r="CR97" s="114">
        <f t="shared" si="16"/>
        <v>548407.84343841253</v>
      </c>
      <c r="CS97" s="114">
        <f t="shared" si="16"/>
        <v>0</v>
      </c>
      <c r="CT97" s="114">
        <f t="shared" si="16"/>
        <v>7456.363636363636</v>
      </c>
      <c r="CU97" s="114">
        <f t="shared" si="16"/>
        <v>0</v>
      </c>
      <c r="CV97" s="114">
        <f t="shared" si="16"/>
        <v>6056.3064248070468</v>
      </c>
      <c r="CW97" s="218"/>
      <c r="CX97" s="121" t="s">
        <v>38</v>
      </c>
      <c r="CY97" s="127" t="s">
        <v>38</v>
      </c>
      <c r="CZ97" s="198"/>
      <c r="DA97" s="199"/>
      <c r="DB97" s="199"/>
      <c r="DC97" s="115"/>
      <c r="DD97" s="121"/>
      <c r="DE97" s="117"/>
      <c r="DF97" s="120"/>
      <c r="DG97" s="124"/>
      <c r="DH97" s="116"/>
      <c r="DI97" s="123"/>
      <c r="DJ97" s="120"/>
      <c r="DK97" s="124"/>
      <c r="DL97" s="116"/>
      <c r="DM97" s="123"/>
      <c r="DN97" s="120"/>
      <c r="DO97" s="124"/>
      <c r="DP97" s="121"/>
      <c r="DQ97" s="122"/>
      <c r="DR97" s="128"/>
      <c r="DS97" s="129"/>
      <c r="DT97" s="886"/>
      <c r="DU97" s="193"/>
      <c r="DV97" s="130"/>
      <c r="DW97" s="182"/>
      <c r="DX97" s="39"/>
      <c r="DY97" s="185"/>
      <c r="DZ97" s="130"/>
      <c r="EA97" s="194"/>
      <c r="EB97" s="119"/>
      <c r="EC97" s="187"/>
      <c r="ED97" s="130"/>
      <c r="EE97" s="193"/>
      <c r="EF97" s="130"/>
      <c r="EG97" s="131"/>
      <c r="EH97" s="132"/>
      <c r="EI97" s="190"/>
    </row>
    <row r="98" spans="1:139" ht="27" thickTop="1" thickBot="1" x14ac:dyDescent="0.3">
      <c r="A98" s="887"/>
      <c r="B98" s="133" t="s">
        <v>77</v>
      </c>
      <c r="C98" s="391"/>
      <c r="D98" s="389"/>
      <c r="E98" s="390"/>
      <c r="F98" s="391"/>
      <c r="G98" s="392"/>
      <c r="H98" s="134">
        <f>J98+L98</f>
        <v>3535375</v>
      </c>
      <c r="I98" s="135"/>
      <c r="J98" s="134">
        <f>N98+R98</f>
        <v>2359184.9762042337</v>
      </c>
      <c r="K98" s="137"/>
      <c r="L98" s="137">
        <f>P98+T98</f>
        <v>1176190.0237957661</v>
      </c>
      <c r="M98" s="135"/>
      <c r="N98" s="134">
        <f>N97+N91+N90</f>
        <v>2171994.5389618096</v>
      </c>
      <c r="O98" s="137"/>
      <c r="P98" s="134">
        <f>P97+P91+P90</f>
        <v>1158005.4610381904</v>
      </c>
      <c r="Q98" s="135"/>
      <c r="R98" s="134">
        <f>R97+R91+R90</f>
        <v>187190.43724242426</v>
      </c>
      <c r="S98" s="137"/>
      <c r="T98" s="134">
        <f>T97+T91+T90</f>
        <v>18184.562757575739</v>
      </c>
      <c r="U98" s="134">
        <f>U97+U91+U90</f>
        <v>0</v>
      </c>
      <c r="V98" s="139"/>
      <c r="W98" s="140"/>
      <c r="X98" s="389"/>
      <c r="Y98" s="390"/>
      <c r="Z98" s="391"/>
      <c r="AA98" s="392"/>
      <c r="AB98" s="134">
        <f>AD98+AF98</f>
        <v>3668340</v>
      </c>
      <c r="AC98" s="135"/>
      <c r="AD98" s="134">
        <f>AH98+AL98</f>
        <v>2199023.0577351637</v>
      </c>
      <c r="AE98" s="137"/>
      <c r="AF98" s="137">
        <f>AJ98+AN98</f>
        <v>1469316.9422648363</v>
      </c>
      <c r="AG98" s="135"/>
      <c r="AH98" s="134">
        <f>AH97+AH91+AH90</f>
        <v>2176972.6334927394</v>
      </c>
      <c r="AI98" s="137"/>
      <c r="AJ98" s="134">
        <f>AJ97+AJ91+AJ90</f>
        <v>1448027.3665072606</v>
      </c>
      <c r="AK98" s="135"/>
      <c r="AL98" s="134">
        <f>AL97+AL91+AL90</f>
        <v>22050.42424242424</v>
      </c>
      <c r="AM98" s="137"/>
      <c r="AN98" s="134">
        <f>AN97+AN91+AN90</f>
        <v>21289.575757575763</v>
      </c>
      <c r="AO98" s="134">
        <f>AO97+AO91+AO90</f>
        <v>0</v>
      </c>
      <c r="AP98" s="139"/>
      <c r="AQ98" s="140"/>
      <c r="AR98" s="389"/>
      <c r="AS98" s="390"/>
      <c r="AT98" s="391"/>
      <c r="AU98" s="392"/>
      <c r="AV98" s="134">
        <f>AX98+AZ98</f>
        <v>3667580</v>
      </c>
      <c r="AW98" s="135"/>
      <c r="AX98" s="134">
        <f>BB98+BF98</f>
        <v>2066328.3753126443</v>
      </c>
      <c r="AY98" s="137"/>
      <c r="AZ98" s="137">
        <f>BD98+BH98</f>
        <v>1601251.6246873557</v>
      </c>
      <c r="BA98" s="135"/>
      <c r="BB98" s="134">
        <f>BB97+BB91+BB90</f>
        <v>2035916.95107022</v>
      </c>
      <c r="BC98" s="137"/>
      <c r="BD98" s="134">
        <f>BD97+BD91+BD90</f>
        <v>1574283.04892978</v>
      </c>
      <c r="BE98" s="135"/>
      <c r="BF98" s="134">
        <f>BF97+BF91+BF90</f>
        <v>30411.42424242424</v>
      </c>
      <c r="BG98" s="137"/>
      <c r="BH98" s="134">
        <f>BH97+BH91+BH90</f>
        <v>26968.575757575763</v>
      </c>
      <c r="BI98" s="134">
        <f>BI97+BI91+BI90</f>
        <v>0</v>
      </c>
      <c r="BJ98" s="139"/>
      <c r="BK98" s="140"/>
      <c r="BL98" s="389"/>
      <c r="BM98" s="390"/>
      <c r="BN98" s="391"/>
      <c r="BO98" s="392"/>
      <c r="BP98" s="134">
        <f>BR98+BT98</f>
        <v>4215705</v>
      </c>
      <c r="BQ98" s="135"/>
      <c r="BR98" s="134">
        <f>BV98+BZ98</f>
        <v>2234293.1698816884</v>
      </c>
      <c r="BS98" s="137"/>
      <c r="BT98" s="137">
        <f>BX98+CB98</f>
        <v>1981411.8301183116</v>
      </c>
      <c r="BU98" s="135"/>
      <c r="BV98" s="134">
        <f>BV97+BV91+BV90</f>
        <v>2212242.7456392641</v>
      </c>
      <c r="BW98" s="137"/>
      <c r="BX98" s="134">
        <f>BX97+BX91+BX90</f>
        <v>1952757.2543607359</v>
      </c>
      <c r="BY98" s="135"/>
      <c r="BZ98" s="134">
        <f>BZ97+BZ91+BZ90</f>
        <v>22050.42424242424</v>
      </c>
      <c r="CA98" s="137"/>
      <c r="CB98" s="134">
        <f>CB97+CB91+CB90</f>
        <v>28654.57575757576</v>
      </c>
      <c r="CC98" s="134">
        <f>CC97+CC91+CC90</f>
        <v>0</v>
      </c>
      <c r="CD98" s="139"/>
      <c r="CE98" s="140"/>
      <c r="CF98" s="888"/>
      <c r="CG98" s="141"/>
      <c r="CH98" s="141"/>
      <c r="CI98" s="142"/>
      <c r="CJ98" s="220">
        <f t="shared" si="16"/>
        <v>15087000</v>
      </c>
      <c r="CK98" s="221">
        <f t="shared" si="16"/>
        <v>0</v>
      </c>
      <c r="CL98" s="222">
        <f t="shared" si="16"/>
        <v>8858829.5791337304</v>
      </c>
      <c r="CM98" s="223">
        <f t="shared" si="16"/>
        <v>0</v>
      </c>
      <c r="CN98" s="220">
        <f t="shared" si="16"/>
        <v>6228170.4208662696</v>
      </c>
      <c r="CO98" s="221">
        <f t="shared" si="16"/>
        <v>0</v>
      </c>
      <c r="CP98" s="222">
        <f t="shared" si="16"/>
        <v>8597126.8691640329</v>
      </c>
      <c r="CQ98" s="220">
        <f t="shared" si="16"/>
        <v>0</v>
      </c>
      <c r="CR98" s="222">
        <f t="shared" si="16"/>
        <v>6133073.1308359671</v>
      </c>
      <c r="CS98" s="222">
        <f t="shared" si="16"/>
        <v>0</v>
      </c>
      <c r="CT98" s="222">
        <f t="shared" si="16"/>
        <v>261702.709969697</v>
      </c>
      <c r="CU98" s="222">
        <f t="shared" si="16"/>
        <v>0</v>
      </c>
      <c r="CV98" s="222">
        <f t="shared" si="16"/>
        <v>95097.290030303018</v>
      </c>
      <c r="CW98" s="221"/>
      <c r="CX98" s="134"/>
      <c r="CY98" s="140"/>
      <c r="CZ98" s="2181"/>
      <c r="DA98" s="2182"/>
      <c r="DB98" s="2182"/>
      <c r="DC98" s="2183"/>
      <c r="DD98" s="134"/>
      <c r="DE98" s="136"/>
      <c r="DF98" s="137"/>
      <c r="DG98" s="135"/>
      <c r="DH98" s="134"/>
      <c r="DI98" s="137"/>
      <c r="DJ98" s="137"/>
      <c r="DK98" s="135"/>
      <c r="DL98" s="134"/>
      <c r="DM98" s="137"/>
      <c r="DN98" s="137"/>
      <c r="DO98" s="137"/>
      <c r="DP98" s="202"/>
      <c r="DQ98" s="138"/>
      <c r="DR98" s="143"/>
      <c r="DS98" s="144"/>
      <c r="DT98" s="134"/>
      <c r="DU98" s="188"/>
      <c r="DV98" s="136"/>
      <c r="DW98" s="183"/>
      <c r="DX98" s="146"/>
      <c r="DY98" s="186"/>
      <c r="DZ98" s="136"/>
      <c r="EA98" s="188"/>
      <c r="EB98" s="136"/>
      <c r="EC98" s="188"/>
      <c r="ED98" s="136"/>
      <c r="EE98" s="188"/>
      <c r="EF98" s="136"/>
      <c r="EG98" s="145"/>
      <c r="EH98" s="147"/>
      <c r="EI98" s="191"/>
    </row>
    <row r="99" spans="1:139" ht="15.75" thickBot="1" x14ac:dyDescent="0.3">
      <c r="A99" s="889"/>
      <c r="B99" s="148"/>
      <c r="C99" s="394"/>
      <c r="D99" s="393"/>
      <c r="E99" s="393"/>
      <c r="F99" s="394"/>
      <c r="G99" s="394"/>
      <c r="H99" s="149"/>
      <c r="I99" s="149"/>
      <c r="J99" s="395"/>
      <c r="K99" s="149"/>
      <c r="L99" s="149"/>
      <c r="M99" s="149"/>
      <c r="N99" s="149"/>
      <c r="O99" s="150"/>
      <c r="P99" s="149"/>
      <c r="Q99" s="149"/>
      <c r="R99" s="149"/>
      <c r="S99" s="149"/>
      <c r="T99" s="149"/>
      <c r="U99" s="149"/>
      <c r="V99" s="890"/>
      <c r="W99" s="890"/>
      <c r="X99" s="393"/>
      <c r="Y99" s="393"/>
      <c r="Z99" s="394"/>
      <c r="AA99" s="394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890"/>
      <c r="AQ99" s="891"/>
      <c r="AR99" s="393"/>
      <c r="AS99" s="393"/>
      <c r="AT99" s="394"/>
      <c r="AU99" s="394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890"/>
      <c r="BK99" s="890"/>
      <c r="BL99" s="393"/>
      <c r="BM99" s="393"/>
      <c r="BN99" s="394"/>
      <c r="BO99" s="394"/>
      <c r="BP99" s="149"/>
      <c r="BQ99" s="149"/>
      <c r="BR99" s="149"/>
      <c r="BS99" s="149"/>
      <c r="BT99" s="149"/>
      <c r="BU99" s="149"/>
      <c r="BV99" s="149"/>
      <c r="BW99" s="149"/>
      <c r="BX99" s="149"/>
      <c r="BY99" s="149"/>
      <c r="BZ99" s="149"/>
      <c r="CA99" s="149"/>
      <c r="CB99" s="149"/>
      <c r="CC99" s="149"/>
      <c r="CD99" s="890"/>
      <c r="CE99" s="890"/>
      <c r="CF99" s="892"/>
      <c r="CG99" s="149"/>
      <c r="CH99" s="149"/>
      <c r="CI99" s="149"/>
      <c r="CJ99" s="149"/>
      <c r="CK99" s="149"/>
      <c r="CL99" s="149"/>
      <c r="CM99" s="149"/>
      <c r="CN99" s="149"/>
      <c r="CO99" s="149"/>
      <c r="CP99" s="149"/>
      <c r="CQ99" s="394"/>
      <c r="CR99" s="149"/>
      <c r="CS99" s="149"/>
      <c r="CT99" s="149"/>
      <c r="CU99" s="394"/>
      <c r="CV99" s="149"/>
      <c r="CW99" s="149"/>
      <c r="CX99" s="890"/>
      <c r="CY99" s="890"/>
      <c r="CZ99" s="893"/>
      <c r="DA99" s="393"/>
      <c r="DB99" s="894"/>
      <c r="DC99" s="894"/>
      <c r="DD99" s="151"/>
      <c r="DE99" s="151"/>
      <c r="DF99" s="149"/>
      <c r="DG99" s="149"/>
      <c r="DH99" s="151"/>
      <c r="DI99" s="151"/>
      <c r="DJ99" s="149"/>
      <c r="DK99" s="149"/>
      <c r="DL99" s="151"/>
      <c r="DM99" s="151"/>
      <c r="DN99" s="149"/>
      <c r="DO99" s="149"/>
      <c r="DP99" s="890"/>
      <c r="DQ99" s="890"/>
      <c r="DR99" s="895"/>
      <c r="DS99" s="896"/>
      <c r="DT99" s="894"/>
      <c r="DU99" s="894"/>
      <c r="DV99" s="894"/>
      <c r="DW99" s="897"/>
      <c r="DX99" s="898"/>
      <c r="DY99" s="898"/>
      <c r="DZ99" s="894"/>
      <c r="EA99" s="894"/>
      <c r="EB99" s="149"/>
      <c r="EC99" s="149"/>
      <c r="ED99" s="894"/>
      <c r="EE99" s="897"/>
      <c r="EF99" s="394"/>
      <c r="EG99" s="394"/>
      <c r="EH99" s="893"/>
      <c r="EI99" s="893"/>
    </row>
    <row r="100" spans="1:139" ht="25.5" x14ac:dyDescent="0.25">
      <c r="A100" s="1725"/>
      <c r="B100" s="1726" t="s">
        <v>78</v>
      </c>
      <c r="C100" s="1727"/>
      <c r="D100" s="1728"/>
      <c r="E100" s="1729"/>
      <c r="F100" s="1730"/>
      <c r="G100" s="1731"/>
      <c r="H100" s="1732"/>
      <c r="I100" s="1733"/>
      <c r="J100" s="1734"/>
      <c r="K100" s="1733"/>
      <c r="L100" s="1734"/>
      <c r="M100" s="1733"/>
      <c r="N100" s="1732"/>
      <c r="O100" s="1733"/>
      <c r="P100" s="1734"/>
      <c r="Q100" s="1733"/>
      <c r="R100" s="1732"/>
      <c r="S100" s="1733"/>
      <c r="T100" s="1734"/>
      <c r="U100" s="1733"/>
      <c r="V100" s="1735"/>
      <c r="W100" s="1736"/>
      <c r="X100" s="1777"/>
      <c r="Y100" s="1778"/>
      <c r="Z100" s="1779"/>
      <c r="AA100" s="1780"/>
      <c r="AB100" s="1781"/>
      <c r="AC100" s="1733"/>
      <c r="AD100" s="1732"/>
      <c r="AE100" s="1733"/>
      <c r="AF100" s="1781"/>
      <c r="AG100" s="1733"/>
      <c r="AH100" s="1781"/>
      <c r="AI100" s="1733"/>
      <c r="AJ100" s="1781"/>
      <c r="AK100" s="1733"/>
      <c r="AL100" s="1781"/>
      <c r="AM100" s="1733"/>
      <c r="AN100" s="1781"/>
      <c r="AO100" s="1733"/>
      <c r="AP100" s="1782"/>
      <c r="AQ100" s="1783"/>
      <c r="AR100" s="1777"/>
      <c r="AS100" s="1778"/>
      <c r="AT100" s="1779"/>
      <c r="AU100" s="1780"/>
      <c r="AV100" s="1781"/>
      <c r="AW100" s="1733"/>
      <c r="AX100" s="1732"/>
      <c r="AY100" s="1733"/>
      <c r="AZ100" s="1781"/>
      <c r="BA100" s="1733"/>
      <c r="BB100" s="1781"/>
      <c r="BC100" s="1733"/>
      <c r="BD100" s="1781"/>
      <c r="BE100" s="1733"/>
      <c r="BF100" s="1781"/>
      <c r="BG100" s="1733"/>
      <c r="BH100" s="1781"/>
      <c r="BI100" s="1733"/>
      <c r="BJ100" s="1782"/>
      <c r="BK100" s="1783"/>
      <c r="BL100" s="1777"/>
      <c r="BM100" s="1778"/>
      <c r="BN100" s="1779"/>
      <c r="BO100" s="1780"/>
      <c r="BP100" s="1781"/>
      <c r="BQ100" s="1733"/>
      <c r="BR100" s="1732"/>
      <c r="BS100" s="1733"/>
      <c r="BT100" s="1781"/>
      <c r="BU100" s="1733"/>
      <c r="BV100" s="1781"/>
      <c r="BW100" s="1733"/>
      <c r="BX100" s="1781"/>
      <c r="BY100" s="1733"/>
      <c r="BZ100" s="1781"/>
      <c r="CA100" s="1733"/>
      <c r="CB100" s="1781"/>
      <c r="CC100" s="1733"/>
      <c r="CD100" s="1782"/>
      <c r="CE100" s="1783"/>
      <c r="CF100" s="1777"/>
      <c r="CG100" s="1778"/>
      <c r="CH100" s="1779"/>
      <c r="CI100" s="1780"/>
      <c r="CJ100" s="1781"/>
      <c r="CK100" s="1733"/>
      <c r="CL100" s="1732"/>
      <c r="CM100" s="1733"/>
      <c r="CN100" s="1781"/>
      <c r="CO100" s="1733"/>
      <c r="CP100" s="1781"/>
      <c r="CQ100" s="1733"/>
      <c r="CR100" s="1781"/>
      <c r="CS100" s="1733"/>
      <c r="CT100" s="1781"/>
      <c r="CU100" s="1733"/>
      <c r="CV100" s="1781"/>
      <c r="CW100" s="1733"/>
      <c r="CX100" s="1825"/>
      <c r="CY100" s="1783"/>
      <c r="CZ100" s="1821"/>
      <c r="DA100" s="396"/>
      <c r="DB100" s="902"/>
      <c r="DC100" s="902"/>
      <c r="DD100" s="901"/>
      <c r="DE100" s="901"/>
      <c r="DF100" s="152"/>
      <c r="DG100" s="152"/>
      <c r="DH100" s="901"/>
      <c r="DI100" s="901"/>
      <c r="DJ100" s="152"/>
      <c r="DK100" s="152"/>
      <c r="DL100" s="901"/>
      <c r="DM100" s="901"/>
      <c r="DN100" s="152"/>
      <c r="DO100" s="153"/>
      <c r="DP100" s="899"/>
      <c r="DQ100" s="900"/>
      <c r="DR100" s="903"/>
      <c r="DS100" s="904"/>
      <c r="DT100" s="905"/>
      <c r="DU100" s="902"/>
      <c r="DV100" s="902"/>
      <c r="DW100" s="906"/>
      <c r="DX100" s="907"/>
      <c r="DY100" s="907"/>
      <c r="DZ100" s="902"/>
      <c r="EA100" s="902"/>
      <c r="EB100" s="152"/>
      <c r="EC100" s="152"/>
      <c r="ED100" s="902"/>
      <c r="EE100" s="906"/>
      <c r="EF100" s="902"/>
      <c r="EG100" s="902"/>
      <c r="EH100" s="908"/>
      <c r="EI100" s="900"/>
    </row>
    <row r="101" spans="1:139" x14ac:dyDescent="0.25">
      <c r="A101" s="1737"/>
      <c r="B101" s="2263" t="s">
        <v>116</v>
      </c>
      <c r="C101" s="2264"/>
      <c r="D101" s="1738"/>
      <c r="E101" s="1739"/>
      <c r="F101" s="1740"/>
      <c r="G101" s="1741"/>
      <c r="H101" s="1742"/>
      <c r="I101" s="1743"/>
      <c r="J101" s="1744">
        <v>930931.03565685684</v>
      </c>
      <c r="K101" s="1743"/>
      <c r="L101" s="1744"/>
      <c r="M101" s="1743"/>
      <c r="N101" s="1742">
        <v>918609.0226568568</v>
      </c>
      <c r="O101" s="1743"/>
      <c r="P101" s="1744"/>
      <c r="Q101" s="1743"/>
      <c r="R101" s="1742">
        <v>12322.013000000001</v>
      </c>
      <c r="S101" s="1743"/>
      <c r="T101" s="1744"/>
      <c r="U101" s="1743"/>
      <c r="V101" s="1745"/>
      <c r="W101" s="1746"/>
      <c r="X101" s="1784"/>
      <c r="Y101" s="1785"/>
      <c r="Z101" s="1786"/>
      <c r="AA101" s="1787"/>
      <c r="AB101" s="1788"/>
      <c r="AC101" s="1787"/>
      <c r="AD101" s="1788">
        <f>AD102+AD103</f>
        <v>931107.97236842103</v>
      </c>
      <c r="AE101" s="1787"/>
      <c r="AF101" s="1788" t="s">
        <v>38</v>
      </c>
      <c r="AG101" s="1787"/>
      <c r="AH101" s="1788">
        <f>AH102+AH103</f>
        <v>918785.97236842103</v>
      </c>
      <c r="AI101" s="1787"/>
      <c r="AJ101" s="1788" t="s">
        <v>38</v>
      </c>
      <c r="AK101" s="1787"/>
      <c r="AL101" s="1788">
        <f>AL102</f>
        <v>12322</v>
      </c>
      <c r="AM101" s="1787"/>
      <c r="AN101" s="1788" t="s">
        <v>38</v>
      </c>
      <c r="AO101" s="1787"/>
      <c r="AP101" s="1788" t="s">
        <v>38</v>
      </c>
      <c r="AQ101" s="1787"/>
      <c r="AR101" s="1784"/>
      <c r="AS101" s="1785"/>
      <c r="AT101" s="1786"/>
      <c r="AU101" s="1787"/>
      <c r="AV101" s="1788"/>
      <c r="AW101" s="1787"/>
      <c r="AX101" s="1788">
        <f>AX102+AX103</f>
        <v>883841.869736842</v>
      </c>
      <c r="AY101" s="1787"/>
      <c r="AZ101" s="1788" t="s">
        <v>38</v>
      </c>
      <c r="BA101" s="1787"/>
      <c r="BB101" s="1788">
        <f>BB102+BB103</f>
        <v>865441.869736842</v>
      </c>
      <c r="BC101" s="1787"/>
      <c r="BD101" s="1788" t="s">
        <v>38</v>
      </c>
      <c r="BE101" s="1787"/>
      <c r="BF101" s="1788">
        <f>BF102</f>
        <v>18400</v>
      </c>
      <c r="BG101" s="1787"/>
      <c r="BH101" s="1788" t="s">
        <v>38</v>
      </c>
      <c r="BI101" s="1787"/>
      <c r="BJ101" s="1788" t="s">
        <v>38</v>
      </c>
      <c r="BK101" s="1787"/>
      <c r="BL101" s="1784"/>
      <c r="BM101" s="1785"/>
      <c r="BN101" s="1786"/>
      <c r="BO101" s="1787"/>
      <c r="BP101" s="1788"/>
      <c r="BQ101" s="1787"/>
      <c r="BR101" s="1788">
        <f>BR102+BR103</f>
        <v>934334.6789473684</v>
      </c>
      <c r="BS101" s="1787"/>
      <c r="BT101" s="1788" t="s">
        <v>38</v>
      </c>
      <c r="BU101" s="1787"/>
      <c r="BV101" s="1788">
        <f>BV102+BV103</f>
        <v>922012.6789473684</v>
      </c>
      <c r="BW101" s="1787"/>
      <c r="BX101" s="1788" t="s">
        <v>38</v>
      </c>
      <c r="BY101" s="1787"/>
      <c r="BZ101" s="1788">
        <f>BZ102</f>
        <v>12322</v>
      </c>
      <c r="CA101" s="1787"/>
      <c r="CB101" s="1788" t="s">
        <v>38</v>
      </c>
      <c r="CC101" s="1787"/>
      <c r="CD101" s="1788" t="s">
        <v>38</v>
      </c>
      <c r="CE101" s="1787"/>
      <c r="CF101" s="1784"/>
      <c r="CG101" s="1785"/>
      <c r="CH101" s="1786"/>
      <c r="CI101" s="1787"/>
      <c r="CJ101" s="1788"/>
      <c r="CK101" s="1787"/>
      <c r="CL101" s="1788">
        <f>CL102+CL103</f>
        <v>3680215.5567094879</v>
      </c>
      <c r="CM101" s="1787"/>
      <c r="CN101" s="1788" t="s">
        <v>38</v>
      </c>
      <c r="CO101" s="1787"/>
      <c r="CP101" s="1788">
        <f>CP102+CP103</f>
        <v>3624849.5437094881</v>
      </c>
      <c r="CQ101" s="1787"/>
      <c r="CR101" s="1788" t="s">
        <v>38</v>
      </c>
      <c r="CS101" s="1787"/>
      <c r="CT101" s="1788">
        <f>CT102</f>
        <v>55366.012999999999</v>
      </c>
      <c r="CU101" s="1787"/>
      <c r="CV101" s="1788" t="s">
        <v>38</v>
      </c>
      <c r="CW101" s="1787"/>
      <c r="CX101" s="1788" t="s">
        <v>38</v>
      </c>
      <c r="CY101" s="1826"/>
      <c r="CZ101" s="1822"/>
      <c r="DA101" s="228"/>
      <c r="DB101" s="228"/>
      <c r="DC101" s="236"/>
      <c r="DD101" s="506"/>
      <c r="DE101" s="238"/>
      <c r="DF101" s="209"/>
      <c r="DG101" s="230"/>
      <c r="DH101" s="506"/>
      <c r="DI101" s="238"/>
      <c r="DJ101" s="209"/>
      <c r="DK101" s="230"/>
      <c r="DL101" s="506"/>
      <c r="DM101" s="239"/>
      <c r="DN101" s="209"/>
      <c r="DO101" s="230"/>
      <c r="DP101" s="240"/>
      <c r="DQ101" s="241"/>
      <c r="DR101" s="242"/>
      <c r="DS101" s="243"/>
      <c r="DT101" s="244"/>
      <c r="DU101" s="245"/>
      <c r="DV101" s="231"/>
      <c r="DW101" s="246"/>
      <c r="DX101" s="209"/>
      <c r="DY101" s="245"/>
      <c r="DZ101" s="231"/>
      <c r="EA101" s="246"/>
      <c r="EB101" s="209"/>
      <c r="EC101" s="230"/>
      <c r="ED101" s="231"/>
      <c r="EE101" s="246"/>
      <c r="EF101" s="209"/>
      <c r="EG101" s="247"/>
      <c r="EH101" s="248"/>
      <c r="EI101" s="249"/>
    </row>
    <row r="102" spans="1:139" x14ac:dyDescent="0.25">
      <c r="A102" s="1747"/>
      <c r="B102" s="2179" t="s">
        <v>125</v>
      </c>
      <c r="C102" s="2180"/>
      <c r="D102" s="1748">
        <v>2183</v>
      </c>
      <c r="E102" s="1749"/>
      <c r="F102" s="1750">
        <v>0.99954212454212454</v>
      </c>
      <c r="G102" s="1751"/>
      <c r="H102" s="379" t="s">
        <v>38</v>
      </c>
      <c r="I102" s="230"/>
      <c r="J102" s="406">
        <v>771369.03565685684</v>
      </c>
      <c r="K102" s="230"/>
      <c r="L102" s="406" t="s">
        <v>38</v>
      </c>
      <c r="M102" s="230"/>
      <c r="N102" s="379">
        <v>759047.0226568568</v>
      </c>
      <c r="O102" s="230"/>
      <c r="P102" s="406" t="s">
        <v>38</v>
      </c>
      <c r="Q102" s="230"/>
      <c r="R102" s="379">
        <v>12322.013000000001</v>
      </c>
      <c r="S102" s="230"/>
      <c r="T102" s="406" t="s">
        <v>38</v>
      </c>
      <c r="U102" s="230"/>
      <c r="V102" s="1752">
        <v>353.35274194084144</v>
      </c>
      <c r="W102" s="1753"/>
      <c r="X102" s="1789">
        <f>X14+X20+X27+X29+X34+X40+X46+X51+X57+X67+X72+X78+X84</f>
        <v>2184.0000000000005</v>
      </c>
      <c r="Y102" s="1790"/>
      <c r="Z102" s="1791">
        <f>X102/2184</f>
        <v>1.0000000000000002</v>
      </c>
      <c r="AA102" s="1792"/>
      <c r="AB102" s="1793" t="s">
        <v>38</v>
      </c>
      <c r="AC102" s="1794"/>
      <c r="AD102" s="1795">
        <f>AH102+AL102</f>
        <v>771545.97236842103</v>
      </c>
      <c r="AE102" s="1796"/>
      <c r="AF102" s="1793" t="s">
        <v>38</v>
      </c>
      <c r="AG102" s="1794"/>
      <c r="AH102" s="1793">
        <f>AH14+AH20+AH27+AH29+AH34+AH40+AH46+AH51+AH57+AH67+AH72+AH78+AH84</f>
        <v>759223.97236842103</v>
      </c>
      <c r="AI102" s="1794"/>
      <c r="AJ102" s="1793" t="s">
        <v>38</v>
      </c>
      <c r="AK102" s="1794"/>
      <c r="AL102" s="1793">
        <f>AL14+AL20+AL27+AL29+AL34+AL40+AL46+AL51+AL57+AL67+AL72+AL78+AL84</f>
        <v>12322</v>
      </c>
      <c r="AM102" s="1794"/>
      <c r="AN102" s="1793" t="s">
        <v>38</v>
      </c>
      <c r="AO102" s="1794"/>
      <c r="AP102" s="1797">
        <f>AD102/X102</f>
        <v>353.27196537015607</v>
      </c>
      <c r="AQ102" s="1798"/>
      <c r="AR102" s="1789">
        <f>AR14+AR20+AR27+AR29+AR34+AR40+AR46+AR51+AR57+AR67+AR72+AR78+AR84</f>
        <v>2208</v>
      </c>
      <c r="AS102" s="1790"/>
      <c r="AT102" s="1791">
        <f>AR102/2208</f>
        <v>1</v>
      </c>
      <c r="AU102" s="1792"/>
      <c r="AV102" s="1793" t="s">
        <v>38</v>
      </c>
      <c r="AW102" s="1794"/>
      <c r="AX102" s="1795">
        <f>BB102+BF102</f>
        <v>724279.869736842</v>
      </c>
      <c r="AY102" s="1796"/>
      <c r="AZ102" s="1793" t="s">
        <v>38</v>
      </c>
      <c r="BA102" s="1794"/>
      <c r="BB102" s="1793">
        <f>BB14+BB20+BB27+BB29+BB34+BB40+BB46+BB51+BB57+BB67+BB72+BB78+BB84</f>
        <v>705879.869736842</v>
      </c>
      <c r="BC102" s="1794"/>
      <c r="BD102" s="1793" t="s">
        <v>38</v>
      </c>
      <c r="BE102" s="1794"/>
      <c r="BF102" s="1793">
        <f>BF14+BF20+BF27+BF29+BF34+BF40+BF46+BF51+BF57+BF67+BF72+BF78+BF84</f>
        <v>18400</v>
      </c>
      <c r="BG102" s="1794"/>
      <c r="BH102" s="1793" t="s">
        <v>38</v>
      </c>
      <c r="BI102" s="1794"/>
      <c r="BJ102" s="1797">
        <f>AX102/AR102</f>
        <v>328.0253033228451</v>
      </c>
      <c r="BK102" s="1798"/>
      <c r="BL102" s="1789">
        <f>BL14+BL20+BL27+BL29+BL34+BL40+BL46+BL51+BL57+BL67+BL72+BL78+BL84</f>
        <v>2209.0000000000005</v>
      </c>
      <c r="BM102" s="1790"/>
      <c r="BN102" s="1791">
        <f>BL102/2209</f>
        <v>1.0000000000000002</v>
      </c>
      <c r="BO102" s="1792"/>
      <c r="BP102" s="1793" t="s">
        <v>38</v>
      </c>
      <c r="BQ102" s="1794"/>
      <c r="BR102" s="1795">
        <f>BV102+BZ102</f>
        <v>774772.6789473684</v>
      </c>
      <c r="BS102" s="1796"/>
      <c r="BT102" s="1793" t="s">
        <v>38</v>
      </c>
      <c r="BU102" s="1794"/>
      <c r="BV102" s="1793">
        <f>BV14+BV20+BV27+BV29+BV34+BV40+BV46+BV51+BV57+BV67+BV72+BV78+BV84</f>
        <v>762450.6789473684</v>
      </c>
      <c r="BW102" s="1794"/>
      <c r="BX102" s="1793" t="s">
        <v>38</v>
      </c>
      <c r="BY102" s="1794"/>
      <c r="BZ102" s="1793">
        <f>BZ14+BZ20+BZ27+BZ29+BZ34+BZ40+BZ46+BZ51+BZ57+BZ67+BZ72+BZ78+BZ84</f>
        <v>12322</v>
      </c>
      <c r="CA102" s="1794"/>
      <c r="CB102" s="1793" t="s">
        <v>38</v>
      </c>
      <c r="CC102" s="1794"/>
      <c r="CD102" s="1797">
        <f>BR102/BL102</f>
        <v>350.73457625503318</v>
      </c>
      <c r="CE102" s="1798"/>
      <c r="CF102" s="1789">
        <f>CF14+CF20+CF27+CF29+CF34+CF40+CF46+CF51+CF57+CF67+CF72+CF78+CF84</f>
        <v>8784</v>
      </c>
      <c r="CG102" s="1790"/>
      <c r="CH102" s="1791">
        <f>CF102/8784</f>
        <v>1</v>
      </c>
      <c r="CI102" s="1792"/>
      <c r="CJ102" s="1793" t="s">
        <v>38</v>
      </c>
      <c r="CK102" s="1794"/>
      <c r="CL102" s="1795">
        <f>CP102+CT102</f>
        <v>3041967.5567094879</v>
      </c>
      <c r="CM102" s="1796"/>
      <c r="CN102" s="1793" t="s">
        <v>38</v>
      </c>
      <c r="CO102" s="1794"/>
      <c r="CP102" s="1793">
        <f>CP14+CP20+CP27+CP29+CP34+CP40+CP46+CP51+CP57+CP67+CP72+CP78+CP84</f>
        <v>2986601.5437094881</v>
      </c>
      <c r="CQ102" s="1794"/>
      <c r="CR102" s="1793" t="s">
        <v>38</v>
      </c>
      <c r="CS102" s="1794"/>
      <c r="CT102" s="1793">
        <f>CT14+CT20+CT27+CT29+CT34+CT40+CT46+CT51+CT57+CT67+CT72+CT78+CT84</f>
        <v>55366.012999999999</v>
      </c>
      <c r="CU102" s="1794"/>
      <c r="CV102" s="1793" t="s">
        <v>38</v>
      </c>
      <c r="CW102" s="1794"/>
      <c r="CX102" s="1827">
        <f>CL102/CF102</f>
        <v>346.30778195690891</v>
      </c>
      <c r="CY102" s="1798"/>
      <c r="CZ102" s="1823"/>
      <c r="DA102" s="228"/>
      <c r="DB102" s="228"/>
      <c r="DC102" s="236"/>
      <c r="DD102" s="237"/>
      <c r="DE102" s="238"/>
      <c r="DF102" s="209"/>
      <c r="DG102" s="230"/>
      <c r="DH102" s="237"/>
      <c r="DI102" s="238"/>
      <c r="DJ102" s="209"/>
      <c r="DK102" s="230"/>
      <c r="DL102" s="237"/>
      <c r="DM102" s="239"/>
      <c r="DN102" s="209"/>
      <c r="DO102" s="230"/>
      <c r="DP102" s="240"/>
      <c r="DQ102" s="241"/>
      <c r="DR102" s="242"/>
      <c r="DS102" s="243"/>
      <c r="DT102" s="244"/>
      <c r="DU102" s="245"/>
      <c r="DV102" s="231"/>
      <c r="DW102" s="246"/>
      <c r="DX102" s="209"/>
      <c r="DY102" s="245"/>
      <c r="DZ102" s="231"/>
      <c r="EA102" s="246"/>
      <c r="EB102" s="209"/>
      <c r="EC102" s="230"/>
      <c r="ED102" s="231"/>
      <c r="EE102" s="246"/>
      <c r="EF102" s="209"/>
      <c r="EG102" s="247"/>
      <c r="EH102" s="248"/>
      <c r="EI102" s="249"/>
    </row>
    <row r="103" spans="1:139" x14ac:dyDescent="0.25">
      <c r="A103" s="1747"/>
      <c r="B103" s="2179" t="s">
        <v>117</v>
      </c>
      <c r="C103" s="2180"/>
      <c r="D103" s="1748" t="s">
        <v>38</v>
      </c>
      <c r="E103" s="1749"/>
      <c r="F103" s="1750" t="s">
        <v>38</v>
      </c>
      <c r="G103" s="1751"/>
      <c r="H103" s="379" t="s">
        <v>38</v>
      </c>
      <c r="I103" s="230"/>
      <c r="J103" s="406">
        <v>159562</v>
      </c>
      <c r="K103" s="230"/>
      <c r="L103" s="406" t="s">
        <v>38</v>
      </c>
      <c r="M103" s="230"/>
      <c r="N103" s="379">
        <v>159562</v>
      </c>
      <c r="O103" s="230"/>
      <c r="P103" s="406" t="s">
        <v>38</v>
      </c>
      <c r="Q103" s="230"/>
      <c r="R103" s="379">
        <v>0</v>
      </c>
      <c r="S103" s="230"/>
      <c r="T103" s="406" t="s">
        <v>38</v>
      </c>
      <c r="U103" s="230"/>
      <c r="V103" s="1754" t="s">
        <v>38</v>
      </c>
      <c r="W103" s="1754"/>
      <c r="X103" s="1789"/>
      <c r="Y103" s="1790"/>
      <c r="Z103" s="1791"/>
      <c r="AA103" s="1794"/>
      <c r="AB103" s="1795" t="s">
        <v>38</v>
      </c>
      <c r="AC103" s="1794"/>
      <c r="AD103" s="1796">
        <f t="shared" ref="AD103:AD121" si="17">AH103</f>
        <v>159562</v>
      </c>
      <c r="AE103" s="1796"/>
      <c r="AF103" s="1793" t="s">
        <v>38</v>
      </c>
      <c r="AG103" s="1794"/>
      <c r="AH103" s="1796">
        <v>159562</v>
      </c>
      <c r="AI103" s="1796"/>
      <c r="AJ103" s="1793" t="s">
        <v>38</v>
      </c>
      <c r="AK103" s="1794"/>
      <c r="AL103" s="1793" t="s">
        <v>38</v>
      </c>
      <c r="AM103" s="1794"/>
      <c r="AN103" s="1793" t="s">
        <v>38</v>
      </c>
      <c r="AO103" s="1794"/>
      <c r="AP103" s="1797"/>
      <c r="AQ103" s="1798"/>
      <c r="AR103" s="1789"/>
      <c r="AS103" s="1790"/>
      <c r="AT103" s="1791"/>
      <c r="AU103" s="1794"/>
      <c r="AV103" s="1795" t="s">
        <v>38</v>
      </c>
      <c r="AW103" s="1794"/>
      <c r="AX103" s="1796">
        <f t="shared" ref="AX103:AX112" si="18">BB103</f>
        <v>159562</v>
      </c>
      <c r="AY103" s="1796"/>
      <c r="AZ103" s="1793" t="s">
        <v>38</v>
      </c>
      <c r="BA103" s="1794"/>
      <c r="BB103" s="1796">
        <v>159562</v>
      </c>
      <c r="BC103" s="1796"/>
      <c r="BD103" s="1793" t="s">
        <v>38</v>
      </c>
      <c r="BE103" s="1794"/>
      <c r="BF103" s="1793" t="s">
        <v>38</v>
      </c>
      <c r="BG103" s="1794"/>
      <c r="BH103" s="1793" t="s">
        <v>38</v>
      </c>
      <c r="BI103" s="1794"/>
      <c r="BJ103" s="1797"/>
      <c r="BK103" s="1798"/>
      <c r="BL103" s="1789"/>
      <c r="BM103" s="1790"/>
      <c r="BN103" s="1791"/>
      <c r="BO103" s="1794"/>
      <c r="BP103" s="1795" t="s">
        <v>38</v>
      </c>
      <c r="BQ103" s="1794"/>
      <c r="BR103" s="1796">
        <f t="shared" ref="BR103:BR112" si="19">BV103</f>
        <v>159562</v>
      </c>
      <c r="BS103" s="1796"/>
      <c r="BT103" s="1793" t="s">
        <v>38</v>
      </c>
      <c r="BU103" s="1794"/>
      <c r="BV103" s="1796">
        <v>159562</v>
      </c>
      <c r="BW103" s="1796"/>
      <c r="BX103" s="1793" t="s">
        <v>38</v>
      </c>
      <c r="BY103" s="1794"/>
      <c r="BZ103" s="1793" t="s">
        <v>38</v>
      </c>
      <c r="CA103" s="1794"/>
      <c r="CB103" s="1793" t="s">
        <v>38</v>
      </c>
      <c r="CC103" s="1794"/>
      <c r="CD103" s="1797"/>
      <c r="CE103" s="1798"/>
      <c r="CF103" s="1789"/>
      <c r="CG103" s="1790"/>
      <c r="CH103" s="1791"/>
      <c r="CI103" s="1794"/>
      <c r="CJ103" s="1795" t="s">
        <v>38</v>
      </c>
      <c r="CK103" s="1794"/>
      <c r="CL103" s="1796">
        <f t="shared" ref="CL103:CL112" si="20">CP103</f>
        <v>638248</v>
      </c>
      <c r="CM103" s="1796"/>
      <c r="CN103" s="1793" t="s">
        <v>38</v>
      </c>
      <c r="CO103" s="1794"/>
      <c r="CP103" s="1793">
        <f>BV103+BB103+AH103+N103</f>
        <v>638248</v>
      </c>
      <c r="CQ103" s="1796"/>
      <c r="CR103" s="1793" t="s">
        <v>38</v>
      </c>
      <c r="CS103" s="1794"/>
      <c r="CT103" s="1793" t="s">
        <v>38</v>
      </c>
      <c r="CU103" s="1794"/>
      <c r="CV103" s="1793" t="s">
        <v>38</v>
      </c>
      <c r="CW103" s="1794"/>
      <c r="CX103" s="1827"/>
      <c r="CY103" s="1798"/>
      <c r="CZ103" s="1822"/>
      <c r="DA103" s="233"/>
      <c r="DB103" s="228"/>
      <c r="DC103" s="236"/>
      <c r="DD103" s="237"/>
      <c r="DE103" s="238"/>
      <c r="DF103" s="209"/>
      <c r="DG103" s="230"/>
      <c r="DH103" s="237"/>
      <c r="DI103" s="238"/>
      <c r="DJ103" s="209"/>
      <c r="DK103" s="230"/>
      <c r="DL103" s="237"/>
      <c r="DM103" s="239"/>
      <c r="DN103" s="209"/>
      <c r="DO103" s="230"/>
      <c r="DP103" s="240"/>
      <c r="DQ103" s="241"/>
      <c r="DR103" s="242"/>
      <c r="DS103" s="243"/>
      <c r="DT103" s="244"/>
      <c r="DU103" s="245"/>
      <c r="DV103" s="231"/>
      <c r="DW103" s="246"/>
      <c r="DX103" s="209"/>
      <c r="DY103" s="245"/>
      <c r="DZ103" s="231"/>
      <c r="EA103" s="246"/>
      <c r="EB103" s="209"/>
      <c r="EC103" s="230"/>
      <c r="ED103" s="231"/>
      <c r="EE103" s="246"/>
      <c r="EF103" s="209"/>
      <c r="EG103" s="247"/>
      <c r="EH103" s="248"/>
      <c r="EI103" s="249"/>
    </row>
    <row r="104" spans="1:139" x14ac:dyDescent="0.25">
      <c r="A104" s="1755"/>
      <c r="B104" s="2173" t="s">
        <v>79</v>
      </c>
      <c r="C104" s="2174"/>
      <c r="D104" s="1756"/>
      <c r="E104" s="1757"/>
      <c r="F104" s="1758"/>
      <c r="G104" s="1759"/>
      <c r="H104" s="336"/>
      <c r="I104" s="337"/>
      <c r="J104" s="686">
        <v>5896</v>
      </c>
      <c r="K104" s="337"/>
      <c r="L104" s="686"/>
      <c r="M104" s="337"/>
      <c r="N104" s="336">
        <v>5896</v>
      </c>
      <c r="O104" s="337"/>
      <c r="P104" s="686"/>
      <c r="Q104" s="337"/>
      <c r="R104" s="336">
        <v>0</v>
      </c>
      <c r="S104" s="337"/>
      <c r="T104" s="686"/>
      <c r="U104" s="337"/>
      <c r="V104" s="1760"/>
      <c r="W104" s="1761"/>
      <c r="X104" s="1799"/>
      <c r="Y104" s="1800"/>
      <c r="Z104" s="1801"/>
      <c r="AA104" s="1802"/>
      <c r="AB104" s="1803"/>
      <c r="AC104" s="1802"/>
      <c r="AD104" s="1804">
        <f t="shared" si="17"/>
        <v>5881</v>
      </c>
      <c r="AE104" s="1804"/>
      <c r="AF104" s="1788" t="s">
        <v>38</v>
      </c>
      <c r="AG104" s="1787"/>
      <c r="AH104" s="1804">
        <f>AH105+AH106</f>
        <v>5881</v>
      </c>
      <c r="AI104" s="1804"/>
      <c r="AJ104" s="1788" t="s">
        <v>38</v>
      </c>
      <c r="AK104" s="1787"/>
      <c r="AL104" s="1788" t="s">
        <v>38</v>
      </c>
      <c r="AM104" s="1787"/>
      <c r="AN104" s="1788" t="s">
        <v>38</v>
      </c>
      <c r="AO104" s="1787"/>
      <c r="AP104" s="1788" t="s">
        <v>38</v>
      </c>
      <c r="AQ104" s="1787"/>
      <c r="AR104" s="1799"/>
      <c r="AS104" s="1800"/>
      <c r="AT104" s="1801"/>
      <c r="AU104" s="1802"/>
      <c r="AV104" s="1803"/>
      <c r="AW104" s="1802"/>
      <c r="AX104" s="1804">
        <f t="shared" si="18"/>
        <v>5835</v>
      </c>
      <c r="AY104" s="1804"/>
      <c r="AZ104" s="1788" t="s">
        <v>38</v>
      </c>
      <c r="BA104" s="1787"/>
      <c r="BB104" s="1804">
        <f>BB105+BB106</f>
        <v>5835</v>
      </c>
      <c r="BC104" s="1804"/>
      <c r="BD104" s="1788" t="s">
        <v>38</v>
      </c>
      <c r="BE104" s="1787"/>
      <c r="BF104" s="1788" t="s">
        <v>38</v>
      </c>
      <c r="BG104" s="1787"/>
      <c r="BH104" s="1788" t="s">
        <v>38</v>
      </c>
      <c r="BI104" s="1787"/>
      <c r="BJ104" s="1788" t="s">
        <v>38</v>
      </c>
      <c r="BK104" s="1787"/>
      <c r="BL104" s="1799"/>
      <c r="BM104" s="1800"/>
      <c r="BN104" s="1801"/>
      <c r="BO104" s="1802"/>
      <c r="BP104" s="1803"/>
      <c r="BQ104" s="1802"/>
      <c r="BR104" s="1804">
        <f t="shared" si="19"/>
        <v>5869</v>
      </c>
      <c r="BS104" s="1804"/>
      <c r="BT104" s="1788" t="s">
        <v>38</v>
      </c>
      <c r="BU104" s="1787"/>
      <c r="BV104" s="1804">
        <f>BV105+BV106</f>
        <v>5869</v>
      </c>
      <c r="BW104" s="1804"/>
      <c r="BX104" s="1788" t="s">
        <v>38</v>
      </c>
      <c r="BY104" s="1787"/>
      <c r="BZ104" s="1788" t="s">
        <v>38</v>
      </c>
      <c r="CA104" s="1787"/>
      <c r="CB104" s="1788" t="s">
        <v>38</v>
      </c>
      <c r="CC104" s="1787"/>
      <c r="CD104" s="1788" t="s">
        <v>38</v>
      </c>
      <c r="CE104" s="1787"/>
      <c r="CF104" s="1799"/>
      <c r="CG104" s="1800"/>
      <c r="CH104" s="1801"/>
      <c r="CI104" s="1802"/>
      <c r="CJ104" s="1803"/>
      <c r="CK104" s="1802"/>
      <c r="CL104" s="1804">
        <f t="shared" si="20"/>
        <v>23481</v>
      </c>
      <c r="CM104" s="1804"/>
      <c r="CN104" s="1788" t="s">
        <v>38</v>
      </c>
      <c r="CO104" s="1787"/>
      <c r="CP104" s="1804">
        <f>CP105+CP106</f>
        <v>23481</v>
      </c>
      <c r="CQ104" s="1804"/>
      <c r="CR104" s="1788" t="s">
        <v>38</v>
      </c>
      <c r="CS104" s="1787"/>
      <c r="CT104" s="1788" t="s">
        <v>38</v>
      </c>
      <c r="CU104" s="1787"/>
      <c r="CV104" s="1788" t="s">
        <v>38</v>
      </c>
      <c r="CW104" s="1787"/>
      <c r="CX104" s="1788" t="s">
        <v>38</v>
      </c>
      <c r="CY104" s="1826"/>
      <c r="CZ104" s="1822"/>
      <c r="DA104" s="233"/>
      <c r="DB104" s="228"/>
      <c r="DC104" s="236"/>
      <c r="DD104" s="237"/>
      <c r="DE104" s="238"/>
      <c r="DF104" s="209"/>
      <c r="DG104" s="230"/>
      <c r="DH104" s="237"/>
      <c r="DI104" s="238"/>
      <c r="DJ104" s="209"/>
      <c r="DK104" s="230"/>
      <c r="DL104" s="237"/>
      <c r="DM104" s="239"/>
      <c r="DN104" s="209"/>
      <c r="DO104" s="230"/>
      <c r="DP104" s="240"/>
      <c r="DQ104" s="241"/>
      <c r="DR104" s="242"/>
      <c r="DS104" s="243"/>
      <c r="DT104" s="244"/>
      <c r="DU104" s="245"/>
      <c r="DV104" s="231"/>
      <c r="DW104" s="246"/>
      <c r="DX104" s="209"/>
      <c r="DY104" s="245"/>
      <c r="DZ104" s="231"/>
      <c r="EA104" s="246"/>
      <c r="EB104" s="209"/>
      <c r="EC104" s="230"/>
      <c r="ED104" s="231"/>
      <c r="EE104" s="246"/>
      <c r="EF104" s="209"/>
      <c r="EG104" s="247"/>
      <c r="EH104" s="248"/>
      <c r="EI104" s="249"/>
    </row>
    <row r="105" spans="1:139" x14ac:dyDescent="0.25">
      <c r="A105" s="1747"/>
      <c r="B105" s="2179" t="s">
        <v>125</v>
      </c>
      <c r="C105" s="2180"/>
      <c r="D105" s="1748">
        <v>11.9</v>
      </c>
      <c r="E105" s="1749"/>
      <c r="F105" s="1750">
        <v>1</v>
      </c>
      <c r="G105" s="1751"/>
      <c r="H105" s="379" t="s">
        <v>38</v>
      </c>
      <c r="I105" s="230"/>
      <c r="J105" s="406">
        <v>5896</v>
      </c>
      <c r="K105" s="230"/>
      <c r="L105" s="406" t="s">
        <v>38</v>
      </c>
      <c r="M105" s="230"/>
      <c r="N105" s="379">
        <v>5896</v>
      </c>
      <c r="O105" s="230"/>
      <c r="P105" s="406" t="s">
        <v>38</v>
      </c>
      <c r="Q105" s="230"/>
      <c r="R105" s="379">
        <v>0</v>
      </c>
      <c r="S105" s="230"/>
      <c r="T105" s="406" t="s">
        <v>38</v>
      </c>
      <c r="U105" s="230"/>
      <c r="V105" s="1752">
        <v>495.46218487394958</v>
      </c>
      <c r="W105" s="1753"/>
      <c r="X105" s="1789">
        <f>X25+X68</f>
        <v>11.9</v>
      </c>
      <c r="Y105" s="1790"/>
      <c r="Z105" s="1791">
        <f>X105/11.9</f>
        <v>1</v>
      </c>
      <c r="AA105" s="1791"/>
      <c r="AB105" s="1793" t="s">
        <v>38</v>
      </c>
      <c r="AC105" s="1794"/>
      <c r="AD105" s="1796">
        <f t="shared" si="17"/>
        <v>5881</v>
      </c>
      <c r="AE105" s="1796"/>
      <c r="AF105" s="1793" t="s">
        <v>38</v>
      </c>
      <c r="AG105" s="1794"/>
      <c r="AH105" s="1796">
        <f>AH25</f>
        <v>5881</v>
      </c>
      <c r="AI105" s="1796"/>
      <c r="AJ105" s="1793" t="s">
        <v>38</v>
      </c>
      <c r="AK105" s="1794"/>
      <c r="AL105" s="1793" t="s">
        <v>38</v>
      </c>
      <c r="AM105" s="1794"/>
      <c r="AN105" s="1793" t="s">
        <v>38</v>
      </c>
      <c r="AO105" s="1794"/>
      <c r="AP105" s="1797">
        <f>AD105/X105</f>
        <v>494.20168067226888</v>
      </c>
      <c r="AQ105" s="1798"/>
      <c r="AR105" s="1789">
        <f>AR25+AR68</f>
        <v>11.9</v>
      </c>
      <c r="AS105" s="1790"/>
      <c r="AT105" s="1791">
        <f>AR105/11.9</f>
        <v>1</v>
      </c>
      <c r="AU105" s="1791"/>
      <c r="AV105" s="1793" t="s">
        <v>38</v>
      </c>
      <c r="AW105" s="1794"/>
      <c r="AX105" s="1796">
        <f t="shared" si="18"/>
        <v>5835</v>
      </c>
      <c r="AY105" s="1796"/>
      <c r="AZ105" s="1793" t="s">
        <v>38</v>
      </c>
      <c r="BA105" s="1794"/>
      <c r="BB105" s="1796">
        <f>BB25</f>
        <v>5835</v>
      </c>
      <c r="BC105" s="1796"/>
      <c r="BD105" s="1793" t="s">
        <v>38</v>
      </c>
      <c r="BE105" s="1794"/>
      <c r="BF105" s="1793" t="s">
        <v>38</v>
      </c>
      <c r="BG105" s="1794"/>
      <c r="BH105" s="1793" t="s">
        <v>38</v>
      </c>
      <c r="BI105" s="1794"/>
      <c r="BJ105" s="1797">
        <f>AX105/AR105</f>
        <v>490.33613445378148</v>
      </c>
      <c r="BK105" s="1798"/>
      <c r="BL105" s="1789">
        <f>BL25+BL68</f>
        <v>11.9</v>
      </c>
      <c r="BM105" s="1790"/>
      <c r="BN105" s="1791">
        <f>BL105/11.9</f>
        <v>1</v>
      </c>
      <c r="BO105" s="1791"/>
      <c r="BP105" s="1793" t="s">
        <v>38</v>
      </c>
      <c r="BQ105" s="1794"/>
      <c r="BR105" s="1796">
        <f t="shared" si="19"/>
        <v>5869</v>
      </c>
      <c r="BS105" s="1796"/>
      <c r="BT105" s="1793" t="s">
        <v>38</v>
      </c>
      <c r="BU105" s="1794"/>
      <c r="BV105" s="1796">
        <f>BV25</f>
        <v>5869</v>
      </c>
      <c r="BW105" s="1796"/>
      <c r="BX105" s="1793" t="s">
        <v>38</v>
      </c>
      <c r="BY105" s="1794"/>
      <c r="BZ105" s="1793" t="s">
        <v>38</v>
      </c>
      <c r="CA105" s="1794"/>
      <c r="CB105" s="1793" t="s">
        <v>38</v>
      </c>
      <c r="CC105" s="1794"/>
      <c r="CD105" s="1797">
        <f>BR105/BL105</f>
        <v>493.19327731092437</v>
      </c>
      <c r="CE105" s="1798"/>
      <c r="CF105" s="1789">
        <f>CF25+CF68</f>
        <v>47.6</v>
      </c>
      <c r="CG105" s="1790"/>
      <c r="CH105" s="1791">
        <f>CF105/47.6</f>
        <v>1</v>
      </c>
      <c r="CI105" s="1791"/>
      <c r="CJ105" s="1793" t="s">
        <v>38</v>
      </c>
      <c r="CK105" s="1794"/>
      <c r="CL105" s="1796">
        <f t="shared" si="20"/>
        <v>23481</v>
      </c>
      <c r="CM105" s="1796"/>
      <c r="CN105" s="1793" t="s">
        <v>38</v>
      </c>
      <c r="CO105" s="1794"/>
      <c r="CP105" s="1796">
        <f>CP25</f>
        <v>23481</v>
      </c>
      <c r="CQ105" s="1796"/>
      <c r="CR105" s="1793" t="s">
        <v>38</v>
      </c>
      <c r="CS105" s="1794"/>
      <c r="CT105" s="1793" t="s">
        <v>38</v>
      </c>
      <c r="CU105" s="1794"/>
      <c r="CV105" s="1793" t="s">
        <v>38</v>
      </c>
      <c r="CW105" s="1794"/>
      <c r="CX105" s="1827">
        <f>CL105/CF105</f>
        <v>493.29831932773106</v>
      </c>
      <c r="CY105" s="1798"/>
      <c r="CZ105" s="1822"/>
      <c r="DA105" s="233"/>
      <c r="DB105" s="228"/>
      <c r="DC105" s="236"/>
      <c r="DD105" s="237"/>
      <c r="DE105" s="238"/>
      <c r="DF105" s="209"/>
      <c r="DG105" s="230"/>
      <c r="DH105" s="237"/>
      <c r="DI105" s="238"/>
      <c r="DJ105" s="209"/>
      <c r="DK105" s="230"/>
      <c r="DL105" s="237"/>
      <c r="DM105" s="239"/>
      <c r="DN105" s="209"/>
      <c r="DO105" s="230"/>
      <c r="DP105" s="240"/>
      <c r="DQ105" s="241"/>
      <c r="DR105" s="242"/>
      <c r="DS105" s="243"/>
      <c r="DT105" s="244"/>
      <c r="DU105" s="245"/>
      <c r="DV105" s="231"/>
      <c r="DW105" s="246"/>
      <c r="DX105" s="209"/>
      <c r="DY105" s="245"/>
      <c r="DZ105" s="231"/>
      <c r="EA105" s="246"/>
      <c r="EB105" s="209"/>
      <c r="EC105" s="230"/>
      <c r="ED105" s="231"/>
      <c r="EE105" s="246"/>
      <c r="EF105" s="209"/>
      <c r="EG105" s="247"/>
      <c r="EH105" s="248"/>
      <c r="EI105" s="249"/>
    </row>
    <row r="106" spans="1:139" x14ac:dyDescent="0.25">
      <c r="A106" s="1747"/>
      <c r="B106" s="2179" t="s">
        <v>117</v>
      </c>
      <c r="C106" s="2180"/>
      <c r="D106" s="1748" t="s">
        <v>38</v>
      </c>
      <c r="E106" s="1749"/>
      <c r="F106" s="1750" t="s">
        <v>38</v>
      </c>
      <c r="G106" s="1751"/>
      <c r="H106" s="379" t="s">
        <v>38</v>
      </c>
      <c r="I106" s="230"/>
      <c r="J106" s="406">
        <v>0</v>
      </c>
      <c r="K106" s="230"/>
      <c r="L106" s="406" t="s">
        <v>38</v>
      </c>
      <c r="M106" s="230"/>
      <c r="N106" s="379">
        <v>0</v>
      </c>
      <c r="O106" s="230"/>
      <c r="P106" s="406" t="s">
        <v>38</v>
      </c>
      <c r="Q106" s="230"/>
      <c r="R106" s="379">
        <v>0</v>
      </c>
      <c r="S106" s="230"/>
      <c r="T106" s="406" t="s">
        <v>38</v>
      </c>
      <c r="U106" s="230"/>
      <c r="V106" s="1754" t="s">
        <v>38</v>
      </c>
      <c r="W106" s="1754"/>
      <c r="X106" s="1789"/>
      <c r="Y106" s="1790"/>
      <c r="Z106" s="1791"/>
      <c r="AA106" s="1796"/>
      <c r="AB106" s="1793" t="s">
        <v>38</v>
      </c>
      <c r="AC106" s="1794"/>
      <c r="AD106" s="1796">
        <f t="shared" si="17"/>
        <v>0</v>
      </c>
      <c r="AE106" s="1796"/>
      <c r="AF106" s="1793" t="s">
        <v>38</v>
      </c>
      <c r="AG106" s="1794"/>
      <c r="AH106" s="1796">
        <v>0</v>
      </c>
      <c r="AI106" s="1796"/>
      <c r="AJ106" s="1793" t="s">
        <v>38</v>
      </c>
      <c r="AK106" s="1794"/>
      <c r="AL106" s="1793" t="s">
        <v>38</v>
      </c>
      <c r="AM106" s="1794"/>
      <c r="AN106" s="1793" t="s">
        <v>38</v>
      </c>
      <c r="AO106" s="1794"/>
      <c r="AP106" s="1797"/>
      <c r="AQ106" s="1798"/>
      <c r="AR106" s="1789"/>
      <c r="AS106" s="1790"/>
      <c r="AT106" s="1791"/>
      <c r="AU106" s="1796"/>
      <c r="AV106" s="1793" t="s">
        <v>38</v>
      </c>
      <c r="AW106" s="1794"/>
      <c r="AX106" s="1796">
        <f t="shared" si="18"/>
        <v>0</v>
      </c>
      <c r="AY106" s="1796"/>
      <c r="AZ106" s="1793" t="s">
        <v>38</v>
      </c>
      <c r="BA106" s="1794"/>
      <c r="BB106" s="1796">
        <v>0</v>
      </c>
      <c r="BC106" s="1796"/>
      <c r="BD106" s="1793" t="s">
        <v>38</v>
      </c>
      <c r="BE106" s="1794"/>
      <c r="BF106" s="1793" t="s">
        <v>38</v>
      </c>
      <c r="BG106" s="1794"/>
      <c r="BH106" s="1793" t="s">
        <v>38</v>
      </c>
      <c r="BI106" s="1794"/>
      <c r="BJ106" s="1797"/>
      <c r="BK106" s="1798"/>
      <c r="BL106" s="1789"/>
      <c r="BM106" s="1790"/>
      <c r="BN106" s="1791"/>
      <c r="BO106" s="1796"/>
      <c r="BP106" s="1793" t="s">
        <v>38</v>
      </c>
      <c r="BQ106" s="1794"/>
      <c r="BR106" s="1796">
        <f t="shared" si="19"/>
        <v>0</v>
      </c>
      <c r="BS106" s="1796"/>
      <c r="BT106" s="1793" t="s">
        <v>38</v>
      </c>
      <c r="BU106" s="1794"/>
      <c r="BV106" s="1796">
        <v>0</v>
      </c>
      <c r="BW106" s="1796"/>
      <c r="BX106" s="1793" t="s">
        <v>38</v>
      </c>
      <c r="BY106" s="1794"/>
      <c r="BZ106" s="1793" t="s">
        <v>38</v>
      </c>
      <c r="CA106" s="1794"/>
      <c r="CB106" s="1793" t="s">
        <v>38</v>
      </c>
      <c r="CC106" s="1794"/>
      <c r="CD106" s="1797"/>
      <c r="CE106" s="1798"/>
      <c r="CF106" s="1789"/>
      <c r="CG106" s="1790"/>
      <c r="CH106" s="1791"/>
      <c r="CI106" s="1796"/>
      <c r="CJ106" s="1793" t="s">
        <v>38</v>
      </c>
      <c r="CK106" s="1794"/>
      <c r="CL106" s="1796">
        <f t="shared" si="20"/>
        <v>0</v>
      </c>
      <c r="CM106" s="1796"/>
      <c r="CN106" s="1793" t="s">
        <v>38</v>
      </c>
      <c r="CO106" s="1794"/>
      <c r="CP106" s="1793">
        <f>BV106+BB106+AH106+N106</f>
        <v>0</v>
      </c>
      <c r="CQ106" s="1796"/>
      <c r="CR106" s="1793" t="s">
        <v>38</v>
      </c>
      <c r="CS106" s="1794"/>
      <c r="CT106" s="1793" t="s">
        <v>38</v>
      </c>
      <c r="CU106" s="1794"/>
      <c r="CV106" s="1793" t="s">
        <v>38</v>
      </c>
      <c r="CW106" s="1794"/>
      <c r="CX106" s="1827"/>
      <c r="CY106" s="1798"/>
      <c r="CZ106" s="1822"/>
      <c r="DA106" s="233"/>
      <c r="DB106" s="228"/>
      <c r="DC106" s="236"/>
      <c r="DD106" s="506"/>
      <c r="DE106" s="208"/>
      <c r="DF106" s="209"/>
      <c r="DG106" s="230"/>
      <c r="DH106" s="506"/>
      <c r="DI106" s="208"/>
      <c r="DJ106" s="209"/>
      <c r="DK106" s="230"/>
      <c r="DL106" s="506"/>
      <c r="DM106" s="909"/>
      <c r="DN106" s="209"/>
      <c r="DO106" s="230"/>
      <c r="DP106" s="910"/>
      <c r="DQ106" s="241"/>
      <c r="DR106" s="242"/>
      <c r="DS106" s="243"/>
      <c r="DT106" s="244"/>
      <c r="DU106" s="245"/>
      <c r="DV106" s="506"/>
      <c r="DW106" s="246"/>
      <c r="DX106" s="209"/>
      <c r="DY106" s="245"/>
      <c r="DZ106" s="231"/>
      <c r="EA106" s="246"/>
      <c r="EB106" s="209"/>
      <c r="EC106" s="230"/>
      <c r="ED106" s="231"/>
      <c r="EE106" s="246"/>
      <c r="EF106" s="209"/>
      <c r="EG106" s="245"/>
      <c r="EH106" s="248"/>
      <c r="EI106" s="249"/>
    </row>
    <row r="107" spans="1:139" ht="15.75" thickBot="1" x14ac:dyDescent="0.3">
      <c r="A107" s="1755"/>
      <c r="B107" s="2173" t="s">
        <v>118</v>
      </c>
      <c r="C107" s="2174"/>
      <c r="D107" s="1756"/>
      <c r="E107" s="1757"/>
      <c r="F107" s="1758"/>
      <c r="G107" s="1759"/>
      <c r="H107" s="336"/>
      <c r="I107" s="337"/>
      <c r="J107" s="686">
        <v>241007.4399413167</v>
      </c>
      <c r="K107" s="337"/>
      <c r="L107" s="686"/>
      <c r="M107" s="337"/>
      <c r="N107" s="686">
        <v>241007.4399413167</v>
      </c>
      <c r="O107" s="337"/>
      <c r="P107" s="686"/>
      <c r="Q107" s="337"/>
      <c r="R107" s="686">
        <v>0</v>
      </c>
      <c r="S107" s="337"/>
      <c r="T107" s="686"/>
      <c r="U107" s="337"/>
      <c r="V107" s="1760"/>
      <c r="W107" s="1761"/>
      <c r="X107" s="1799"/>
      <c r="Y107" s="1800"/>
      <c r="Z107" s="1801"/>
      <c r="AA107" s="1804"/>
      <c r="AB107" s="1805"/>
      <c r="AC107" s="1802"/>
      <c r="AD107" s="1804">
        <f t="shared" si="17"/>
        <v>247038.6847606822</v>
      </c>
      <c r="AE107" s="1804"/>
      <c r="AF107" s="1788" t="s">
        <v>38</v>
      </c>
      <c r="AG107" s="1787"/>
      <c r="AH107" s="1804">
        <f>AH108+AH109</f>
        <v>247038.6847606822</v>
      </c>
      <c r="AI107" s="1804"/>
      <c r="AJ107" s="1788" t="s">
        <v>38</v>
      </c>
      <c r="AK107" s="1787"/>
      <c r="AL107" s="1788" t="s">
        <v>38</v>
      </c>
      <c r="AM107" s="1787"/>
      <c r="AN107" s="1788" t="s">
        <v>38</v>
      </c>
      <c r="AO107" s="1787"/>
      <c r="AP107" s="1788" t="s">
        <v>38</v>
      </c>
      <c r="AQ107" s="1787"/>
      <c r="AR107" s="1799"/>
      <c r="AS107" s="1800"/>
      <c r="AT107" s="1801"/>
      <c r="AU107" s="1804"/>
      <c r="AV107" s="1805"/>
      <c r="AW107" s="1802"/>
      <c r="AX107" s="1804">
        <f t="shared" si="18"/>
        <v>245176.30496974144</v>
      </c>
      <c r="AY107" s="1804"/>
      <c r="AZ107" s="1788" t="s">
        <v>38</v>
      </c>
      <c r="BA107" s="1787"/>
      <c r="BB107" s="1804">
        <f>BB108+BB109</f>
        <v>245176.30496974144</v>
      </c>
      <c r="BC107" s="1804"/>
      <c r="BD107" s="1788" t="s">
        <v>38</v>
      </c>
      <c r="BE107" s="1787"/>
      <c r="BF107" s="1788" t="s">
        <v>38</v>
      </c>
      <c r="BG107" s="1787"/>
      <c r="BH107" s="1788" t="s">
        <v>38</v>
      </c>
      <c r="BI107" s="1787"/>
      <c r="BJ107" s="1788" t="s">
        <v>38</v>
      </c>
      <c r="BK107" s="1787"/>
      <c r="BL107" s="1799"/>
      <c r="BM107" s="1800"/>
      <c r="BN107" s="1801"/>
      <c r="BO107" s="1804"/>
      <c r="BP107" s="1805"/>
      <c r="BQ107" s="1802"/>
      <c r="BR107" s="1804">
        <f t="shared" si="19"/>
        <v>243440.57032825967</v>
      </c>
      <c r="BS107" s="1804"/>
      <c r="BT107" s="1788" t="s">
        <v>38</v>
      </c>
      <c r="BU107" s="1787"/>
      <c r="BV107" s="1804">
        <f>BV108+BV109</f>
        <v>243440.57032825967</v>
      </c>
      <c r="BW107" s="1804"/>
      <c r="BX107" s="1788" t="s">
        <v>38</v>
      </c>
      <c r="BY107" s="1787"/>
      <c r="BZ107" s="1788" t="s">
        <v>38</v>
      </c>
      <c r="CA107" s="1787"/>
      <c r="CB107" s="1788" t="s">
        <v>38</v>
      </c>
      <c r="CC107" s="1787"/>
      <c r="CD107" s="1788" t="s">
        <v>38</v>
      </c>
      <c r="CE107" s="1787"/>
      <c r="CF107" s="1799"/>
      <c r="CG107" s="1800"/>
      <c r="CH107" s="1801"/>
      <c r="CI107" s="1804"/>
      <c r="CJ107" s="1805"/>
      <c r="CK107" s="1802"/>
      <c r="CL107" s="1804">
        <f t="shared" si="20"/>
        <v>976663</v>
      </c>
      <c r="CM107" s="1804"/>
      <c r="CN107" s="1788" t="s">
        <v>38</v>
      </c>
      <c r="CO107" s="1787"/>
      <c r="CP107" s="1804">
        <f>CP108+CP109</f>
        <v>976663</v>
      </c>
      <c r="CQ107" s="1804"/>
      <c r="CR107" s="1788" t="s">
        <v>38</v>
      </c>
      <c r="CS107" s="1787"/>
      <c r="CT107" s="1788" t="s">
        <v>38</v>
      </c>
      <c r="CU107" s="1787"/>
      <c r="CV107" s="1788" t="s">
        <v>38</v>
      </c>
      <c r="CW107" s="1787"/>
      <c r="CX107" s="1788" t="s">
        <v>38</v>
      </c>
      <c r="CY107" s="1826"/>
      <c r="CZ107" s="1824"/>
      <c r="DA107" s="404"/>
      <c r="DB107" s="912"/>
      <c r="DC107" s="913"/>
      <c r="DD107" s="914"/>
      <c r="DE107" s="915"/>
      <c r="DF107" s="397"/>
      <c r="DG107" s="398"/>
      <c r="DH107" s="914"/>
      <c r="DI107" s="915"/>
      <c r="DJ107" s="397"/>
      <c r="DK107" s="398"/>
      <c r="DL107" s="914"/>
      <c r="DM107" s="916"/>
      <c r="DN107" s="397"/>
      <c r="DO107" s="398"/>
      <c r="DP107" s="917"/>
      <c r="DQ107" s="918"/>
      <c r="DR107" s="919"/>
      <c r="DS107" s="920"/>
      <c r="DT107" s="921"/>
      <c r="DU107" s="922"/>
      <c r="DV107" s="923"/>
      <c r="DW107" s="924"/>
      <c r="DX107" s="397"/>
      <c r="DY107" s="922"/>
      <c r="DZ107" s="399"/>
      <c r="EA107" s="924"/>
      <c r="EB107" s="397"/>
      <c r="EC107" s="398"/>
      <c r="ED107" s="399"/>
      <c r="EE107" s="924"/>
      <c r="EF107" s="397"/>
      <c r="EG107" s="922"/>
      <c r="EH107" s="925"/>
      <c r="EI107" s="926"/>
    </row>
    <row r="108" spans="1:139" x14ac:dyDescent="0.25">
      <c r="A108" s="1747"/>
      <c r="B108" s="2179" t="s">
        <v>125</v>
      </c>
      <c r="C108" s="2180"/>
      <c r="D108" s="1748">
        <v>2183</v>
      </c>
      <c r="E108" s="1749"/>
      <c r="F108" s="1750">
        <v>0.99954212454212454</v>
      </c>
      <c r="G108" s="1751"/>
      <c r="H108" s="379" t="s">
        <v>38</v>
      </c>
      <c r="I108" s="230"/>
      <c r="J108" s="406">
        <v>94975.439941316698</v>
      </c>
      <c r="K108" s="230"/>
      <c r="L108" s="406" t="s">
        <v>38</v>
      </c>
      <c r="M108" s="230"/>
      <c r="N108" s="379">
        <v>94975.439941316698</v>
      </c>
      <c r="O108" s="230"/>
      <c r="P108" s="406" t="s">
        <v>38</v>
      </c>
      <c r="Q108" s="230"/>
      <c r="R108" s="379">
        <v>0</v>
      </c>
      <c r="S108" s="230"/>
      <c r="T108" s="406" t="s">
        <v>38</v>
      </c>
      <c r="U108" s="230"/>
      <c r="V108" s="1752">
        <v>43.506843766063533</v>
      </c>
      <c r="W108" s="1753"/>
      <c r="X108" s="1789">
        <f>X15+X21+X30+X35+X41+X47+X52+X58+X73+X79+X85</f>
        <v>2184</v>
      </c>
      <c r="Y108" s="1790"/>
      <c r="Z108" s="1791">
        <f>X108/2184</f>
        <v>1</v>
      </c>
      <c r="AA108" s="1792"/>
      <c r="AB108" s="1793" t="s">
        <v>38</v>
      </c>
      <c r="AC108" s="1794"/>
      <c r="AD108" s="1796">
        <f t="shared" si="17"/>
        <v>101006.6847606822</v>
      </c>
      <c r="AE108" s="1796"/>
      <c r="AF108" s="1793" t="s">
        <v>38</v>
      </c>
      <c r="AG108" s="1794"/>
      <c r="AH108" s="1796">
        <f>AH15+AH21+AH30+AH35+AH41+AH47+AH52+AH58+AH73+AH79+AH85</f>
        <v>101006.6847606822</v>
      </c>
      <c r="AI108" s="1796"/>
      <c r="AJ108" s="1793" t="s">
        <v>38</v>
      </c>
      <c r="AK108" s="1794"/>
      <c r="AL108" s="1793" t="s">
        <v>38</v>
      </c>
      <c r="AM108" s="1794"/>
      <c r="AN108" s="1793" t="s">
        <v>38</v>
      </c>
      <c r="AO108" s="1794"/>
      <c r="AP108" s="1797">
        <f>AD108/X108</f>
        <v>46.248482033279394</v>
      </c>
      <c r="AQ108" s="1798"/>
      <c r="AR108" s="1789">
        <f>AR15+AR21+AR30+AR35+AR41+AR47+AR52+AR58+AR73+AR79+AR85</f>
        <v>2208</v>
      </c>
      <c r="AS108" s="1790"/>
      <c r="AT108" s="1791">
        <f>AR108/2208</f>
        <v>1</v>
      </c>
      <c r="AU108" s="1792"/>
      <c r="AV108" s="1793" t="s">
        <v>38</v>
      </c>
      <c r="AW108" s="1794"/>
      <c r="AX108" s="1796">
        <f t="shared" si="18"/>
        <v>99144.304969741424</v>
      </c>
      <c r="AY108" s="1796"/>
      <c r="AZ108" s="1793" t="s">
        <v>38</v>
      </c>
      <c r="BA108" s="1794"/>
      <c r="BB108" s="1796">
        <f>BB15+BB21+BB30+BB35+BB41+BB47+BB52+BB58+BB73+BB79+BB85</f>
        <v>99144.304969741424</v>
      </c>
      <c r="BC108" s="1796"/>
      <c r="BD108" s="1793" t="s">
        <v>38</v>
      </c>
      <c r="BE108" s="1794"/>
      <c r="BF108" s="1793" t="s">
        <v>38</v>
      </c>
      <c r="BG108" s="1794"/>
      <c r="BH108" s="1793" t="s">
        <v>38</v>
      </c>
      <c r="BI108" s="1794"/>
      <c r="BJ108" s="1797">
        <f>AX108/AR108</f>
        <v>44.902312033397386</v>
      </c>
      <c r="BK108" s="1798"/>
      <c r="BL108" s="1789">
        <f>BL15+BL21+BL30+BL35+BL41+BL47+BL52+BL58+BL73+BL79+BL85</f>
        <v>2208.9999999999991</v>
      </c>
      <c r="BM108" s="1790"/>
      <c r="BN108" s="1791">
        <f>BL108/2209</f>
        <v>0.99999999999999956</v>
      </c>
      <c r="BO108" s="1792"/>
      <c r="BP108" s="1793" t="s">
        <v>38</v>
      </c>
      <c r="BQ108" s="1794"/>
      <c r="BR108" s="1796">
        <f t="shared" si="19"/>
        <v>97408.570328259666</v>
      </c>
      <c r="BS108" s="1796"/>
      <c r="BT108" s="1793" t="s">
        <v>38</v>
      </c>
      <c r="BU108" s="1794"/>
      <c r="BV108" s="1796">
        <f>BV15+BV21+BV30+BV35+BV41+BV47+BV52+BV58+BV73+BV79+BV85</f>
        <v>97408.570328259666</v>
      </c>
      <c r="BW108" s="1796"/>
      <c r="BX108" s="1793" t="s">
        <v>38</v>
      </c>
      <c r="BY108" s="1794"/>
      <c r="BZ108" s="1793" t="s">
        <v>38</v>
      </c>
      <c r="CA108" s="1794"/>
      <c r="CB108" s="1793" t="s">
        <v>38</v>
      </c>
      <c r="CC108" s="1794"/>
      <c r="CD108" s="1797">
        <f>BR108/BL108</f>
        <v>44.096229211525447</v>
      </c>
      <c r="CE108" s="1798"/>
      <c r="CF108" s="1789">
        <f>CF15+CF21+CF30+CF35+CF41+CF47+CF52+CF58+CF73+CF79+CF85</f>
        <v>8783.9999999999982</v>
      </c>
      <c r="CG108" s="1790"/>
      <c r="CH108" s="1791">
        <f>CF108/8784</f>
        <v>0.99999999999999978</v>
      </c>
      <c r="CI108" s="1792"/>
      <c r="CJ108" s="1793" t="s">
        <v>38</v>
      </c>
      <c r="CK108" s="1794"/>
      <c r="CL108" s="1796">
        <f t="shared" si="20"/>
        <v>392535</v>
      </c>
      <c r="CM108" s="1796"/>
      <c r="CN108" s="1793" t="s">
        <v>38</v>
      </c>
      <c r="CO108" s="1794"/>
      <c r="CP108" s="1796">
        <f>CP15+CP21+CP30+CP35+CP41+CP47+CP52+CP58+CP73+CP79+CP85</f>
        <v>392535</v>
      </c>
      <c r="CQ108" s="1796"/>
      <c r="CR108" s="1793" t="s">
        <v>38</v>
      </c>
      <c r="CS108" s="1794"/>
      <c r="CT108" s="1793" t="s">
        <v>38</v>
      </c>
      <c r="CU108" s="1794"/>
      <c r="CV108" s="1793" t="s">
        <v>38</v>
      </c>
      <c r="CW108" s="1794"/>
      <c r="CX108" s="1827">
        <f>CL108/CF108</f>
        <v>44.687500000000007</v>
      </c>
      <c r="CY108" s="1798"/>
    </row>
    <row r="109" spans="1:139" x14ac:dyDescent="0.25">
      <c r="A109" s="1747"/>
      <c r="B109" s="2179" t="s">
        <v>117</v>
      </c>
      <c r="C109" s="2180"/>
      <c r="D109" s="1748" t="s">
        <v>38</v>
      </c>
      <c r="E109" s="1749"/>
      <c r="F109" s="1750" t="s">
        <v>38</v>
      </c>
      <c r="G109" s="1751"/>
      <c r="H109" s="379" t="s">
        <v>38</v>
      </c>
      <c r="I109" s="230"/>
      <c r="J109" s="406">
        <v>146032</v>
      </c>
      <c r="K109" s="230"/>
      <c r="L109" s="406" t="s">
        <v>38</v>
      </c>
      <c r="M109" s="230"/>
      <c r="N109" s="379">
        <v>146032</v>
      </c>
      <c r="O109" s="230"/>
      <c r="P109" s="406" t="s">
        <v>38</v>
      </c>
      <c r="Q109" s="230"/>
      <c r="R109" s="379">
        <v>0</v>
      </c>
      <c r="S109" s="230"/>
      <c r="T109" s="406" t="s">
        <v>38</v>
      </c>
      <c r="U109" s="230"/>
      <c r="V109" s="1754" t="s">
        <v>38</v>
      </c>
      <c r="W109" s="1754"/>
      <c r="X109" s="1789"/>
      <c r="Y109" s="1790"/>
      <c r="Z109" s="1791"/>
      <c r="AA109" s="1796"/>
      <c r="AB109" s="1793" t="s">
        <v>38</v>
      </c>
      <c r="AC109" s="1794"/>
      <c r="AD109" s="1796">
        <f t="shared" si="17"/>
        <v>146032</v>
      </c>
      <c r="AE109" s="1796"/>
      <c r="AF109" s="1793" t="s">
        <v>38</v>
      </c>
      <c r="AG109" s="1794"/>
      <c r="AH109" s="1796">
        <v>146032</v>
      </c>
      <c r="AI109" s="1796"/>
      <c r="AJ109" s="1793" t="s">
        <v>38</v>
      </c>
      <c r="AK109" s="1794"/>
      <c r="AL109" s="1793" t="s">
        <v>38</v>
      </c>
      <c r="AM109" s="1794"/>
      <c r="AN109" s="1793" t="s">
        <v>38</v>
      </c>
      <c r="AO109" s="1794"/>
      <c r="AP109" s="1797"/>
      <c r="AQ109" s="1798"/>
      <c r="AR109" s="1789"/>
      <c r="AS109" s="1790"/>
      <c r="AT109" s="1791"/>
      <c r="AU109" s="1796"/>
      <c r="AV109" s="1793" t="s">
        <v>38</v>
      </c>
      <c r="AW109" s="1794"/>
      <c r="AX109" s="1796">
        <f t="shared" si="18"/>
        <v>146032</v>
      </c>
      <c r="AY109" s="1796"/>
      <c r="AZ109" s="1793" t="s">
        <v>38</v>
      </c>
      <c r="BA109" s="1794"/>
      <c r="BB109" s="1796">
        <v>146032</v>
      </c>
      <c r="BC109" s="1796"/>
      <c r="BD109" s="1793" t="s">
        <v>38</v>
      </c>
      <c r="BE109" s="1794"/>
      <c r="BF109" s="1793" t="s">
        <v>38</v>
      </c>
      <c r="BG109" s="1794"/>
      <c r="BH109" s="1793" t="s">
        <v>38</v>
      </c>
      <c r="BI109" s="1794"/>
      <c r="BJ109" s="1797"/>
      <c r="BK109" s="1798"/>
      <c r="BL109" s="1789"/>
      <c r="BM109" s="1790"/>
      <c r="BN109" s="1791"/>
      <c r="BO109" s="1796"/>
      <c r="BP109" s="1793" t="s">
        <v>38</v>
      </c>
      <c r="BQ109" s="1794"/>
      <c r="BR109" s="1796">
        <f t="shared" si="19"/>
        <v>146032</v>
      </c>
      <c r="BS109" s="1796"/>
      <c r="BT109" s="1793" t="s">
        <v>38</v>
      </c>
      <c r="BU109" s="1794"/>
      <c r="BV109" s="1796">
        <v>146032</v>
      </c>
      <c r="BW109" s="1796"/>
      <c r="BX109" s="1793" t="s">
        <v>38</v>
      </c>
      <c r="BY109" s="1794"/>
      <c r="BZ109" s="1793" t="s">
        <v>38</v>
      </c>
      <c r="CA109" s="1794"/>
      <c r="CB109" s="1793" t="s">
        <v>38</v>
      </c>
      <c r="CC109" s="1794"/>
      <c r="CD109" s="1797"/>
      <c r="CE109" s="1798"/>
      <c r="CF109" s="1789"/>
      <c r="CG109" s="1790"/>
      <c r="CH109" s="1791"/>
      <c r="CI109" s="1796"/>
      <c r="CJ109" s="1793" t="s">
        <v>38</v>
      </c>
      <c r="CK109" s="1794"/>
      <c r="CL109" s="1796">
        <f t="shared" si="20"/>
        <v>584128</v>
      </c>
      <c r="CM109" s="1796"/>
      <c r="CN109" s="1793" t="s">
        <v>38</v>
      </c>
      <c r="CO109" s="1794"/>
      <c r="CP109" s="1793">
        <f>BV109+BB109+AH109+N109</f>
        <v>584128</v>
      </c>
      <c r="CQ109" s="1796"/>
      <c r="CR109" s="1793" t="s">
        <v>38</v>
      </c>
      <c r="CS109" s="1794"/>
      <c r="CT109" s="1793" t="s">
        <v>38</v>
      </c>
      <c r="CU109" s="1794"/>
      <c r="CV109" s="1793" t="s">
        <v>38</v>
      </c>
      <c r="CW109" s="1794"/>
      <c r="CX109" s="1827"/>
      <c r="CY109" s="1798"/>
    </row>
    <row r="110" spans="1:139" x14ac:dyDescent="0.25">
      <c r="A110" s="1755"/>
      <c r="B110" s="2173" t="s">
        <v>119</v>
      </c>
      <c r="C110" s="2174"/>
      <c r="D110" s="1756"/>
      <c r="E110" s="1757"/>
      <c r="F110" s="1758"/>
      <c r="G110" s="1759"/>
      <c r="H110" s="336"/>
      <c r="I110" s="337"/>
      <c r="J110" s="686">
        <v>300738.09999999998</v>
      </c>
      <c r="K110" s="337"/>
      <c r="L110" s="686"/>
      <c r="M110" s="337"/>
      <c r="N110" s="686">
        <v>300738.09999999998</v>
      </c>
      <c r="O110" s="337"/>
      <c r="P110" s="686"/>
      <c r="Q110" s="337"/>
      <c r="R110" s="686">
        <v>0</v>
      </c>
      <c r="S110" s="337"/>
      <c r="T110" s="686"/>
      <c r="U110" s="337"/>
      <c r="V110" s="1760"/>
      <c r="W110" s="1761"/>
      <c r="X110" s="1799"/>
      <c r="Y110" s="1800"/>
      <c r="Z110" s="1801"/>
      <c r="AA110" s="1804"/>
      <c r="AB110" s="1805"/>
      <c r="AC110" s="1802"/>
      <c r="AD110" s="1804">
        <f t="shared" si="17"/>
        <v>271791.8</v>
      </c>
      <c r="AE110" s="1804"/>
      <c r="AF110" s="1788" t="s">
        <v>38</v>
      </c>
      <c r="AG110" s="1787"/>
      <c r="AH110" s="1804">
        <f>AH111+AH112</f>
        <v>271791.8</v>
      </c>
      <c r="AI110" s="1804"/>
      <c r="AJ110" s="1788" t="s">
        <v>38</v>
      </c>
      <c r="AK110" s="1787"/>
      <c r="AL110" s="1788" t="s">
        <v>38</v>
      </c>
      <c r="AM110" s="1787"/>
      <c r="AN110" s="1788" t="s">
        <v>38</v>
      </c>
      <c r="AO110" s="1787"/>
      <c r="AP110" s="1788" t="s">
        <v>38</v>
      </c>
      <c r="AQ110" s="1787"/>
      <c r="AR110" s="1799"/>
      <c r="AS110" s="1800"/>
      <c r="AT110" s="1801"/>
      <c r="AU110" s="1804"/>
      <c r="AV110" s="1805"/>
      <c r="AW110" s="1802"/>
      <c r="AX110" s="1804">
        <f t="shared" si="18"/>
        <v>248796.2</v>
      </c>
      <c r="AY110" s="1804"/>
      <c r="AZ110" s="1788" t="s">
        <v>38</v>
      </c>
      <c r="BA110" s="1787"/>
      <c r="BB110" s="1804">
        <f>BB111+BB112</f>
        <v>248796.2</v>
      </c>
      <c r="BC110" s="1804"/>
      <c r="BD110" s="1788" t="s">
        <v>38</v>
      </c>
      <c r="BE110" s="1787"/>
      <c r="BF110" s="1788" t="s">
        <v>38</v>
      </c>
      <c r="BG110" s="1787"/>
      <c r="BH110" s="1788" t="s">
        <v>38</v>
      </c>
      <c r="BI110" s="1787"/>
      <c r="BJ110" s="1788" t="s">
        <v>38</v>
      </c>
      <c r="BK110" s="1787"/>
      <c r="BL110" s="1799"/>
      <c r="BM110" s="1800"/>
      <c r="BN110" s="1801"/>
      <c r="BO110" s="1804"/>
      <c r="BP110" s="1805"/>
      <c r="BQ110" s="1802"/>
      <c r="BR110" s="1804">
        <f t="shared" si="19"/>
        <v>253127.8</v>
      </c>
      <c r="BS110" s="1804"/>
      <c r="BT110" s="1788" t="s">
        <v>38</v>
      </c>
      <c r="BU110" s="1787"/>
      <c r="BV110" s="1804">
        <f>BV111+BV112</f>
        <v>253127.8</v>
      </c>
      <c r="BW110" s="1804"/>
      <c r="BX110" s="1788" t="s">
        <v>38</v>
      </c>
      <c r="BY110" s="1787"/>
      <c r="BZ110" s="1788" t="s">
        <v>38</v>
      </c>
      <c r="CA110" s="1787"/>
      <c r="CB110" s="1788" t="s">
        <v>38</v>
      </c>
      <c r="CC110" s="1787"/>
      <c r="CD110" s="1788" t="s">
        <v>38</v>
      </c>
      <c r="CE110" s="1787"/>
      <c r="CF110" s="1799"/>
      <c r="CG110" s="1800"/>
      <c r="CH110" s="1801"/>
      <c r="CI110" s="1804"/>
      <c r="CJ110" s="1805"/>
      <c r="CK110" s="1802"/>
      <c r="CL110" s="1804">
        <f t="shared" si="20"/>
        <v>1074453.8999999999</v>
      </c>
      <c r="CM110" s="1804"/>
      <c r="CN110" s="1788" t="s">
        <v>38</v>
      </c>
      <c r="CO110" s="1787"/>
      <c r="CP110" s="1804">
        <f>CP111+CP112</f>
        <v>1074453.8999999999</v>
      </c>
      <c r="CQ110" s="1804"/>
      <c r="CR110" s="1788" t="s">
        <v>38</v>
      </c>
      <c r="CS110" s="1787"/>
      <c r="CT110" s="1788" t="s">
        <v>38</v>
      </c>
      <c r="CU110" s="1787"/>
      <c r="CV110" s="1788" t="s">
        <v>38</v>
      </c>
      <c r="CW110" s="1787"/>
      <c r="CX110" s="1788" t="s">
        <v>38</v>
      </c>
      <c r="CY110" s="1826"/>
      <c r="CZ110" s="429"/>
      <c r="DA110" s="429"/>
      <c r="DD110" s="429"/>
      <c r="DE110" s="429"/>
      <c r="DF110" s="429"/>
      <c r="DG110" s="429"/>
      <c r="DH110" s="429"/>
      <c r="DI110" s="429"/>
      <c r="DJ110" s="429"/>
      <c r="DK110" s="429"/>
      <c r="DL110" s="429"/>
      <c r="DM110" s="429"/>
      <c r="DN110" s="429"/>
      <c r="DO110" s="429"/>
      <c r="DP110" s="429"/>
      <c r="DQ110" s="429"/>
    </row>
    <row r="111" spans="1:139" x14ac:dyDescent="0.25">
      <c r="A111" s="1747"/>
      <c r="B111" s="2179" t="s">
        <v>125</v>
      </c>
      <c r="C111" s="2180"/>
      <c r="D111" s="1748">
        <v>2183.0000000000005</v>
      </c>
      <c r="E111" s="1749"/>
      <c r="F111" s="1750">
        <v>0.99954212454212477</v>
      </c>
      <c r="G111" s="1751"/>
      <c r="H111" s="379" t="s">
        <v>38</v>
      </c>
      <c r="I111" s="230"/>
      <c r="J111" s="406">
        <v>214305.1</v>
      </c>
      <c r="K111" s="230"/>
      <c r="L111" s="406" t="s">
        <v>38</v>
      </c>
      <c r="M111" s="230"/>
      <c r="N111" s="379">
        <v>214305.1</v>
      </c>
      <c r="O111" s="230"/>
      <c r="P111" s="406" t="s">
        <v>38</v>
      </c>
      <c r="Q111" s="230"/>
      <c r="R111" s="379">
        <v>0</v>
      </c>
      <c r="S111" s="230"/>
      <c r="T111" s="406" t="s">
        <v>38</v>
      </c>
      <c r="U111" s="230"/>
      <c r="V111" s="1752">
        <v>98.169995419147938</v>
      </c>
      <c r="W111" s="1753"/>
      <c r="X111" s="1789">
        <f>X16+X22+X36+X42+X53+X59+X69+X74+X80+X86</f>
        <v>2184</v>
      </c>
      <c r="Y111" s="1790"/>
      <c r="Z111" s="1791">
        <f>X111/2184</f>
        <v>1</v>
      </c>
      <c r="AA111" s="1792"/>
      <c r="AB111" s="1793" t="s">
        <v>38</v>
      </c>
      <c r="AC111" s="1794"/>
      <c r="AD111" s="1796">
        <f t="shared" si="17"/>
        <v>185358.8</v>
      </c>
      <c r="AE111" s="1796"/>
      <c r="AF111" s="1793" t="s">
        <v>38</v>
      </c>
      <c r="AG111" s="1794"/>
      <c r="AH111" s="1796">
        <f>AH16+AH22+AH36+AH42+AH53+AH59+AH69+AH74+AH80+AH86</f>
        <v>185358.8</v>
      </c>
      <c r="AI111" s="1796"/>
      <c r="AJ111" s="1793" t="s">
        <v>38</v>
      </c>
      <c r="AK111" s="1794"/>
      <c r="AL111" s="1793" t="s">
        <v>38</v>
      </c>
      <c r="AM111" s="1794"/>
      <c r="AN111" s="1793" t="s">
        <v>38</v>
      </c>
      <c r="AO111" s="1794"/>
      <c r="AP111" s="1797">
        <f>AD111/X111</f>
        <v>84.871245421245419</v>
      </c>
      <c r="AQ111" s="1798"/>
      <c r="AR111" s="1789">
        <f>AR16+AR22+AR36+AR42+AR53+AR59+AR69+AR74+AR80+AR86</f>
        <v>2208.0000000000005</v>
      </c>
      <c r="AS111" s="1790"/>
      <c r="AT111" s="1791">
        <f>AR111/2208</f>
        <v>1.0000000000000002</v>
      </c>
      <c r="AU111" s="1792"/>
      <c r="AV111" s="1793" t="s">
        <v>38</v>
      </c>
      <c r="AW111" s="1794"/>
      <c r="AX111" s="1796">
        <f t="shared" si="18"/>
        <v>162363.20000000001</v>
      </c>
      <c r="AY111" s="1796"/>
      <c r="AZ111" s="1793" t="s">
        <v>38</v>
      </c>
      <c r="BA111" s="1794"/>
      <c r="BB111" s="1796">
        <f>BB16+BB22+BB36+BB42+BB53+BB59+BB69+BB74+BB80+BB86</f>
        <v>162363.20000000001</v>
      </c>
      <c r="BC111" s="1796"/>
      <c r="BD111" s="1793" t="s">
        <v>38</v>
      </c>
      <c r="BE111" s="1794"/>
      <c r="BF111" s="1793" t="s">
        <v>38</v>
      </c>
      <c r="BG111" s="1794"/>
      <c r="BH111" s="1793" t="s">
        <v>38</v>
      </c>
      <c r="BI111" s="1794"/>
      <c r="BJ111" s="1797">
        <f>AX111/AR111</f>
        <v>73.534057971014477</v>
      </c>
      <c r="BK111" s="1798"/>
      <c r="BL111" s="1789">
        <f>BL16+BL22+BL36+BL42+BL53+BL59+BL69+BL74+BL80+BL86</f>
        <v>2208.9999999999995</v>
      </c>
      <c r="BM111" s="1790"/>
      <c r="BN111" s="1791">
        <f>BL111/2209</f>
        <v>0.99999999999999978</v>
      </c>
      <c r="BO111" s="1792"/>
      <c r="BP111" s="1793" t="s">
        <v>38</v>
      </c>
      <c r="BQ111" s="1794"/>
      <c r="BR111" s="1796">
        <f t="shared" si="19"/>
        <v>166694.79999999999</v>
      </c>
      <c r="BS111" s="1796"/>
      <c r="BT111" s="1793" t="s">
        <v>38</v>
      </c>
      <c r="BU111" s="1794"/>
      <c r="BV111" s="1796">
        <f>BV16+BV22+BV36+BV42+BV53+BV59+BV69+BV74+BV80+BV86</f>
        <v>166694.79999999999</v>
      </c>
      <c r="BW111" s="1796"/>
      <c r="BX111" s="1793" t="s">
        <v>38</v>
      </c>
      <c r="BY111" s="1794"/>
      <c r="BZ111" s="1793" t="s">
        <v>38</v>
      </c>
      <c r="CA111" s="1794"/>
      <c r="CB111" s="1793" t="s">
        <v>38</v>
      </c>
      <c r="CC111" s="1794"/>
      <c r="CD111" s="1797">
        <f>BR111/BL111</f>
        <v>75.461656858306938</v>
      </c>
      <c r="CE111" s="1798"/>
      <c r="CF111" s="1789">
        <f>CF16+CF22+CF36+CF42+CF53+CF59+CF69+CF74+CF80+CF86</f>
        <v>8784.0000000000018</v>
      </c>
      <c r="CG111" s="1790"/>
      <c r="CH111" s="1791">
        <f>CF111/8784</f>
        <v>1.0000000000000002</v>
      </c>
      <c r="CI111" s="1792"/>
      <c r="CJ111" s="1793" t="s">
        <v>38</v>
      </c>
      <c r="CK111" s="1794"/>
      <c r="CL111" s="1796">
        <f t="shared" si="20"/>
        <v>728721.9</v>
      </c>
      <c r="CM111" s="1796"/>
      <c r="CN111" s="1793" t="s">
        <v>38</v>
      </c>
      <c r="CO111" s="1794"/>
      <c r="CP111" s="1796">
        <f>CP16+CP22+CP36+CP42+CP53+CP59+CP69+CP74+CP80+CP86</f>
        <v>728721.9</v>
      </c>
      <c r="CQ111" s="1796"/>
      <c r="CR111" s="1793" t="s">
        <v>38</v>
      </c>
      <c r="CS111" s="1794"/>
      <c r="CT111" s="1793" t="s">
        <v>38</v>
      </c>
      <c r="CU111" s="1794"/>
      <c r="CV111" s="1793" t="s">
        <v>38</v>
      </c>
      <c r="CW111" s="1794"/>
      <c r="CX111" s="1827">
        <f>CL111/CF111</f>
        <v>82.960143442622936</v>
      </c>
      <c r="CY111" s="1798"/>
      <c r="CZ111" s="429"/>
      <c r="DA111" s="429"/>
      <c r="DD111" s="429"/>
      <c r="DE111" s="429"/>
      <c r="DF111" s="429"/>
      <c r="DG111" s="429"/>
      <c r="DH111" s="429"/>
      <c r="DI111" s="429"/>
      <c r="DJ111" s="429"/>
      <c r="DK111" s="429"/>
      <c r="DL111" s="429"/>
      <c r="DM111" s="429"/>
      <c r="DN111" s="429"/>
      <c r="DO111" s="429"/>
      <c r="DP111" s="429"/>
      <c r="DQ111" s="429"/>
    </row>
    <row r="112" spans="1:139" x14ac:dyDescent="0.25">
      <c r="A112" s="1747"/>
      <c r="B112" s="2179" t="s">
        <v>117</v>
      </c>
      <c r="C112" s="2180"/>
      <c r="D112" s="1748" t="s">
        <v>38</v>
      </c>
      <c r="E112" s="1749"/>
      <c r="F112" s="1750" t="s">
        <v>38</v>
      </c>
      <c r="G112" s="1751"/>
      <c r="H112" s="379" t="s">
        <v>38</v>
      </c>
      <c r="I112" s="230"/>
      <c r="J112" s="406">
        <v>86433</v>
      </c>
      <c r="K112" s="230"/>
      <c r="L112" s="406" t="s">
        <v>38</v>
      </c>
      <c r="M112" s="230"/>
      <c r="N112" s="379">
        <v>86433</v>
      </c>
      <c r="O112" s="230"/>
      <c r="P112" s="406" t="s">
        <v>38</v>
      </c>
      <c r="Q112" s="230"/>
      <c r="R112" s="379">
        <v>0</v>
      </c>
      <c r="S112" s="230"/>
      <c r="T112" s="406" t="s">
        <v>38</v>
      </c>
      <c r="U112" s="230"/>
      <c r="V112" s="1754" t="s">
        <v>38</v>
      </c>
      <c r="W112" s="1754"/>
      <c r="X112" s="1789"/>
      <c r="Y112" s="1790"/>
      <c r="Z112" s="1791"/>
      <c r="AA112" s="1796"/>
      <c r="AB112" s="1793" t="s">
        <v>38</v>
      </c>
      <c r="AC112" s="1794"/>
      <c r="AD112" s="1796">
        <f t="shared" si="17"/>
        <v>86433</v>
      </c>
      <c r="AE112" s="1796"/>
      <c r="AF112" s="1793" t="s">
        <v>38</v>
      </c>
      <c r="AG112" s="1794"/>
      <c r="AH112" s="1796">
        <v>86433</v>
      </c>
      <c r="AI112" s="1796"/>
      <c r="AJ112" s="1793" t="s">
        <v>38</v>
      </c>
      <c r="AK112" s="1794"/>
      <c r="AL112" s="1793" t="s">
        <v>38</v>
      </c>
      <c r="AM112" s="1794"/>
      <c r="AN112" s="1793" t="s">
        <v>38</v>
      </c>
      <c r="AO112" s="1794"/>
      <c r="AP112" s="1797"/>
      <c r="AQ112" s="1798"/>
      <c r="AR112" s="1789"/>
      <c r="AS112" s="1790"/>
      <c r="AT112" s="1791"/>
      <c r="AU112" s="1796"/>
      <c r="AV112" s="1793" t="s">
        <v>38</v>
      </c>
      <c r="AW112" s="1794"/>
      <c r="AX112" s="1796">
        <f t="shared" si="18"/>
        <v>86433</v>
      </c>
      <c r="AY112" s="1796"/>
      <c r="AZ112" s="1793" t="s">
        <v>38</v>
      </c>
      <c r="BA112" s="1794"/>
      <c r="BB112" s="1796">
        <v>86433</v>
      </c>
      <c r="BC112" s="1796"/>
      <c r="BD112" s="1793" t="s">
        <v>38</v>
      </c>
      <c r="BE112" s="1794"/>
      <c r="BF112" s="1793" t="s">
        <v>38</v>
      </c>
      <c r="BG112" s="1794"/>
      <c r="BH112" s="1793" t="s">
        <v>38</v>
      </c>
      <c r="BI112" s="1794"/>
      <c r="BJ112" s="1797"/>
      <c r="BK112" s="1798"/>
      <c r="BL112" s="1789"/>
      <c r="BM112" s="1790"/>
      <c r="BN112" s="1791"/>
      <c r="BO112" s="1796"/>
      <c r="BP112" s="1793" t="s">
        <v>38</v>
      </c>
      <c r="BQ112" s="1794"/>
      <c r="BR112" s="1796">
        <f t="shared" si="19"/>
        <v>86433</v>
      </c>
      <c r="BS112" s="1796"/>
      <c r="BT112" s="1793" t="s">
        <v>38</v>
      </c>
      <c r="BU112" s="1794"/>
      <c r="BV112" s="1796">
        <v>86433</v>
      </c>
      <c r="BW112" s="1796"/>
      <c r="BX112" s="1793" t="s">
        <v>38</v>
      </c>
      <c r="BY112" s="1794"/>
      <c r="BZ112" s="1793" t="s">
        <v>38</v>
      </c>
      <c r="CA112" s="1794"/>
      <c r="CB112" s="1793" t="s">
        <v>38</v>
      </c>
      <c r="CC112" s="1794"/>
      <c r="CD112" s="1797"/>
      <c r="CE112" s="1798"/>
      <c r="CF112" s="1789"/>
      <c r="CG112" s="1790"/>
      <c r="CH112" s="1791"/>
      <c r="CI112" s="1796"/>
      <c r="CJ112" s="1793" t="s">
        <v>38</v>
      </c>
      <c r="CK112" s="1794"/>
      <c r="CL112" s="1796">
        <f t="shared" si="20"/>
        <v>345732</v>
      </c>
      <c r="CM112" s="1796"/>
      <c r="CN112" s="1793" t="s">
        <v>38</v>
      </c>
      <c r="CO112" s="1794"/>
      <c r="CP112" s="1793">
        <f>BV112+BB112+AH112+N112</f>
        <v>345732</v>
      </c>
      <c r="CQ112" s="1796"/>
      <c r="CR112" s="1793" t="s">
        <v>38</v>
      </c>
      <c r="CS112" s="1794"/>
      <c r="CT112" s="1793" t="s">
        <v>38</v>
      </c>
      <c r="CU112" s="1794"/>
      <c r="CV112" s="1793" t="s">
        <v>38</v>
      </c>
      <c r="CW112" s="1794"/>
      <c r="CX112" s="1827"/>
      <c r="CY112" s="1798"/>
      <c r="CZ112" s="429"/>
      <c r="DA112" s="429"/>
      <c r="DD112" s="429"/>
      <c r="DE112" s="429"/>
      <c r="DF112" s="429"/>
      <c r="DG112" s="429"/>
      <c r="DH112" s="429"/>
      <c r="DI112" s="429"/>
      <c r="DJ112" s="429"/>
      <c r="DK112" s="429"/>
      <c r="DL112" s="429"/>
      <c r="DM112" s="429"/>
      <c r="DN112" s="429"/>
      <c r="DO112" s="429"/>
      <c r="DP112" s="429"/>
      <c r="DQ112" s="429"/>
    </row>
    <row r="113" spans="1:139" x14ac:dyDescent="0.25">
      <c r="A113" s="1755"/>
      <c r="B113" s="2173" t="s">
        <v>120</v>
      </c>
      <c r="C113" s="2174"/>
      <c r="D113" s="1756"/>
      <c r="E113" s="1757"/>
      <c r="F113" s="1758"/>
      <c r="G113" s="1759"/>
      <c r="H113" s="336"/>
      <c r="I113" s="337"/>
      <c r="J113" s="686">
        <v>369501.2</v>
      </c>
      <c r="K113" s="337"/>
      <c r="L113" s="686"/>
      <c r="M113" s="337"/>
      <c r="N113" s="686">
        <v>363692.2</v>
      </c>
      <c r="O113" s="337"/>
      <c r="P113" s="686"/>
      <c r="Q113" s="337"/>
      <c r="R113" s="686">
        <v>5809</v>
      </c>
      <c r="S113" s="337"/>
      <c r="T113" s="686"/>
      <c r="U113" s="337"/>
      <c r="V113" s="1760"/>
      <c r="W113" s="1761"/>
      <c r="X113" s="1799"/>
      <c r="Y113" s="1800"/>
      <c r="Z113" s="1801"/>
      <c r="AA113" s="1804"/>
      <c r="AB113" s="1805"/>
      <c r="AC113" s="1802"/>
      <c r="AD113" s="1804">
        <f>AD114+AD115</f>
        <v>356856</v>
      </c>
      <c r="AE113" s="1804"/>
      <c r="AF113" s="1788" t="s">
        <v>38</v>
      </c>
      <c r="AG113" s="1787"/>
      <c r="AH113" s="1804">
        <f>AH115+AH114</f>
        <v>351047</v>
      </c>
      <c r="AI113" s="1804"/>
      <c r="AJ113" s="1788" t="s">
        <v>38</v>
      </c>
      <c r="AK113" s="1787"/>
      <c r="AL113" s="1805">
        <f>AL114</f>
        <v>5809</v>
      </c>
      <c r="AM113" s="1802"/>
      <c r="AN113" s="1788" t="s">
        <v>38</v>
      </c>
      <c r="AO113" s="1787"/>
      <c r="AP113" s="1788" t="s">
        <v>38</v>
      </c>
      <c r="AQ113" s="1787"/>
      <c r="AR113" s="1799"/>
      <c r="AS113" s="1800"/>
      <c r="AT113" s="1801"/>
      <c r="AU113" s="1804"/>
      <c r="AV113" s="1805"/>
      <c r="AW113" s="1802"/>
      <c r="AX113" s="1804">
        <f>AX114+AX115</f>
        <v>379277.2</v>
      </c>
      <c r="AY113" s="1804"/>
      <c r="AZ113" s="1788" t="s">
        <v>38</v>
      </c>
      <c r="BA113" s="1787"/>
      <c r="BB113" s="1804">
        <f>BB115+BB114</f>
        <v>371185.2</v>
      </c>
      <c r="BC113" s="1804"/>
      <c r="BD113" s="1788" t="s">
        <v>38</v>
      </c>
      <c r="BE113" s="1787"/>
      <c r="BF113" s="1805">
        <f>BF114</f>
        <v>8092</v>
      </c>
      <c r="BG113" s="1802"/>
      <c r="BH113" s="1788" t="s">
        <v>38</v>
      </c>
      <c r="BI113" s="1787"/>
      <c r="BJ113" s="1788" t="s">
        <v>38</v>
      </c>
      <c r="BK113" s="1787"/>
      <c r="BL113" s="1799"/>
      <c r="BM113" s="1800"/>
      <c r="BN113" s="1801"/>
      <c r="BO113" s="1804"/>
      <c r="BP113" s="1805"/>
      <c r="BQ113" s="1802"/>
      <c r="BR113" s="1804">
        <f>BR114+BR115</f>
        <v>378389.4</v>
      </c>
      <c r="BS113" s="1804"/>
      <c r="BT113" s="1788" t="s">
        <v>38</v>
      </c>
      <c r="BU113" s="1787"/>
      <c r="BV113" s="1804">
        <f>BV115+BV114</f>
        <v>372580.4</v>
      </c>
      <c r="BW113" s="1804"/>
      <c r="BX113" s="1788" t="s">
        <v>38</v>
      </c>
      <c r="BY113" s="1787"/>
      <c r="BZ113" s="1805">
        <f>BZ114</f>
        <v>5809</v>
      </c>
      <c r="CA113" s="1802"/>
      <c r="CB113" s="1788" t="s">
        <v>38</v>
      </c>
      <c r="CC113" s="1787"/>
      <c r="CD113" s="1788" t="s">
        <v>38</v>
      </c>
      <c r="CE113" s="1787"/>
      <c r="CF113" s="1799"/>
      <c r="CG113" s="1800"/>
      <c r="CH113" s="1801"/>
      <c r="CI113" s="1804"/>
      <c r="CJ113" s="1805"/>
      <c r="CK113" s="1802"/>
      <c r="CL113" s="1804">
        <f>CL114+CL115</f>
        <v>1484023.8</v>
      </c>
      <c r="CM113" s="1804"/>
      <c r="CN113" s="1788" t="s">
        <v>38</v>
      </c>
      <c r="CO113" s="1787"/>
      <c r="CP113" s="1804">
        <f>CP115+CP114</f>
        <v>1458504.8</v>
      </c>
      <c r="CQ113" s="1804"/>
      <c r="CR113" s="1788" t="s">
        <v>38</v>
      </c>
      <c r="CS113" s="1787"/>
      <c r="CT113" s="1805">
        <f>CT114</f>
        <v>25519</v>
      </c>
      <c r="CU113" s="1802"/>
      <c r="CV113" s="1788" t="s">
        <v>38</v>
      </c>
      <c r="CW113" s="1787"/>
      <c r="CX113" s="1788" t="s">
        <v>38</v>
      </c>
      <c r="CY113" s="1826"/>
      <c r="CZ113" s="429"/>
      <c r="DA113" s="429"/>
      <c r="DD113" s="429"/>
      <c r="DE113" s="429"/>
      <c r="DF113" s="429"/>
      <c r="DG113" s="429"/>
      <c r="DH113" s="429"/>
      <c r="DI113" s="429"/>
      <c r="DJ113" s="429"/>
      <c r="DK113" s="429"/>
      <c r="DL113" s="429"/>
      <c r="DM113" s="429"/>
      <c r="DN113" s="429"/>
      <c r="DO113" s="429"/>
      <c r="DP113" s="429"/>
      <c r="DQ113" s="429"/>
    </row>
    <row r="114" spans="1:139" x14ac:dyDescent="0.25">
      <c r="A114" s="1747"/>
      <c r="B114" s="2179" t="s">
        <v>125</v>
      </c>
      <c r="C114" s="2180"/>
      <c r="D114" s="1748">
        <v>2183</v>
      </c>
      <c r="E114" s="1749"/>
      <c r="F114" s="1750">
        <v>0.99954212454212454</v>
      </c>
      <c r="G114" s="1751"/>
      <c r="H114" s="379" t="s">
        <v>38</v>
      </c>
      <c r="I114" s="230"/>
      <c r="J114" s="406">
        <v>294974.2</v>
      </c>
      <c r="K114" s="230"/>
      <c r="L114" s="406" t="s">
        <v>38</v>
      </c>
      <c r="M114" s="230"/>
      <c r="N114" s="379">
        <v>289165.2</v>
      </c>
      <c r="O114" s="230"/>
      <c r="P114" s="406" t="s">
        <v>38</v>
      </c>
      <c r="Q114" s="230"/>
      <c r="R114" s="379">
        <v>5809</v>
      </c>
      <c r="S114" s="230"/>
      <c r="T114" s="406" t="s">
        <v>38</v>
      </c>
      <c r="U114" s="230"/>
      <c r="V114" s="1752">
        <v>135.12331653687588</v>
      </c>
      <c r="W114" s="1753"/>
      <c r="X114" s="1789">
        <f>X17+X23+X31+X37+X43+X48+X54+X60+X70+X75+X81+X87+X68</f>
        <v>2184</v>
      </c>
      <c r="Y114" s="1790"/>
      <c r="Z114" s="1791">
        <f>X114/2184</f>
        <v>1</v>
      </c>
      <c r="AA114" s="1792"/>
      <c r="AB114" s="1793" t="s">
        <v>38</v>
      </c>
      <c r="AC114" s="1794"/>
      <c r="AD114" s="1796">
        <f>AH114+AL114</f>
        <v>282329</v>
      </c>
      <c r="AE114" s="1796"/>
      <c r="AF114" s="1793" t="s">
        <v>38</v>
      </c>
      <c r="AG114" s="1794"/>
      <c r="AH114" s="1796">
        <f>AH17+AH23+AH31+AH37+AH43+AH48+AH54+AH60+AH70+AH75+AH81+AH87+AH68</f>
        <v>276520</v>
      </c>
      <c r="AI114" s="1796"/>
      <c r="AJ114" s="1793" t="s">
        <v>38</v>
      </c>
      <c r="AK114" s="1794"/>
      <c r="AL114" s="1793">
        <f>AL17+AL23+AL31+AL37+AL43+AL48+AL54+AL60+AL70+AL75+AL81+AL87+AL68</f>
        <v>5809</v>
      </c>
      <c r="AM114" s="1794"/>
      <c r="AN114" s="1793" t="s">
        <v>38</v>
      </c>
      <c r="AO114" s="1794"/>
      <c r="AP114" s="1797">
        <f>AD114/X114</f>
        <v>129.27152014652015</v>
      </c>
      <c r="AQ114" s="1798"/>
      <c r="AR114" s="1789">
        <f>AR17+AR23+AR31+AR37+AR43+AR48+AR54+AR60+AR70+AR75+AR81+AR87+AR68</f>
        <v>2208.0000000000005</v>
      </c>
      <c r="AS114" s="1790"/>
      <c r="AT114" s="1791">
        <f>AR114/2208</f>
        <v>1.0000000000000002</v>
      </c>
      <c r="AU114" s="1792"/>
      <c r="AV114" s="1793" t="s">
        <v>38</v>
      </c>
      <c r="AW114" s="1794"/>
      <c r="AX114" s="1796">
        <f>BB114+BF114</f>
        <v>304750.2</v>
      </c>
      <c r="AY114" s="1796"/>
      <c r="AZ114" s="1793" t="s">
        <v>38</v>
      </c>
      <c r="BA114" s="1794"/>
      <c r="BB114" s="1796">
        <f>BB17+BB23+BB31+BB37+BB43+BB48+BB54+BB60+BB70+BB75+BB81+BB87+BB68</f>
        <v>296658.2</v>
      </c>
      <c r="BC114" s="1796"/>
      <c r="BD114" s="1793" t="s">
        <v>38</v>
      </c>
      <c r="BE114" s="1794"/>
      <c r="BF114" s="1793">
        <f>BF17+BF23+BF31+BF37+BF43+BF48+BF54+BF60+BF70+BF75+BF81+BF87+BF68</f>
        <v>8092</v>
      </c>
      <c r="BG114" s="1794"/>
      <c r="BH114" s="1793" t="s">
        <v>38</v>
      </c>
      <c r="BI114" s="1794"/>
      <c r="BJ114" s="1797">
        <f>AX114/AR114</f>
        <v>138.02092391304345</v>
      </c>
      <c r="BK114" s="1798"/>
      <c r="BL114" s="1789">
        <f>BL17+BL23+BL31+BL37+BL43+BL48+BL54+BL60+BL70+BL75+BL81+BL87+BL68</f>
        <v>2209</v>
      </c>
      <c r="BM114" s="1790"/>
      <c r="BN114" s="1791">
        <f>BL114/2209</f>
        <v>1</v>
      </c>
      <c r="BO114" s="1792"/>
      <c r="BP114" s="1793" t="s">
        <v>38</v>
      </c>
      <c r="BQ114" s="1794"/>
      <c r="BR114" s="1796">
        <f>BV114+BZ114</f>
        <v>303862.40000000002</v>
      </c>
      <c r="BS114" s="1796"/>
      <c r="BT114" s="1793" t="s">
        <v>38</v>
      </c>
      <c r="BU114" s="1794"/>
      <c r="BV114" s="1796">
        <f>BV17+BV23+BV31+BV37+BV43+BV48+BV54+BV60+BV70+BV75+BV81+BV87+BV68</f>
        <v>298053.40000000002</v>
      </c>
      <c r="BW114" s="1796"/>
      <c r="BX114" s="1793" t="s">
        <v>38</v>
      </c>
      <c r="BY114" s="1794"/>
      <c r="BZ114" s="1793">
        <f>BZ17+BZ23+BZ31+BZ37+BZ43+BZ48+BZ54+BZ60+BZ70+BZ75+BZ81+BZ87+BZ68</f>
        <v>5809</v>
      </c>
      <c r="CA114" s="1794"/>
      <c r="CB114" s="1793" t="s">
        <v>38</v>
      </c>
      <c r="CC114" s="1794"/>
      <c r="CD114" s="1797">
        <f>BR114/BL114</f>
        <v>137.55654142145769</v>
      </c>
      <c r="CE114" s="1798"/>
      <c r="CF114" s="1789">
        <f>CF17+CF23+CF31+CF37+CF43+CF48+CF54+CF60+CF70+CF75+CF81+CF87+CF68</f>
        <v>8784.0000000000018</v>
      </c>
      <c r="CG114" s="1790"/>
      <c r="CH114" s="1791">
        <f>CF114/8784</f>
        <v>1.0000000000000002</v>
      </c>
      <c r="CI114" s="1792"/>
      <c r="CJ114" s="1793" t="s">
        <v>38</v>
      </c>
      <c r="CK114" s="1794"/>
      <c r="CL114" s="1796">
        <f>CP114+CT114</f>
        <v>1185915.8</v>
      </c>
      <c r="CM114" s="1796"/>
      <c r="CN114" s="1793" t="s">
        <v>38</v>
      </c>
      <c r="CO114" s="1794"/>
      <c r="CP114" s="1796">
        <f>CP17+CP23+CP31+CP37+CP43+CP48+CP54+CP60+CP70+CP75+CP81+CP87+CP68</f>
        <v>1160396.8</v>
      </c>
      <c r="CQ114" s="1796"/>
      <c r="CR114" s="1793" t="s">
        <v>38</v>
      </c>
      <c r="CS114" s="1794"/>
      <c r="CT114" s="1793">
        <f>CT17+CT23+CT31+CT37+CT43+CT48+CT54+CT60+CT70+CT75+CT81+CT87+CT68</f>
        <v>25519</v>
      </c>
      <c r="CU114" s="1794"/>
      <c r="CV114" s="1793" t="s">
        <v>38</v>
      </c>
      <c r="CW114" s="1794"/>
      <c r="CX114" s="1827">
        <f>CL114/CF114</f>
        <v>135.00862932604733</v>
      </c>
      <c r="CY114" s="1798"/>
      <c r="CZ114" s="429"/>
      <c r="DA114" s="429"/>
      <c r="DD114" s="429"/>
      <c r="DE114" s="429"/>
      <c r="DF114" s="429"/>
      <c r="DG114" s="429"/>
      <c r="DH114" s="429"/>
      <c r="DI114" s="429"/>
      <c r="DJ114" s="429"/>
      <c r="DK114" s="429"/>
      <c r="DL114" s="429"/>
      <c r="DM114" s="429"/>
      <c r="DN114" s="429"/>
      <c r="DO114" s="429"/>
      <c r="DP114" s="429"/>
      <c r="DQ114" s="429"/>
    </row>
    <row r="115" spans="1:139" x14ac:dyDescent="0.25">
      <c r="A115" s="1747"/>
      <c r="B115" s="2179" t="s">
        <v>117</v>
      </c>
      <c r="C115" s="2180"/>
      <c r="D115" s="1748" t="s">
        <v>38</v>
      </c>
      <c r="E115" s="1749"/>
      <c r="F115" s="1750" t="s">
        <v>38</v>
      </c>
      <c r="G115" s="1751"/>
      <c r="H115" s="379" t="s">
        <v>38</v>
      </c>
      <c r="I115" s="230"/>
      <c r="J115" s="406">
        <v>74527</v>
      </c>
      <c r="K115" s="230"/>
      <c r="L115" s="406" t="s">
        <v>38</v>
      </c>
      <c r="M115" s="230"/>
      <c r="N115" s="379">
        <v>74527</v>
      </c>
      <c r="O115" s="230"/>
      <c r="P115" s="406" t="s">
        <v>38</v>
      </c>
      <c r="Q115" s="230"/>
      <c r="R115" s="379">
        <v>0</v>
      </c>
      <c r="S115" s="230"/>
      <c r="T115" s="406" t="s">
        <v>38</v>
      </c>
      <c r="U115" s="230"/>
      <c r="V115" s="1754" t="s">
        <v>38</v>
      </c>
      <c r="W115" s="1754"/>
      <c r="X115" s="1789"/>
      <c r="Y115" s="1790"/>
      <c r="Z115" s="1791"/>
      <c r="AA115" s="1796"/>
      <c r="AB115" s="1793" t="s">
        <v>38</v>
      </c>
      <c r="AC115" s="1794"/>
      <c r="AD115" s="1796">
        <f t="shared" si="17"/>
        <v>74527</v>
      </c>
      <c r="AE115" s="1796"/>
      <c r="AF115" s="1793" t="s">
        <v>38</v>
      </c>
      <c r="AG115" s="1794"/>
      <c r="AH115" s="1796">
        <v>74527</v>
      </c>
      <c r="AI115" s="1796"/>
      <c r="AJ115" s="1793" t="s">
        <v>38</v>
      </c>
      <c r="AK115" s="1794"/>
      <c r="AL115" s="1793" t="s">
        <v>38</v>
      </c>
      <c r="AM115" s="1794"/>
      <c r="AN115" s="1793" t="s">
        <v>38</v>
      </c>
      <c r="AO115" s="1794"/>
      <c r="AP115" s="1797"/>
      <c r="AQ115" s="1798"/>
      <c r="AR115" s="1789"/>
      <c r="AS115" s="1790"/>
      <c r="AT115" s="1791"/>
      <c r="AU115" s="1796"/>
      <c r="AV115" s="1793" t="s">
        <v>38</v>
      </c>
      <c r="AW115" s="1794"/>
      <c r="AX115" s="1796">
        <f t="shared" ref="AX115:AX121" si="21">BB115</f>
        <v>74527</v>
      </c>
      <c r="AY115" s="1796"/>
      <c r="AZ115" s="1793" t="s">
        <v>38</v>
      </c>
      <c r="BA115" s="1794"/>
      <c r="BB115" s="1796">
        <v>74527</v>
      </c>
      <c r="BC115" s="1796"/>
      <c r="BD115" s="1793" t="s">
        <v>38</v>
      </c>
      <c r="BE115" s="1794"/>
      <c r="BF115" s="1793" t="s">
        <v>38</v>
      </c>
      <c r="BG115" s="1794"/>
      <c r="BH115" s="1793" t="s">
        <v>38</v>
      </c>
      <c r="BI115" s="1794"/>
      <c r="BJ115" s="1797"/>
      <c r="BK115" s="1798"/>
      <c r="BL115" s="1789"/>
      <c r="BM115" s="1790"/>
      <c r="BN115" s="1791"/>
      <c r="BO115" s="1796"/>
      <c r="BP115" s="1793" t="s">
        <v>38</v>
      </c>
      <c r="BQ115" s="1794"/>
      <c r="BR115" s="1796">
        <f t="shared" ref="BR115:BR121" si="22">BV115</f>
        <v>74527</v>
      </c>
      <c r="BS115" s="1796"/>
      <c r="BT115" s="1793" t="s">
        <v>38</v>
      </c>
      <c r="BU115" s="1794"/>
      <c r="BV115" s="1796">
        <v>74527</v>
      </c>
      <c r="BW115" s="1796"/>
      <c r="BX115" s="1793" t="s">
        <v>38</v>
      </c>
      <c r="BY115" s="1794"/>
      <c r="BZ115" s="1793" t="s">
        <v>38</v>
      </c>
      <c r="CA115" s="1794"/>
      <c r="CB115" s="1793" t="s">
        <v>38</v>
      </c>
      <c r="CC115" s="1794"/>
      <c r="CD115" s="1797"/>
      <c r="CE115" s="1798"/>
      <c r="CF115" s="1789"/>
      <c r="CG115" s="1790"/>
      <c r="CH115" s="1791"/>
      <c r="CI115" s="1796"/>
      <c r="CJ115" s="1793" t="s">
        <v>38</v>
      </c>
      <c r="CK115" s="1794"/>
      <c r="CL115" s="1796">
        <f t="shared" ref="CL115:CL121" si="23">CP115</f>
        <v>298108</v>
      </c>
      <c r="CM115" s="1796"/>
      <c r="CN115" s="1793" t="s">
        <v>38</v>
      </c>
      <c r="CO115" s="1794"/>
      <c r="CP115" s="1793">
        <f>BV115+BB115+AH115+N115</f>
        <v>298108</v>
      </c>
      <c r="CQ115" s="1796"/>
      <c r="CR115" s="1793" t="s">
        <v>38</v>
      </c>
      <c r="CS115" s="1794"/>
      <c r="CT115" s="1793" t="s">
        <v>38</v>
      </c>
      <c r="CU115" s="1794"/>
      <c r="CV115" s="1793" t="s">
        <v>38</v>
      </c>
      <c r="CW115" s="1794"/>
      <c r="CX115" s="1827"/>
      <c r="CY115" s="1798"/>
      <c r="CZ115" s="429"/>
      <c r="DA115" s="429"/>
      <c r="DD115" s="429"/>
      <c r="DE115" s="429"/>
      <c r="DF115" s="429"/>
      <c r="DG115" s="429"/>
      <c r="DH115" s="429"/>
      <c r="DI115" s="429"/>
      <c r="DJ115" s="429"/>
      <c r="DK115" s="429"/>
      <c r="DL115" s="429"/>
      <c r="DM115" s="429"/>
      <c r="DN115" s="429"/>
      <c r="DO115" s="429"/>
      <c r="DP115" s="429"/>
      <c r="DQ115" s="429"/>
    </row>
    <row r="116" spans="1:139" x14ac:dyDescent="0.25">
      <c r="A116" s="1755"/>
      <c r="B116" s="2173" t="s">
        <v>121</v>
      </c>
      <c r="C116" s="2174"/>
      <c r="D116" s="1756"/>
      <c r="E116" s="1757"/>
      <c r="F116" s="1758"/>
      <c r="G116" s="1759"/>
      <c r="H116" s="336"/>
      <c r="I116" s="337"/>
      <c r="J116" s="686">
        <v>86017.12</v>
      </c>
      <c r="K116" s="337"/>
      <c r="L116" s="686"/>
      <c r="M116" s="337"/>
      <c r="N116" s="686">
        <v>86017.12</v>
      </c>
      <c r="O116" s="337"/>
      <c r="P116" s="686"/>
      <c r="Q116" s="337"/>
      <c r="R116" s="686">
        <v>0</v>
      </c>
      <c r="S116" s="337"/>
      <c r="T116" s="686"/>
      <c r="U116" s="337"/>
      <c r="V116" s="1760"/>
      <c r="W116" s="1761"/>
      <c r="X116" s="1799"/>
      <c r="Y116" s="1800"/>
      <c r="Z116" s="1801"/>
      <c r="AA116" s="1804"/>
      <c r="AB116" s="1805"/>
      <c r="AC116" s="1802"/>
      <c r="AD116" s="1804">
        <f t="shared" si="17"/>
        <v>83648.800000000003</v>
      </c>
      <c r="AE116" s="1804"/>
      <c r="AF116" s="1788" t="s">
        <v>38</v>
      </c>
      <c r="AG116" s="1787"/>
      <c r="AH116" s="1804">
        <f>AH117+AH118</f>
        <v>83648.800000000003</v>
      </c>
      <c r="AI116" s="1804"/>
      <c r="AJ116" s="1788" t="s">
        <v>38</v>
      </c>
      <c r="AK116" s="1787"/>
      <c r="AL116" s="1788" t="s">
        <v>38</v>
      </c>
      <c r="AM116" s="1787"/>
      <c r="AN116" s="1788" t="s">
        <v>38</v>
      </c>
      <c r="AO116" s="1787"/>
      <c r="AP116" s="1788" t="s">
        <v>38</v>
      </c>
      <c r="AQ116" s="1787"/>
      <c r="AR116" s="1799"/>
      <c r="AS116" s="1800"/>
      <c r="AT116" s="1801"/>
      <c r="AU116" s="1804"/>
      <c r="AV116" s="1805"/>
      <c r="AW116" s="1802"/>
      <c r="AX116" s="1804">
        <f t="shared" si="21"/>
        <v>85223</v>
      </c>
      <c r="AY116" s="1804"/>
      <c r="AZ116" s="1788" t="s">
        <v>38</v>
      </c>
      <c r="BA116" s="1787"/>
      <c r="BB116" s="1804">
        <f>BB117+BB118</f>
        <v>85223</v>
      </c>
      <c r="BC116" s="1804"/>
      <c r="BD116" s="1788" t="s">
        <v>38</v>
      </c>
      <c r="BE116" s="1787"/>
      <c r="BF116" s="1788" t="s">
        <v>38</v>
      </c>
      <c r="BG116" s="1787"/>
      <c r="BH116" s="1788" t="s">
        <v>38</v>
      </c>
      <c r="BI116" s="1787"/>
      <c r="BJ116" s="1788" t="s">
        <v>38</v>
      </c>
      <c r="BK116" s="1787"/>
      <c r="BL116" s="1799"/>
      <c r="BM116" s="1800"/>
      <c r="BN116" s="1801"/>
      <c r="BO116" s="1804"/>
      <c r="BP116" s="1805"/>
      <c r="BQ116" s="1802"/>
      <c r="BR116" s="1804">
        <f t="shared" si="22"/>
        <v>83872.92</v>
      </c>
      <c r="BS116" s="1804"/>
      <c r="BT116" s="1788" t="s">
        <v>38</v>
      </c>
      <c r="BU116" s="1787"/>
      <c r="BV116" s="1804">
        <f>BV117+BV118</f>
        <v>83872.92</v>
      </c>
      <c r="BW116" s="1804"/>
      <c r="BX116" s="1788" t="s">
        <v>38</v>
      </c>
      <c r="BY116" s="1787"/>
      <c r="BZ116" s="1788" t="s">
        <v>38</v>
      </c>
      <c r="CA116" s="1787"/>
      <c r="CB116" s="1788" t="s">
        <v>38</v>
      </c>
      <c r="CC116" s="1787"/>
      <c r="CD116" s="1788" t="s">
        <v>38</v>
      </c>
      <c r="CE116" s="1787"/>
      <c r="CF116" s="1799"/>
      <c r="CG116" s="1800"/>
      <c r="CH116" s="1801"/>
      <c r="CI116" s="1804"/>
      <c r="CJ116" s="1805"/>
      <c r="CK116" s="1802"/>
      <c r="CL116" s="1804">
        <f t="shared" si="23"/>
        <v>338761.83999999997</v>
      </c>
      <c r="CM116" s="1804"/>
      <c r="CN116" s="1788" t="s">
        <v>38</v>
      </c>
      <c r="CO116" s="1787"/>
      <c r="CP116" s="1804">
        <f>CP117+CP118</f>
        <v>338761.83999999997</v>
      </c>
      <c r="CQ116" s="1804"/>
      <c r="CR116" s="1788" t="s">
        <v>38</v>
      </c>
      <c r="CS116" s="1787"/>
      <c r="CT116" s="1788" t="s">
        <v>38</v>
      </c>
      <c r="CU116" s="1787"/>
      <c r="CV116" s="1788" t="s">
        <v>38</v>
      </c>
      <c r="CW116" s="1787"/>
      <c r="CX116" s="1788" t="s">
        <v>38</v>
      </c>
      <c r="CY116" s="1826"/>
      <c r="CZ116" s="429"/>
      <c r="DA116" s="429"/>
      <c r="DD116" s="429"/>
      <c r="DE116" s="429"/>
      <c r="DF116" s="429"/>
      <c r="DG116" s="429"/>
      <c r="DH116" s="429"/>
      <c r="DI116" s="429"/>
      <c r="DJ116" s="429"/>
      <c r="DK116" s="429"/>
      <c r="DL116" s="429"/>
      <c r="DM116" s="429"/>
      <c r="DN116" s="429"/>
      <c r="DO116" s="429"/>
      <c r="DP116" s="429"/>
      <c r="DQ116" s="429"/>
    </row>
    <row r="117" spans="1:139" s="1" customFormat="1" x14ac:dyDescent="0.25">
      <c r="A117" s="1747"/>
      <c r="B117" s="2179" t="s">
        <v>125</v>
      </c>
      <c r="C117" s="2180"/>
      <c r="D117" s="1748">
        <v>2183</v>
      </c>
      <c r="E117" s="1749"/>
      <c r="F117" s="1750">
        <v>0.99954212454212454</v>
      </c>
      <c r="G117" s="1751"/>
      <c r="H117" s="379" t="s">
        <v>38</v>
      </c>
      <c r="I117" s="230"/>
      <c r="J117" s="406">
        <v>47936.119999999995</v>
      </c>
      <c r="K117" s="230"/>
      <c r="L117" s="406" t="s">
        <v>38</v>
      </c>
      <c r="M117" s="230"/>
      <c r="N117" s="379">
        <v>47936.119999999995</v>
      </c>
      <c r="O117" s="230"/>
      <c r="P117" s="406" t="s">
        <v>38</v>
      </c>
      <c r="Q117" s="230"/>
      <c r="R117" s="379">
        <v>0</v>
      </c>
      <c r="S117" s="230"/>
      <c r="T117" s="406" t="s">
        <v>38</v>
      </c>
      <c r="U117" s="230"/>
      <c r="V117" s="1752">
        <v>21.958827301878149</v>
      </c>
      <c r="W117" s="1753"/>
      <c r="X117" s="1789">
        <f>X18+X24+X32+X38+X44+X49+X55+X61+X76+X82+X88</f>
        <v>2184.0000000000005</v>
      </c>
      <c r="Y117" s="1790"/>
      <c r="Z117" s="1791">
        <f>X117/2184</f>
        <v>1.0000000000000002</v>
      </c>
      <c r="AA117" s="1792"/>
      <c r="AB117" s="1793" t="s">
        <v>38</v>
      </c>
      <c r="AC117" s="1794"/>
      <c r="AD117" s="1796">
        <f t="shared" si="17"/>
        <v>45567.8</v>
      </c>
      <c r="AE117" s="1796"/>
      <c r="AF117" s="1793" t="s">
        <v>38</v>
      </c>
      <c r="AG117" s="1794"/>
      <c r="AH117" s="1796">
        <f>AH18+AH24+AH32+AH38+AH44+AH49+AH55+AH61+AH76+AH82+AH88</f>
        <v>45567.8</v>
      </c>
      <c r="AI117" s="1796"/>
      <c r="AJ117" s="1793" t="s">
        <v>38</v>
      </c>
      <c r="AK117" s="1794"/>
      <c r="AL117" s="1793" t="s">
        <v>38</v>
      </c>
      <c r="AM117" s="1794"/>
      <c r="AN117" s="1793" t="s">
        <v>38</v>
      </c>
      <c r="AO117" s="1794"/>
      <c r="AP117" s="1797">
        <f>AD117/X117</f>
        <v>20.864377289377288</v>
      </c>
      <c r="AQ117" s="1798"/>
      <c r="AR117" s="1789">
        <f>AR18+AR24+AR32+AR38+AR44+AR49+AR55+AR61+AR76+AR82+AR88</f>
        <v>2208</v>
      </c>
      <c r="AS117" s="1790"/>
      <c r="AT117" s="1791">
        <f>AR117/2208</f>
        <v>1</v>
      </c>
      <c r="AU117" s="1792"/>
      <c r="AV117" s="1793" t="s">
        <v>38</v>
      </c>
      <c r="AW117" s="1794"/>
      <c r="AX117" s="1796">
        <f t="shared" si="21"/>
        <v>47142</v>
      </c>
      <c r="AY117" s="1796"/>
      <c r="AZ117" s="1793" t="s">
        <v>38</v>
      </c>
      <c r="BA117" s="1794"/>
      <c r="BB117" s="1796">
        <f>BB18+BB24+BB32+BB38+BB44+BB49+BB55+BB61+BB76+BB82+BB88</f>
        <v>47142</v>
      </c>
      <c r="BC117" s="1796"/>
      <c r="BD117" s="1793" t="s">
        <v>38</v>
      </c>
      <c r="BE117" s="1794"/>
      <c r="BF117" s="1793" t="s">
        <v>38</v>
      </c>
      <c r="BG117" s="1794"/>
      <c r="BH117" s="1793" t="s">
        <v>38</v>
      </c>
      <c r="BI117" s="1794"/>
      <c r="BJ117" s="1797">
        <f>AX117/AR117</f>
        <v>21.350543478260871</v>
      </c>
      <c r="BK117" s="1798"/>
      <c r="BL117" s="1789">
        <f>BL18+BL24+BL32+BL38+BL44+BL49+BL55+BL61+BL76+BL82+BL88</f>
        <v>2209</v>
      </c>
      <c r="BM117" s="1790"/>
      <c r="BN117" s="1791">
        <f>BL117/2209</f>
        <v>1</v>
      </c>
      <c r="BO117" s="1792"/>
      <c r="BP117" s="1793" t="s">
        <v>38</v>
      </c>
      <c r="BQ117" s="1794"/>
      <c r="BR117" s="1796">
        <f t="shared" si="22"/>
        <v>45791.92</v>
      </c>
      <c r="BS117" s="1796"/>
      <c r="BT117" s="1793" t="s">
        <v>38</v>
      </c>
      <c r="BU117" s="1794"/>
      <c r="BV117" s="1796">
        <f>BV18+BV24+BV32+BV38+BV44+BV49+BV55+BV61+BV76+BV82+BV88</f>
        <v>45791.92</v>
      </c>
      <c r="BW117" s="1796"/>
      <c r="BX117" s="1793" t="s">
        <v>38</v>
      </c>
      <c r="BY117" s="1794"/>
      <c r="BZ117" s="1793" t="s">
        <v>38</v>
      </c>
      <c r="CA117" s="1794"/>
      <c r="CB117" s="1793" t="s">
        <v>38</v>
      </c>
      <c r="CC117" s="1794"/>
      <c r="CD117" s="1797">
        <f>BR117/BL117</f>
        <v>20.729705749207785</v>
      </c>
      <c r="CE117" s="1798"/>
      <c r="CF117" s="1789">
        <f>CF18+CF24+CF32+CF38+CF44+CF49+CF55+CF61+CF76+CF82+CF88</f>
        <v>8784</v>
      </c>
      <c r="CG117" s="1790"/>
      <c r="CH117" s="1791">
        <f>CF117/8784</f>
        <v>1</v>
      </c>
      <c r="CI117" s="1792"/>
      <c r="CJ117" s="1793" t="s">
        <v>38</v>
      </c>
      <c r="CK117" s="1794"/>
      <c r="CL117" s="1796">
        <f t="shared" si="23"/>
        <v>186437.84</v>
      </c>
      <c r="CM117" s="1796"/>
      <c r="CN117" s="1793" t="s">
        <v>38</v>
      </c>
      <c r="CO117" s="1794"/>
      <c r="CP117" s="1796">
        <f>CP18+CP24+CP32+CP38+CP44+CP49+CP55+CP61+CP76+CP82+CP88</f>
        <v>186437.84</v>
      </c>
      <c r="CQ117" s="1796"/>
      <c r="CR117" s="1793" t="s">
        <v>38</v>
      </c>
      <c r="CS117" s="1794"/>
      <c r="CT117" s="1793" t="s">
        <v>38</v>
      </c>
      <c r="CU117" s="1794"/>
      <c r="CV117" s="1793" t="s">
        <v>38</v>
      </c>
      <c r="CW117" s="1794"/>
      <c r="CX117" s="1827">
        <f>CL117/CF117</f>
        <v>21.224708561020037</v>
      </c>
      <c r="CY117" s="1798"/>
      <c r="CZ117" s="929"/>
      <c r="DA117" s="929"/>
      <c r="DB117" s="928"/>
      <c r="DC117" s="928"/>
      <c r="DD117" s="929"/>
      <c r="DE117" s="929"/>
      <c r="DF117" s="929"/>
      <c r="DG117" s="929"/>
      <c r="DH117" s="929"/>
      <c r="DI117" s="929"/>
      <c r="DJ117" s="929"/>
      <c r="DK117" s="929"/>
      <c r="DL117" s="929"/>
      <c r="DM117" s="929"/>
      <c r="DN117" s="929"/>
      <c r="DO117" s="929"/>
      <c r="DP117" s="929"/>
      <c r="DQ117" s="929"/>
      <c r="DR117" s="930"/>
      <c r="DS117" s="931"/>
      <c r="DT117" s="928"/>
      <c r="DU117" s="928"/>
      <c r="DV117" s="928"/>
      <c r="DW117" s="932"/>
      <c r="DX117" s="933"/>
      <c r="DY117" s="933"/>
      <c r="DZ117" s="928"/>
      <c r="EA117" s="928"/>
      <c r="EB117" s="928"/>
      <c r="EC117" s="928"/>
      <c r="ED117" s="928"/>
      <c r="EE117" s="928"/>
      <c r="EF117" s="928"/>
      <c r="EG117" s="928"/>
      <c r="EH117" s="928"/>
    </row>
    <row r="118" spans="1:139" s="1" customFormat="1" ht="24" customHeight="1" x14ac:dyDescent="0.25">
      <c r="A118" s="1747"/>
      <c r="B118" s="2179" t="s">
        <v>117</v>
      </c>
      <c r="C118" s="2180"/>
      <c r="D118" s="1748" t="s">
        <v>38</v>
      </c>
      <c r="E118" s="1749"/>
      <c r="F118" s="1750" t="s">
        <v>38</v>
      </c>
      <c r="G118" s="1751"/>
      <c r="H118" s="379" t="s">
        <v>38</v>
      </c>
      <c r="I118" s="230"/>
      <c r="J118" s="406">
        <v>38081</v>
      </c>
      <c r="K118" s="230"/>
      <c r="L118" s="406" t="s">
        <v>38</v>
      </c>
      <c r="M118" s="230"/>
      <c r="N118" s="379">
        <v>38081</v>
      </c>
      <c r="O118" s="230"/>
      <c r="P118" s="406" t="s">
        <v>38</v>
      </c>
      <c r="Q118" s="230"/>
      <c r="R118" s="379">
        <v>0</v>
      </c>
      <c r="S118" s="230"/>
      <c r="T118" s="406" t="s">
        <v>38</v>
      </c>
      <c r="U118" s="230"/>
      <c r="V118" s="1754" t="s">
        <v>38</v>
      </c>
      <c r="W118" s="1754"/>
      <c r="X118" s="1789"/>
      <c r="Y118" s="1790"/>
      <c r="Z118" s="1791"/>
      <c r="AA118" s="1796"/>
      <c r="AB118" s="1793" t="s">
        <v>38</v>
      </c>
      <c r="AC118" s="1794"/>
      <c r="AD118" s="1796">
        <f t="shared" si="17"/>
        <v>38081</v>
      </c>
      <c r="AE118" s="1796"/>
      <c r="AF118" s="1793" t="s">
        <v>38</v>
      </c>
      <c r="AG118" s="1794"/>
      <c r="AH118" s="1796">
        <v>38081</v>
      </c>
      <c r="AI118" s="1796"/>
      <c r="AJ118" s="1793" t="s">
        <v>38</v>
      </c>
      <c r="AK118" s="1794"/>
      <c r="AL118" s="1793" t="s">
        <v>38</v>
      </c>
      <c r="AM118" s="1794"/>
      <c r="AN118" s="1793" t="s">
        <v>38</v>
      </c>
      <c r="AO118" s="1794"/>
      <c r="AP118" s="1797"/>
      <c r="AQ118" s="1798"/>
      <c r="AR118" s="1789"/>
      <c r="AS118" s="1790"/>
      <c r="AT118" s="1791"/>
      <c r="AU118" s="1796"/>
      <c r="AV118" s="1793" t="s">
        <v>38</v>
      </c>
      <c r="AW118" s="1794"/>
      <c r="AX118" s="1796">
        <f t="shared" si="21"/>
        <v>38081</v>
      </c>
      <c r="AY118" s="1796"/>
      <c r="AZ118" s="1793" t="s">
        <v>38</v>
      </c>
      <c r="BA118" s="1794"/>
      <c r="BB118" s="1796">
        <v>38081</v>
      </c>
      <c r="BC118" s="1796"/>
      <c r="BD118" s="1793" t="s">
        <v>38</v>
      </c>
      <c r="BE118" s="1794"/>
      <c r="BF118" s="1793" t="s">
        <v>38</v>
      </c>
      <c r="BG118" s="1794"/>
      <c r="BH118" s="1793" t="s">
        <v>38</v>
      </c>
      <c r="BI118" s="1794"/>
      <c r="BJ118" s="1797"/>
      <c r="BK118" s="1798"/>
      <c r="BL118" s="1789"/>
      <c r="BM118" s="1790"/>
      <c r="BN118" s="1791"/>
      <c r="BO118" s="1796"/>
      <c r="BP118" s="1793" t="s">
        <v>38</v>
      </c>
      <c r="BQ118" s="1794"/>
      <c r="BR118" s="1796">
        <f t="shared" si="22"/>
        <v>38081</v>
      </c>
      <c r="BS118" s="1796"/>
      <c r="BT118" s="1793" t="s">
        <v>38</v>
      </c>
      <c r="BU118" s="1794"/>
      <c r="BV118" s="1796">
        <v>38081</v>
      </c>
      <c r="BW118" s="1796"/>
      <c r="BX118" s="1793" t="s">
        <v>38</v>
      </c>
      <c r="BY118" s="1794"/>
      <c r="BZ118" s="1793" t="s">
        <v>38</v>
      </c>
      <c r="CA118" s="1794"/>
      <c r="CB118" s="1793" t="s">
        <v>38</v>
      </c>
      <c r="CC118" s="1794"/>
      <c r="CD118" s="1797"/>
      <c r="CE118" s="1798"/>
      <c r="CF118" s="1789"/>
      <c r="CG118" s="1790"/>
      <c r="CH118" s="1791"/>
      <c r="CI118" s="1796"/>
      <c r="CJ118" s="1793" t="s">
        <v>38</v>
      </c>
      <c r="CK118" s="1794"/>
      <c r="CL118" s="1796">
        <f t="shared" si="23"/>
        <v>152324</v>
      </c>
      <c r="CM118" s="1796"/>
      <c r="CN118" s="1793" t="s">
        <v>38</v>
      </c>
      <c r="CO118" s="1794"/>
      <c r="CP118" s="1793">
        <f>BV118+BB118+AH118+N118</f>
        <v>152324</v>
      </c>
      <c r="CQ118" s="1796"/>
      <c r="CR118" s="1793" t="s">
        <v>38</v>
      </c>
      <c r="CS118" s="1794"/>
      <c r="CT118" s="1793" t="s">
        <v>38</v>
      </c>
      <c r="CU118" s="1794"/>
      <c r="CV118" s="1793" t="s">
        <v>38</v>
      </c>
      <c r="CW118" s="1794"/>
      <c r="CX118" s="1827"/>
      <c r="CY118" s="1798"/>
      <c r="CZ118" s="929"/>
      <c r="DA118" s="929"/>
      <c r="DB118" s="928"/>
      <c r="DC118" s="928"/>
      <c r="DD118" s="929"/>
      <c r="DE118" s="929"/>
      <c r="DF118" s="929"/>
      <c r="DG118" s="929"/>
      <c r="DH118" s="929"/>
      <c r="DI118" s="929"/>
      <c r="DJ118" s="929"/>
      <c r="DK118" s="929"/>
      <c r="DL118" s="929"/>
      <c r="DM118" s="929"/>
      <c r="DN118" s="929"/>
      <c r="DO118" s="929"/>
      <c r="DP118" s="929"/>
      <c r="DQ118" s="929"/>
      <c r="DR118" s="930"/>
      <c r="DS118" s="931"/>
      <c r="DT118" s="928"/>
      <c r="DU118" s="928"/>
      <c r="DV118" s="928"/>
      <c r="DW118" s="932"/>
      <c r="DX118" s="933"/>
      <c r="DY118" s="933"/>
      <c r="DZ118" s="928"/>
      <c r="EA118" s="928"/>
      <c r="EB118" s="928"/>
      <c r="EC118" s="928"/>
      <c r="ED118" s="928"/>
      <c r="EE118" s="928"/>
      <c r="EF118" s="928"/>
      <c r="EG118" s="928"/>
      <c r="EH118" s="928"/>
    </row>
    <row r="119" spans="1:139" s="1" customFormat="1" ht="30.6" customHeight="1" x14ac:dyDescent="0.25">
      <c r="A119" s="1755"/>
      <c r="B119" s="2173" t="s">
        <v>122</v>
      </c>
      <c r="C119" s="2174"/>
      <c r="D119" s="1756"/>
      <c r="E119" s="1757"/>
      <c r="F119" s="1758"/>
      <c r="G119" s="1759"/>
      <c r="H119" s="336"/>
      <c r="I119" s="337"/>
      <c r="J119" s="686">
        <v>5484</v>
      </c>
      <c r="K119" s="337"/>
      <c r="L119" s="686"/>
      <c r="M119" s="337"/>
      <c r="N119" s="686">
        <v>5484</v>
      </c>
      <c r="O119" s="337"/>
      <c r="P119" s="686"/>
      <c r="Q119" s="337"/>
      <c r="R119" s="686">
        <v>0</v>
      </c>
      <c r="S119" s="337"/>
      <c r="T119" s="686"/>
      <c r="U119" s="337"/>
      <c r="V119" s="1760"/>
      <c r="W119" s="1761"/>
      <c r="X119" s="1799"/>
      <c r="Y119" s="1800"/>
      <c r="Z119" s="1801"/>
      <c r="AA119" s="1804"/>
      <c r="AB119" s="1805"/>
      <c r="AC119" s="1802"/>
      <c r="AD119" s="1804">
        <f t="shared" si="17"/>
        <v>5484</v>
      </c>
      <c r="AE119" s="1804"/>
      <c r="AF119" s="1788" t="s">
        <v>38</v>
      </c>
      <c r="AG119" s="1787"/>
      <c r="AH119" s="1804">
        <f>AH120+AH121</f>
        <v>5484</v>
      </c>
      <c r="AI119" s="1804"/>
      <c r="AJ119" s="1788" t="s">
        <v>38</v>
      </c>
      <c r="AK119" s="1787"/>
      <c r="AL119" s="1788" t="s">
        <v>38</v>
      </c>
      <c r="AM119" s="1787"/>
      <c r="AN119" s="1788" t="s">
        <v>38</v>
      </c>
      <c r="AO119" s="1787"/>
      <c r="AP119" s="1788" t="s">
        <v>38</v>
      </c>
      <c r="AQ119" s="1787"/>
      <c r="AR119" s="1799"/>
      <c r="AS119" s="1800"/>
      <c r="AT119" s="1801"/>
      <c r="AU119" s="1804"/>
      <c r="AV119" s="1805"/>
      <c r="AW119" s="1802"/>
      <c r="AX119" s="1804">
        <f t="shared" si="21"/>
        <v>5464</v>
      </c>
      <c r="AY119" s="1804"/>
      <c r="AZ119" s="1788" t="s">
        <v>38</v>
      </c>
      <c r="BA119" s="1787"/>
      <c r="BB119" s="1804">
        <f>BB120+BB121</f>
        <v>5464</v>
      </c>
      <c r="BC119" s="1804"/>
      <c r="BD119" s="1788" t="s">
        <v>38</v>
      </c>
      <c r="BE119" s="1787"/>
      <c r="BF119" s="1788" t="s">
        <v>38</v>
      </c>
      <c r="BG119" s="1787"/>
      <c r="BH119" s="1788" t="s">
        <v>38</v>
      </c>
      <c r="BI119" s="1787"/>
      <c r="BJ119" s="1788" t="s">
        <v>38</v>
      </c>
      <c r="BK119" s="1787"/>
      <c r="BL119" s="1799"/>
      <c r="BM119" s="1800"/>
      <c r="BN119" s="1801"/>
      <c r="BO119" s="1804"/>
      <c r="BP119" s="1805"/>
      <c r="BQ119" s="1802"/>
      <c r="BR119" s="1804">
        <f t="shared" si="22"/>
        <v>5444</v>
      </c>
      <c r="BS119" s="1804"/>
      <c r="BT119" s="1788" t="s">
        <v>38</v>
      </c>
      <c r="BU119" s="1787"/>
      <c r="BV119" s="1804">
        <f>BV120+BV121</f>
        <v>5444</v>
      </c>
      <c r="BW119" s="1804"/>
      <c r="BX119" s="1788" t="s">
        <v>38</v>
      </c>
      <c r="BY119" s="1787"/>
      <c r="BZ119" s="1788" t="s">
        <v>38</v>
      </c>
      <c r="CA119" s="1787"/>
      <c r="CB119" s="1788" t="s">
        <v>38</v>
      </c>
      <c r="CC119" s="1787"/>
      <c r="CD119" s="1788" t="s">
        <v>38</v>
      </c>
      <c r="CE119" s="1787"/>
      <c r="CF119" s="1799"/>
      <c r="CG119" s="1800"/>
      <c r="CH119" s="1801"/>
      <c r="CI119" s="1804"/>
      <c r="CJ119" s="1805"/>
      <c r="CK119" s="1802"/>
      <c r="CL119" s="1804">
        <f t="shared" si="23"/>
        <v>21876</v>
      </c>
      <c r="CM119" s="1804"/>
      <c r="CN119" s="1788" t="s">
        <v>38</v>
      </c>
      <c r="CO119" s="1787"/>
      <c r="CP119" s="1804">
        <f>CP120+CP121</f>
        <v>21876</v>
      </c>
      <c r="CQ119" s="1804"/>
      <c r="CR119" s="1788" t="s">
        <v>38</v>
      </c>
      <c r="CS119" s="1787"/>
      <c r="CT119" s="1788" t="s">
        <v>38</v>
      </c>
      <c r="CU119" s="1787"/>
      <c r="CV119" s="1788" t="s">
        <v>38</v>
      </c>
      <c r="CW119" s="1787"/>
      <c r="CX119" s="1788" t="s">
        <v>38</v>
      </c>
      <c r="CY119" s="1826"/>
      <c r="CZ119" s="929"/>
      <c r="DA119" s="929"/>
      <c r="DB119" s="928"/>
      <c r="DC119" s="928"/>
      <c r="DD119" s="929"/>
      <c r="DE119" s="929"/>
      <c r="DF119" s="929"/>
      <c r="DG119" s="929"/>
      <c r="DH119" s="929"/>
      <c r="DI119" s="929"/>
      <c r="DJ119" s="929"/>
      <c r="DK119" s="929"/>
      <c r="DL119" s="929"/>
      <c r="DM119" s="929"/>
      <c r="DN119" s="929"/>
      <c r="DO119" s="929"/>
      <c r="DP119" s="929"/>
      <c r="DQ119" s="929"/>
      <c r="DR119" s="930"/>
      <c r="DS119" s="931"/>
      <c r="DT119" s="928"/>
      <c r="DU119" s="928"/>
      <c r="DV119" s="928"/>
      <c r="DW119" s="932"/>
      <c r="DX119" s="933"/>
      <c r="DY119" s="933"/>
      <c r="DZ119" s="928"/>
      <c r="EA119" s="928"/>
      <c r="EB119" s="928"/>
      <c r="EC119" s="928"/>
      <c r="ED119" s="928"/>
      <c r="EE119" s="928"/>
      <c r="EF119" s="928"/>
      <c r="EG119" s="928"/>
      <c r="EH119" s="928"/>
    </row>
    <row r="120" spans="1:139" s="1" customFormat="1" ht="30.6" customHeight="1" x14ac:dyDescent="0.25">
      <c r="A120" s="1762"/>
      <c r="B120" s="2175" t="s">
        <v>125</v>
      </c>
      <c r="C120" s="2176"/>
      <c r="D120" s="1763">
        <v>70</v>
      </c>
      <c r="E120" s="1764"/>
      <c r="F120" s="1765">
        <v>1</v>
      </c>
      <c r="G120" s="1766"/>
      <c r="H120" s="1767" t="s">
        <v>38</v>
      </c>
      <c r="I120" s="284"/>
      <c r="J120" s="244">
        <v>90</v>
      </c>
      <c r="K120" s="284"/>
      <c r="L120" s="244" t="s">
        <v>38</v>
      </c>
      <c r="M120" s="284"/>
      <c r="N120" s="1767">
        <v>90</v>
      </c>
      <c r="O120" s="284"/>
      <c r="P120" s="244" t="s">
        <v>38</v>
      </c>
      <c r="Q120" s="284"/>
      <c r="R120" s="1767">
        <v>0</v>
      </c>
      <c r="S120" s="284"/>
      <c r="T120" s="244" t="s">
        <v>38</v>
      </c>
      <c r="U120" s="284"/>
      <c r="V120" s="1768">
        <v>1.2857142857142858</v>
      </c>
      <c r="W120" s="1769"/>
      <c r="X120" s="1806">
        <f>X64</f>
        <v>70</v>
      </c>
      <c r="Y120" s="1807"/>
      <c r="Z120" s="1808">
        <f>X120/70</f>
        <v>1</v>
      </c>
      <c r="AA120" s="1808"/>
      <c r="AB120" s="1809" t="s">
        <v>38</v>
      </c>
      <c r="AC120" s="1810"/>
      <c r="AD120" s="1809">
        <f t="shared" si="17"/>
        <v>90</v>
      </c>
      <c r="AE120" s="1810"/>
      <c r="AF120" s="1809" t="s">
        <v>38</v>
      </c>
      <c r="AG120" s="1810"/>
      <c r="AH120" s="1809">
        <f>AH64</f>
        <v>90</v>
      </c>
      <c r="AI120" s="1810"/>
      <c r="AJ120" s="1809" t="s">
        <v>38</v>
      </c>
      <c r="AK120" s="1810"/>
      <c r="AL120" s="1809" t="s">
        <v>38</v>
      </c>
      <c r="AM120" s="1810"/>
      <c r="AN120" s="1809" t="s">
        <v>38</v>
      </c>
      <c r="AO120" s="1810"/>
      <c r="AP120" s="1811">
        <f>AD120/X120</f>
        <v>1.2857142857142858</v>
      </c>
      <c r="AQ120" s="1812"/>
      <c r="AR120" s="1806">
        <f>AR64</f>
        <v>55</v>
      </c>
      <c r="AS120" s="1807"/>
      <c r="AT120" s="1808">
        <f>AR120/55</f>
        <v>1</v>
      </c>
      <c r="AU120" s="1808"/>
      <c r="AV120" s="1809" t="s">
        <v>38</v>
      </c>
      <c r="AW120" s="1810"/>
      <c r="AX120" s="1809">
        <f t="shared" si="21"/>
        <v>70</v>
      </c>
      <c r="AY120" s="1810"/>
      <c r="AZ120" s="1809" t="s">
        <v>38</v>
      </c>
      <c r="BA120" s="1810"/>
      <c r="BB120" s="1809">
        <f>BB64</f>
        <v>70</v>
      </c>
      <c r="BC120" s="1810"/>
      <c r="BD120" s="1809" t="s">
        <v>38</v>
      </c>
      <c r="BE120" s="1810"/>
      <c r="BF120" s="1809" t="s">
        <v>38</v>
      </c>
      <c r="BG120" s="1810"/>
      <c r="BH120" s="1809" t="s">
        <v>38</v>
      </c>
      <c r="BI120" s="1810"/>
      <c r="BJ120" s="1811">
        <f>AX120/AR120</f>
        <v>1.2727272727272727</v>
      </c>
      <c r="BK120" s="1812"/>
      <c r="BL120" s="1806">
        <f>BL64</f>
        <v>40</v>
      </c>
      <c r="BM120" s="1807"/>
      <c r="BN120" s="1808">
        <f>BL120/40</f>
        <v>1</v>
      </c>
      <c r="BO120" s="1808"/>
      <c r="BP120" s="1809" t="s">
        <v>38</v>
      </c>
      <c r="BQ120" s="1810"/>
      <c r="BR120" s="1809">
        <f t="shared" si="22"/>
        <v>50</v>
      </c>
      <c r="BS120" s="1810"/>
      <c r="BT120" s="1809" t="s">
        <v>38</v>
      </c>
      <c r="BU120" s="1810"/>
      <c r="BV120" s="1809">
        <f>BV64</f>
        <v>50</v>
      </c>
      <c r="BW120" s="1810"/>
      <c r="BX120" s="1809" t="s">
        <v>38</v>
      </c>
      <c r="BY120" s="1810"/>
      <c r="BZ120" s="1809" t="s">
        <v>38</v>
      </c>
      <c r="CA120" s="1810"/>
      <c r="CB120" s="1809" t="s">
        <v>38</v>
      </c>
      <c r="CC120" s="1810"/>
      <c r="CD120" s="1811">
        <f>BR120/BL120</f>
        <v>1.25</v>
      </c>
      <c r="CE120" s="1812"/>
      <c r="CF120" s="1806">
        <f>CF64</f>
        <v>235</v>
      </c>
      <c r="CG120" s="1807"/>
      <c r="CH120" s="1808">
        <f>CF120/235</f>
        <v>1</v>
      </c>
      <c r="CI120" s="1808"/>
      <c r="CJ120" s="1809" t="s">
        <v>38</v>
      </c>
      <c r="CK120" s="1810"/>
      <c r="CL120" s="1809">
        <f t="shared" si="23"/>
        <v>300</v>
      </c>
      <c r="CM120" s="1810"/>
      <c r="CN120" s="1809" t="s">
        <v>38</v>
      </c>
      <c r="CO120" s="1810"/>
      <c r="CP120" s="1809">
        <f>CP64</f>
        <v>300</v>
      </c>
      <c r="CQ120" s="1810"/>
      <c r="CR120" s="1809" t="s">
        <v>38</v>
      </c>
      <c r="CS120" s="1810"/>
      <c r="CT120" s="1809" t="s">
        <v>38</v>
      </c>
      <c r="CU120" s="1810"/>
      <c r="CV120" s="1809" t="s">
        <v>38</v>
      </c>
      <c r="CW120" s="1810"/>
      <c r="CX120" s="1828">
        <f>CL120/CF120</f>
        <v>1.2765957446808511</v>
      </c>
      <c r="CY120" s="1812"/>
      <c r="CZ120" s="929"/>
      <c r="DA120" s="929"/>
      <c r="DB120" s="928"/>
      <c r="DC120" s="928"/>
      <c r="DD120" s="929"/>
      <c r="DE120" s="929"/>
      <c r="DF120" s="929"/>
      <c r="DG120" s="929"/>
      <c r="DH120" s="929"/>
      <c r="DI120" s="929"/>
      <c r="DJ120" s="929"/>
      <c r="DK120" s="929"/>
      <c r="DL120" s="929"/>
      <c r="DM120" s="929"/>
      <c r="DN120" s="929"/>
      <c r="DO120" s="929"/>
      <c r="DP120" s="929"/>
      <c r="DQ120" s="929"/>
      <c r="DR120" s="930"/>
      <c r="DS120" s="931"/>
      <c r="DT120" s="928"/>
      <c r="DU120" s="928"/>
      <c r="DV120" s="928"/>
      <c r="DW120" s="932"/>
      <c r="DX120" s="933"/>
      <c r="DY120" s="933"/>
      <c r="DZ120" s="928"/>
      <c r="EA120" s="928"/>
      <c r="EB120" s="928"/>
      <c r="EC120" s="928"/>
      <c r="ED120" s="928"/>
      <c r="EE120" s="928"/>
      <c r="EF120" s="928"/>
      <c r="EG120" s="928"/>
      <c r="EH120" s="928"/>
    </row>
    <row r="121" spans="1:139" ht="34.9" customHeight="1" thickBot="1" x14ac:dyDescent="0.3">
      <c r="A121" s="1770"/>
      <c r="B121" s="2177" t="s">
        <v>117</v>
      </c>
      <c r="C121" s="2178"/>
      <c r="D121" s="1771" t="s">
        <v>38</v>
      </c>
      <c r="E121" s="1772"/>
      <c r="F121" s="1773" t="s">
        <v>38</v>
      </c>
      <c r="G121" s="1774"/>
      <c r="H121" s="921" t="s">
        <v>38</v>
      </c>
      <c r="I121" s="398"/>
      <c r="J121" s="911">
        <v>5394</v>
      </c>
      <c r="K121" s="398"/>
      <c r="L121" s="911" t="s">
        <v>38</v>
      </c>
      <c r="M121" s="398"/>
      <c r="N121" s="921">
        <v>5394</v>
      </c>
      <c r="O121" s="398"/>
      <c r="P121" s="911" t="s">
        <v>38</v>
      </c>
      <c r="Q121" s="398"/>
      <c r="R121" s="921">
        <v>0</v>
      </c>
      <c r="S121" s="398"/>
      <c r="T121" s="911" t="s">
        <v>38</v>
      </c>
      <c r="U121" s="398"/>
      <c r="V121" s="1775" t="s">
        <v>38</v>
      </c>
      <c r="W121" s="1776"/>
      <c r="X121" s="1813"/>
      <c r="Y121" s="1814"/>
      <c r="Z121" s="1815"/>
      <c r="AA121" s="1816"/>
      <c r="AB121" s="1817" t="s">
        <v>38</v>
      </c>
      <c r="AC121" s="1818"/>
      <c r="AD121" s="1817">
        <f t="shared" si="17"/>
        <v>5394</v>
      </c>
      <c r="AE121" s="1818"/>
      <c r="AF121" s="1817" t="s">
        <v>38</v>
      </c>
      <c r="AG121" s="1818"/>
      <c r="AH121" s="1817">
        <v>5394</v>
      </c>
      <c r="AI121" s="1818"/>
      <c r="AJ121" s="1817" t="s">
        <v>38</v>
      </c>
      <c r="AK121" s="1818"/>
      <c r="AL121" s="1817" t="s">
        <v>38</v>
      </c>
      <c r="AM121" s="1818"/>
      <c r="AN121" s="1817" t="s">
        <v>38</v>
      </c>
      <c r="AO121" s="1818"/>
      <c r="AP121" s="1819" t="s">
        <v>38</v>
      </c>
      <c r="AQ121" s="1820"/>
      <c r="AR121" s="1813"/>
      <c r="AS121" s="1814"/>
      <c r="AT121" s="1815"/>
      <c r="AU121" s="1816"/>
      <c r="AV121" s="1817" t="s">
        <v>38</v>
      </c>
      <c r="AW121" s="1818"/>
      <c r="AX121" s="1817">
        <f t="shared" si="21"/>
        <v>5394</v>
      </c>
      <c r="AY121" s="1818"/>
      <c r="AZ121" s="1817" t="s">
        <v>38</v>
      </c>
      <c r="BA121" s="1818"/>
      <c r="BB121" s="1817">
        <v>5394</v>
      </c>
      <c r="BC121" s="1818"/>
      <c r="BD121" s="1817" t="s">
        <v>38</v>
      </c>
      <c r="BE121" s="1818"/>
      <c r="BF121" s="1817" t="s">
        <v>38</v>
      </c>
      <c r="BG121" s="1818"/>
      <c r="BH121" s="1817" t="s">
        <v>38</v>
      </c>
      <c r="BI121" s="1818"/>
      <c r="BJ121" s="1819" t="s">
        <v>38</v>
      </c>
      <c r="BK121" s="1820"/>
      <c r="BL121" s="1813"/>
      <c r="BM121" s="1814"/>
      <c r="BN121" s="1815"/>
      <c r="BO121" s="1816"/>
      <c r="BP121" s="1817" t="s">
        <v>38</v>
      </c>
      <c r="BQ121" s="1818"/>
      <c r="BR121" s="1817">
        <f t="shared" si="22"/>
        <v>5394</v>
      </c>
      <c r="BS121" s="1818"/>
      <c r="BT121" s="1817" t="s">
        <v>38</v>
      </c>
      <c r="BU121" s="1818"/>
      <c r="BV121" s="1817">
        <v>5394</v>
      </c>
      <c r="BW121" s="1818"/>
      <c r="BX121" s="1817" t="s">
        <v>38</v>
      </c>
      <c r="BY121" s="1818"/>
      <c r="BZ121" s="1817" t="s">
        <v>38</v>
      </c>
      <c r="CA121" s="1818"/>
      <c r="CB121" s="1817" t="s">
        <v>38</v>
      </c>
      <c r="CC121" s="1818"/>
      <c r="CD121" s="1819" t="s">
        <v>38</v>
      </c>
      <c r="CE121" s="1820"/>
      <c r="CF121" s="1813"/>
      <c r="CG121" s="1814"/>
      <c r="CH121" s="1815"/>
      <c r="CI121" s="1816"/>
      <c r="CJ121" s="1817" t="s">
        <v>38</v>
      </c>
      <c r="CK121" s="1818"/>
      <c r="CL121" s="1817">
        <f t="shared" si="23"/>
        <v>21576</v>
      </c>
      <c r="CM121" s="1818"/>
      <c r="CN121" s="1817" t="s">
        <v>38</v>
      </c>
      <c r="CO121" s="1818"/>
      <c r="CP121" s="1793">
        <f>BV121+BB121+AH121+N121</f>
        <v>21576</v>
      </c>
      <c r="CQ121" s="1818"/>
      <c r="CR121" s="1817" t="s">
        <v>38</v>
      </c>
      <c r="CS121" s="1818"/>
      <c r="CT121" s="1817" t="s">
        <v>38</v>
      </c>
      <c r="CU121" s="1818"/>
      <c r="CV121" s="1817" t="s">
        <v>38</v>
      </c>
      <c r="CW121" s="1818"/>
      <c r="CX121" s="1829" t="s">
        <v>38</v>
      </c>
      <c r="CY121" s="1820"/>
      <c r="CZ121" s="166"/>
      <c r="DA121" s="166"/>
      <c r="DB121" s="166"/>
      <c r="DC121" s="166"/>
      <c r="DD121" s="166"/>
      <c r="DE121" s="166"/>
      <c r="DF121" s="166"/>
      <c r="DG121" s="166"/>
      <c r="DH121" s="166"/>
      <c r="DI121" s="166"/>
      <c r="DJ121" s="166"/>
      <c r="DK121" s="166"/>
      <c r="DL121" s="166"/>
      <c r="DM121" s="166"/>
      <c r="DN121" s="166"/>
      <c r="DO121" s="166"/>
      <c r="DP121" s="166"/>
      <c r="DQ121" s="166"/>
      <c r="DR121" s="166"/>
      <c r="DS121" s="161"/>
      <c r="DT121" s="159"/>
      <c r="DU121" s="159"/>
      <c r="DV121" s="159"/>
      <c r="DW121" s="162"/>
      <c r="DX121" s="163"/>
      <c r="DY121" s="163"/>
      <c r="DZ121" s="159"/>
      <c r="EA121" s="159"/>
      <c r="EB121" s="159"/>
      <c r="EC121" s="159"/>
      <c r="ED121" s="159"/>
      <c r="EE121" s="159"/>
      <c r="EF121" s="159"/>
      <c r="EG121" s="159"/>
      <c r="EH121" s="159"/>
      <c r="EI121" s="159"/>
    </row>
    <row r="122" spans="1:139" x14ac:dyDescent="0.25">
      <c r="B122" s="894"/>
      <c r="H122" s="401"/>
      <c r="I122" s="210"/>
      <c r="J122" s="210"/>
      <c r="K122" s="210"/>
      <c r="L122" s="210"/>
      <c r="M122" s="210"/>
      <c r="N122" s="210"/>
      <c r="P122" s="210"/>
      <c r="Q122" s="210"/>
      <c r="R122" s="210"/>
      <c r="S122" s="210"/>
      <c r="T122" s="210"/>
      <c r="AB122" s="401"/>
      <c r="AD122" s="210"/>
      <c r="AE122" s="210"/>
      <c r="AI122" s="400"/>
      <c r="AS122" s="400"/>
      <c r="AT122" s="210"/>
      <c r="AV122" s="210"/>
      <c r="AW122" s="401"/>
      <c r="AX122" s="210"/>
      <c r="AY122" s="210"/>
      <c r="AZ122" s="210"/>
      <c r="BA122" s="210"/>
      <c r="BD122" s="210"/>
      <c r="BE122" s="210"/>
      <c r="BF122" s="210"/>
      <c r="BG122" s="210"/>
      <c r="BH122" s="210"/>
      <c r="BJ122" s="210"/>
      <c r="BM122" s="400"/>
      <c r="BN122" s="210"/>
      <c r="BP122" s="210"/>
      <c r="BR122" s="210"/>
      <c r="BT122" s="210"/>
      <c r="BX122" s="210"/>
      <c r="BZ122" s="210"/>
      <c r="CB122" s="210"/>
      <c r="CD122" s="210"/>
      <c r="CH122" s="210"/>
      <c r="CI122" s="210"/>
      <c r="CJ122" s="210"/>
      <c r="CK122" s="210"/>
      <c r="CL122" s="210"/>
      <c r="CM122" s="210"/>
      <c r="CN122" s="210"/>
      <c r="CO122" s="210"/>
      <c r="CP122" s="210"/>
      <c r="CQ122" s="210"/>
      <c r="CR122" s="210"/>
      <c r="CS122" s="210"/>
      <c r="CT122" s="210"/>
      <c r="CZ122" s="400" t="e">
        <f>SUM(#REF!)</f>
        <v>#REF!</v>
      </c>
      <c r="DA122" s="400" t="e">
        <f>SUM(#REF!)</f>
        <v>#REF!</v>
      </c>
      <c r="DD122" s="429"/>
      <c r="DE122" s="429"/>
      <c r="DF122" s="429"/>
      <c r="DG122" s="429"/>
      <c r="DH122" s="429"/>
      <c r="DI122" s="429"/>
      <c r="DJ122" s="429"/>
      <c r="DK122" s="429"/>
      <c r="DL122" s="429"/>
      <c r="DM122" s="429"/>
      <c r="DN122" s="429"/>
      <c r="DO122" s="429"/>
      <c r="DP122" s="429"/>
      <c r="DQ122" s="429"/>
      <c r="DT122" s="429"/>
      <c r="DV122" s="429"/>
      <c r="DW122" s="429"/>
      <c r="DX122" s="429"/>
      <c r="DY122" s="429"/>
      <c r="DZ122" s="429"/>
      <c r="EA122" s="429"/>
      <c r="EB122" s="429"/>
      <c r="EC122" s="429"/>
      <c r="ED122" s="429"/>
      <c r="EE122" s="429"/>
      <c r="EF122" s="429"/>
      <c r="EG122" s="429"/>
      <c r="EH122" s="429"/>
      <c r="EI122" s="429"/>
    </row>
    <row r="123" spans="1:139" x14ac:dyDescent="0.25">
      <c r="B123" s="154"/>
      <c r="F123" s="400"/>
      <c r="I123" s="210"/>
      <c r="J123" s="210"/>
      <c r="K123" s="210"/>
      <c r="L123" s="210"/>
      <c r="M123" s="210"/>
      <c r="N123" s="210"/>
      <c r="P123" s="210"/>
      <c r="Q123" s="210"/>
      <c r="R123" s="210"/>
      <c r="S123" s="210"/>
      <c r="T123" s="210"/>
      <c r="V123" s="210"/>
      <c r="W123" s="210"/>
      <c r="X123" s="429"/>
      <c r="Y123" s="429"/>
      <c r="Z123" s="210"/>
      <c r="AA123" s="210"/>
      <c r="AB123" s="210"/>
      <c r="AC123" s="210"/>
      <c r="AD123" s="210"/>
      <c r="AE123" s="210"/>
      <c r="AF123" s="210"/>
      <c r="AG123" s="210"/>
      <c r="AJ123" s="210"/>
      <c r="AK123" s="210"/>
      <c r="AL123" s="210"/>
      <c r="AM123" s="210"/>
      <c r="AN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D123" s="210"/>
      <c r="BE123" s="210"/>
      <c r="BF123" s="210"/>
      <c r="BG123" s="210"/>
      <c r="BH123" s="210"/>
      <c r="BJ123" s="210"/>
      <c r="BK123" s="210"/>
      <c r="BL123" s="210"/>
      <c r="BM123" s="210"/>
      <c r="BN123" s="210"/>
      <c r="BO123" s="210"/>
      <c r="BP123" s="400"/>
      <c r="BQ123" s="210"/>
      <c r="BR123" s="210"/>
      <c r="BS123" s="210"/>
      <c r="BT123" s="400"/>
      <c r="BU123" s="210"/>
      <c r="BW123" s="210"/>
      <c r="BX123" s="210"/>
      <c r="BY123" s="210"/>
      <c r="BZ123" s="210"/>
      <c r="CA123" s="210"/>
      <c r="CB123" s="210"/>
      <c r="CC123" s="210"/>
      <c r="CD123" s="210"/>
      <c r="CE123" s="210"/>
      <c r="CG123" s="210"/>
      <c r="CH123" s="210"/>
      <c r="CI123" s="210"/>
      <c r="CJ123" s="210"/>
      <c r="CK123" s="210"/>
      <c r="CL123" s="210"/>
      <c r="CM123" s="210"/>
      <c r="CN123" s="210"/>
      <c r="CO123" s="210"/>
      <c r="CP123" s="210"/>
      <c r="CQ123" s="210"/>
      <c r="CT123" s="210"/>
      <c r="CZ123" s="429"/>
      <c r="DA123" s="429"/>
      <c r="DD123" s="429"/>
      <c r="DE123" s="429"/>
      <c r="DF123" s="429"/>
      <c r="DG123" s="429"/>
      <c r="DH123" s="429"/>
      <c r="DI123" s="429"/>
      <c r="DJ123" s="429"/>
      <c r="DK123" s="429"/>
      <c r="DL123" s="429"/>
      <c r="DM123" s="429"/>
      <c r="DN123" s="429"/>
      <c r="DO123" s="429"/>
      <c r="DP123" s="429"/>
      <c r="DQ123" s="429"/>
    </row>
    <row r="124" spans="1:139" x14ac:dyDescent="0.25">
      <c r="B124" s="155" t="s">
        <v>104</v>
      </c>
      <c r="D124" s="402"/>
      <c r="E124" s="402"/>
      <c r="I124" s="210"/>
      <c r="J124" s="210"/>
      <c r="K124" s="210"/>
      <c r="L124" s="210"/>
      <c r="M124" s="210"/>
      <c r="N124" s="210"/>
      <c r="P124" s="210"/>
      <c r="Q124" s="210"/>
      <c r="R124" s="210"/>
      <c r="S124" s="210"/>
      <c r="T124" s="210"/>
      <c r="V124" s="210"/>
      <c r="W124" s="210"/>
      <c r="X124" s="429"/>
      <c r="Y124" s="429"/>
      <c r="Z124" s="210"/>
      <c r="AA124" s="210"/>
      <c r="AB124" s="210"/>
      <c r="AC124" s="210"/>
      <c r="AD124" s="210"/>
      <c r="AE124" s="210"/>
      <c r="AF124" s="210"/>
      <c r="AG124" s="210"/>
      <c r="AJ124" s="210"/>
      <c r="AK124" s="210"/>
      <c r="AL124" s="210"/>
      <c r="AM124" s="210"/>
      <c r="AN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D124" s="210"/>
      <c r="BE124" s="210"/>
      <c r="BF124" s="210"/>
      <c r="BG124" s="210"/>
      <c r="BH124" s="210"/>
      <c r="BJ124" s="210"/>
      <c r="BK124" s="210"/>
      <c r="BL124" s="210"/>
      <c r="BM124" s="210"/>
      <c r="BN124" s="210"/>
      <c r="BO124" s="210"/>
      <c r="BP124" s="210"/>
      <c r="BQ124" s="210"/>
      <c r="BR124" s="210"/>
      <c r="BS124" s="210"/>
      <c r="BT124" s="210"/>
      <c r="BU124" s="210"/>
      <c r="BW124" s="210"/>
      <c r="BX124" s="210"/>
      <c r="BY124" s="210"/>
      <c r="BZ124" s="210"/>
      <c r="CA124" s="210"/>
      <c r="CB124" s="210"/>
      <c r="CC124" s="210"/>
      <c r="CD124" s="210"/>
      <c r="CE124" s="210"/>
      <c r="CG124" s="210"/>
      <c r="CH124" s="210"/>
      <c r="CI124" s="210"/>
      <c r="CJ124" s="210"/>
      <c r="CK124" s="210"/>
      <c r="CL124" s="210"/>
      <c r="CM124" s="210"/>
      <c r="CN124" s="210"/>
      <c r="CO124" s="210"/>
      <c r="CQ124" s="210"/>
      <c r="CZ124" s="429"/>
      <c r="DA124" s="429"/>
      <c r="DD124" s="429"/>
      <c r="DE124" s="429"/>
      <c r="DF124" s="429"/>
      <c r="DG124" s="429"/>
      <c r="DH124" s="429"/>
      <c r="DI124" s="429"/>
      <c r="DJ124" s="429"/>
      <c r="DK124" s="429"/>
      <c r="DL124" s="429"/>
      <c r="DM124" s="429"/>
      <c r="DN124" s="429"/>
      <c r="DO124" s="429"/>
      <c r="DP124" s="429"/>
      <c r="DQ124" s="429"/>
    </row>
    <row r="125" spans="1:139" x14ac:dyDescent="0.25">
      <c r="B125" s="2258" t="s">
        <v>20</v>
      </c>
      <c r="C125" s="2258"/>
      <c r="D125" s="402"/>
      <c r="E125" s="402"/>
      <c r="I125" s="210"/>
      <c r="J125" s="210"/>
      <c r="K125" s="210"/>
      <c r="L125" s="210"/>
      <c r="M125" s="210"/>
      <c r="N125" s="210"/>
      <c r="P125" s="210"/>
      <c r="Q125" s="210"/>
      <c r="R125" s="210"/>
      <c r="S125" s="210"/>
      <c r="T125" s="210"/>
      <c r="V125" s="210"/>
      <c r="W125" s="210"/>
      <c r="X125" s="429"/>
      <c r="Y125" s="429"/>
      <c r="Z125" s="210"/>
      <c r="AA125" s="210"/>
      <c r="AB125" s="210"/>
      <c r="AC125" s="210"/>
      <c r="AD125" s="210"/>
      <c r="AE125" s="210"/>
      <c r="AF125" s="210"/>
      <c r="AG125" s="210"/>
      <c r="AJ125" s="210"/>
      <c r="AK125" s="210"/>
      <c r="AL125" s="210"/>
      <c r="AM125" s="210"/>
      <c r="AN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D125" s="210"/>
      <c r="BE125" s="210"/>
      <c r="BF125" s="210"/>
      <c r="BG125" s="210"/>
      <c r="BH125" s="210"/>
      <c r="BJ125" s="210"/>
      <c r="BK125" s="210"/>
      <c r="BL125" s="210"/>
      <c r="BM125" s="210"/>
      <c r="BN125" s="210"/>
      <c r="BO125" s="210"/>
      <c r="BP125" s="210"/>
      <c r="BQ125" s="210"/>
      <c r="BR125" s="210"/>
      <c r="BS125" s="210"/>
      <c r="BT125" s="210"/>
      <c r="BU125" s="210"/>
      <c r="BW125" s="210"/>
      <c r="BX125" s="210"/>
      <c r="BY125" s="210"/>
      <c r="BZ125" s="210"/>
      <c r="CA125" s="210"/>
      <c r="CB125" s="210"/>
      <c r="CC125" s="210"/>
      <c r="CD125" s="210"/>
      <c r="CE125" s="210"/>
      <c r="CG125" s="210"/>
      <c r="CH125" s="210"/>
      <c r="CI125" s="210"/>
      <c r="CJ125" s="210"/>
      <c r="CK125" s="210"/>
      <c r="CL125" s="210"/>
      <c r="CM125" s="210"/>
      <c r="CN125" s="210"/>
      <c r="CO125" s="210"/>
      <c r="CQ125" s="210"/>
      <c r="CZ125" s="429"/>
      <c r="DA125" s="429"/>
      <c r="DD125" s="429"/>
      <c r="DE125" s="429"/>
      <c r="DF125" s="429"/>
      <c r="DG125" s="429"/>
      <c r="DH125" s="429"/>
      <c r="DI125" s="429"/>
      <c r="DJ125" s="429"/>
      <c r="DK125" s="429"/>
      <c r="DL125" s="429"/>
      <c r="DM125" s="429"/>
      <c r="DN125" s="429"/>
      <c r="DO125" s="429"/>
      <c r="DP125" s="429"/>
      <c r="DQ125" s="429"/>
    </row>
    <row r="126" spans="1:139" x14ac:dyDescent="0.25">
      <c r="B126" s="156" t="s">
        <v>96</v>
      </c>
      <c r="C126" s="254">
        <v>165140</v>
      </c>
      <c r="D126" s="255" t="s">
        <v>80</v>
      </c>
      <c r="E126" s="402"/>
      <c r="I126" s="210"/>
      <c r="J126" s="210"/>
      <c r="K126" s="210"/>
      <c r="L126" s="210"/>
      <c r="M126" s="210"/>
      <c r="N126" s="210"/>
      <c r="P126" s="210"/>
      <c r="Q126" s="210"/>
      <c r="R126" s="210"/>
      <c r="S126" s="927"/>
      <c r="T126" s="210"/>
      <c r="V126" s="210"/>
      <c r="W126" s="210"/>
      <c r="X126" s="429"/>
      <c r="Y126" s="429"/>
      <c r="Z126" s="210"/>
      <c r="AA126" s="210"/>
      <c r="AB126" s="210"/>
      <c r="AC126" s="210"/>
      <c r="AD126" s="210"/>
      <c r="AE126" s="210"/>
      <c r="AF126" s="210"/>
      <c r="AG126" s="210"/>
      <c r="AJ126" s="210"/>
      <c r="AK126" s="210"/>
      <c r="AL126" s="210"/>
      <c r="AM126" s="210"/>
      <c r="AN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D126" s="210"/>
      <c r="BE126" s="210"/>
      <c r="BF126" s="210"/>
      <c r="BG126" s="210"/>
      <c r="BH126" s="210"/>
      <c r="BJ126" s="210"/>
      <c r="BK126" s="210"/>
      <c r="BL126" s="210"/>
      <c r="BM126" s="210"/>
      <c r="BN126" s="210"/>
      <c r="BO126" s="210"/>
      <c r="BP126" s="210"/>
      <c r="BQ126" s="210"/>
      <c r="BR126" s="210"/>
      <c r="BS126" s="210"/>
      <c r="BT126" s="210"/>
      <c r="BU126" s="210"/>
      <c r="BW126" s="210"/>
      <c r="BX126" s="210"/>
      <c r="BY126" s="210"/>
      <c r="BZ126" s="210"/>
      <c r="CA126" s="210"/>
      <c r="CB126" s="210"/>
      <c r="CC126" s="210"/>
      <c r="CD126" s="210"/>
      <c r="CE126" s="210"/>
      <c r="CG126" s="210"/>
      <c r="CH126" s="210"/>
      <c r="CI126" s="210"/>
      <c r="CJ126" s="210"/>
      <c r="CK126" s="210"/>
      <c r="CL126" s="210"/>
      <c r="CM126" s="210"/>
      <c r="CN126" s="210"/>
      <c r="CO126" s="210"/>
      <c r="CZ126" s="429"/>
      <c r="DA126" s="429"/>
      <c r="DD126" s="429"/>
      <c r="DE126" s="429"/>
      <c r="DF126" s="429"/>
      <c r="DG126" s="429"/>
      <c r="DH126" s="429"/>
      <c r="DI126" s="429"/>
      <c r="DJ126" s="429"/>
      <c r="DK126" s="429"/>
      <c r="DL126" s="429"/>
      <c r="DM126" s="429"/>
      <c r="DN126" s="429"/>
      <c r="DO126" s="429"/>
      <c r="DP126" s="429"/>
      <c r="DQ126" s="429"/>
    </row>
    <row r="127" spans="1:139" x14ac:dyDescent="0.25">
      <c r="B127" s="156" t="s">
        <v>81</v>
      </c>
      <c r="C127" s="254">
        <v>55821</v>
      </c>
      <c r="D127" s="255" t="s">
        <v>80</v>
      </c>
      <c r="E127" s="402"/>
      <c r="I127" s="210"/>
      <c r="J127" s="210"/>
      <c r="K127" s="210"/>
      <c r="L127" s="210"/>
      <c r="M127" s="210"/>
      <c r="N127" s="210"/>
      <c r="P127" s="210"/>
      <c r="Q127" s="210"/>
      <c r="R127" s="210"/>
      <c r="S127" s="927"/>
      <c r="T127" s="210"/>
      <c r="V127" s="210"/>
      <c r="W127" s="210"/>
      <c r="X127" s="429"/>
      <c r="Y127" s="429"/>
      <c r="Z127" s="210"/>
      <c r="AA127" s="210"/>
      <c r="AB127" s="210"/>
      <c r="AC127" s="210"/>
      <c r="AD127" s="210"/>
      <c r="AE127" s="210"/>
      <c r="AF127" s="210"/>
      <c r="AG127" s="210"/>
      <c r="AJ127" s="210"/>
      <c r="AK127" s="210"/>
      <c r="AL127" s="210"/>
      <c r="AM127" s="210"/>
      <c r="AN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D127" s="210"/>
      <c r="BE127" s="210"/>
      <c r="BF127" s="210"/>
      <c r="BG127" s="210"/>
      <c r="BH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0"/>
      <c r="BW127" s="210"/>
      <c r="BX127" s="210"/>
      <c r="BY127" s="210"/>
      <c r="BZ127" s="210"/>
      <c r="CA127" s="210"/>
      <c r="CB127" s="210"/>
      <c r="CC127" s="210"/>
      <c r="CD127" s="210"/>
      <c r="CE127" s="210"/>
      <c r="CG127" s="210"/>
      <c r="CH127" s="210"/>
      <c r="CI127" s="210"/>
      <c r="CJ127" s="210"/>
      <c r="CK127" s="210"/>
      <c r="CL127" s="210"/>
      <c r="CM127" s="210"/>
      <c r="CN127" s="210"/>
      <c r="CO127" s="210"/>
      <c r="CZ127" s="429"/>
      <c r="DA127" s="429"/>
      <c r="DD127" s="429"/>
      <c r="DE127" s="429"/>
      <c r="DF127" s="429"/>
      <c r="DG127" s="429"/>
      <c r="DH127" s="429"/>
      <c r="DI127" s="429"/>
      <c r="DJ127" s="429"/>
      <c r="DK127" s="429"/>
      <c r="DL127" s="429"/>
      <c r="DM127" s="429"/>
      <c r="DN127" s="429"/>
      <c r="DO127" s="429"/>
      <c r="DP127" s="429"/>
      <c r="DQ127" s="429"/>
    </row>
    <row r="128" spans="1:139" x14ac:dyDescent="0.25">
      <c r="B128" s="156" t="s">
        <v>99</v>
      </c>
      <c r="C128" s="254">
        <v>32520</v>
      </c>
      <c r="D128" s="255" t="s">
        <v>80</v>
      </c>
      <c r="E128" s="402"/>
      <c r="I128" s="210"/>
      <c r="J128" s="210"/>
      <c r="K128" s="210"/>
      <c r="L128" s="210"/>
      <c r="M128" s="210"/>
      <c r="N128" s="210"/>
      <c r="P128" s="210"/>
      <c r="Q128" s="210"/>
      <c r="R128" s="210"/>
      <c r="S128" s="210"/>
      <c r="T128" s="210"/>
      <c r="V128" s="210"/>
      <c r="W128" s="210"/>
      <c r="X128" s="429"/>
      <c r="Y128" s="429"/>
      <c r="Z128" s="210"/>
      <c r="AA128" s="210"/>
      <c r="AB128" s="210"/>
      <c r="AC128" s="210"/>
      <c r="AD128" s="210"/>
      <c r="AE128" s="210"/>
      <c r="AF128" s="210"/>
      <c r="AG128" s="210"/>
      <c r="AJ128" s="210"/>
      <c r="AK128" s="210"/>
      <c r="AL128" s="210"/>
      <c r="AM128" s="210"/>
      <c r="AN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D128" s="210"/>
      <c r="BE128" s="210"/>
      <c r="BF128" s="210"/>
      <c r="BG128" s="210"/>
      <c r="BH128" s="210"/>
      <c r="BJ128" s="210"/>
      <c r="BK128" s="210"/>
      <c r="BL128" s="210"/>
      <c r="BM128" s="210"/>
      <c r="BN128" s="210"/>
      <c r="BO128" s="210"/>
      <c r="BP128" s="210"/>
      <c r="BQ128" s="210"/>
      <c r="BR128" s="210"/>
      <c r="BS128" s="210"/>
      <c r="BT128" s="210"/>
      <c r="BU128" s="210"/>
      <c r="BW128" s="210"/>
      <c r="BX128" s="210"/>
      <c r="BY128" s="210"/>
      <c r="BZ128" s="210"/>
      <c r="CA128" s="210"/>
      <c r="CB128" s="210"/>
      <c r="CC128" s="210"/>
      <c r="CD128" s="210"/>
      <c r="CE128" s="210"/>
      <c r="CG128" s="210"/>
      <c r="CH128" s="210"/>
      <c r="CI128" s="210"/>
      <c r="CJ128" s="210"/>
      <c r="CK128" s="210"/>
      <c r="CL128" s="210"/>
      <c r="CM128" s="210"/>
      <c r="CN128" s="210"/>
      <c r="CO128" s="210"/>
      <c r="CZ128" s="429"/>
      <c r="DA128" s="429"/>
      <c r="DD128" s="429"/>
      <c r="DE128" s="429"/>
      <c r="DF128" s="429"/>
      <c r="DG128" s="429"/>
      <c r="DH128" s="429"/>
      <c r="DI128" s="429"/>
      <c r="DJ128" s="429"/>
      <c r="DK128" s="429"/>
      <c r="DL128" s="429"/>
      <c r="DM128" s="429"/>
      <c r="DN128" s="429"/>
      <c r="DO128" s="429"/>
      <c r="DP128" s="429"/>
      <c r="DQ128" s="429"/>
    </row>
    <row r="129" spans="1:139" x14ac:dyDescent="0.25">
      <c r="B129" s="156" t="s">
        <v>100</v>
      </c>
      <c r="C129" s="157">
        <v>8222</v>
      </c>
      <c r="D129" s="255" t="s">
        <v>80</v>
      </c>
      <c r="E129" s="402"/>
      <c r="I129" s="210"/>
      <c r="J129" s="210"/>
      <c r="K129" s="210"/>
      <c r="L129" s="210"/>
      <c r="M129" s="210"/>
      <c r="N129" s="210"/>
      <c r="P129" s="210"/>
      <c r="Q129" s="210"/>
      <c r="R129" s="210"/>
      <c r="S129" s="927"/>
      <c r="T129" s="210"/>
      <c r="V129" s="210"/>
      <c r="W129" s="210"/>
      <c r="X129" s="429"/>
      <c r="Y129" s="429"/>
      <c r="Z129" s="210"/>
      <c r="AA129" s="210"/>
      <c r="AB129" s="210"/>
      <c r="AC129" s="210"/>
      <c r="AD129" s="210"/>
      <c r="AE129" s="210"/>
      <c r="AF129" s="210"/>
      <c r="AG129" s="210"/>
      <c r="AJ129" s="210"/>
      <c r="AK129" s="210"/>
      <c r="AL129" s="210"/>
      <c r="AM129" s="210"/>
      <c r="AN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D129" s="210"/>
      <c r="BE129" s="210"/>
      <c r="BF129" s="210"/>
      <c r="BG129" s="210"/>
      <c r="BH129" s="210"/>
      <c r="BJ129" s="210"/>
      <c r="BK129" s="210"/>
      <c r="BL129" s="210"/>
      <c r="BM129" s="210"/>
      <c r="BN129" s="210"/>
      <c r="BO129" s="210"/>
      <c r="BP129" s="210"/>
      <c r="BQ129" s="210"/>
      <c r="BR129" s="210"/>
      <c r="BS129" s="210"/>
      <c r="BT129" s="210"/>
      <c r="BU129" s="210"/>
      <c r="BW129" s="210"/>
      <c r="BX129" s="210"/>
      <c r="BY129" s="210"/>
      <c r="BZ129" s="210"/>
      <c r="CA129" s="210"/>
      <c r="CB129" s="210"/>
      <c r="CC129" s="210"/>
      <c r="CD129" s="210"/>
      <c r="CE129" s="210"/>
      <c r="CG129" s="210"/>
      <c r="CH129" s="210"/>
      <c r="CI129" s="210"/>
      <c r="CJ129" s="210"/>
      <c r="CK129" s="210"/>
      <c r="CL129" s="210"/>
      <c r="CM129" s="210"/>
      <c r="CN129" s="210"/>
      <c r="CO129" s="210"/>
      <c r="CZ129" s="429"/>
      <c r="DA129" s="429"/>
      <c r="DD129" s="429"/>
      <c r="DE129" s="429"/>
      <c r="DF129" s="429"/>
      <c r="DG129" s="429"/>
      <c r="DH129" s="429"/>
      <c r="DI129" s="429"/>
      <c r="DJ129" s="429"/>
      <c r="DK129" s="429"/>
      <c r="DL129" s="429"/>
      <c r="DM129" s="429"/>
      <c r="DN129" s="429"/>
      <c r="DO129" s="429"/>
      <c r="DP129" s="429"/>
      <c r="DQ129" s="429"/>
    </row>
    <row r="130" spans="1:139" s="1" customFormat="1" x14ac:dyDescent="0.25">
      <c r="A130" s="928"/>
      <c r="B130" s="2259" t="s">
        <v>21</v>
      </c>
      <c r="C130" s="2259"/>
      <c r="D130" s="425"/>
      <c r="E130" s="425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929"/>
      <c r="Y130" s="929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  <c r="BI130" s="212"/>
      <c r="BJ130" s="212"/>
      <c r="BK130" s="212"/>
      <c r="BL130" s="212"/>
      <c r="BM130" s="212"/>
      <c r="BN130" s="212"/>
      <c r="BO130" s="212"/>
      <c r="BP130" s="212"/>
      <c r="BQ130" s="212"/>
      <c r="BR130" s="212"/>
      <c r="BS130" s="212"/>
      <c r="BT130" s="212"/>
      <c r="BU130" s="212"/>
      <c r="BV130" s="212"/>
      <c r="BW130" s="212"/>
      <c r="BX130" s="212"/>
      <c r="BY130" s="212"/>
      <c r="BZ130" s="212"/>
      <c r="CA130" s="212"/>
      <c r="CB130" s="212"/>
      <c r="CC130" s="212"/>
      <c r="CD130" s="212"/>
      <c r="CE130" s="212"/>
      <c r="CF130" s="427"/>
      <c r="CG130" s="212"/>
      <c r="CH130" s="212"/>
      <c r="CI130" s="212"/>
      <c r="CJ130" s="212"/>
      <c r="CK130" s="212"/>
      <c r="CL130" s="212"/>
      <c r="CM130" s="212"/>
      <c r="CN130" s="212"/>
      <c r="CO130" s="212"/>
      <c r="CZ130" s="929"/>
      <c r="DA130" s="929"/>
      <c r="DB130" s="928"/>
      <c r="DC130" s="928"/>
      <c r="DD130" s="929"/>
      <c r="DE130" s="929"/>
      <c r="DF130" s="929"/>
      <c r="DG130" s="929"/>
      <c r="DH130" s="929"/>
      <c r="DI130" s="929"/>
      <c r="DJ130" s="929"/>
      <c r="DK130" s="929"/>
      <c r="DL130" s="929"/>
      <c r="DM130" s="929"/>
      <c r="DN130" s="929"/>
      <c r="DO130" s="929"/>
      <c r="DP130" s="929"/>
      <c r="DQ130" s="929"/>
      <c r="DR130" s="930"/>
      <c r="DS130" s="931"/>
      <c r="DT130" s="928"/>
      <c r="DU130" s="928"/>
      <c r="DV130" s="928"/>
      <c r="DW130" s="932"/>
      <c r="DX130" s="933"/>
      <c r="DY130" s="933"/>
      <c r="DZ130" s="928"/>
      <c r="EA130" s="928"/>
      <c r="EB130" s="928"/>
      <c r="EC130" s="928"/>
      <c r="ED130" s="928"/>
      <c r="EE130" s="928"/>
      <c r="EF130" s="928"/>
      <c r="EG130" s="928"/>
      <c r="EH130" s="928"/>
    </row>
    <row r="131" spans="1:139" s="1" customFormat="1" ht="24" customHeight="1" x14ac:dyDescent="0.25">
      <c r="A131" s="2260" t="s">
        <v>103</v>
      </c>
      <c r="B131" s="2260"/>
      <c r="C131" s="2261">
        <v>95097</v>
      </c>
      <c r="D131" s="2262" t="s">
        <v>102</v>
      </c>
      <c r="E131" s="425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929"/>
      <c r="Y131" s="929"/>
      <c r="Z131" s="212"/>
      <c r="AA131" s="212"/>
      <c r="AB131" s="212"/>
      <c r="AC131" s="212"/>
      <c r="AD131" s="212"/>
      <c r="AE131" s="212"/>
      <c r="AF131" s="212"/>
      <c r="AG131" s="212"/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  <c r="BI131" s="212"/>
      <c r="BJ131" s="212"/>
      <c r="BK131" s="212"/>
      <c r="BL131" s="212"/>
      <c r="BM131" s="212"/>
      <c r="BN131" s="212"/>
      <c r="BO131" s="212"/>
      <c r="BP131" s="212"/>
      <c r="BQ131" s="212"/>
      <c r="BR131" s="212"/>
      <c r="BS131" s="212"/>
      <c r="BT131" s="212"/>
      <c r="BU131" s="212"/>
      <c r="BV131" s="212"/>
      <c r="BW131" s="212"/>
      <c r="BX131" s="212"/>
      <c r="BY131" s="212"/>
      <c r="BZ131" s="212"/>
      <c r="CA131" s="212"/>
      <c r="CB131" s="212"/>
      <c r="CC131" s="212"/>
      <c r="CD131" s="212"/>
      <c r="CE131" s="212"/>
      <c r="CF131" s="427"/>
      <c r="CG131" s="212"/>
      <c r="CH131" s="212"/>
      <c r="CI131" s="212"/>
      <c r="CJ131" s="212"/>
      <c r="CK131" s="212"/>
      <c r="CL131" s="212"/>
      <c r="CM131" s="212"/>
      <c r="CN131" s="212"/>
      <c r="CO131" s="212"/>
      <c r="CZ131" s="929"/>
      <c r="DA131" s="929"/>
      <c r="DB131" s="928"/>
      <c r="DC131" s="928"/>
      <c r="DD131" s="929"/>
      <c r="DE131" s="929"/>
      <c r="DF131" s="929"/>
      <c r="DG131" s="929"/>
      <c r="DH131" s="929"/>
      <c r="DI131" s="929"/>
      <c r="DJ131" s="929"/>
      <c r="DK131" s="929"/>
      <c r="DL131" s="929"/>
      <c r="DM131" s="929"/>
      <c r="DN131" s="929"/>
      <c r="DO131" s="929"/>
      <c r="DP131" s="929"/>
      <c r="DQ131" s="929"/>
      <c r="DR131" s="930"/>
      <c r="DS131" s="931"/>
      <c r="DT131" s="928"/>
      <c r="DU131" s="928"/>
      <c r="DV131" s="928"/>
      <c r="DW131" s="932"/>
      <c r="DX131" s="933"/>
      <c r="DY131" s="933"/>
      <c r="DZ131" s="928"/>
      <c r="EA131" s="928"/>
      <c r="EB131" s="928"/>
      <c r="EC131" s="928"/>
      <c r="ED131" s="928"/>
      <c r="EE131" s="928"/>
      <c r="EF131" s="928"/>
      <c r="EG131" s="928"/>
      <c r="EH131" s="928"/>
    </row>
    <row r="132" spans="1:139" s="1" customFormat="1" ht="30.6" customHeight="1" x14ac:dyDescent="0.25">
      <c r="A132" s="2260"/>
      <c r="B132" s="2260"/>
      <c r="C132" s="2261"/>
      <c r="D132" s="2262"/>
      <c r="E132" s="425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929"/>
      <c r="Y132" s="929"/>
      <c r="Z132" s="212"/>
      <c r="AA132" s="212"/>
      <c r="AB132" s="212"/>
      <c r="AC132" s="212"/>
      <c r="AD132" s="212"/>
      <c r="AE132" s="212"/>
      <c r="AF132" s="212"/>
      <c r="AG132" s="212"/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  <c r="BI132" s="212"/>
      <c r="BJ132" s="212"/>
      <c r="BK132" s="212"/>
      <c r="BL132" s="212"/>
      <c r="BM132" s="212"/>
      <c r="BN132" s="212"/>
      <c r="BO132" s="212"/>
      <c r="BP132" s="212"/>
      <c r="BQ132" s="212"/>
      <c r="BR132" s="212"/>
      <c r="BS132" s="212"/>
      <c r="BT132" s="212"/>
      <c r="BU132" s="212"/>
      <c r="BV132" s="212"/>
      <c r="BW132" s="212"/>
      <c r="BX132" s="212"/>
      <c r="BY132" s="212"/>
      <c r="BZ132" s="212"/>
      <c r="CA132" s="212"/>
      <c r="CB132" s="212"/>
      <c r="CC132" s="212"/>
      <c r="CD132" s="212"/>
      <c r="CE132" s="212"/>
      <c r="CF132" s="427"/>
      <c r="CG132" s="212"/>
      <c r="CH132" s="212"/>
      <c r="CI132" s="212"/>
      <c r="CJ132" s="212"/>
      <c r="CK132" s="212"/>
      <c r="CL132" s="212"/>
      <c r="CM132" s="212"/>
      <c r="CN132" s="212"/>
      <c r="CO132" s="212"/>
      <c r="CZ132" s="929"/>
      <c r="DA132" s="929"/>
      <c r="DB132" s="928"/>
      <c r="DC132" s="928"/>
      <c r="DD132" s="929"/>
      <c r="DE132" s="929"/>
      <c r="DF132" s="929"/>
      <c r="DG132" s="929"/>
      <c r="DH132" s="929"/>
      <c r="DI132" s="929"/>
      <c r="DJ132" s="929"/>
      <c r="DK132" s="929"/>
      <c r="DL132" s="929"/>
      <c r="DM132" s="929"/>
      <c r="DN132" s="929"/>
      <c r="DO132" s="929"/>
      <c r="DP132" s="929"/>
      <c r="DQ132" s="929"/>
      <c r="DR132" s="930"/>
      <c r="DS132" s="931"/>
      <c r="DT132" s="928"/>
      <c r="DU132" s="928"/>
      <c r="DV132" s="928"/>
      <c r="DW132" s="932"/>
      <c r="DX132" s="933"/>
      <c r="DY132" s="933"/>
      <c r="DZ132" s="928"/>
      <c r="EA132" s="928"/>
      <c r="EB132" s="928"/>
      <c r="EC132" s="928"/>
      <c r="ED132" s="928"/>
      <c r="EE132" s="928"/>
      <c r="EF132" s="928"/>
      <c r="EG132" s="928"/>
      <c r="EH132" s="928"/>
    </row>
    <row r="133" spans="1:139" s="1" customFormat="1" x14ac:dyDescent="0.25">
      <c r="A133" s="934"/>
      <c r="B133" s="934"/>
      <c r="C133" s="935"/>
      <c r="D133" s="426"/>
      <c r="E133" s="425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929"/>
      <c r="Y133" s="929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  <c r="BI133" s="212"/>
      <c r="BJ133" s="212"/>
      <c r="BK133" s="212"/>
      <c r="BL133" s="212"/>
      <c r="BM133" s="212"/>
      <c r="BN133" s="212"/>
      <c r="BO133" s="212"/>
      <c r="BP133" s="212"/>
      <c r="BQ133" s="212"/>
      <c r="BR133" s="212"/>
      <c r="BS133" s="212"/>
      <c r="BT133" s="212"/>
      <c r="BU133" s="212"/>
      <c r="BV133" s="212"/>
      <c r="BW133" s="212"/>
      <c r="BX133" s="212"/>
      <c r="BY133" s="212"/>
      <c r="BZ133" s="212"/>
      <c r="CA133" s="212"/>
      <c r="CB133" s="212"/>
      <c r="CC133" s="212"/>
      <c r="CD133" s="212"/>
      <c r="CE133" s="212"/>
      <c r="CF133" s="427"/>
      <c r="CG133" s="212"/>
      <c r="CH133" s="212"/>
      <c r="CI133" s="212"/>
      <c r="CJ133" s="212"/>
      <c r="CK133" s="212"/>
      <c r="CL133" s="212"/>
      <c r="CM133" s="212"/>
      <c r="CN133" s="212"/>
      <c r="CO133" s="212"/>
      <c r="CZ133" s="929"/>
      <c r="DA133" s="929"/>
      <c r="DB133" s="928"/>
      <c r="DC133" s="928"/>
      <c r="DD133" s="929"/>
      <c r="DE133" s="929"/>
      <c r="DF133" s="929"/>
      <c r="DG133" s="929"/>
      <c r="DH133" s="929"/>
      <c r="DI133" s="929"/>
      <c r="DJ133" s="929"/>
      <c r="DK133" s="929"/>
      <c r="DL133" s="929"/>
      <c r="DM133" s="929"/>
      <c r="DN133" s="929"/>
      <c r="DO133" s="929"/>
      <c r="DP133" s="929"/>
      <c r="DQ133" s="929"/>
      <c r="DR133" s="930"/>
      <c r="DS133" s="931"/>
      <c r="DT133" s="928"/>
      <c r="DU133" s="928"/>
      <c r="DV133" s="928"/>
      <c r="DW133" s="932"/>
      <c r="DX133" s="933"/>
      <c r="DY133" s="933"/>
      <c r="DZ133" s="928"/>
      <c r="EA133" s="928"/>
      <c r="EB133" s="928"/>
      <c r="EC133" s="928"/>
      <c r="ED133" s="928"/>
      <c r="EE133" s="928"/>
      <c r="EF133" s="928"/>
      <c r="EG133" s="928"/>
      <c r="EH133" s="928"/>
    </row>
    <row r="134" spans="1:139" ht="34.9" customHeight="1" x14ac:dyDescent="0.25">
      <c r="A134" s="158"/>
      <c r="B134" s="197" t="s">
        <v>82</v>
      </c>
      <c r="C134" s="197"/>
      <c r="D134" s="197"/>
      <c r="E134" s="197"/>
      <c r="F134" s="197"/>
      <c r="G134" s="197"/>
      <c r="H134" s="197"/>
      <c r="I134" s="197"/>
      <c r="J134" s="159"/>
      <c r="K134" s="160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60"/>
      <c r="AE134" s="160"/>
      <c r="AF134" s="159"/>
      <c r="AG134" s="159"/>
      <c r="AH134" s="160"/>
      <c r="AI134" s="211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59"/>
      <c r="BN134" s="159"/>
      <c r="BO134" s="159"/>
      <c r="BP134" s="159"/>
      <c r="BQ134" s="159"/>
      <c r="BR134" s="159"/>
      <c r="BS134" s="159"/>
      <c r="BT134" s="159"/>
      <c r="BU134" s="159"/>
      <c r="BV134" s="159"/>
      <c r="BW134" s="159"/>
      <c r="BX134" s="159"/>
      <c r="BY134" s="159"/>
      <c r="BZ134" s="159"/>
      <c r="CA134" s="159"/>
      <c r="CB134" s="159"/>
      <c r="CC134" s="159"/>
      <c r="CD134" s="159"/>
      <c r="CE134" s="159"/>
      <c r="CF134" s="936"/>
      <c r="CG134" s="159"/>
      <c r="CH134" s="159"/>
      <c r="CI134" s="159"/>
      <c r="CJ134" s="159"/>
      <c r="CK134" s="159"/>
      <c r="CL134" s="159"/>
      <c r="CM134" s="159"/>
      <c r="CN134" s="159"/>
      <c r="CO134" s="159"/>
      <c r="CP134" s="159"/>
      <c r="CQ134" s="159"/>
      <c r="CR134" s="159"/>
      <c r="CS134" s="159"/>
      <c r="CT134" s="159"/>
      <c r="CU134" s="159"/>
      <c r="CV134" s="159"/>
      <c r="CW134" s="159"/>
      <c r="CX134" s="159"/>
      <c r="CY134" s="159"/>
      <c r="CZ134" s="166"/>
      <c r="DA134" s="166"/>
      <c r="DB134" s="166"/>
      <c r="DC134" s="166"/>
      <c r="DD134" s="166"/>
      <c r="DE134" s="166"/>
      <c r="DF134" s="166"/>
      <c r="DG134" s="166"/>
      <c r="DH134" s="166"/>
      <c r="DI134" s="166"/>
      <c r="DJ134" s="166"/>
      <c r="DK134" s="166"/>
      <c r="DL134" s="166"/>
      <c r="DM134" s="166"/>
      <c r="DN134" s="166"/>
      <c r="DO134" s="166"/>
      <c r="DP134" s="166"/>
      <c r="DQ134" s="166"/>
      <c r="DR134" s="166"/>
      <c r="DS134" s="161"/>
      <c r="DT134" s="159"/>
      <c r="DU134" s="159"/>
      <c r="DV134" s="159"/>
      <c r="DW134" s="162"/>
      <c r="DX134" s="163"/>
      <c r="DY134" s="163"/>
      <c r="DZ134" s="159"/>
      <c r="EA134" s="159"/>
      <c r="EB134" s="159"/>
      <c r="EC134" s="159"/>
      <c r="ED134" s="159"/>
      <c r="EE134" s="159"/>
      <c r="EF134" s="159"/>
      <c r="EG134" s="159"/>
      <c r="EH134" s="159"/>
      <c r="EI134" s="159"/>
    </row>
    <row r="135" spans="1:139" ht="27.6" customHeight="1" x14ac:dyDescent="0.25">
      <c r="A135" s="158"/>
      <c r="B135" s="159" t="s">
        <v>83</v>
      </c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59"/>
      <c r="BN135" s="159"/>
      <c r="BO135" s="159"/>
      <c r="BP135" s="159"/>
      <c r="BQ135" s="159"/>
      <c r="BR135" s="159"/>
      <c r="BS135" s="159"/>
      <c r="BT135" s="159"/>
      <c r="BU135" s="159"/>
      <c r="BV135" s="159"/>
      <c r="BW135" s="159"/>
      <c r="BX135" s="159"/>
      <c r="BY135" s="159"/>
      <c r="BZ135" s="159"/>
      <c r="CA135" s="159"/>
      <c r="CB135" s="159"/>
      <c r="CC135" s="159"/>
      <c r="CD135" s="159"/>
      <c r="CE135" s="159"/>
      <c r="CF135" s="936"/>
      <c r="CG135" s="159"/>
      <c r="CH135" s="159"/>
      <c r="CI135" s="159"/>
      <c r="CJ135" s="159"/>
      <c r="CK135" s="159"/>
      <c r="CL135" s="159"/>
      <c r="CM135" s="159"/>
      <c r="CN135" s="159"/>
      <c r="CO135" s="159"/>
      <c r="CP135" s="159"/>
      <c r="CQ135" s="159"/>
      <c r="CR135" s="159"/>
      <c r="CS135" s="159"/>
      <c r="CT135" s="159"/>
      <c r="CU135" s="159"/>
      <c r="CV135" s="159"/>
      <c r="CW135" s="159"/>
      <c r="CX135" s="159"/>
      <c r="CY135" s="159"/>
      <c r="CZ135" s="166"/>
      <c r="DA135" s="167"/>
      <c r="DB135" s="167"/>
      <c r="DC135" s="167"/>
      <c r="DD135" s="167"/>
      <c r="DE135" s="167"/>
      <c r="DF135" s="167"/>
      <c r="DG135" s="167"/>
      <c r="DH135" s="166"/>
      <c r="DI135" s="166"/>
      <c r="DJ135" s="166"/>
      <c r="DK135" s="166"/>
      <c r="DL135" s="166"/>
      <c r="DM135" s="166"/>
      <c r="DN135" s="166"/>
      <c r="DO135" s="166"/>
      <c r="DP135" s="166"/>
      <c r="DQ135" s="166"/>
      <c r="DR135" s="166"/>
      <c r="DS135" s="161"/>
      <c r="DT135" s="159"/>
      <c r="DU135" s="159"/>
      <c r="DV135" s="159"/>
      <c r="DW135" s="162"/>
      <c r="DX135" s="163"/>
      <c r="DY135" s="163"/>
      <c r="DZ135" s="159"/>
      <c r="EA135" s="159"/>
      <c r="EB135" s="159"/>
      <c r="EC135" s="159"/>
      <c r="ED135" s="159"/>
      <c r="EE135" s="159"/>
      <c r="EF135" s="159"/>
      <c r="EG135" s="159"/>
      <c r="EH135" s="159"/>
      <c r="EI135" s="159"/>
    </row>
    <row r="136" spans="1:139" x14ac:dyDescent="0.25">
      <c r="A136" s="158"/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59"/>
      <c r="BN136" s="159"/>
      <c r="BO136" s="159"/>
      <c r="BP136" s="159"/>
      <c r="BQ136" s="159"/>
      <c r="BR136" s="159"/>
      <c r="BS136" s="159"/>
      <c r="BT136" s="159"/>
      <c r="BU136" s="159"/>
      <c r="BV136" s="159"/>
      <c r="BW136" s="159"/>
      <c r="BX136" s="159"/>
      <c r="BY136" s="159"/>
      <c r="BZ136" s="159"/>
      <c r="CA136" s="159"/>
      <c r="CB136" s="159"/>
      <c r="CC136" s="159"/>
      <c r="CD136" s="159"/>
      <c r="CE136" s="159"/>
      <c r="CF136" s="936"/>
      <c r="CG136" s="159"/>
      <c r="CH136" s="159"/>
      <c r="CI136" s="159"/>
      <c r="CJ136" s="159"/>
      <c r="CK136" s="159"/>
      <c r="CL136" s="159"/>
      <c r="CM136" s="159"/>
      <c r="CN136" s="159"/>
      <c r="CO136" s="159"/>
      <c r="CP136" s="159"/>
      <c r="CQ136" s="159"/>
      <c r="CR136" s="159"/>
      <c r="CS136" s="159"/>
      <c r="CT136" s="159"/>
      <c r="CU136" s="159"/>
      <c r="CV136" s="159"/>
      <c r="CW136" s="159"/>
      <c r="CX136" s="159"/>
      <c r="CY136" s="159"/>
      <c r="CZ136" s="166"/>
      <c r="DA136" s="167"/>
      <c r="DB136" s="166"/>
      <c r="DC136" s="166"/>
      <c r="DD136" s="166"/>
      <c r="DE136" s="167"/>
      <c r="DF136" s="166"/>
      <c r="DG136" s="166"/>
      <c r="DH136" s="166"/>
      <c r="DI136" s="166"/>
      <c r="DJ136" s="166"/>
      <c r="DK136" s="166"/>
      <c r="DL136" s="166"/>
      <c r="DM136" s="166"/>
      <c r="DN136" s="166"/>
      <c r="DO136" s="166"/>
      <c r="DP136" s="166"/>
      <c r="DQ136" s="166"/>
      <c r="DR136" s="166"/>
      <c r="DS136" s="161"/>
      <c r="DT136" s="159"/>
      <c r="DU136" s="159"/>
      <c r="DV136" s="159"/>
      <c r="DW136" s="162"/>
      <c r="DX136" s="163"/>
      <c r="DY136" s="163"/>
      <c r="DZ136" s="159"/>
      <c r="EA136" s="159"/>
      <c r="EB136" s="159"/>
      <c r="EC136" s="159"/>
      <c r="ED136" s="159"/>
      <c r="EE136" s="159"/>
      <c r="EF136" s="159"/>
      <c r="EG136" s="159"/>
      <c r="EH136" s="159"/>
      <c r="EI136" s="159"/>
    </row>
    <row r="137" spans="1:139" x14ac:dyDescent="0.25">
      <c r="A137" s="158"/>
      <c r="B137" s="159" t="s">
        <v>84</v>
      </c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59"/>
      <c r="BV137" s="159"/>
      <c r="BW137" s="159"/>
      <c r="BX137" s="159"/>
      <c r="BY137" s="159"/>
      <c r="BZ137" s="159"/>
      <c r="CA137" s="159"/>
      <c r="CB137" s="159"/>
      <c r="CC137" s="159"/>
      <c r="CD137" s="159"/>
      <c r="CE137" s="159"/>
      <c r="CF137" s="936"/>
      <c r="CG137" s="159"/>
      <c r="CH137" s="159"/>
      <c r="CI137" s="159"/>
      <c r="CJ137" s="159"/>
      <c r="CK137" s="159"/>
      <c r="CL137" s="159"/>
      <c r="CM137" s="159"/>
      <c r="CN137" s="159"/>
      <c r="CO137" s="159"/>
      <c r="CP137" s="159"/>
      <c r="CQ137" s="159"/>
      <c r="CR137" s="159"/>
      <c r="CS137" s="159"/>
      <c r="CT137" s="159"/>
      <c r="CU137" s="159"/>
      <c r="CV137" s="159"/>
      <c r="CW137" s="159"/>
      <c r="CX137" s="159"/>
      <c r="CY137" s="159"/>
      <c r="CZ137" s="166"/>
      <c r="DA137" s="167"/>
      <c r="DB137" s="166"/>
      <c r="DC137" s="166"/>
      <c r="DD137" s="166"/>
      <c r="DE137" s="167"/>
      <c r="DF137" s="166"/>
      <c r="DG137" s="166"/>
      <c r="DH137" s="166"/>
      <c r="DI137" s="166"/>
      <c r="DJ137" s="166"/>
      <c r="DK137" s="166"/>
      <c r="DL137" s="166"/>
      <c r="DM137" s="166"/>
      <c r="DN137" s="166"/>
      <c r="DO137" s="166"/>
      <c r="DP137" s="166"/>
      <c r="DQ137" s="166"/>
      <c r="DR137" s="166"/>
      <c r="DS137" s="161"/>
      <c r="DT137" s="159"/>
      <c r="DU137" s="159"/>
      <c r="DV137" s="159"/>
      <c r="DW137" s="162"/>
      <c r="DX137" s="163"/>
      <c r="DY137" s="163"/>
      <c r="DZ137" s="159"/>
      <c r="EA137" s="159"/>
      <c r="EB137" s="159"/>
      <c r="EC137" s="159"/>
      <c r="ED137" s="159"/>
      <c r="EE137" s="159"/>
      <c r="EF137" s="159"/>
      <c r="EG137" s="159"/>
      <c r="EH137" s="159"/>
      <c r="EI137" s="159"/>
    </row>
    <row r="138" spans="1:139" x14ac:dyDescent="0.25">
      <c r="A138" s="158"/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59"/>
      <c r="BN138" s="159"/>
      <c r="BO138" s="159"/>
      <c r="BP138" s="159"/>
      <c r="BQ138" s="159"/>
      <c r="BR138" s="159"/>
      <c r="BS138" s="159"/>
      <c r="BT138" s="159"/>
      <c r="BU138" s="159"/>
      <c r="BV138" s="159"/>
      <c r="BW138" s="159"/>
      <c r="BX138" s="159"/>
      <c r="BY138" s="159"/>
      <c r="BZ138" s="159"/>
      <c r="CA138" s="159"/>
      <c r="CB138" s="159"/>
      <c r="CC138" s="159"/>
      <c r="CD138" s="159"/>
      <c r="CE138" s="159"/>
      <c r="CF138" s="936"/>
      <c r="CG138" s="159"/>
      <c r="CH138" s="159"/>
      <c r="CI138" s="159"/>
      <c r="CJ138" s="159"/>
      <c r="CK138" s="159"/>
      <c r="CL138" s="159"/>
      <c r="CM138" s="159"/>
      <c r="CN138" s="159"/>
      <c r="CO138" s="159"/>
      <c r="CP138" s="159"/>
      <c r="CQ138" s="159"/>
      <c r="CR138" s="159"/>
      <c r="CS138" s="159"/>
      <c r="CT138" s="159"/>
      <c r="CU138" s="159"/>
      <c r="CV138" s="159"/>
      <c r="CW138" s="159"/>
      <c r="CX138" s="159"/>
      <c r="CY138" s="159"/>
      <c r="CZ138" s="166"/>
      <c r="DA138" s="167"/>
      <c r="DB138" s="166"/>
      <c r="DC138" s="166"/>
      <c r="DD138" s="166"/>
      <c r="DE138" s="167"/>
      <c r="DF138" s="166"/>
      <c r="DG138" s="166"/>
      <c r="DH138" s="166"/>
      <c r="DI138" s="166"/>
      <c r="DJ138" s="166"/>
      <c r="DK138" s="166"/>
      <c r="DL138" s="166"/>
      <c r="DM138" s="166"/>
      <c r="DN138" s="166"/>
      <c r="DO138" s="166"/>
      <c r="DP138" s="166"/>
      <c r="DQ138" s="166"/>
      <c r="DR138" s="166"/>
      <c r="DS138" s="161"/>
      <c r="DT138" s="159"/>
      <c r="DU138" s="159"/>
      <c r="DV138" s="159"/>
      <c r="DW138" s="162"/>
      <c r="DX138" s="163"/>
      <c r="DY138" s="163"/>
      <c r="DZ138" s="159"/>
      <c r="EA138" s="159"/>
      <c r="EB138" s="159"/>
      <c r="EC138" s="159"/>
      <c r="ED138" s="159"/>
      <c r="EE138" s="159"/>
      <c r="EF138" s="159"/>
      <c r="EG138" s="159"/>
      <c r="EH138" s="159"/>
      <c r="EI138" s="159"/>
    </row>
    <row r="139" spans="1:139" x14ac:dyDescent="0.25">
      <c r="A139" s="158"/>
      <c r="B139" s="164" t="s">
        <v>85</v>
      </c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59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159"/>
      <c r="BY139" s="159"/>
      <c r="BZ139" s="159"/>
      <c r="CA139" s="159"/>
      <c r="CB139" s="159"/>
      <c r="CC139" s="159"/>
      <c r="CD139" s="159"/>
      <c r="CE139" s="159"/>
      <c r="CF139" s="936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61"/>
      <c r="DT139" s="159"/>
      <c r="DU139" s="159"/>
      <c r="DV139" s="159"/>
      <c r="DW139" s="162"/>
      <c r="DX139" s="163"/>
      <c r="DY139" s="163"/>
      <c r="DZ139" s="159"/>
      <c r="EA139" s="159"/>
      <c r="EB139" s="159"/>
      <c r="EC139" s="159"/>
      <c r="ED139" s="159"/>
      <c r="EE139" s="159"/>
      <c r="EF139" s="159"/>
      <c r="EG139" s="159"/>
      <c r="EH139" s="159"/>
      <c r="EI139" s="159"/>
    </row>
    <row r="140" spans="1:139" x14ac:dyDescent="0.25">
      <c r="A140" s="158"/>
      <c r="B140" s="2256" t="s">
        <v>86</v>
      </c>
      <c r="C140" s="2256"/>
      <c r="D140" s="2256"/>
      <c r="E140" s="2256"/>
      <c r="F140" s="2256"/>
      <c r="G140" s="2256"/>
      <c r="H140" s="2256"/>
      <c r="I140" s="2256"/>
      <c r="J140" s="2256"/>
      <c r="K140" s="2256"/>
      <c r="L140" s="2256"/>
      <c r="M140" s="2256"/>
      <c r="N140" s="2256"/>
      <c r="O140" s="2256"/>
      <c r="P140" s="164"/>
      <c r="Q140" s="164"/>
      <c r="R140" s="164"/>
      <c r="S140" s="164"/>
      <c r="T140" s="164"/>
      <c r="U140" s="164"/>
      <c r="V140" s="164"/>
      <c r="W140" s="164"/>
      <c r="X140" s="164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159"/>
      <c r="BN140" s="159"/>
      <c r="BO140" s="159"/>
      <c r="BP140" s="159"/>
      <c r="BQ140" s="159"/>
      <c r="BR140" s="159"/>
      <c r="BS140" s="159"/>
      <c r="BT140" s="159"/>
      <c r="BU140" s="159"/>
      <c r="BV140" s="159"/>
      <c r="BW140" s="159"/>
      <c r="BX140" s="159"/>
      <c r="BY140" s="159"/>
      <c r="BZ140" s="159"/>
      <c r="CA140" s="159"/>
      <c r="CB140" s="159"/>
      <c r="CC140" s="159"/>
      <c r="CD140" s="159"/>
      <c r="CE140" s="159"/>
      <c r="CF140" s="936"/>
      <c r="CG140" s="159"/>
      <c r="CH140" s="159"/>
      <c r="CI140" s="159"/>
      <c r="CJ140" s="159"/>
      <c r="CK140" s="159"/>
      <c r="CL140" s="159"/>
      <c r="CM140" s="159"/>
      <c r="CN140" s="159"/>
      <c r="CO140" s="159"/>
      <c r="CP140" s="159"/>
      <c r="CQ140" s="159"/>
      <c r="CR140" s="159"/>
      <c r="CS140" s="159"/>
      <c r="CT140" s="159"/>
      <c r="CU140" s="159"/>
      <c r="CV140" s="159"/>
      <c r="CW140" s="159"/>
      <c r="CX140" s="159"/>
      <c r="CY140" s="159"/>
      <c r="CZ140" s="159"/>
      <c r="DA140" s="159"/>
      <c r="DB140" s="159"/>
      <c r="DC140" s="159"/>
      <c r="DD140" s="159"/>
      <c r="DE140" s="159"/>
      <c r="DF140" s="159"/>
      <c r="DG140" s="159"/>
      <c r="DH140" s="159"/>
      <c r="DI140" s="159"/>
      <c r="DJ140" s="159"/>
      <c r="DK140" s="159"/>
      <c r="DL140" s="159"/>
      <c r="DM140" s="159"/>
      <c r="DN140" s="159"/>
      <c r="DO140" s="159"/>
      <c r="DP140" s="159"/>
      <c r="DQ140" s="159"/>
      <c r="DR140" s="159"/>
      <c r="DS140" s="161"/>
      <c r="DT140" s="159"/>
      <c r="DU140" s="159"/>
      <c r="DV140" s="159"/>
      <c r="DW140" s="162"/>
      <c r="DX140" s="163"/>
      <c r="DY140" s="163"/>
      <c r="DZ140" s="159"/>
      <c r="EA140" s="159"/>
      <c r="EB140" s="159"/>
      <c r="EC140" s="159"/>
      <c r="ED140" s="159"/>
      <c r="EE140" s="159"/>
      <c r="EF140" s="159"/>
      <c r="EG140" s="159"/>
      <c r="EH140" s="159"/>
      <c r="EI140" s="159"/>
    </row>
    <row r="141" spans="1:139" x14ac:dyDescent="0.25">
      <c r="A141" s="165"/>
      <c r="B141" s="2257" t="s">
        <v>87</v>
      </c>
      <c r="C141" s="2257"/>
      <c r="D141" s="2257"/>
      <c r="E141" s="2257"/>
      <c r="F141" s="2257"/>
      <c r="G141" s="2257"/>
      <c r="H141" s="2257"/>
      <c r="I141" s="2257"/>
      <c r="J141" s="2257"/>
      <c r="K141" s="2257"/>
      <c r="L141" s="2257"/>
      <c r="M141" s="2257"/>
      <c r="N141" s="2257"/>
      <c r="O141" s="2257"/>
      <c r="P141" s="2257"/>
      <c r="Q141" s="2257"/>
      <c r="R141" s="2257"/>
      <c r="S141" s="2257"/>
      <c r="T141" s="2257"/>
      <c r="U141" s="2257"/>
      <c r="V141" s="2257"/>
      <c r="W141" s="2257"/>
      <c r="X141" s="2257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66"/>
      <c r="AX141" s="166"/>
      <c r="AY141" s="166"/>
      <c r="AZ141" s="166"/>
      <c r="BA141" s="166"/>
      <c r="BB141" s="166"/>
      <c r="BC141" s="166"/>
      <c r="BD141" s="166"/>
      <c r="BE141" s="166"/>
      <c r="BF141" s="166"/>
      <c r="BG141" s="166"/>
      <c r="BH141" s="166"/>
      <c r="BI141" s="166"/>
      <c r="BJ141" s="166"/>
      <c r="BK141" s="166"/>
      <c r="BL141" s="166"/>
      <c r="BM141" s="166"/>
      <c r="BN141" s="166"/>
      <c r="BO141" s="166"/>
      <c r="BP141" s="166"/>
      <c r="BQ141" s="166"/>
      <c r="BR141" s="166"/>
      <c r="BS141" s="166"/>
      <c r="BT141" s="166"/>
      <c r="BU141" s="166"/>
      <c r="BV141" s="166"/>
      <c r="BW141" s="166"/>
      <c r="BX141" s="166"/>
      <c r="BY141" s="166"/>
      <c r="BZ141" s="166"/>
      <c r="CA141" s="166"/>
      <c r="CB141" s="166"/>
      <c r="CC141" s="166"/>
      <c r="CD141" s="166"/>
      <c r="CE141" s="166"/>
      <c r="CF141" s="167"/>
      <c r="CG141" s="166"/>
      <c r="CH141" s="166"/>
      <c r="CI141" s="166"/>
      <c r="CJ141" s="166"/>
      <c r="CK141" s="166"/>
      <c r="CL141" s="166"/>
      <c r="CM141" s="166"/>
      <c r="CN141" s="166"/>
      <c r="CO141" s="166"/>
      <c r="CP141" s="166"/>
      <c r="CQ141" s="166"/>
      <c r="CR141" s="166"/>
      <c r="CS141" s="166"/>
      <c r="CT141" s="166"/>
      <c r="CU141" s="166"/>
      <c r="CV141" s="166"/>
      <c r="CW141" s="166"/>
      <c r="CX141" s="166"/>
      <c r="CY141" s="166"/>
      <c r="CZ141" s="166"/>
      <c r="DA141" s="166"/>
      <c r="DB141" s="166"/>
      <c r="DC141" s="166"/>
      <c r="DD141" s="166"/>
      <c r="DE141" s="166"/>
      <c r="DF141" s="166"/>
      <c r="DG141" s="166"/>
      <c r="DH141" s="166"/>
      <c r="DI141" s="166"/>
      <c r="DJ141" s="166"/>
      <c r="DK141" s="166"/>
      <c r="DL141" s="166"/>
      <c r="DM141" s="166"/>
      <c r="DN141" s="166"/>
      <c r="DO141" s="166"/>
      <c r="DP141" s="166"/>
      <c r="DQ141" s="166"/>
      <c r="DR141" s="166"/>
      <c r="DS141" s="168"/>
      <c r="DT141" s="166"/>
      <c r="DU141" s="166"/>
      <c r="DV141" s="166"/>
      <c r="DW141" s="169"/>
      <c r="DX141" s="170"/>
      <c r="DY141" s="170"/>
      <c r="DZ141" s="166"/>
      <c r="EA141" s="166"/>
      <c r="EB141" s="166"/>
      <c r="EC141" s="166"/>
      <c r="ED141" s="166"/>
      <c r="EE141" s="166"/>
      <c r="EF141" s="166"/>
      <c r="EG141" s="166"/>
      <c r="EH141" s="166"/>
      <c r="EI141" s="166"/>
    </row>
    <row r="142" spans="1:139" x14ac:dyDescent="0.25">
      <c r="A142" s="158"/>
      <c r="B142" s="2252" t="s">
        <v>88</v>
      </c>
      <c r="C142" s="2252"/>
      <c r="D142" s="2252"/>
      <c r="E142" s="2252"/>
      <c r="F142" s="2252"/>
      <c r="G142" s="2252"/>
      <c r="H142" s="2252"/>
      <c r="I142" s="2252"/>
      <c r="J142" s="225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  <c r="U142" s="172"/>
      <c r="V142" s="172"/>
      <c r="W142" s="172"/>
      <c r="X142" s="172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159"/>
      <c r="BK142" s="159"/>
      <c r="BL142" s="159"/>
      <c r="BM142" s="159"/>
      <c r="BN142" s="159"/>
      <c r="BO142" s="159"/>
      <c r="BP142" s="159"/>
      <c r="BQ142" s="159"/>
      <c r="BR142" s="159"/>
      <c r="BS142" s="159"/>
      <c r="BT142" s="159"/>
      <c r="BU142" s="159"/>
      <c r="BV142" s="159"/>
      <c r="BW142" s="159"/>
      <c r="BX142" s="159"/>
      <c r="BY142" s="159"/>
      <c r="BZ142" s="159"/>
      <c r="CA142" s="159"/>
      <c r="CB142" s="159"/>
      <c r="CC142" s="159"/>
      <c r="CD142" s="159"/>
      <c r="CE142" s="159"/>
      <c r="CF142" s="936"/>
      <c r="CG142" s="159"/>
      <c r="CH142" s="159"/>
      <c r="CI142" s="159"/>
      <c r="CJ142" s="159"/>
      <c r="CK142" s="159"/>
      <c r="CL142" s="159"/>
      <c r="CM142" s="159"/>
      <c r="CN142" s="159"/>
      <c r="CO142" s="159"/>
      <c r="CP142" s="159"/>
      <c r="CQ142" s="159"/>
      <c r="CR142" s="159"/>
      <c r="CS142" s="159"/>
      <c r="CT142" s="159"/>
      <c r="CU142" s="159"/>
      <c r="CV142" s="159"/>
      <c r="CW142" s="159"/>
      <c r="CX142" s="159"/>
      <c r="CY142" s="159"/>
      <c r="CZ142" s="159"/>
      <c r="DA142" s="159"/>
      <c r="DB142" s="159"/>
      <c r="DC142" s="159"/>
      <c r="DD142" s="159"/>
      <c r="DE142" s="159"/>
      <c r="DF142" s="159"/>
      <c r="DG142" s="159"/>
      <c r="DH142" s="159"/>
      <c r="DI142" s="159"/>
      <c r="DJ142" s="159"/>
      <c r="DK142" s="159"/>
      <c r="DL142" s="159"/>
      <c r="DM142" s="159"/>
      <c r="DN142" s="159"/>
      <c r="DO142" s="159"/>
      <c r="DP142" s="159"/>
      <c r="DQ142" s="159"/>
      <c r="DR142" s="159"/>
      <c r="DS142" s="161"/>
      <c r="DT142" s="159"/>
      <c r="DU142" s="159"/>
      <c r="DV142" s="159"/>
      <c r="DW142" s="162"/>
      <c r="DX142" s="163"/>
      <c r="DY142" s="163"/>
      <c r="DZ142" s="159"/>
      <c r="EA142" s="159"/>
      <c r="EB142" s="159"/>
      <c r="EC142" s="159"/>
      <c r="ED142" s="159"/>
      <c r="EE142" s="159"/>
      <c r="EF142" s="159"/>
      <c r="EG142" s="159"/>
      <c r="EH142" s="159"/>
      <c r="EI142" s="159"/>
    </row>
    <row r="143" spans="1:139" x14ac:dyDescent="0.25">
      <c r="A143" s="165"/>
      <c r="B143" s="173" t="s">
        <v>89</v>
      </c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166"/>
      <c r="AX143" s="166"/>
      <c r="AY143" s="166"/>
      <c r="AZ143" s="166"/>
      <c r="BA143" s="166"/>
      <c r="BB143" s="166"/>
      <c r="BC143" s="166"/>
      <c r="BD143" s="166"/>
      <c r="BE143" s="166"/>
      <c r="BF143" s="166"/>
      <c r="BG143" s="166"/>
      <c r="BH143" s="166"/>
      <c r="BI143" s="166"/>
      <c r="BJ143" s="166"/>
      <c r="BK143" s="166"/>
      <c r="BL143" s="166"/>
      <c r="BM143" s="166"/>
      <c r="BN143" s="166"/>
      <c r="BO143" s="166"/>
      <c r="BP143" s="166"/>
      <c r="BQ143" s="166"/>
      <c r="BR143" s="166"/>
      <c r="BS143" s="166"/>
      <c r="BT143" s="166"/>
      <c r="BU143" s="166"/>
      <c r="BV143" s="166"/>
      <c r="BW143" s="166"/>
      <c r="BX143" s="166"/>
      <c r="BY143" s="166"/>
      <c r="BZ143" s="166"/>
      <c r="CA143" s="166"/>
      <c r="CB143" s="166"/>
      <c r="CC143" s="166"/>
      <c r="CD143" s="166"/>
      <c r="CE143" s="166"/>
      <c r="CF143" s="167"/>
      <c r="CG143" s="166"/>
      <c r="CH143" s="166"/>
      <c r="CI143" s="166"/>
      <c r="CJ143" s="166"/>
      <c r="CK143" s="166"/>
      <c r="CL143" s="166"/>
      <c r="CM143" s="166"/>
      <c r="CN143" s="166"/>
      <c r="CO143" s="166"/>
      <c r="CP143" s="166"/>
      <c r="CQ143" s="166"/>
      <c r="CR143" s="166"/>
      <c r="CS143" s="166"/>
      <c r="CT143" s="166"/>
      <c r="CU143" s="166"/>
      <c r="CV143" s="166"/>
      <c r="CW143" s="166"/>
      <c r="CX143" s="166"/>
      <c r="CY143" s="166"/>
      <c r="CZ143" s="166"/>
      <c r="DA143" s="166"/>
      <c r="DB143" s="166"/>
      <c r="DC143" s="166"/>
      <c r="DD143" s="166"/>
      <c r="DE143" s="166"/>
      <c r="DF143" s="166"/>
      <c r="DG143" s="166"/>
      <c r="DH143" s="166"/>
      <c r="DI143" s="166"/>
      <c r="DJ143" s="166"/>
      <c r="DK143" s="166"/>
      <c r="DL143" s="166"/>
      <c r="DM143" s="166"/>
      <c r="DN143" s="166"/>
      <c r="DO143" s="166"/>
      <c r="DP143" s="166"/>
      <c r="DQ143" s="166"/>
      <c r="DR143" s="166"/>
      <c r="DS143" s="168"/>
      <c r="DT143" s="166"/>
      <c r="DU143" s="166"/>
      <c r="DV143" s="166"/>
      <c r="DW143" s="169"/>
      <c r="DX143" s="170"/>
      <c r="DY143" s="170"/>
      <c r="DZ143" s="166"/>
      <c r="EA143" s="166"/>
      <c r="EB143" s="166"/>
      <c r="EC143" s="166"/>
      <c r="ED143" s="166"/>
      <c r="EE143" s="166"/>
      <c r="EF143" s="166"/>
      <c r="EG143" s="166"/>
      <c r="EH143" s="166"/>
      <c r="EI143" s="166"/>
    </row>
    <row r="144" spans="1:139" x14ac:dyDescent="0.25">
      <c r="A144" s="158"/>
      <c r="B144" s="2251" t="s">
        <v>90</v>
      </c>
      <c r="C144" s="2251"/>
      <c r="D144" s="2251"/>
      <c r="E144" s="2251"/>
      <c r="F144" s="2251"/>
      <c r="G144" s="2251"/>
      <c r="H144" s="2251"/>
      <c r="I144" s="2251"/>
      <c r="J144" s="2251"/>
      <c r="K144" s="2251"/>
      <c r="L144" s="2251"/>
      <c r="M144" s="2251"/>
      <c r="N144" s="2251"/>
      <c r="O144" s="2251"/>
      <c r="P144" s="164"/>
      <c r="Q144" s="164"/>
      <c r="R144" s="164"/>
      <c r="S144" s="164"/>
      <c r="T144" s="164"/>
      <c r="U144" s="164"/>
      <c r="V144" s="164"/>
      <c r="W144" s="164"/>
      <c r="X144" s="164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  <c r="AW144" s="159"/>
      <c r="AX144" s="159"/>
      <c r="AY144" s="159"/>
      <c r="AZ144" s="159"/>
      <c r="BA144" s="159"/>
      <c r="BB144" s="159"/>
      <c r="BC144" s="159"/>
      <c r="BD144" s="159"/>
      <c r="BE144" s="159"/>
      <c r="BF144" s="159"/>
      <c r="BG144" s="159"/>
      <c r="BH144" s="159"/>
      <c r="BI144" s="159"/>
      <c r="BJ144" s="159"/>
      <c r="BK144" s="159"/>
      <c r="BL144" s="159"/>
      <c r="BM144" s="159"/>
      <c r="BN144" s="159"/>
      <c r="BO144" s="159"/>
      <c r="BP144" s="159"/>
      <c r="BQ144" s="159"/>
      <c r="BR144" s="159"/>
      <c r="BS144" s="159"/>
      <c r="BT144" s="159"/>
      <c r="BU144" s="159"/>
      <c r="BV144" s="159"/>
      <c r="BW144" s="159"/>
      <c r="BX144" s="159"/>
      <c r="BY144" s="159"/>
      <c r="BZ144" s="159"/>
      <c r="CA144" s="159"/>
      <c r="CB144" s="159"/>
      <c r="CC144" s="159"/>
      <c r="CD144" s="159"/>
      <c r="CE144" s="159"/>
      <c r="CF144" s="936"/>
      <c r="CG144" s="159"/>
      <c r="CH144" s="159"/>
      <c r="CI144" s="159"/>
      <c r="CJ144" s="159"/>
      <c r="CK144" s="159"/>
      <c r="CL144" s="159"/>
      <c r="CM144" s="159"/>
      <c r="CN144" s="159"/>
      <c r="CO144" s="159"/>
      <c r="CP144" s="159"/>
      <c r="CQ144" s="159"/>
      <c r="CR144" s="159"/>
      <c r="CS144" s="159"/>
      <c r="CT144" s="159"/>
      <c r="CU144" s="159"/>
      <c r="CV144" s="159"/>
      <c r="CW144" s="159"/>
      <c r="CX144" s="159"/>
      <c r="CY144" s="159"/>
      <c r="CZ144" s="159"/>
      <c r="DA144" s="159"/>
      <c r="DB144" s="159"/>
      <c r="DC144" s="159"/>
      <c r="DD144" s="159"/>
      <c r="DE144" s="159"/>
      <c r="DF144" s="159"/>
      <c r="DG144" s="159"/>
      <c r="DH144" s="159"/>
      <c r="DI144" s="159"/>
      <c r="DJ144" s="159"/>
      <c r="DK144" s="159"/>
      <c r="DL144" s="159"/>
      <c r="DM144" s="159"/>
      <c r="DN144" s="159"/>
      <c r="DO144" s="159"/>
      <c r="DP144" s="159"/>
      <c r="DQ144" s="159"/>
      <c r="DR144" s="159"/>
      <c r="DS144" s="161"/>
      <c r="DT144" s="159"/>
      <c r="DU144" s="159"/>
      <c r="DV144" s="159"/>
      <c r="DW144" s="162"/>
      <c r="DX144" s="163"/>
      <c r="DY144" s="163"/>
      <c r="DZ144" s="159"/>
      <c r="EA144" s="159"/>
      <c r="EB144" s="159"/>
      <c r="EC144" s="159"/>
      <c r="ED144" s="159"/>
      <c r="EE144" s="159"/>
      <c r="EF144" s="159"/>
      <c r="EG144" s="159"/>
      <c r="EH144" s="159"/>
      <c r="EI144" s="159"/>
    </row>
    <row r="145" spans="1:139" x14ac:dyDescent="0.25">
      <c r="A145" s="158"/>
      <c r="B145" s="2251" t="s">
        <v>91</v>
      </c>
      <c r="C145" s="2251"/>
      <c r="D145" s="2251"/>
      <c r="E145" s="2251"/>
      <c r="F145" s="2251"/>
      <c r="G145" s="174"/>
      <c r="H145" s="174"/>
      <c r="I145" s="171"/>
      <c r="J145" s="171"/>
      <c r="K145" s="171"/>
      <c r="L145" s="171"/>
      <c r="M145" s="171"/>
      <c r="N145" s="171"/>
      <c r="O145" s="171"/>
      <c r="P145" s="164"/>
      <c r="Q145" s="164"/>
      <c r="R145" s="164"/>
      <c r="S145" s="164"/>
      <c r="T145" s="164"/>
      <c r="U145" s="164"/>
      <c r="V145" s="164"/>
      <c r="W145" s="164"/>
      <c r="X145" s="164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  <c r="AV145" s="159"/>
      <c r="AW145" s="159"/>
      <c r="AX145" s="159"/>
      <c r="AY145" s="159"/>
      <c r="AZ145" s="159"/>
      <c r="BA145" s="159"/>
      <c r="BB145" s="159"/>
      <c r="BC145" s="159"/>
      <c r="BD145" s="159"/>
      <c r="BE145" s="159"/>
      <c r="BF145" s="159"/>
      <c r="BG145" s="159"/>
      <c r="BH145" s="159"/>
      <c r="BI145" s="159"/>
      <c r="BJ145" s="159"/>
      <c r="BK145" s="159"/>
      <c r="BL145" s="159"/>
      <c r="BM145" s="159"/>
      <c r="BN145" s="159"/>
      <c r="BO145" s="159"/>
      <c r="BP145" s="159"/>
      <c r="BQ145" s="159"/>
      <c r="BR145" s="159"/>
      <c r="BS145" s="159"/>
      <c r="BT145" s="159"/>
      <c r="BU145" s="159"/>
      <c r="BV145" s="159"/>
      <c r="BW145" s="159"/>
      <c r="BX145" s="159"/>
      <c r="BY145" s="159"/>
      <c r="BZ145" s="159"/>
      <c r="CA145" s="159"/>
      <c r="CB145" s="159"/>
      <c r="CC145" s="159"/>
      <c r="CD145" s="159"/>
      <c r="CE145" s="159"/>
      <c r="CF145" s="936"/>
      <c r="CG145" s="159"/>
      <c r="CH145" s="159"/>
      <c r="CI145" s="159"/>
      <c r="CJ145" s="159"/>
      <c r="CK145" s="159"/>
      <c r="CL145" s="159"/>
      <c r="CM145" s="159"/>
      <c r="CN145" s="159"/>
      <c r="CO145" s="159"/>
      <c r="CP145" s="159"/>
      <c r="CQ145" s="159"/>
      <c r="CR145" s="159"/>
      <c r="CS145" s="159"/>
      <c r="CT145" s="159"/>
      <c r="CU145" s="159"/>
      <c r="CV145" s="159"/>
      <c r="CW145" s="159"/>
      <c r="CX145" s="159"/>
      <c r="CY145" s="159"/>
      <c r="CZ145" s="159"/>
      <c r="DA145" s="159"/>
      <c r="DB145" s="159"/>
      <c r="DC145" s="159"/>
      <c r="DD145" s="159"/>
      <c r="DE145" s="159"/>
      <c r="DF145" s="159"/>
      <c r="DG145" s="159"/>
      <c r="DH145" s="159"/>
      <c r="DI145" s="159"/>
      <c r="DJ145" s="159"/>
      <c r="DK145" s="159"/>
      <c r="DL145" s="159"/>
      <c r="DM145" s="159"/>
      <c r="DN145" s="159"/>
      <c r="DO145" s="159"/>
      <c r="DP145" s="159"/>
      <c r="DQ145" s="159"/>
      <c r="DR145" s="159"/>
      <c r="DS145" s="161"/>
      <c r="DT145" s="159"/>
      <c r="DU145" s="159"/>
      <c r="DV145" s="159"/>
      <c r="DW145" s="162"/>
      <c r="DX145" s="163"/>
      <c r="DY145" s="163"/>
      <c r="DZ145" s="159"/>
      <c r="EA145" s="159"/>
      <c r="EB145" s="159"/>
      <c r="EC145" s="159"/>
      <c r="ED145" s="159"/>
      <c r="EE145" s="159"/>
      <c r="EF145" s="159"/>
      <c r="EG145" s="159"/>
      <c r="EH145" s="159"/>
      <c r="EI145" s="159"/>
    </row>
    <row r="146" spans="1:139" x14ac:dyDescent="0.25">
      <c r="A146" s="158"/>
      <c r="B146" s="2252" t="s">
        <v>92</v>
      </c>
      <c r="C146" s="2252"/>
      <c r="D146" s="2252"/>
      <c r="E146" s="2252"/>
      <c r="F146" s="2252"/>
      <c r="G146" s="171"/>
      <c r="H146" s="171"/>
      <c r="I146" s="171"/>
      <c r="J146" s="171"/>
      <c r="K146" s="171"/>
      <c r="L146" s="171"/>
      <c r="M146" s="171"/>
      <c r="N146" s="171"/>
      <c r="O146" s="171"/>
      <c r="P146" s="164"/>
      <c r="Q146" s="164"/>
      <c r="R146" s="164"/>
      <c r="S146" s="164"/>
      <c r="T146" s="164"/>
      <c r="U146" s="164"/>
      <c r="V146" s="164"/>
      <c r="W146" s="164"/>
      <c r="X146" s="164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  <c r="AV146" s="159"/>
      <c r="AW146" s="159"/>
      <c r="AX146" s="159"/>
      <c r="AY146" s="159"/>
      <c r="AZ146" s="159"/>
      <c r="BA146" s="159"/>
      <c r="BB146" s="159"/>
      <c r="BC146" s="159"/>
      <c r="BD146" s="159"/>
      <c r="BE146" s="159"/>
      <c r="BF146" s="159"/>
      <c r="BG146" s="159"/>
      <c r="BH146" s="159"/>
      <c r="BI146" s="159"/>
      <c r="BJ146" s="159"/>
      <c r="BK146" s="159"/>
      <c r="BL146" s="159"/>
      <c r="BM146" s="159"/>
      <c r="BN146" s="159"/>
      <c r="BO146" s="159"/>
      <c r="BP146" s="159"/>
      <c r="BQ146" s="159"/>
      <c r="BR146" s="159"/>
      <c r="BS146" s="159"/>
      <c r="BT146" s="159"/>
      <c r="BU146" s="159"/>
      <c r="BV146" s="159"/>
      <c r="BW146" s="159"/>
      <c r="BX146" s="159"/>
      <c r="BY146" s="159"/>
      <c r="BZ146" s="159"/>
      <c r="CA146" s="159"/>
      <c r="CB146" s="159"/>
      <c r="CC146" s="159"/>
      <c r="CD146" s="159"/>
      <c r="CE146" s="159"/>
      <c r="CF146" s="936"/>
      <c r="CG146" s="159"/>
      <c r="CH146" s="159"/>
      <c r="CI146" s="159"/>
      <c r="CJ146" s="159"/>
      <c r="CK146" s="159"/>
      <c r="CL146" s="159"/>
      <c r="CM146" s="159"/>
      <c r="CN146" s="159"/>
      <c r="CO146" s="159"/>
      <c r="CP146" s="159"/>
      <c r="CQ146" s="159"/>
      <c r="CR146" s="159"/>
      <c r="CS146" s="159"/>
      <c r="CT146" s="159"/>
      <c r="CU146" s="159"/>
      <c r="CV146" s="159"/>
      <c r="CW146" s="159"/>
      <c r="CX146" s="159"/>
      <c r="CY146" s="159"/>
      <c r="CZ146" s="159"/>
      <c r="DA146" s="159"/>
      <c r="DB146" s="159"/>
      <c r="DC146" s="159"/>
      <c r="DD146" s="159"/>
      <c r="DE146" s="159"/>
      <c r="DF146" s="159"/>
      <c r="DG146" s="159"/>
      <c r="DH146" s="159"/>
      <c r="DI146" s="159"/>
      <c r="DJ146" s="159"/>
      <c r="DK146" s="159"/>
      <c r="DL146" s="159"/>
      <c r="DM146" s="159"/>
      <c r="DN146" s="159"/>
      <c r="DO146" s="159"/>
      <c r="DP146" s="159"/>
      <c r="DQ146" s="159"/>
      <c r="DR146" s="159"/>
      <c r="DS146" s="161"/>
      <c r="DT146" s="159"/>
      <c r="DU146" s="159"/>
      <c r="DV146" s="159"/>
      <c r="DW146" s="162"/>
      <c r="DX146" s="163"/>
      <c r="DY146" s="163"/>
      <c r="DZ146" s="159"/>
      <c r="EA146" s="159"/>
      <c r="EB146" s="159"/>
      <c r="EC146" s="159"/>
      <c r="ED146" s="159"/>
      <c r="EE146" s="159"/>
      <c r="EF146" s="159"/>
      <c r="EG146" s="159"/>
      <c r="EH146" s="159"/>
      <c r="EI146" s="159"/>
    </row>
    <row r="147" spans="1:139" x14ac:dyDescent="0.25">
      <c r="A147" s="158"/>
      <c r="B147" s="2252" t="s">
        <v>93</v>
      </c>
      <c r="C147" s="2252"/>
      <c r="D147" s="2252"/>
      <c r="E147" s="2252"/>
      <c r="F147" s="2252"/>
      <c r="G147" s="171"/>
      <c r="H147" s="171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  <c r="AV147" s="159"/>
      <c r="AW147" s="159"/>
      <c r="AX147" s="159"/>
      <c r="AY147" s="159"/>
      <c r="AZ147" s="159"/>
      <c r="BA147" s="159"/>
      <c r="BB147" s="159"/>
      <c r="BC147" s="159"/>
      <c r="BD147" s="159"/>
      <c r="BE147" s="159"/>
      <c r="BF147" s="159"/>
      <c r="BG147" s="159"/>
      <c r="BH147" s="159"/>
      <c r="BI147" s="159"/>
      <c r="BJ147" s="159"/>
      <c r="BK147" s="159"/>
      <c r="BL147" s="159"/>
      <c r="BM147" s="159"/>
      <c r="BN147" s="159"/>
      <c r="BO147" s="159"/>
      <c r="BP147" s="159"/>
      <c r="BQ147" s="159"/>
      <c r="BR147" s="159"/>
      <c r="BS147" s="159"/>
      <c r="BT147" s="159"/>
      <c r="BU147" s="159"/>
      <c r="BV147" s="159"/>
      <c r="BW147" s="159"/>
      <c r="BX147" s="159"/>
      <c r="BY147" s="159"/>
      <c r="BZ147" s="159"/>
      <c r="CA147" s="159"/>
      <c r="CB147" s="159"/>
      <c r="CC147" s="159"/>
      <c r="CD147" s="159"/>
      <c r="CE147" s="159"/>
      <c r="CF147" s="936"/>
      <c r="CG147" s="159"/>
      <c r="CH147" s="159"/>
      <c r="CI147" s="159"/>
      <c r="CJ147" s="159"/>
      <c r="CK147" s="159"/>
      <c r="CL147" s="159"/>
      <c r="CM147" s="159"/>
      <c r="CN147" s="159"/>
      <c r="CO147" s="159"/>
      <c r="CP147" s="159"/>
      <c r="CQ147" s="159"/>
      <c r="CR147" s="159"/>
      <c r="CS147" s="159"/>
      <c r="CT147" s="159"/>
      <c r="CU147" s="159"/>
      <c r="CV147" s="159"/>
      <c r="CW147" s="159"/>
      <c r="CX147" s="159"/>
      <c r="CY147" s="159"/>
      <c r="CZ147" s="159"/>
      <c r="DA147" s="159"/>
      <c r="DB147" s="159"/>
      <c r="DC147" s="159"/>
      <c r="DD147" s="159"/>
      <c r="DE147" s="159"/>
      <c r="DF147" s="159"/>
      <c r="DG147" s="159"/>
      <c r="DH147" s="159"/>
      <c r="DI147" s="159"/>
      <c r="DJ147" s="159"/>
      <c r="DK147" s="159"/>
      <c r="DL147" s="159"/>
      <c r="DM147" s="159"/>
      <c r="DN147" s="159"/>
      <c r="DO147" s="159"/>
      <c r="DP147" s="159"/>
      <c r="DQ147" s="159"/>
      <c r="DR147" s="159"/>
      <c r="DS147" s="161"/>
      <c r="DT147" s="159"/>
      <c r="DU147" s="159"/>
      <c r="DV147" s="159"/>
      <c r="DW147" s="162"/>
      <c r="DX147" s="163"/>
      <c r="DY147" s="163"/>
      <c r="DZ147" s="159"/>
      <c r="EA147" s="159"/>
      <c r="EB147" s="159"/>
      <c r="EC147" s="159"/>
      <c r="ED147" s="159"/>
      <c r="EE147" s="159"/>
      <c r="EF147" s="159"/>
      <c r="EG147" s="159"/>
      <c r="EH147" s="159"/>
      <c r="EI147" s="159"/>
    </row>
    <row r="148" spans="1:139" x14ac:dyDescent="0.25">
      <c r="A148" s="165"/>
      <c r="B148" s="2253" t="s">
        <v>94</v>
      </c>
      <c r="C148" s="2253"/>
      <c r="D148" s="2253"/>
      <c r="E148" s="2253"/>
      <c r="F148" s="2253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6"/>
      <c r="BI148" s="166"/>
      <c r="BJ148" s="166"/>
      <c r="BK148" s="166"/>
      <c r="BL148" s="166"/>
      <c r="BM148" s="166"/>
      <c r="BN148" s="166"/>
      <c r="BO148" s="166"/>
      <c r="BP148" s="166"/>
      <c r="BQ148" s="166"/>
      <c r="BR148" s="166"/>
      <c r="BS148" s="166"/>
      <c r="BT148" s="166"/>
      <c r="BU148" s="166"/>
      <c r="BV148" s="166"/>
      <c r="BW148" s="166"/>
      <c r="BX148" s="166"/>
      <c r="BY148" s="166"/>
      <c r="BZ148" s="166"/>
      <c r="CA148" s="166"/>
      <c r="CB148" s="166"/>
      <c r="CC148" s="166"/>
      <c r="CD148" s="166"/>
      <c r="CE148" s="166"/>
      <c r="CF148" s="167"/>
      <c r="CG148" s="166"/>
      <c r="CH148" s="166"/>
      <c r="CI148" s="166"/>
      <c r="CJ148" s="166"/>
      <c r="CK148" s="166"/>
      <c r="CL148" s="166"/>
      <c r="CM148" s="166"/>
      <c r="CN148" s="166"/>
      <c r="CO148" s="166"/>
      <c r="CP148" s="166"/>
      <c r="CQ148" s="166"/>
      <c r="CR148" s="166"/>
      <c r="CS148" s="166"/>
      <c r="CT148" s="166"/>
      <c r="CU148" s="166"/>
      <c r="CV148" s="166"/>
      <c r="CW148" s="166"/>
      <c r="CX148" s="166"/>
      <c r="CY148" s="166"/>
      <c r="CZ148" s="166"/>
      <c r="DA148" s="166"/>
      <c r="DB148" s="166"/>
      <c r="DC148" s="166"/>
      <c r="DD148" s="166"/>
      <c r="DE148" s="166"/>
      <c r="DF148" s="166"/>
      <c r="DG148" s="166"/>
      <c r="DH148" s="166"/>
      <c r="DI148" s="166"/>
      <c r="DJ148" s="166"/>
      <c r="DK148" s="166"/>
      <c r="DL148" s="166"/>
      <c r="DM148" s="166"/>
      <c r="DN148" s="166"/>
      <c r="DO148" s="166"/>
      <c r="DP148" s="166"/>
      <c r="DQ148" s="166"/>
      <c r="DR148" s="166"/>
      <c r="DS148" s="168"/>
      <c r="DT148" s="166"/>
      <c r="DU148" s="166"/>
      <c r="DV148" s="166"/>
      <c r="DW148" s="169"/>
      <c r="DX148" s="170"/>
      <c r="DY148" s="170"/>
      <c r="DZ148" s="166"/>
      <c r="EA148" s="166"/>
      <c r="EB148" s="166"/>
      <c r="EC148" s="166"/>
      <c r="ED148" s="166"/>
      <c r="EE148" s="166"/>
      <c r="EF148" s="166"/>
      <c r="EG148" s="166"/>
      <c r="EH148" s="166"/>
      <c r="EI148" s="166"/>
    </row>
  </sheetData>
  <autoFilter ref="A12:EI12" xr:uid="{6A3CAD79-BDFC-4D5D-B049-62B6D5EB3CB5}"/>
  <mergeCells count="173">
    <mergeCell ref="AP8:AQ9"/>
    <mergeCell ref="AH7:AQ7"/>
    <mergeCell ref="AB7:AG8"/>
    <mergeCell ref="X6:AQ6"/>
    <mergeCell ref="AB9:AC9"/>
    <mergeCell ref="Z9:AA9"/>
    <mergeCell ref="X9:Y9"/>
    <mergeCell ref="AN9:AO9"/>
    <mergeCell ref="AL9:AM9"/>
    <mergeCell ref="AJ9:AK9"/>
    <mergeCell ref="AH9:AI9"/>
    <mergeCell ref="AF9:AG9"/>
    <mergeCell ref="AD9:AE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B144:O144"/>
    <mergeCell ref="B145:F145"/>
    <mergeCell ref="B146:F146"/>
    <mergeCell ref="B147:F147"/>
    <mergeCell ref="B148:F148"/>
    <mergeCell ref="A92:A96"/>
    <mergeCell ref="B92:C92"/>
    <mergeCell ref="B140:O140"/>
    <mergeCell ref="B141:X141"/>
    <mergeCell ref="B142:J142"/>
    <mergeCell ref="B125:C125"/>
    <mergeCell ref="B130:C130"/>
    <mergeCell ref="A131:B132"/>
    <mergeCell ref="C131:C132"/>
    <mergeCell ref="D131:D132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EH10:EI10"/>
    <mergeCell ref="A13:A62"/>
    <mergeCell ref="A63:A65"/>
    <mergeCell ref="A77:A88"/>
    <mergeCell ref="B83:C83"/>
    <mergeCell ref="B91:C91"/>
    <mergeCell ref="EF9:EG9"/>
    <mergeCell ref="DR10:DS10"/>
    <mergeCell ref="DT10:DU10"/>
    <mergeCell ref="DV10:DW10"/>
    <mergeCell ref="DX10:DY10"/>
    <mergeCell ref="DZ10:EA10"/>
    <mergeCell ref="EB10:EC10"/>
    <mergeCell ref="ED10:EE10"/>
    <mergeCell ref="EF10:EG10"/>
    <mergeCell ref="DJ9:DK9"/>
    <mergeCell ref="DL9:DM9"/>
    <mergeCell ref="DN9:DO9"/>
    <mergeCell ref="DZ9:EA9"/>
    <mergeCell ref="EB9:EC9"/>
    <mergeCell ref="ED9:EE9"/>
    <mergeCell ref="CN9:CO9"/>
    <mergeCell ref="CP9:CQ9"/>
    <mergeCell ref="CR9:CS9"/>
    <mergeCell ref="DV8:DW9"/>
    <mergeCell ref="DX8:DY9"/>
    <mergeCell ref="DZ8:EC8"/>
    <mergeCell ref="ED8:EG8"/>
    <mergeCell ref="D9:E9"/>
    <mergeCell ref="F9:G9"/>
    <mergeCell ref="H9:I9"/>
    <mergeCell ref="J9:K9"/>
    <mergeCell ref="L9:M9"/>
    <mergeCell ref="CP8:CS8"/>
    <mergeCell ref="CT8:CW8"/>
    <mergeCell ref="CX8:CY9"/>
    <mergeCell ref="CZ8:DA9"/>
    <mergeCell ref="CF9:CG9"/>
    <mergeCell ref="CH9:CI9"/>
    <mergeCell ref="CJ9:CK9"/>
    <mergeCell ref="CL9:CM9"/>
    <mergeCell ref="DP7:DQ9"/>
    <mergeCell ref="DR7:DS9"/>
    <mergeCell ref="DT7:DU9"/>
    <mergeCell ref="DV7:EG7"/>
    <mergeCell ref="CT9:CU9"/>
    <mergeCell ref="AR9:AS9"/>
    <mergeCell ref="AT9:AU9"/>
    <mergeCell ref="AV9:AW9"/>
    <mergeCell ref="AX9:AY9"/>
    <mergeCell ref="AZ9:BA9"/>
    <mergeCell ref="BB9:BC9"/>
    <mergeCell ref="BJ8:BK9"/>
    <mergeCell ref="DL8:DO8"/>
    <mergeCell ref="CV9:CW9"/>
    <mergeCell ref="DH9:DI9"/>
    <mergeCell ref="DD8:DE9"/>
    <mergeCell ref="DF8:DG9"/>
    <mergeCell ref="DH8:DK8"/>
    <mergeCell ref="AV7:BA8"/>
    <mergeCell ref="BB7:BK7"/>
    <mergeCell ref="BB8:BE8"/>
    <mergeCell ref="BF8:BI8"/>
    <mergeCell ref="BD9:BE9"/>
    <mergeCell ref="BF9:BG9"/>
    <mergeCell ref="BH9:BI9"/>
    <mergeCell ref="BL7:BO8"/>
    <mergeCell ref="BP7:BU8"/>
    <mergeCell ref="BV7:CE7"/>
    <mergeCell ref="BV8:BY8"/>
    <mergeCell ref="BZ8:CC8"/>
    <mergeCell ref="CD8:CE9"/>
    <mergeCell ref="AR6:BJ6"/>
    <mergeCell ref="BL6:CC6"/>
    <mergeCell ref="CF6:CW6"/>
    <mergeCell ref="CZ6:DO6"/>
    <mergeCell ref="DR6:EI6"/>
    <mergeCell ref="A7:A11"/>
    <mergeCell ref="D7:G8"/>
    <mergeCell ref="H7:M8"/>
    <mergeCell ref="N7:W7"/>
    <mergeCell ref="X7:AA8"/>
    <mergeCell ref="EH7:EI9"/>
    <mergeCell ref="N8:Q8"/>
    <mergeCell ref="R8:U8"/>
    <mergeCell ref="V8:W9"/>
    <mergeCell ref="AH8:AK8"/>
    <mergeCell ref="AL8:AO8"/>
    <mergeCell ref="CF7:CI8"/>
    <mergeCell ref="CJ7:CO8"/>
    <mergeCell ref="CP7:CY7"/>
    <mergeCell ref="CZ7:DC7"/>
    <mergeCell ref="DD7:DG7"/>
    <mergeCell ref="DH7:DO7"/>
    <mergeCell ref="DB8:DC9"/>
    <mergeCell ref="AR7:AU8"/>
    <mergeCell ref="B13:C13"/>
    <mergeCell ref="A2:S2"/>
    <mergeCell ref="A4:W4"/>
    <mergeCell ref="B6:B11"/>
    <mergeCell ref="C6:C11"/>
    <mergeCell ref="D6:W6"/>
    <mergeCell ref="N9:O9"/>
    <mergeCell ref="P9:Q9"/>
    <mergeCell ref="R9:S9"/>
    <mergeCell ref="T9:U9"/>
    <mergeCell ref="CZ98:DC98"/>
    <mergeCell ref="B50:C50"/>
    <mergeCell ref="B45:C45"/>
    <mergeCell ref="B39:C39"/>
    <mergeCell ref="B56:C56"/>
    <mergeCell ref="B33:C33"/>
    <mergeCell ref="B28:C28"/>
    <mergeCell ref="B26:C26"/>
    <mergeCell ref="B19:C19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ageMargins left="0.31496062992125984" right="0.31496062992125984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D6A9-2AB4-4027-AEDD-FA823D324B2B}">
  <sheetPr>
    <tabColor rgb="FFFF0000"/>
  </sheetPr>
  <dimension ref="A1:DS139"/>
  <sheetViews>
    <sheetView tabSelected="1" zoomScale="71" zoomScaleNormal="71" workbookViewId="0">
      <pane ySplit="11" topLeftCell="A108" activePane="bottomLeft" state="frozen"/>
      <selection pane="bottomLeft" activeCell="CP101" sqref="CP101"/>
    </sheetView>
  </sheetViews>
  <sheetFormatPr defaultRowHeight="15" outlineLevelRow="1" outlineLevelCol="1" x14ac:dyDescent="0.25"/>
  <cols>
    <col min="1" max="1" width="10" style="940" customWidth="1"/>
    <col min="2" max="2" width="49" style="1056" customWidth="1"/>
    <col min="3" max="3" width="16" customWidth="1"/>
    <col min="4" max="4" width="10.7109375" style="1053" hidden="1" customWidth="1" outlineLevel="1"/>
    <col min="5" max="5" width="10.5703125" style="1053" hidden="1" customWidth="1" outlineLevel="1"/>
    <col min="6" max="7" width="9" hidden="1" customWidth="1" outlineLevel="1"/>
    <col min="8" max="9" width="11.42578125" hidden="1" customWidth="1" outlineLevel="1"/>
    <col min="10" max="11" width="10.28515625" hidden="1" customWidth="1" outlineLevel="1"/>
    <col min="12" max="12" width="10.5703125" hidden="1" customWidth="1" outlineLevel="1"/>
    <col min="13" max="13" width="10" hidden="1" customWidth="1" outlineLevel="1"/>
    <col min="14" max="14" width="9.7109375" hidden="1" customWidth="1" outlineLevel="1"/>
    <col min="15" max="15" width="10" style="1052" hidden="1" customWidth="1" outlineLevel="1"/>
    <col min="16" max="17" width="9.7109375" hidden="1" customWidth="1" outlineLevel="1"/>
    <col min="18" max="19" width="8.7109375" hidden="1" customWidth="1" outlineLevel="1"/>
    <col min="20" max="20" width="9.7109375" hidden="1" customWidth="1" outlineLevel="1"/>
    <col min="21" max="21" width="9.140625" style="1052" hidden="1" customWidth="1" outlineLevel="1"/>
    <col min="22" max="22" width="8.5703125" hidden="1" customWidth="1" outlineLevel="1"/>
    <col min="23" max="23" width="7.28515625" hidden="1" customWidth="1" outlineLevel="1"/>
    <col min="24" max="24" width="9.42578125" style="1053" hidden="1" customWidth="1" outlineLevel="1"/>
    <col min="25" max="25" width="8.28515625" style="1053" hidden="1" customWidth="1" outlineLevel="1"/>
    <col min="26" max="26" width="8.5703125" hidden="1" customWidth="1" outlineLevel="1"/>
    <col min="27" max="27" width="8.85546875" hidden="1" customWidth="1" outlineLevel="1"/>
    <col min="28" max="28" width="10" hidden="1" customWidth="1" outlineLevel="1"/>
    <col min="29" max="29" width="9.28515625" hidden="1" customWidth="1" outlineLevel="1"/>
    <col min="30" max="30" width="9.42578125" hidden="1" customWidth="1" outlineLevel="1"/>
    <col min="31" max="31" width="9.140625" hidden="1" customWidth="1" outlineLevel="1"/>
    <col min="32" max="32" width="9.5703125" hidden="1" customWidth="1" outlineLevel="1"/>
    <col min="33" max="33" width="10.140625" hidden="1" customWidth="1" outlineLevel="1"/>
    <col min="34" max="34" width="9.7109375" style="1052" hidden="1" customWidth="1" outlineLevel="1"/>
    <col min="35" max="35" width="10.140625" style="1052" hidden="1" customWidth="1" outlineLevel="1"/>
    <col min="36" max="36" width="9.7109375" hidden="1" customWidth="1" outlineLevel="1"/>
    <col min="37" max="37" width="10.140625" hidden="1" customWidth="1" outlineLevel="1"/>
    <col min="38" max="40" width="9.7109375" hidden="1" customWidth="1" outlineLevel="1"/>
    <col min="41" max="41" width="10.42578125" style="1052" hidden="1" customWidth="1" outlineLevel="1"/>
    <col min="42" max="42" width="7.28515625" hidden="1" customWidth="1" outlineLevel="1"/>
    <col min="43" max="43" width="7.140625" hidden="1" customWidth="1" outlineLevel="1"/>
    <col min="44" max="44" width="9.140625" style="1071" customWidth="1" collapsed="1"/>
    <col min="45" max="45" width="7.42578125" style="1057" customWidth="1"/>
    <col min="46" max="46" width="9.28515625" style="1057" customWidth="1"/>
    <col min="47" max="47" width="7.42578125" customWidth="1"/>
    <col min="48" max="48" width="9.5703125" style="250" customWidth="1"/>
    <col min="49" max="49" width="9.5703125" customWidth="1"/>
    <col min="50" max="50" width="9" style="1067" customWidth="1"/>
    <col min="51" max="51" width="9.5703125" customWidth="1"/>
    <col min="52" max="52" width="10.42578125" style="250" customWidth="1"/>
    <col min="53" max="53" width="9.28515625" customWidth="1"/>
    <col min="54" max="54" width="9.28515625" style="1064" customWidth="1"/>
    <col min="55" max="55" width="9.140625" style="1052" customWidth="1"/>
    <col min="56" max="56" width="9" style="1067" customWidth="1"/>
    <col min="57" max="57" width="8.5703125" customWidth="1"/>
    <col min="58" max="58" width="8.42578125" style="1067" customWidth="1"/>
    <col min="59" max="59" width="8.42578125" customWidth="1"/>
    <col min="60" max="60" width="8.7109375" style="1067" customWidth="1"/>
    <col min="61" max="61" width="7.42578125" style="1052" customWidth="1"/>
    <col min="62" max="62" width="8.140625" customWidth="1"/>
    <col min="63" max="63" width="7.42578125" customWidth="1"/>
    <col min="64" max="64" width="9.140625" style="1343"/>
    <col min="65" max="67" width="7.42578125" style="1344" customWidth="1"/>
    <col min="68" max="68" width="10.28515625" style="1344" customWidth="1"/>
    <col min="69" max="69" width="9.7109375" style="1344" customWidth="1"/>
    <col min="70" max="70" width="9.42578125" style="1344" customWidth="1"/>
    <col min="71" max="71" width="9" style="1344" customWidth="1"/>
    <col min="72" max="72" width="9.85546875" style="1344" customWidth="1"/>
    <col min="73" max="73" width="9.42578125" style="1344" customWidth="1"/>
    <col min="74" max="74" width="9.7109375" style="1340" customWidth="1"/>
    <col min="75" max="75" width="8.140625" style="1344" customWidth="1"/>
    <col min="76" max="76" width="10.42578125" style="1344" customWidth="1"/>
    <col min="77" max="77" width="10.140625" style="1344" customWidth="1"/>
    <col min="78" max="79" width="8.85546875" style="1344" customWidth="1"/>
    <col min="80" max="81" width="8.42578125" style="1344" customWidth="1"/>
    <col min="82" max="83" width="7.42578125" style="1344" customWidth="1"/>
    <col min="84" max="84" width="8.85546875" style="1053" customWidth="1"/>
    <col min="85" max="87" width="7.42578125" customWidth="1"/>
    <col min="88" max="88" width="10.140625" customWidth="1"/>
    <col min="89" max="89" width="10" customWidth="1"/>
    <col min="94" max="94" width="9.5703125" customWidth="1"/>
    <col min="96" max="97" width="9.5703125" customWidth="1"/>
    <col min="98" max="101" width="9.28515625" customWidth="1"/>
    <col min="102" max="103" width="7.42578125" customWidth="1"/>
    <col min="104" max="104" width="8.85546875" style="2156" customWidth="1"/>
    <col min="105" max="105" width="7.42578125" style="2155" customWidth="1"/>
    <col min="106" max="106" width="8.85546875" style="2155" customWidth="1"/>
    <col min="107" max="107" width="7.42578125" style="2155" customWidth="1"/>
    <col min="108" max="108" width="10.140625" style="2155" customWidth="1"/>
    <col min="109" max="109" width="10" style="2155" customWidth="1"/>
    <col min="110" max="113" width="9.140625" style="2155"/>
    <col min="114" max="114" width="9.5703125" style="2155" customWidth="1"/>
    <col min="115" max="115" width="9.140625" style="2155"/>
    <col min="116" max="117" width="9.5703125" style="2155" customWidth="1"/>
    <col min="118" max="121" width="9.28515625" style="2155" customWidth="1"/>
    <col min="122" max="122" width="9.5703125" style="2155" customWidth="1"/>
    <col min="123" max="123" width="7.42578125" style="2155" customWidth="1"/>
  </cols>
  <sheetData>
    <row r="1" spans="1:123" s="1" customFormat="1" x14ac:dyDescent="0.25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AR1" s="1059"/>
      <c r="AX1" s="1059"/>
      <c r="BB1" s="1059"/>
      <c r="BD1" s="1059"/>
      <c r="BF1" s="1059"/>
      <c r="BH1" s="1059"/>
      <c r="BL1" s="1251"/>
      <c r="BM1" s="1251"/>
      <c r="BN1" s="1251"/>
      <c r="BO1" s="1251"/>
      <c r="BP1" s="1251"/>
      <c r="BQ1" s="1251"/>
      <c r="BR1" s="1251"/>
      <c r="BS1" s="1251"/>
      <c r="BT1" s="1251"/>
      <c r="BU1" s="1251"/>
      <c r="BV1" s="1251"/>
      <c r="BW1" s="1251"/>
      <c r="BX1" s="1251"/>
      <c r="BY1" s="1251"/>
      <c r="BZ1" s="1251"/>
      <c r="CA1" s="1251"/>
      <c r="CB1" s="1251"/>
      <c r="CC1" s="1251"/>
      <c r="CD1" s="1251"/>
      <c r="CE1" s="1251"/>
      <c r="CF1" s="427"/>
      <c r="CZ1" s="1832"/>
      <c r="DA1" s="1833"/>
      <c r="DB1" s="1833"/>
      <c r="DC1" s="1833"/>
      <c r="DD1" s="1833"/>
      <c r="DE1" s="1833"/>
      <c r="DF1" s="1833"/>
      <c r="DG1" s="1833"/>
      <c r="DH1" s="1833"/>
      <c r="DI1" s="1833"/>
      <c r="DJ1" s="1833"/>
      <c r="DK1" s="1833"/>
      <c r="DL1" s="1833"/>
      <c r="DM1" s="1833"/>
      <c r="DN1" s="1833"/>
      <c r="DO1" s="1833"/>
      <c r="DP1" s="1833"/>
      <c r="DQ1" s="1833"/>
      <c r="DR1" s="1833"/>
      <c r="DS1" s="1833"/>
    </row>
    <row r="2" spans="1:123" s="1" customFormat="1" ht="14.45" customHeight="1" x14ac:dyDescent="0.25">
      <c r="A2" s="2190" t="s">
        <v>1</v>
      </c>
      <c r="B2" s="2190"/>
      <c r="C2" s="2190"/>
      <c r="D2" s="2190"/>
      <c r="E2" s="2190"/>
      <c r="F2" s="2190"/>
      <c r="G2" s="2190"/>
      <c r="H2" s="2190"/>
      <c r="I2" s="2190"/>
      <c r="J2" s="2190"/>
      <c r="K2" s="2190"/>
      <c r="L2" s="2190"/>
      <c r="M2" s="2190"/>
      <c r="N2" s="2190"/>
      <c r="O2" s="2190"/>
      <c r="P2" s="2190"/>
      <c r="Q2" s="2190"/>
      <c r="R2" s="2190"/>
      <c r="S2" s="2190"/>
      <c r="AR2" s="1059"/>
      <c r="AX2" s="1072"/>
      <c r="BB2" s="1059"/>
      <c r="BC2" s="6"/>
      <c r="BD2" s="1078"/>
      <c r="BE2" s="6"/>
      <c r="BF2" s="1078"/>
      <c r="BG2" s="6"/>
      <c r="BH2" s="1078"/>
      <c r="BI2" s="6"/>
      <c r="BJ2" s="6"/>
      <c r="BK2" s="6"/>
      <c r="BL2" s="1252"/>
      <c r="BM2" s="1252"/>
      <c r="BN2" s="1252"/>
      <c r="BO2" s="1252"/>
      <c r="BP2" s="1252"/>
      <c r="BQ2" s="1252"/>
      <c r="BR2" s="1252"/>
      <c r="BS2" s="1252"/>
      <c r="BT2" s="1252"/>
      <c r="BU2" s="1251"/>
      <c r="BV2" s="1251"/>
      <c r="BW2" s="1251"/>
      <c r="BX2" s="1251"/>
      <c r="BY2" s="1251"/>
      <c r="BZ2" s="1251"/>
      <c r="CA2" s="1251"/>
      <c r="CB2" s="1251"/>
      <c r="CC2" s="1251"/>
      <c r="CD2" s="1251"/>
      <c r="CE2" s="1251"/>
      <c r="CF2" s="427"/>
      <c r="CZ2" s="1832"/>
      <c r="DA2" s="1833"/>
      <c r="DB2" s="1833"/>
      <c r="DC2" s="1833"/>
      <c r="DD2" s="1833"/>
      <c r="DE2" s="1833"/>
      <c r="DF2" s="1833"/>
      <c r="DG2" s="1833"/>
      <c r="DH2" s="1833"/>
      <c r="DI2" s="1833"/>
      <c r="DJ2" s="1833"/>
      <c r="DK2" s="1833"/>
      <c r="DL2" s="1833"/>
      <c r="DM2" s="1833"/>
      <c r="DN2" s="1833"/>
      <c r="DO2" s="1833"/>
      <c r="DP2" s="1833"/>
      <c r="DQ2" s="1833"/>
      <c r="DR2" s="1833"/>
      <c r="DS2" s="1833"/>
    </row>
    <row r="3" spans="1:123" ht="16.5" customHeight="1" x14ac:dyDescent="0.25">
      <c r="B3" s="7"/>
      <c r="C3" s="7"/>
      <c r="D3" s="940"/>
      <c r="E3" s="940"/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0"/>
      <c r="Q3" s="940"/>
      <c r="R3" s="940"/>
      <c r="S3" s="940"/>
      <c r="T3" s="940"/>
      <c r="U3" s="940"/>
      <c r="V3" s="940"/>
      <c r="W3" s="940"/>
      <c r="X3" s="940"/>
      <c r="Y3" s="940"/>
      <c r="Z3" s="940"/>
      <c r="AA3" s="940"/>
      <c r="AB3" s="940"/>
      <c r="AC3" s="940"/>
      <c r="AD3" s="940"/>
      <c r="AE3" s="940"/>
      <c r="AF3" s="940"/>
      <c r="AG3" s="940"/>
      <c r="AH3" s="940"/>
      <c r="AI3" s="940"/>
      <c r="AJ3" s="940"/>
      <c r="AK3" s="940"/>
      <c r="AL3" s="940"/>
      <c r="AM3" s="940"/>
      <c r="AN3" s="940"/>
      <c r="AO3" s="940"/>
      <c r="AP3" s="940"/>
      <c r="AQ3" s="940"/>
      <c r="AR3" s="1060"/>
      <c r="AS3" s="940"/>
      <c r="AT3" s="940"/>
      <c r="AU3" s="940"/>
      <c r="AV3" s="204"/>
      <c r="AW3" s="940"/>
      <c r="AX3" s="1060"/>
      <c r="AY3" s="940"/>
      <c r="AZ3" s="204"/>
      <c r="BA3" s="940"/>
      <c r="BB3" s="1060"/>
      <c r="BC3" s="940"/>
      <c r="BD3" s="1060"/>
      <c r="BE3" s="940"/>
      <c r="BF3" s="1060"/>
      <c r="BG3" s="940"/>
      <c r="BH3" s="1060"/>
      <c r="BI3" s="940"/>
      <c r="BJ3" s="940"/>
      <c r="BK3" s="940"/>
      <c r="BL3" s="1253"/>
      <c r="BM3" s="1253"/>
      <c r="BN3" s="1253"/>
      <c r="BO3" s="1253"/>
      <c r="BP3" s="1253"/>
      <c r="BQ3" s="1253"/>
      <c r="BR3" s="1253"/>
      <c r="BS3" s="1254"/>
      <c r="BT3" s="1254"/>
      <c r="BU3" s="1254"/>
      <c r="BV3" s="1254"/>
      <c r="BW3" s="1253"/>
      <c r="BX3" s="1253"/>
      <c r="BY3" s="1253"/>
      <c r="BZ3" s="1253"/>
      <c r="CA3" s="1253"/>
      <c r="CB3" s="1253"/>
      <c r="CC3" s="1253"/>
      <c r="CD3" s="1253"/>
      <c r="CE3" s="1253"/>
      <c r="CF3" s="942"/>
      <c r="CG3" s="940"/>
      <c r="CH3" s="940"/>
      <c r="CI3" s="940"/>
      <c r="CJ3" s="940"/>
      <c r="CK3" s="940"/>
      <c r="CL3" s="940"/>
      <c r="CM3" s="940"/>
      <c r="CN3" s="940"/>
      <c r="CO3" s="940"/>
      <c r="CP3" s="940"/>
      <c r="CQ3" s="940"/>
      <c r="CR3" s="940"/>
      <c r="CS3" s="940"/>
      <c r="CT3" s="940"/>
      <c r="CU3" s="940"/>
      <c r="CV3" s="940"/>
      <c r="CW3" s="940"/>
      <c r="CX3" s="940"/>
      <c r="CY3" s="940"/>
      <c r="CZ3" s="1834"/>
      <c r="DA3" s="1835"/>
      <c r="DB3" s="1835"/>
      <c r="DC3" s="1835"/>
      <c r="DD3" s="1835"/>
      <c r="DE3" s="1835"/>
      <c r="DF3" s="1835"/>
      <c r="DG3" s="1835"/>
      <c r="DH3" s="1835"/>
      <c r="DI3" s="1835"/>
      <c r="DJ3" s="1835"/>
      <c r="DK3" s="1835"/>
      <c r="DL3" s="1835"/>
      <c r="DM3" s="1835"/>
      <c r="DN3" s="1835"/>
      <c r="DO3" s="1835"/>
      <c r="DP3" s="1835"/>
      <c r="DQ3" s="1835"/>
      <c r="DR3" s="1835"/>
      <c r="DS3" s="1835"/>
    </row>
    <row r="4" spans="1:123" ht="33" customHeight="1" x14ac:dyDescent="0.25">
      <c r="A4" s="2265" t="s">
        <v>114</v>
      </c>
      <c r="B4" s="2265"/>
      <c r="C4" s="2265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  <c r="O4" s="940"/>
      <c r="P4" s="940"/>
      <c r="Q4" s="940"/>
      <c r="R4" s="940"/>
      <c r="S4" s="940"/>
      <c r="T4" s="940"/>
      <c r="U4" s="940"/>
      <c r="V4" s="940"/>
      <c r="W4" s="940"/>
      <c r="X4" s="940"/>
      <c r="Y4" s="940"/>
      <c r="Z4" s="940"/>
      <c r="AA4" s="940"/>
      <c r="AB4" s="940"/>
      <c r="AC4" s="940"/>
      <c r="AD4" s="940"/>
      <c r="AE4" s="940"/>
      <c r="AF4" s="940"/>
      <c r="AG4" s="940"/>
      <c r="AH4" s="940"/>
      <c r="AI4" s="940"/>
      <c r="AJ4" s="940"/>
      <c r="AK4" s="940"/>
      <c r="AL4" s="940"/>
      <c r="AM4" s="940"/>
      <c r="AN4" s="940"/>
      <c r="AO4" s="940"/>
      <c r="AP4" s="940"/>
      <c r="AQ4" s="940"/>
      <c r="AR4" s="1060"/>
      <c r="AS4" s="940"/>
      <c r="AT4" s="940"/>
      <c r="AU4" s="940"/>
      <c r="AV4" s="204"/>
      <c r="AW4" s="940"/>
      <c r="AX4" s="1060"/>
      <c r="AY4" s="940"/>
      <c r="AZ4" s="204"/>
      <c r="BA4" s="940"/>
      <c r="BB4" s="1060"/>
      <c r="BC4" s="940"/>
      <c r="BD4" s="1060"/>
      <c r="BE4" s="940"/>
      <c r="BF4" s="1060"/>
      <c r="BG4" s="940"/>
      <c r="BH4" s="1060"/>
      <c r="BI4" s="940"/>
      <c r="BJ4" s="940"/>
      <c r="BK4" s="940"/>
      <c r="BL4" s="1253"/>
      <c r="BM4" s="1253"/>
      <c r="BN4" s="1253"/>
      <c r="BO4" s="1253"/>
      <c r="BP4" s="1253"/>
      <c r="BQ4" s="1253"/>
      <c r="BR4" s="1253"/>
      <c r="BS4" s="1254"/>
      <c r="BT4" s="1254"/>
      <c r="BU4" s="1254"/>
      <c r="BV4" s="1254"/>
      <c r="BW4" s="1253"/>
      <c r="BX4" s="1253"/>
      <c r="BY4" s="1253"/>
      <c r="BZ4" s="1253"/>
      <c r="CA4" s="1253"/>
      <c r="CB4" s="1253"/>
      <c r="CC4" s="1253"/>
      <c r="CD4" s="1253"/>
      <c r="CE4" s="1253"/>
      <c r="CF4" s="942"/>
      <c r="CG4" s="940"/>
      <c r="CH4" s="940"/>
      <c r="CI4" s="940"/>
      <c r="CJ4" s="940"/>
      <c r="CK4" s="940"/>
      <c r="CL4" s="940"/>
      <c r="CM4" s="940"/>
      <c r="CN4" s="940"/>
      <c r="CO4" s="940"/>
      <c r="CP4" s="940"/>
      <c r="CQ4" s="940"/>
      <c r="CR4" s="940"/>
      <c r="CS4" s="940"/>
      <c r="CT4" s="940"/>
      <c r="CU4" s="940"/>
      <c r="CV4" s="940"/>
      <c r="CW4" s="940"/>
      <c r="CX4" s="940"/>
      <c r="CY4" s="940"/>
      <c r="CZ4" s="1834"/>
      <c r="DA4" s="1835"/>
      <c r="DB4" s="1835"/>
      <c r="DC4" s="1835"/>
      <c r="DD4" s="1835"/>
      <c r="DE4" s="1835"/>
      <c r="DF4" s="1835"/>
      <c r="DG4" s="1835"/>
      <c r="DH4" s="1835"/>
      <c r="DI4" s="1835"/>
      <c r="DJ4" s="1835"/>
      <c r="DK4" s="1835"/>
      <c r="DL4" s="1835"/>
      <c r="DM4" s="1835"/>
      <c r="DN4" s="1835"/>
      <c r="DO4" s="1835"/>
      <c r="DP4" s="1835"/>
      <c r="DQ4" s="1835"/>
      <c r="DR4" s="1835"/>
      <c r="DS4" s="1835"/>
    </row>
    <row r="5" spans="1:123" s="940" customFormat="1" ht="21" thickBot="1" x14ac:dyDescent="0.35">
      <c r="B5" s="8"/>
      <c r="C5" s="9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11"/>
      <c r="V5" s="12"/>
      <c r="W5" s="12"/>
      <c r="X5" s="10"/>
      <c r="Y5" s="10"/>
      <c r="Z5" s="9"/>
      <c r="AA5" s="9"/>
      <c r="AB5" s="9"/>
      <c r="AC5" s="9"/>
      <c r="AD5" s="9"/>
      <c r="AE5" s="9"/>
      <c r="AF5" s="9"/>
      <c r="AG5" s="9"/>
      <c r="AH5" s="11"/>
      <c r="AI5" s="11"/>
      <c r="AJ5" s="9"/>
      <c r="AK5" s="9"/>
      <c r="AL5" s="9"/>
      <c r="AM5" s="9"/>
      <c r="AN5" s="9"/>
      <c r="AO5" s="11"/>
      <c r="AP5" s="12"/>
      <c r="AQ5" s="12"/>
      <c r="AR5" s="1068"/>
      <c r="AS5" s="13"/>
      <c r="AT5" s="13"/>
      <c r="AU5" s="9"/>
      <c r="AV5" s="9"/>
      <c r="AW5" s="9"/>
      <c r="AX5" s="1061"/>
      <c r="AY5" s="9"/>
      <c r="AZ5" s="9"/>
      <c r="BA5" s="9"/>
      <c r="BB5" s="1076"/>
      <c r="BC5" s="11"/>
      <c r="BD5" s="1061"/>
      <c r="BE5" s="9"/>
      <c r="BF5" s="1061"/>
      <c r="BG5" s="9"/>
      <c r="BH5" s="1061"/>
      <c r="BI5" s="11"/>
      <c r="BJ5" s="12"/>
      <c r="BK5" s="12"/>
      <c r="BL5" s="1255"/>
      <c r="BM5" s="1256"/>
      <c r="BN5" s="1256"/>
      <c r="BO5" s="1256"/>
      <c r="BP5" s="1256"/>
      <c r="BQ5" s="1256"/>
      <c r="BR5" s="1256"/>
      <c r="BS5" s="1256"/>
      <c r="BT5" s="1256"/>
      <c r="BU5" s="1256"/>
      <c r="BV5" s="1257"/>
      <c r="BW5" s="1256"/>
      <c r="BX5" s="1256"/>
      <c r="BY5" s="1256"/>
      <c r="BZ5" s="1256"/>
      <c r="CA5" s="1256"/>
      <c r="CB5" s="1256"/>
      <c r="CC5" s="1256"/>
      <c r="CD5" s="1258"/>
      <c r="CE5" s="1258"/>
      <c r="CF5" s="10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12"/>
      <c r="CY5" s="12"/>
      <c r="CZ5" s="1836"/>
      <c r="DA5" s="1837"/>
      <c r="DB5" s="1837"/>
      <c r="DC5" s="1837"/>
      <c r="DD5" s="1837"/>
      <c r="DE5" s="1837"/>
      <c r="DF5" s="1837"/>
      <c r="DG5" s="1837"/>
      <c r="DH5" s="1837"/>
      <c r="DI5" s="1837"/>
      <c r="DJ5" s="1837"/>
      <c r="DK5" s="1837"/>
      <c r="DL5" s="1837"/>
      <c r="DM5" s="1837"/>
      <c r="DN5" s="1837"/>
      <c r="DO5" s="1837"/>
      <c r="DP5" s="1837"/>
      <c r="DQ5" s="1837"/>
      <c r="DR5" s="1838"/>
      <c r="DS5" s="1838"/>
    </row>
    <row r="6" spans="1:123" s="940" customFormat="1" ht="17.25" customHeight="1" x14ac:dyDescent="0.25">
      <c r="A6" s="944"/>
      <c r="B6" s="2266" t="s">
        <v>2</v>
      </c>
      <c r="C6" s="2268" t="s">
        <v>3</v>
      </c>
      <c r="D6" s="2198" t="s">
        <v>4</v>
      </c>
      <c r="E6" s="2198"/>
      <c r="F6" s="2198"/>
      <c r="G6" s="2198"/>
      <c r="H6" s="2198"/>
      <c r="I6" s="2198"/>
      <c r="J6" s="2198"/>
      <c r="K6" s="2198"/>
      <c r="L6" s="2198"/>
      <c r="M6" s="2198"/>
      <c r="N6" s="2198"/>
      <c r="O6" s="2198"/>
      <c r="P6" s="2198"/>
      <c r="Q6" s="2198"/>
      <c r="R6" s="2198"/>
      <c r="S6" s="2198"/>
      <c r="T6" s="2198"/>
      <c r="U6" s="2198"/>
      <c r="V6" s="2198"/>
      <c r="W6" s="2199"/>
      <c r="X6" s="2202" t="s">
        <v>5</v>
      </c>
      <c r="Y6" s="2198"/>
      <c r="Z6" s="2198"/>
      <c r="AA6" s="2198"/>
      <c r="AB6" s="2198"/>
      <c r="AC6" s="2198"/>
      <c r="AD6" s="2198"/>
      <c r="AE6" s="2198"/>
      <c r="AF6" s="2198"/>
      <c r="AG6" s="2198"/>
      <c r="AH6" s="2198"/>
      <c r="AI6" s="2198"/>
      <c r="AJ6" s="2198"/>
      <c r="AK6" s="2198"/>
      <c r="AL6" s="2198"/>
      <c r="AM6" s="2198"/>
      <c r="AN6" s="2198"/>
      <c r="AO6" s="2198"/>
      <c r="AP6" s="2198"/>
      <c r="AQ6" s="2199"/>
      <c r="AR6" s="2202" t="s">
        <v>110</v>
      </c>
      <c r="AS6" s="2198"/>
      <c r="AT6" s="2198"/>
      <c r="AU6" s="2198"/>
      <c r="AV6" s="2198"/>
      <c r="AW6" s="2198"/>
      <c r="AX6" s="2198"/>
      <c r="AY6" s="2198"/>
      <c r="AZ6" s="2198"/>
      <c r="BA6" s="2198"/>
      <c r="BB6" s="2198"/>
      <c r="BC6" s="2198"/>
      <c r="BD6" s="2198"/>
      <c r="BE6" s="2198"/>
      <c r="BF6" s="2198"/>
      <c r="BG6" s="2198"/>
      <c r="BH6" s="2198"/>
      <c r="BI6" s="2198"/>
      <c r="BJ6" s="2198"/>
      <c r="BK6" s="14"/>
      <c r="BL6" s="2283" t="s">
        <v>111</v>
      </c>
      <c r="BM6" s="2284"/>
      <c r="BN6" s="2284"/>
      <c r="BO6" s="2284"/>
      <c r="BP6" s="2284"/>
      <c r="BQ6" s="2284"/>
      <c r="BR6" s="2284"/>
      <c r="BS6" s="2284"/>
      <c r="BT6" s="2284"/>
      <c r="BU6" s="2284"/>
      <c r="BV6" s="2284"/>
      <c r="BW6" s="2284"/>
      <c r="BX6" s="2284"/>
      <c r="BY6" s="2284"/>
      <c r="BZ6" s="2284"/>
      <c r="CA6" s="2284"/>
      <c r="CB6" s="2284"/>
      <c r="CC6" s="2285"/>
      <c r="CD6" s="1259"/>
      <c r="CE6" s="1260"/>
      <c r="CF6" s="2283" t="s">
        <v>109</v>
      </c>
      <c r="CG6" s="2284"/>
      <c r="CH6" s="2284"/>
      <c r="CI6" s="2284"/>
      <c r="CJ6" s="2284"/>
      <c r="CK6" s="2284"/>
      <c r="CL6" s="2284"/>
      <c r="CM6" s="2284"/>
      <c r="CN6" s="2284"/>
      <c r="CO6" s="2284"/>
      <c r="CP6" s="2284"/>
      <c r="CQ6" s="2284"/>
      <c r="CR6" s="2284"/>
      <c r="CS6" s="2284"/>
      <c r="CT6" s="2284"/>
      <c r="CU6" s="2284"/>
      <c r="CV6" s="2284"/>
      <c r="CW6" s="2285"/>
      <c r="CX6" s="1345"/>
      <c r="CY6" s="1260"/>
      <c r="CZ6" s="2309" t="s">
        <v>112</v>
      </c>
      <c r="DA6" s="2310"/>
      <c r="DB6" s="2310"/>
      <c r="DC6" s="2310"/>
      <c r="DD6" s="2310"/>
      <c r="DE6" s="2310"/>
      <c r="DF6" s="2310"/>
      <c r="DG6" s="2310"/>
      <c r="DH6" s="2310"/>
      <c r="DI6" s="2310"/>
      <c r="DJ6" s="2310"/>
      <c r="DK6" s="2310"/>
      <c r="DL6" s="2310"/>
      <c r="DM6" s="2310"/>
      <c r="DN6" s="2310"/>
      <c r="DO6" s="2310"/>
      <c r="DP6" s="2310"/>
      <c r="DQ6" s="2311"/>
      <c r="DR6" s="1839"/>
      <c r="DS6" s="1840"/>
    </row>
    <row r="7" spans="1:123" ht="20.25" customHeight="1" x14ac:dyDescent="0.25">
      <c r="A7" s="2286" t="s">
        <v>9</v>
      </c>
      <c r="B7" s="2267"/>
      <c r="C7" s="2269"/>
      <c r="D7" s="2277" t="s">
        <v>106</v>
      </c>
      <c r="E7" s="2277"/>
      <c r="F7" s="2277"/>
      <c r="G7" s="2278"/>
      <c r="H7" s="2276" t="s">
        <v>10</v>
      </c>
      <c r="I7" s="2277"/>
      <c r="J7" s="2277"/>
      <c r="K7" s="2277"/>
      <c r="L7" s="2277"/>
      <c r="M7" s="2278"/>
      <c r="N7" s="2272"/>
      <c r="O7" s="2280"/>
      <c r="P7" s="2280"/>
      <c r="Q7" s="2280"/>
      <c r="R7" s="2280"/>
      <c r="S7" s="2280"/>
      <c r="T7" s="2280"/>
      <c r="U7" s="2280"/>
      <c r="V7" s="2280"/>
      <c r="W7" s="2281"/>
      <c r="X7" s="2287" t="s">
        <v>106</v>
      </c>
      <c r="Y7" s="2277"/>
      <c r="Z7" s="2277"/>
      <c r="AA7" s="2278"/>
      <c r="AB7" s="2276" t="s">
        <v>10</v>
      </c>
      <c r="AC7" s="2277"/>
      <c r="AD7" s="2277"/>
      <c r="AE7" s="2277"/>
      <c r="AF7" s="2277"/>
      <c r="AG7" s="2278"/>
      <c r="AH7" s="2272"/>
      <c r="AI7" s="2280"/>
      <c r="AJ7" s="2280"/>
      <c r="AK7" s="2280"/>
      <c r="AL7" s="2280"/>
      <c r="AM7" s="2280"/>
      <c r="AN7" s="2280"/>
      <c r="AO7" s="2280"/>
      <c r="AP7" s="2280"/>
      <c r="AQ7" s="2281"/>
      <c r="AR7" s="2287" t="s">
        <v>106</v>
      </c>
      <c r="AS7" s="2277"/>
      <c r="AT7" s="2277"/>
      <c r="AU7" s="2278"/>
      <c r="AV7" s="2276" t="s">
        <v>10</v>
      </c>
      <c r="AW7" s="2277"/>
      <c r="AX7" s="2277"/>
      <c r="AY7" s="2277"/>
      <c r="AZ7" s="2277"/>
      <c r="BA7" s="2278"/>
      <c r="BB7" s="2272"/>
      <c r="BC7" s="2280"/>
      <c r="BD7" s="2280"/>
      <c r="BE7" s="2280"/>
      <c r="BF7" s="2280"/>
      <c r="BG7" s="2280"/>
      <c r="BH7" s="2280"/>
      <c r="BI7" s="2280"/>
      <c r="BJ7" s="2280"/>
      <c r="BK7" s="2281"/>
      <c r="BL7" s="2292" t="s">
        <v>106</v>
      </c>
      <c r="BM7" s="2293"/>
      <c r="BN7" s="2293"/>
      <c r="BO7" s="2294"/>
      <c r="BP7" s="2298" t="s">
        <v>10</v>
      </c>
      <c r="BQ7" s="2293"/>
      <c r="BR7" s="2293"/>
      <c r="BS7" s="2293"/>
      <c r="BT7" s="2293"/>
      <c r="BU7" s="2294"/>
      <c r="BV7" s="2300"/>
      <c r="BW7" s="2301"/>
      <c r="BX7" s="2301"/>
      <c r="BY7" s="2301"/>
      <c r="BZ7" s="2301"/>
      <c r="CA7" s="2301"/>
      <c r="CB7" s="2301"/>
      <c r="CC7" s="2301"/>
      <c r="CD7" s="2301"/>
      <c r="CE7" s="2302"/>
      <c r="CF7" s="2292" t="s">
        <v>106</v>
      </c>
      <c r="CG7" s="2293"/>
      <c r="CH7" s="2293"/>
      <c r="CI7" s="2294"/>
      <c r="CJ7" s="2298" t="s">
        <v>10</v>
      </c>
      <c r="CK7" s="2293"/>
      <c r="CL7" s="2293"/>
      <c r="CM7" s="2293"/>
      <c r="CN7" s="2293"/>
      <c r="CO7" s="2294"/>
      <c r="CP7" s="2300"/>
      <c r="CQ7" s="2301"/>
      <c r="CR7" s="2301"/>
      <c r="CS7" s="2301"/>
      <c r="CT7" s="2301"/>
      <c r="CU7" s="2301"/>
      <c r="CV7" s="2301"/>
      <c r="CW7" s="2301"/>
      <c r="CX7" s="2301"/>
      <c r="CY7" s="2302"/>
      <c r="CZ7" s="2312" t="s">
        <v>123</v>
      </c>
      <c r="DA7" s="2313"/>
      <c r="DB7" s="2313"/>
      <c r="DC7" s="2314"/>
      <c r="DD7" s="2318" t="s">
        <v>10</v>
      </c>
      <c r="DE7" s="2313"/>
      <c r="DF7" s="2313"/>
      <c r="DG7" s="2313"/>
      <c r="DH7" s="2313"/>
      <c r="DI7" s="2314"/>
      <c r="DJ7" s="2320"/>
      <c r="DK7" s="2321"/>
      <c r="DL7" s="2321"/>
      <c r="DM7" s="2321"/>
      <c r="DN7" s="2321"/>
      <c r="DO7" s="2321"/>
      <c r="DP7" s="2321"/>
      <c r="DQ7" s="2321"/>
      <c r="DR7" s="2321"/>
      <c r="DS7" s="2322"/>
    </row>
    <row r="8" spans="1:123" ht="20.25" customHeight="1" x14ac:dyDescent="0.25">
      <c r="A8" s="2286"/>
      <c r="B8" s="2267"/>
      <c r="C8" s="2269"/>
      <c r="D8" s="2279"/>
      <c r="E8" s="2279"/>
      <c r="F8" s="2279"/>
      <c r="G8" s="2275"/>
      <c r="H8" s="2274"/>
      <c r="I8" s="2279"/>
      <c r="J8" s="2279"/>
      <c r="K8" s="2279"/>
      <c r="L8" s="2279"/>
      <c r="M8" s="2275"/>
      <c r="N8" s="2274" t="s">
        <v>15</v>
      </c>
      <c r="O8" s="2279"/>
      <c r="P8" s="2279"/>
      <c r="Q8" s="2275"/>
      <c r="R8" s="2274" t="s">
        <v>16</v>
      </c>
      <c r="S8" s="2279"/>
      <c r="T8" s="2279"/>
      <c r="U8" s="2275"/>
      <c r="V8" s="2289" t="s">
        <v>17</v>
      </c>
      <c r="W8" s="2290"/>
      <c r="X8" s="2288"/>
      <c r="Y8" s="2279"/>
      <c r="Z8" s="2279"/>
      <c r="AA8" s="2275"/>
      <c r="AB8" s="2274"/>
      <c r="AC8" s="2279"/>
      <c r="AD8" s="2279"/>
      <c r="AE8" s="2279"/>
      <c r="AF8" s="2279"/>
      <c r="AG8" s="2275"/>
      <c r="AH8" s="2274" t="s">
        <v>15</v>
      </c>
      <c r="AI8" s="2279"/>
      <c r="AJ8" s="2279"/>
      <c r="AK8" s="2275"/>
      <c r="AL8" s="2274" t="s">
        <v>16</v>
      </c>
      <c r="AM8" s="2279"/>
      <c r="AN8" s="2279"/>
      <c r="AO8" s="2275"/>
      <c r="AP8" s="2289" t="s">
        <v>17</v>
      </c>
      <c r="AQ8" s="2290"/>
      <c r="AR8" s="2288"/>
      <c r="AS8" s="2279"/>
      <c r="AT8" s="2279"/>
      <c r="AU8" s="2275"/>
      <c r="AV8" s="2274"/>
      <c r="AW8" s="2279"/>
      <c r="AX8" s="2279"/>
      <c r="AY8" s="2279"/>
      <c r="AZ8" s="2279"/>
      <c r="BA8" s="2275"/>
      <c r="BB8" s="2274" t="s">
        <v>15</v>
      </c>
      <c r="BC8" s="2279"/>
      <c r="BD8" s="2279"/>
      <c r="BE8" s="2275"/>
      <c r="BF8" s="2274" t="s">
        <v>16</v>
      </c>
      <c r="BG8" s="2279"/>
      <c r="BH8" s="2279"/>
      <c r="BI8" s="2275"/>
      <c r="BJ8" s="2289" t="s">
        <v>17</v>
      </c>
      <c r="BK8" s="2290"/>
      <c r="BL8" s="2295"/>
      <c r="BM8" s="2296"/>
      <c r="BN8" s="2296"/>
      <c r="BO8" s="2297"/>
      <c r="BP8" s="2299"/>
      <c r="BQ8" s="2296"/>
      <c r="BR8" s="2296"/>
      <c r="BS8" s="2296"/>
      <c r="BT8" s="2296"/>
      <c r="BU8" s="2297"/>
      <c r="BV8" s="2299" t="s">
        <v>15</v>
      </c>
      <c r="BW8" s="2296"/>
      <c r="BX8" s="2296"/>
      <c r="BY8" s="2297"/>
      <c r="BZ8" s="2299" t="s">
        <v>16</v>
      </c>
      <c r="CA8" s="2296"/>
      <c r="CB8" s="2296"/>
      <c r="CC8" s="2297"/>
      <c r="CD8" s="2303" t="s">
        <v>17</v>
      </c>
      <c r="CE8" s="2304"/>
      <c r="CF8" s="2295"/>
      <c r="CG8" s="2296"/>
      <c r="CH8" s="2296"/>
      <c r="CI8" s="2297"/>
      <c r="CJ8" s="2299"/>
      <c r="CK8" s="2296"/>
      <c r="CL8" s="2296"/>
      <c r="CM8" s="2296"/>
      <c r="CN8" s="2296"/>
      <c r="CO8" s="2297"/>
      <c r="CP8" s="2299" t="s">
        <v>15</v>
      </c>
      <c r="CQ8" s="2296"/>
      <c r="CR8" s="2296"/>
      <c r="CS8" s="2297"/>
      <c r="CT8" s="2299" t="s">
        <v>16</v>
      </c>
      <c r="CU8" s="2296"/>
      <c r="CV8" s="2296"/>
      <c r="CW8" s="2297"/>
      <c r="CX8" s="2303" t="s">
        <v>17</v>
      </c>
      <c r="CY8" s="2304"/>
      <c r="CZ8" s="2315"/>
      <c r="DA8" s="2316"/>
      <c r="DB8" s="2316"/>
      <c r="DC8" s="2317"/>
      <c r="DD8" s="2319"/>
      <c r="DE8" s="2316"/>
      <c r="DF8" s="2316"/>
      <c r="DG8" s="2316"/>
      <c r="DH8" s="2316"/>
      <c r="DI8" s="2317"/>
      <c r="DJ8" s="2319" t="s">
        <v>15</v>
      </c>
      <c r="DK8" s="2316"/>
      <c r="DL8" s="2316"/>
      <c r="DM8" s="2317"/>
      <c r="DN8" s="2319" t="s">
        <v>124</v>
      </c>
      <c r="DO8" s="2316"/>
      <c r="DP8" s="2316"/>
      <c r="DQ8" s="2317"/>
      <c r="DR8" s="2323" t="s">
        <v>17</v>
      </c>
      <c r="DS8" s="2324"/>
    </row>
    <row r="9" spans="1:123" ht="56.25" customHeight="1" x14ac:dyDescent="0.25">
      <c r="A9" s="2286"/>
      <c r="B9" s="2267"/>
      <c r="C9" s="2269"/>
      <c r="D9" s="2270" t="s">
        <v>18</v>
      </c>
      <c r="E9" s="2271"/>
      <c r="F9" s="2272" t="s">
        <v>19</v>
      </c>
      <c r="G9" s="2273"/>
      <c r="H9" s="2274" t="s">
        <v>25</v>
      </c>
      <c r="I9" s="2275"/>
      <c r="J9" s="2274" t="s">
        <v>20</v>
      </c>
      <c r="K9" s="2275"/>
      <c r="L9" s="2274" t="s">
        <v>21</v>
      </c>
      <c r="M9" s="2275"/>
      <c r="N9" s="2272" t="s">
        <v>20</v>
      </c>
      <c r="O9" s="2273"/>
      <c r="P9" s="2272" t="s">
        <v>21</v>
      </c>
      <c r="Q9" s="2273"/>
      <c r="R9" s="2272" t="s">
        <v>20</v>
      </c>
      <c r="S9" s="2273"/>
      <c r="T9" s="2272" t="s">
        <v>21</v>
      </c>
      <c r="U9" s="2273"/>
      <c r="V9" s="2274"/>
      <c r="W9" s="2291"/>
      <c r="X9" s="2282" t="s">
        <v>18</v>
      </c>
      <c r="Y9" s="2271"/>
      <c r="Z9" s="2272" t="s">
        <v>19</v>
      </c>
      <c r="AA9" s="2273"/>
      <c r="AB9" s="2274" t="s">
        <v>25</v>
      </c>
      <c r="AC9" s="2275"/>
      <c r="AD9" s="2274" t="s">
        <v>20</v>
      </c>
      <c r="AE9" s="2275"/>
      <c r="AF9" s="2274" t="s">
        <v>21</v>
      </c>
      <c r="AG9" s="2275"/>
      <c r="AH9" s="2272" t="s">
        <v>20</v>
      </c>
      <c r="AI9" s="2273"/>
      <c r="AJ9" s="2272" t="s">
        <v>21</v>
      </c>
      <c r="AK9" s="2273"/>
      <c r="AL9" s="2272" t="s">
        <v>20</v>
      </c>
      <c r="AM9" s="2273"/>
      <c r="AN9" s="2272" t="s">
        <v>21</v>
      </c>
      <c r="AO9" s="2273"/>
      <c r="AP9" s="2274"/>
      <c r="AQ9" s="2291"/>
      <c r="AR9" s="2282" t="s">
        <v>18</v>
      </c>
      <c r="AS9" s="2271"/>
      <c r="AT9" s="2272" t="s">
        <v>19</v>
      </c>
      <c r="AU9" s="2273"/>
      <c r="AV9" s="2274" t="s">
        <v>25</v>
      </c>
      <c r="AW9" s="2275"/>
      <c r="AX9" s="2274" t="s">
        <v>20</v>
      </c>
      <c r="AY9" s="2275"/>
      <c r="AZ9" s="2274" t="s">
        <v>21</v>
      </c>
      <c r="BA9" s="2275"/>
      <c r="BB9" s="2272" t="s">
        <v>20</v>
      </c>
      <c r="BC9" s="2273"/>
      <c r="BD9" s="2272" t="s">
        <v>21</v>
      </c>
      <c r="BE9" s="2273"/>
      <c r="BF9" s="2272" t="s">
        <v>20</v>
      </c>
      <c r="BG9" s="2273"/>
      <c r="BH9" s="2272" t="s">
        <v>21</v>
      </c>
      <c r="BI9" s="2273"/>
      <c r="BJ9" s="2274"/>
      <c r="BK9" s="2291"/>
      <c r="BL9" s="2307" t="s">
        <v>18</v>
      </c>
      <c r="BM9" s="2308"/>
      <c r="BN9" s="2300" t="s">
        <v>19</v>
      </c>
      <c r="BO9" s="2306"/>
      <c r="BP9" s="2299" t="s">
        <v>25</v>
      </c>
      <c r="BQ9" s="2297"/>
      <c r="BR9" s="2299" t="s">
        <v>20</v>
      </c>
      <c r="BS9" s="2297"/>
      <c r="BT9" s="2299" t="s">
        <v>21</v>
      </c>
      <c r="BU9" s="2297"/>
      <c r="BV9" s="2300" t="s">
        <v>20</v>
      </c>
      <c r="BW9" s="2306"/>
      <c r="BX9" s="2300" t="s">
        <v>21</v>
      </c>
      <c r="BY9" s="2306"/>
      <c r="BZ9" s="2300" t="s">
        <v>20</v>
      </c>
      <c r="CA9" s="2306"/>
      <c r="CB9" s="2300" t="s">
        <v>21</v>
      </c>
      <c r="CC9" s="2306"/>
      <c r="CD9" s="2299"/>
      <c r="CE9" s="2305"/>
      <c r="CF9" s="2307" t="s">
        <v>18</v>
      </c>
      <c r="CG9" s="2308"/>
      <c r="CH9" s="2300" t="s">
        <v>19</v>
      </c>
      <c r="CI9" s="2306"/>
      <c r="CJ9" s="2299" t="s">
        <v>25</v>
      </c>
      <c r="CK9" s="2297"/>
      <c r="CL9" s="2299" t="s">
        <v>20</v>
      </c>
      <c r="CM9" s="2297"/>
      <c r="CN9" s="2299" t="s">
        <v>21</v>
      </c>
      <c r="CO9" s="2297"/>
      <c r="CP9" s="2300" t="s">
        <v>20</v>
      </c>
      <c r="CQ9" s="2306"/>
      <c r="CR9" s="2300" t="s">
        <v>21</v>
      </c>
      <c r="CS9" s="2306"/>
      <c r="CT9" s="2300" t="s">
        <v>20</v>
      </c>
      <c r="CU9" s="2306"/>
      <c r="CV9" s="2300" t="s">
        <v>21</v>
      </c>
      <c r="CW9" s="2306"/>
      <c r="CX9" s="2299"/>
      <c r="CY9" s="2305"/>
      <c r="CZ9" s="2327" t="s">
        <v>18</v>
      </c>
      <c r="DA9" s="2328"/>
      <c r="DB9" s="2320" t="s">
        <v>19</v>
      </c>
      <c r="DC9" s="2326"/>
      <c r="DD9" s="2319" t="s">
        <v>25</v>
      </c>
      <c r="DE9" s="2317"/>
      <c r="DF9" s="2319" t="s">
        <v>20</v>
      </c>
      <c r="DG9" s="2317"/>
      <c r="DH9" s="2319" t="s">
        <v>21</v>
      </c>
      <c r="DI9" s="2317"/>
      <c r="DJ9" s="2320" t="s">
        <v>20</v>
      </c>
      <c r="DK9" s="2326"/>
      <c r="DL9" s="2320" t="s">
        <v>21</v>
      </c>
      <c r="DM9" s="2326"/>
      <c r="DN9" s="2320" t="s">
        <v>20</v>
      </c>
      <c r="DO9" s="2326"/>
      <c r="DP9" s="2320" t="s">
        <v>21</v>
      </c>
      <c r="DQ9" s="2326"/>
      <c r="DR9" s="2319"/>
      <c r="DS9" s="2325"/>
    </row>
    <row r="10" spans="1:123" s="940" customFormat="1" ht="29.25" customHeight="1" x14ac:dyDescent="0.25">
      <c r="A10" s="2286"/>
      <c r="B10" s="2267"/>
      <c r="C10" s="2269"/>
      <c r="D10" s="956" t="s">
        <v>26</v>
      </c>
      <c r="E10" s="957" t="s">
        <v>27</v>
      </c>
      <c r="F10" s="952" t="s">
        <v>26</v>
      </c>
      <c r="G10" s="958" t="s">
        <v>27</v>
      </c>
      <c r="H10" s="948" t="s">
        <v>26</v>
      </c>
      <c r="I10" s="948" t="s">
        <v>28</v>
      </c>
      <c r="J10" s="948" t="s">
        <v>26</v>
      </c>
      <c r="K10" s="948" t="s">
        <v>28</v>
      </c>
      <c r="L10" s="948" t="s">
        <v>26</v>
      </c>
      <c r="M10" s="952" t="s">
        <v>28</v>
      </c>
      <c r="N10" s="948" t="s">
        <v>26</v>
      </c>
      <c r="O10" s="959" t="s">
        <v>28</v>
      </c>
      <c r="P10" s="948" t="s">
        <v>26</v>
      </c>
      <c r="Q10" s="952" t="s">
        <v>28</v>
      </c>
      <c r="R10" s="949" t="s">
        <v>26</v>
      </c>
      <c r="S10" s="948" t="s">
        <v>28</v>
      </c>
      <c r="T10" s="948" t="s">
        <v>26</v>
      </c>
      <c r="U10" s="960" t="s">
        <v>28</v>
      </c>
      <c r="V10" s="949" t="s">
        <v>26</v>
      </c>
      <c r="W10" s="953" t="s">
        <v>28</v>
      </c>
      <c r="X10" s="961" t="s">
        <v>26</v>
      </c>
      <c r="Y10" s="957" t="s">
        <v>27</v>
      </c>
      <c r="Z10" s="952" t="s">
        <v>26</v>
      </c>
      <c r="AA10" s="958" t="s">
        <v>27</v>
      </c>
      <c r="AB10" s="948" t="s">
        <v>26</v>
      </c>
      <c r="AC10" s="948" t="s">
        <v>28</v>
      </c>
      <c r="AD10" s="948" t="s">
        <v>26</v>
      </c>
      <c r="AE10" s="948" t="s">
        <v>28</v>
      </c>
      <c r="AF10" s="948" t="s">
        <v>26</v>
      </c>
      <c r="AG10" s="952" t="s">
        <v>28</v>
      </c>
      <c r="AH10" s="948" t="s">
        <v>26</v>
      </c>
      <c r="AI10" s="959" t="s">
        <v>28</v>
      </c>
      <c r="AJ10" s="948" t="s">
        <v>26</v>
      </c>
      <c r="AK10" s="952" t="s">
        <v>28</v>
      </c>
      <c r="AL10" s="949" t="s">
        <v>26</v>
      </c>
      <c r="AM10" s="948" t="s">
        <v>28</v>
      </c>
      <c r="AN10" s="948" t="s">
        <v>26</v>
      </c>
      <c r="AO10" s="960" t="s">
        <v>28</v>
      </c>
      <c r="AP10" s="949" t="s">
        <v>26</v>
      </c>
      <c r="AQ10" s="953" t="s">
        <v>28</v>
      </c>
      <c r="AR10" s="446" t="s">
        <v>26</v>
      </c>
      <c r="AS10" s="260" t="s">
        <v>27</v>
      </c>
      <c r="AT10" s="261" t="s">
        <v>26</v>
      </c>
      <c r="AU10" s="262" t="s">
        <v>27</v>
      </c>
      <c r="AV10" s="258" t="s">
        <v>26</v>
      </c>
      <c r="AW10" s="258" t="s">
        <v>28</v>
      </c>
      <c r="AX10" s="258" t="s">
        <v>26</v>
      </c>
      <c r="AY10" s="258" t="s">
        <v>28</v>
      </c>
      <c r="AZ10" s="258" t="s">
        <v>26</v>
      </c>
      <c r="BA10" s="261" t="s">
        <v>28</v>
      </c>
      <c r="BB10" s="258" t="s">
        <v>26</v>
      </c>
      <c r="BC10" s="205" t="s">
        <v>28</v>
      </c>
      <c r="BD10" s="258" t="s">
        <v>26</v>
      </c>
      <c r="BE10" s="261" t="s">
        <v>28</v>
      </c>
      <c r="BF10" s="439" t="s">
        <v>26</v>
      </c>
      <c r="BG10" s="258" t="s">
        <v>28</v>
      </c>
      <c r="BH10" s="258" t="s">
        <v>26</v>
      </c>
      <c r="BI10" s="444" t="s">
        <v>28</v>
      </c>
      <c r="BJ10" s="439" t="s">
        <v>26</v>
      </c>
      <c r="BK10" s="445" t="s">
        <v>28</v>
      </c>
      <c r="BL10" s="1261" t="s">
        <v>26</v>
      </c>
      <c r="BM10" s="1262" t="s">
        <v>27</v>
      </c>
      <c r="BN10" s="951" t="s">
        <v>26</v>
      </c>
      <c r="BO10" s="1263" t="s">
        <v>27</v>
      </c>
      <c r="BP10" s="950" t="s">
        <v>26</v>
      </c>
      <c r="BQ10" s="950" t="s">
        <v>28</v>
      </c>
      <c r="BR10" s="950" t="s">
        <v>26</v>
      </c>
      <c r="BS10" s="950" t="s">
        <v>28</v>
      </c>
      <c r="BT10" s="950" t="s">
        <v>26</v>
      </c>
      <c r="BU10" s="951" t="s">
        <v>28</v>
      </c>
      <c r="BV10" s="950" t="s">
        <v>26</v>
      </c>
      <c r="BW10" s="1264" t="s">
        <v>28</v>
      </c>
      <c r="BX10" s="950" t="s">
        <v>26</v>
      </c>
      <c r="BY10" s="951" t="s">
        <v>28</v>
      </c>
      <c r="BZ10" s="1058" t="s">
        <v>26</v>
      </c>
      <c r="CA10" s="950" t="s">
        <v>28</v>
      </c>
      <c r="CB10" s="950" t="s">
        <v>26</v>
      </c>
      <c r="CC10" s="1265" t="s">
        <v>28</v>
      </c>
      <c r="CD10" s="1058" t="s">
        <v>26</v>
      </c>
      <c r="CE10" s="1266" t="s">
        <v>28</v>
      </c>
      <c r="CF10" s="1261" t="s">
        <v>26</v>
      </c>
      <c r="CG10" s="1262" t="s">
        <v>27</v>
      </c>
      <c r="CH10" s="951" t="s">
        <v>26</v>
      </c>
      <c r="CI10" s="1263" t="s">
        <v>27</v>
      </c>
      <c r="CJ10" s="950" t="s">
        <v>26</v>
      </c>
      <c r="CK10" s="950" t="s">
        <v>28</v>
      </c>
      <c r="CL10" s="950" t="s">
        <v>26</v>
      </c>
      <c r="CM10" s="950" t="s">
        <v>28</v>
      </c>
      <c r="CN10" s="950" t="s">
        <v>26</v>
      </c>
      <c r="CO10" s="951" t="s">
        <v>28</v>
      </c>
      <c r="CP10" s="950" t="s">
        <v>26</v>
      </c>
      <c r="CQ10" s="1264" t="s">
        <v>28</v>
      </c>
      <c r="CR10" s="950" t="s">
        <v>26</v>
      </c>
      <c r="CS10" s="951" t="s">
        <v>28</v>
      </c>
      <c r="CT10" s="1058" t="s">
        <v>26</v>
      </c>
      <c r="CU10" s="950" t="s">
        <v>28</v>
      </c>
      <c r="CV10" s="950" t="s">
        <v>26</v>
      </c>
      <c r="CW10" s="1265" t="s">
        <v>28</v>
      </c>
      <c r="CX10" s="1058" t="s">
        <v>26</v>
      </c>
      <c r="CY10" s="1266" t="s">
        <v>28</v>
      </c>
      <c r="CZ10" s="1846" t="s">
        <v>26</v>
      </c>
      <c r="DA10" s="1847" t="s">
        <v>27</v>
      </c>
      <c r="DB10" s="1848" t="s">
        <v>26</v>
      </c>
      <c r="DC10" s="1849" t="s">
        <v>27</v>
      </c>
      <c r="DD10" s="1844" t="s">
        <v>26</v>
      </c>
      <c r="DE10" s="1844" t="s">
        <v>28</v>
      </c>
      <c r="DF10" s="1844" t="s">
        <v>26</v>
      </c>
      <c r="DG10" s="1844" t="s">
        <v>28</v>
      </c>
      <c r="DH10" s="1844" t="s">
        <v>26</v>
      </c>
      <c r="DI10" s="1848" t="s">
        <v>28</v>
      </c>
      <c r="DJ10" s="1844" t="s">
        <v>26</v>
      </c>
      <c r="DK10" s="1850" t="s">
        <v>28</v>
      </c>
      <c r="DL10" s="1844" t="s">
        <v>26</v>
      </c>
      <c r="DM10" s="1848" t="s">
        <v>28</v>
      </c>
      <c r="DN10" s="1845" t="s">
        <v>26</v>
      </c>
      <c r="DO10" s="1844" t="s">
        <v>28</v>
      </c>
      <c r="DP10" s="1844" t="s">
        <v>26</v>
      </c>
      <c r="DQ10" s="1851" t="s">
        <v>28</v>
      </c>
      <c r="DR10" s="1845" t="s">
        <v>26</v>
      </c>
      <c r="DS10" s="1852" t="s">
        <v>28</v>
      </c>
    </row>
    <row r="11" spans="1:123" s="940" customFormat="1" ht="45" x14ac:dyDescent="0.25">
      <c r="A11" s="2286"/>
      <c r="B11" s="2267"/>
      <c r="C11" s="2269"/>
      <c r="D11" s="963" t="s">
        <v>30</v>
      </c>
      <c r="E11" s="964" t="s">
        <v>30</v>
      </c>
      <c r="F11" s="965" t="s">
        <v>31</v>
      </c>
      <c r="G11" s="966" t="s">
        <v>31</v>
      </c>
      <c r="H11" s="947" t="s">
        <v>32</v>
      </c>
      <c r="I11" s="967" t="s">
        <v>32</v>
      </c>
      <c r="J11" s="945" t="s">
        <v>32</v>
      </c>
      <c r="K11" s="947" t="s">
        <v>32</v>
      </c>
      <c r="L11" s="947" t="s">
        <v>32</v>
      </c>
      <c r="M11" s="967" t="s">
        <v>32</v>
      </c>
      <c r="N11" s="968" t="s">
        <v>32</v>
      </c>
      <c r="O11" s="969" t="s">
        <v>32</v>
      </c>
      <c r="P11" s="945" t="s">
        <v>32</v>
      </c>
      <c r="Q11" s="967" t="s">
        <v>32</v>
      </c>
      <c r="R11" s="945" t="s">
        <v>32</v>
      </c>
      <c r="S11" s="947" t="s">
        <v>32</v>
      </c>
      <c r="T11" s="947" t="s">
        <v>32</v>
      </c>
      <c r="U11" s="970" t="s">
        <v>32</v>
      </c>
      <c r="V11" s="946" t="s">
        <v>32</v>
      </c>
      <c r="W11" s="971" t="s">
        <v>32</v>
      </c>
      <c r="X11" s="972" t="s">
        <v>30</v>
      </c>
      <c r="Y11" s="964" t="s">
        <v>30</v>
      </c>
      <c r="Z11" s="965" t="s">
        <v>31</v>
      </c>
      <c r="AA11" s="966" t="s">
        <v>31</v>
      </c>
      <c r="AB11" s="947" t="s">
        <v>32</v>
      </c>
      <c r="AC11" s="967" t="s">
        <v>32</v>
      </c>
      <c r="AD11" s="945" t="s">
        <v>32</v>
      </c>
      <c r="AE11" s="947" t="s">
        <v>32</v>
      </c>
      <c r="AF11" s="947" t="s">
        <v>32</v>
      </c>
      <c r="AG11" s="967" t="s">
        <v>32</v>
      </c>
      <c r="AH11" s="968" t="s">
        <v>32</v>
      </c>
      <c r="AI11" s="969" t="s">
        <v>32</v>
      </c>
      <c r="AJ11" s="945" t="s">
        <v>32</v>
      </c>
      <c r="AK11" s="967" t="s">
        <v>32</v>
      </c>
      <c r="AL11" s="945" t="s">
        <v>32</v>
      </c>
      <c r="AM11" s="947" t="s">
        <v>32</v>
      </c>
      <c r="AN11" s="947" t="s">
        <v>32</v>
      </c>
      <c r="AO11" s="970" t="s">
        <v>32</v>
      </c>
      <c r="AP11" s="946" t="s">
        <v>32</v>
      </c>
      <c r="AQ11" s="971" t="s">
        <v>32</v>
      </c>
      <c r="AR11" s="1716" t="s">
        <v>30</v>
      </c>
      <c r="AS11" s="1717" t="s">
        <v>30</v>
      </c>
      <c r="AT11" s="1718" t="s">
        <v>31</v>
      </c>
      <c r="AU11" s="1719" t="s">
        <v>31</v>
      </c>
      <c r="AV11" s="939" t="s">
        <v>32</v>
      </c>
      <c r="AW11" s="1720" t="s">
        <v>32</v>
      </c>
      <c r="AX11" s="938" t="s">
        <v>32</v>
      </c>
      <c r="AY11" s="939" t="s">
        <v>32</v>
      </c>
      <c r="AZ11" s="939" t="s">
        <v>32</v>
      </c>
      <c r="BA11" s="1720" t="s">
        <v>32</v>
      </c>
      <c r="BB11" s="1721" t="s">
        <v>32</v>
      </c>
      <c r="BC11" s="1722" t="s">
        <v>32</v>
      </c>
      <c r="BD11" s="938" t="s">
        <v>32</v>
      </c>
      <c r="BE11" s="1720" t="s">
        <v>32</v>
      </c>
      <c r="BF11" s="938" t="s">
        <v>32</v>
      </c>
      <c r="BG11" s="939" t="s">
        <v>32</v>
      </c>
      <c r="BH11" s="939" t="s">
        <v>32</v>
      </c>
      <c r="BI11" s="1723" t="s">
        <v>32</v>
      </c>
      <c r="BJ11" s="1715" t="s">
        <v>32</v>
      </c>
      <c r="BK11" s="1714" t="s">
        <v>32</v>
      </c>
      <c r="BL11" s="1267" t="s">
        <v>30</v>
      </c>
      <c r="BM11" s="1268" t="s">
        <v>30</v>
      </c>
      <c r="BN11" s="1269" t="s">
        <v>31</v>
      </c>
      <c r="BO11" s="1270" t="s">
        <v>31</v>
      </c>
      <c r="BP11" s="955" t="s">
        <v>32</v>
      </c>
      <c r="BQ11" s="973" t="s">
        <v>32</v>
      </c>
      <c r="BR11" s="962" t="s">
        <v>32</v>
      </c>
      <c r="BS11" s="955" t="s">
        <v>32</v>
      </c>
      <c r="BT11" s="955" t="s">
        <v>32</v>
      </c>
      <c r="BU11" s="973" t="s">
        <v>32</v>
      </c>
      <c r="BV11" s="1271" t="s">
        <v>32</v>
      </c>
      <c r="BW11" s="1272" t="s">
        <v>32</v>
      </c>
      <c r="BX11" s="962" t="s">
        <v>32</v>
      </c>
      <c r="BY11" s="973" t="s">
        <v>32</v>
      </c>
      <c r="BZ11" s="962" t="s">
        <v>32</v>
      </c>
      <c r="CA11" s="955" t="s">
        <v>32</v>
      </c>
      <c r="CB11" s="955" t="s">
        <v>32</v>
      </c>
      <c r="CC11" s="1273" t="s">
        <v>32</v>
      </c>
      <c r="CD11" s="954" t="s">
        <v>32</v>
      </c>
      <c r="CE11" s="1274" t="s">
        <v>32</v>
      </c>
      <c r="CF11" s="1267" t="s">
        <v>30</v>
      </c>
      <c r="CG11" s="1268" t="s">
        <v>30</v>
      </c>
      <c r="CH11" s="1269" t="s">
        <v>31</v>
      </c>
      <c r="CI11" s="1270" t="s">
        <v>31</v>
      </c>
      <c r="CJ11" s="955" t="s">
        <v>32</v>
      </c>
      <c r="CK11" s="973" t="s">
        <v>32</v>
      </c>
      <c r="CL11" s="962" t="s">
        <v>32</v>
      </c>
      <c r="CM11" s="955" t="s">
        <v>32</v>
      </c>
      <c r="CN11" s="955" t="s">
        <v>32</v>
      </c>
      <c r="CO11" s="973" t="s">
        <v>32</v>
      </c>
      <c r="CP11" s="1271" t="s">
        <v>32</v>
      </c>
      <c r="CQ11" s="1272" t="s">
        <v>32</v>
      </c>
      <c r="CR11" s="962" t="s">
        <v>32</v>
      </c>
      <c r="CS11" s="973" t="s">
        <v>32</v>
      </c>
      <c r="CT11" s="962" t="s">
        <v>32</v>
      </c>
      <c r="CU11" s="955" t="s">
        <v>32</v>
      </c>
      <c r="CV11" s="955" t="s">
        <v>32</v>
      </c>
      <c r="CW11" s="1273" t="s">
        <v>32</v>
      </c>
      <c r="CX11" s="954" t="s">
        <v>32</v>
      </c>
      <c r="CY11" s="1274" t="s">
        <v>32</v>
      </c>
      <c r="CZ11" s="1853" t="s">
        <v>30</v>
      </c>
      <c r="DA11" s="1854" t="s">
        <v>30</v>
      </c>
      <c r="DB11" s="1855" t="s">
        <v>31</v>
      </c>
      <c r="DC11" s="1856" t="s">
        <v>31</v>
      </c>
      <c r="DD11" s="1843" t="s">
        <v>32</v>
      </c>
      <c r="DE11" s="1857" t="s">
        <v>32</v>
      </c>
      <c r="DF11" s="1841" t="s">
        <v>32</v>
      </c>
      <c r="DG11" s="1843" t="s">
        <v>32</v>
      </c>
      <c r="DH11" s="1843" t="s">
        <v>32</v>
      </c>
      <c r="DI11" s="1857" t="s">
        <v>32</v>
      </c>
      <c r="DJ11" s="1858" t="s">
        <v>32</v>
      </c>
      <c r="DK11" s="1859" t="s">
        <v>32</v>
      </c>
      <c r="DL11" s="1841" t="s">
        <v>32</v>
      </c>
      <c r="DM11" s="1857" t="s">
        <v>32</v>
      </c>
      <c r="DN11" s="1841" t="s">
        <v>32</v>
      </c>
      <c r="DO11" s="1843" t="s">
        <v>32</v>
      </c>
      <c r="DP11" s="1843" t="s">
        <v>32</v>
      </c>
      <c r="DQ11" s="1860" t="s">
        <v>32</v>
      </c>
      <c r="DR11" s="1842" t="s">
        <v>32</v>
      </c>
      <c r="DS11" s="1861" t="s">
        <v>32</v>
      </c>
    </row>
    <row r="12" spans="1:123" s="940" customFormat="1" ht="15.75" thickBot="1" x14ac:dyDescent="0.3">
      <c r="A12" s="974"/>
      <c r="B12" s="975"/>
      <c r="C12" s="976"/>
      <c r="D12" s="977"/>
      <c r="E12" s="977"/>
      <c r="F12" s="978"/>
      <c r="G12" s="979"/>
      <c r="H12" s="947"/>
      <c r="I12" s="946"/>
      <c r="J12" s="945"/>
      <c r="K12" s="945"/>
      <c r="L12" s="945"/>
      <c r="M12" s="946"/>
      <c r="N12" s="968"/>
      <c r="O12" s="980"/>
      <c r="P12" s="945"/>
      <c r="Q12" s="946"/>
      <c r="R12" s="945"/>
      <c r="S12" s="945"/>
      <c r="T12" s="947"/>
      <c r="U12" s="981"/>
      <c r="V12" s="945"/>
      <c r="W12" s="945"/>
      <c r="X12" s="982"/>
      <c r="Y12" s="977"/>
      <c r="Z12" s="978"/>
      <c r="AA12" s="979"/>
      <c r="AB12" s="947"/>
      <c r="AC12" s="946"/>
      <c r="AD12" s="945"/>
      <c r="AE12" s="945"/>
      <c r="AF12" s="945"/>
      <c r="AG12" s="946"/>
      <c r="AH12" s="968"/>
      <c r="AI12" s="980"/>
      <c r="AJ12" s="945"/>
      <c r="AK12" s="946"/>
      <c r="AL12" s="945"/>
      <c r="AM12" s="945"/>
      <c r="AN12" s="947"/>
      <c r="AO12" s="981"/>
      <c r="AP12" s="945"/>
      <c r="AQ12" s="945"/>
      <c r="AR12" s="1069"/>
      <c r="AS12" s="977"/>
      <c r="AT12" s="978"/>
      <c r="AU12" s="979"/>
      <c r="AV12" s="939"/>
      <c r="AW12" s="946"/>
      <c r="AX12" s="1073"/>
      <c r="AY12" s="945"/>
      <c r="AZ12" s="938"/>
      <c r="BA12" s="946"/>
      <c r="BB12" s="1077"/>
      <c r="BC12" s="980"/>
      <c r="BD12" s="1073"/>
      <c r="BE12" s="946"/>
      <c r="BF12" s="1073"/>
      <c r="BG12" s="945"/>
      <c r="BH12" s="1062"/>
      <c r="BI12" s="981"/>
      <c r="BJ12" s="945"/>
      <c r="BK12" s="945"/>
      <c r="BL12" s="1275"/>
      <c r="BM12" s="983"/>
      <c r="BN12" s="1276"/>
      <c r="BO12" s="1277"/>
      <c r="BP12" s="955"/>
      <c r="BQ12" s="954"/>
      <c r="BR12" s="962"/>
      <c r="BS12" s="962"/>
      <c r="BT12" s="962"/>
      <c r="BU12" s="954"/>
      <c r="BV12" s="1271"/>
      <c r="BW12" s="1278"/>
      <c r="BX12" s="962"/>
      <c r="BY12" s="954"/>
      <c r="BZ12" s="962"/>
      <c r="CA12" s="962"/>
      <c r="CB12" s="955"/>
      <c r="CC12" s="1279"/>
      <c r="CD12" s="962"/>
      <c r="CE12" s="962"/>
      <c r="CF12" s="1275"/>
      <c r="CG12" s="983"/>
      <c r="CH12" s="1276"/>
      <c r="CI12" s="1346"/>
      <c r="CJ12" s="962"/>
      <c r="CK12" s="954"/>
      <c r="CL12" s="962"/>
      <c r="CM12" s="962"/>
      <c r="CN12" s="962"/>
      <c r="CO12" s="954"/>
      <c r="CP12" s="1271"/>
      <c r="CQ12" s="1278"/>
      <c r="CR12" s="962"/>
      <c r="CS12" s="954"/>
      <c r="CT12" s="962"/>
      <c r="CU12" s="962"/>
      <c r="CV12" s="962"/>
      <c r="CW12" s="1279"/>
      <c r="CX12" s="962"/>
      <c r="CY12" s="1274"/>
      <c r="CZ12" s="1862"/>
      <c r="DA12" s="1863"/>
      <c r="DB12" s="1864"/>
      <c r="DC12" s="1865"/>
      <c r="DD12" s="1841"/>
      <c r="DE12" s="1842"/>
      <c r="DF12" s="1841"/>
      <c r="DG12" s="1841"/>
      <c r="DH12" s="1841"/>
      <c r="DI12" s="1842"/>
      <c r="DJ12" s="1858"/>
      <c r="DK12" s="1866"/>
      <c r="DL12" s="1841"/>
      <c r="DM12" s="1842"/>
      <c r="DN12" s="1841"/>
      <c r="DO12" s="1841"/>
      <c r="DP12" s="1841"/>
      <c r="DQ12" s="1867"/>
      <c r="DR12" s="1841"/>
      <c r="DS12" s="1861"/>
    </row>
    <row r="13" spans="1:123" s="986" customFormat="1" x14ac:dyDescent="0.25">
      <c r="A13" s="2242" t="s">
        <v>36</v>
      </c>
      <c r="B13" s="984" t="s">
        <v>37</v>
      </c>
      <c r="C13" s="985"/>
      <c r="D13" s="277">
        <v>809.69999999999993</v>
      </c>
      <c r="E13" s="278"/>
      <c r="F13" s="279">
        <v>7.3629841137047708E-2</v>
      </c>
      <c r="G13" s="278"/>
      <c r="H13" s="280" t="s">
        <v>38</v>
      </c>
      <c r="I13" s="281" t="s">
        <v>38</v>
      </c>
      <c r="J13" s="282">
        <v>369375.13299999997</v>
      </c>
      <c r="K13" s="483"/>
      <c r="L13" s="405" t="s">
        <v>38</v>
      </c>
      <c r="M13" s="484" t="s">
        <v>38</v>
      </c>
      <c r="N13" s="485">
        <v>363109.12</v>
      </c>
      <c r="O13" s="483"/>
      <c r="P13" s="280" t="s">
        <v>38</v>
      </c>
      <c r="Q13" s="281" t="s">
        <v>38</v>
      </c>
      <c r="R13" s="485">
        <v>6266.0130000000008</v>
      </c>
      <c r="S13" s="483"/>
      <c r="T13" s="280" t="s">
        <v>38</v>
      </c>
      <c r="U13" s="281" t="s">
        <v>38</v>
      </c>
      <c r="V13" s="486">
        <v>456.18764110164261</v>
      </c>
      <c r="W13" s="486"/>
      <c r="X13" s="277">
        <v>807.39999999999986</v>
      </c>
      <c r="Y13" s="278"/>
      <c r="Z13" s="279">
        <v>7.3387324007671395E-2</v>
      </c>
      <c r="AA13" s="278"/>
      <c r="AB13" s="280" t="s">
        <v>38</v>
      </c>
      <c r="AC13" s="281" t="s">
        <v>38</v>
      </c>
      <c r="AD13" s="282">
        <v>347608.8</v>
      </c>
      <c r="AE13" s="483"/>
      <c r="AF13" s="405" t="s">
        <v>38</v>
      </c>
      <c r="AG13" s="484" t="s">
        <v>38</v>
      </c>
      <c r="AH13" s="485">
        <v>341342.8</v>
      </c>
      <c r="AI13" s="483"/>
      <c r="AJ13" s="280" t="s">
        <v>38</v>
      </c>
      <c r="AK13" s="281" t="s">
        <v>38</v>
      </c>
      <c r="AL13" s="485">
        <v>6266</v>
      </c>
      <c r="AM13" s="483"/>
      <c r="AN13" s="280" t="s">
        <v>38</v>
      </c>
      <c r="AO13" s="281" t="s">
        <v>38</v>
      </c>
      <c r="AP13" s="486">
        <v>430.52861035422347</v>
      </c>
      <c r="AQ13" s="486"/>
      <c r="AR13" s="1431">
        <f>'2024_ar_grozījumiem'!AR13-'2024_gada_plāns'!AR13</f>
        <v>-1</v>
      </c>
      <c r="AS13" s="1432"/>
      <c r="AT13" s="1433">
        <f>'2024_ar_grozījumiem'!AT13-'2024_gada_plāns'!AT13</f>
        <v>-9.0034122932583505E-5</v>
      </c>
      <c r="AU13" s="1432"/>
      <c r="AV13" s="1081" t="s">
        <v>38</v>
      </c>
      <c r="AW13" s="1434"/>
      <c r="AX13" s="1081">
        <f>'2024_ar_grozījumiem'!AX13-'2024_gada_plāns'!AX13</f>
        <v>-140</v>
      </c>
      <c r="AY13" s="1438"/>
      <c r="AZ13" s="1084" t="s">
        <v>38</v>
      </c>
      <c r="BA13" s="1435"/>
      <c r="BB13" s="1436">
        <f>'2024_ar_grozījumiem'!BB13-'2024_gada_plāns'!BB13</f>
        <v>64</v>
      </c>
      <c r="BC13" s="1438"/>
      <c r="BD13" s="1081" t="s">
        <v>38</v>
      </c>
      <c r="BE13" s="1434"/>
      <c r="BF13" s="1436">
        <f>'2024_ar_grozījumiem'!BF13-'2024_gada_plāns'!BF13</f>
        <v>-204</v>
      </c>
      <c r="BG13" s="1438"/>
      <c r="BH13" s="1081" t="s">
        <v>38</v>
      </c>
      <c r="BI13" s="1434"/>
      <c r="BJ13" s="1084">
        <f>'2024_ar_grozījumiem'!BJ13-'2024_gada_plāns'!BJ13</f>
        <v>0.36710580224394107</v>
      </c>
      <c r="BK13" s="1084"/>
      <c r="BL13" s="1280">
        <f>'2024_ar_grozījumiem'!BL13-'2024_gada_plāns'!BL13</f>
        <v>2.8999999999999773</v>
      </c>
      <c r="BM13" s="1079"/>
      <c r="BN13" s="1079">
        <f>'2024_ar_grozījumiem'!BN13-'2024_gada_plāns'!BN13</f>
        <v>2.613342465012658E-4</v>
      </c>
      <c r="BO13" s="1079"/>
      <c r="BP13" s="1281" t="s">
        <v>38</v>
      </c>
      <c r="BQ13" s="1082"/>
      <c r="BR13" s="1281">
        <f>'2024_ar_grozījumiem'!BR13-'2024_gada_plāns'!BR13</f>
        <v>204</v>
      </c>
      <c r="BS13" s="1083"/>
      <c r="BT13" s="1086" t="s">
        <v>38</v>
      </c>
      <c r="BU13" s="1085"/>
      <c r="BV13" s="1282">
        <f>'2024_ar_grozījumiem'!BV13-'2024_gada_plāns'!BV13</f>
        <v>0</v>
      </c>
      <c r="BW13" s="1083"/>
      <c r="BX13" s="1281" t="s">
        <v>38</v>
      </c>
      <c r="BY13" s="1082"/>
      <c r="BZ13" s="1282">
        <f>'2024_ar_grozījumiem'!BZ13-'2024_gada_plāns'!BZ13</f>
        <v>204</v>
      </c>
      <c r="CA13" s="1083"/>
      <c r="CB13" s="1281" t="s">
        <v>38</v>
      </c>
      <c r="CC13" s="1082"/>
      <c r="CD13" s="1086">
        <f>'2024_ar_grozījumiem'!CD13-'2024_gada_plāns'!CD13</f>
        <v>-1.3587761556473197</v>
      </c>
      <c r="CE13" s="1086"/>
      <c r="CF13" s="1280">
        <f>'2024_ar_grozījumiem'!CF13-'2024_gada_plāns'!CF13</f>
        <v>1.9000000000005457</v>
      </c>
      <c r="CG13" s="1086"/>
      <c r="CH13" s="1080">
        <f>'2024_ar_grozījumiem'!CH13-'2024_gada_plāns'!CH13</f>
        <v>4.2983896874862482E-5</v>
      </c>
      <c r="CI13" s="1082"/>
      <c r="CJ13" s="1086" t="s">
        <v>38</v>
      </c>
      <c r="CK13" s="1085"/>
      <c r="CL13" s="1282">
        <f>'2024_ar_grozījumiem'!CL13-'2024_gada_plāns'!CL13</f>
        <v>64</v>
      </c>
      <c r="CM13" s="1347"/>
      <c r="CN13" s="1083" t="s">
        <v>38</v>
      </c>
      <c r="CO13" s="1085"/>
      <c r="CP13" s="1282">
        <f>'2024_ar_grozījumiem'!CP13-'2024_gada_plāns'!CP13</f>
        <v>64</v>
      </c>
      <c r="CQ13" s="1083"/>
      <c r="CR13" s="1086" t="s">
        <v>38</v>
      </c>
      <c r="CS13" s="1085"/>
      <c r="CT13" s="1282">
        <f>'2024_ar_grozījumiem'!CT13-'2024_gada_plāns'!CT13</f>
        <v>0</v>
      </c>
      <c r="CU13" s="1083"/>
      <c r="CV13" s="1086" t="s">
        <v>38</v>
      </c>
      <c r="CW13" s="1085"/>
      <c r="CX13" s="1282">
        <f>'2024_ar_grozījumiem'!CX13-'2024_gada_plāns'!CX13</f>
        <v>-0.24023311158845218</v>
      </c>
      <c r="CY13" s="1348"/>
      <c r="CZ13" s="1868">
        <f>CF13/'2024_gada_plāns'!CF13</f>
        <v>5.838429155273165E-4</v>
      </c>
      <c r="DA13" s="1869"/>
      <c r="DB13" s="1870">
        <f>CH13/'2024_gada_plāns'!CH13</f>
        <v>5.8384291552739348E-4</v>
      </c>
      <c r="DC13" s="1871"/>
      <c r="DD13" s="1869" t="s">
        <v>38</v>
      </c>
      <c r="DE13" s="1872"/>
      <c r="DF13" s="1873">
        <f>CL13/'2024_gada_plāns'!CL13</f>
        <v>4.415489098901494E-5</v>
      </c>
      <c r="DG13" s="1874"/>
      <c r="DH13" s="1875" t="s">
        <v>38</v>
      </c>
      <c r="DI13" s="1872"/>
      <c r="DJ13" s="1873">
        <f>CP13/'2024_gada_plāns'!CP13</f>
        <v>4.4931860272248878E-5</v>
      </c>
      <c r="DK13" s="1875"/>
      <c r="DL13" s="1869" t="s">
        <v>38</v>
      </c>
      <c r="DM13" s="1872"/>
      <c r="DN13" s="1873">
        <f>CT13/'2024_gada_plāns'!CT13</f>
        <v>0</v>
      </c>
      <c r="DO13" s="1875"/>
      <c r="DP13" s="1869" t="s">
        <v>38</v>
      </c>
      <c r="DQ13" s="1872"/>
      <c r="DR13" s="1873">
        <f>CX13/'2024_gada_plāns'!CX13</f>
        <v>-5.3937311536605764E-4</v>
      </c>
      <c r="DS13" s="1876"/>
    </row>
    <row r="14" spans="1:123" s="990" customFormat="1" ht="15.75" customHeight="1" x14ac:dyDescent="0.25">
      <c r="A14" s="2242"/>
      <c r="B14" s="987"/>
      <c r="C14" s="988" t="s">
        <v>39</v>
      </c>
      <c r="D14" s="234">
        <v>446.1</v>
      </c>
      <c r="E14" s="228"/>
      <c r="F14" s="246">
        <v>0.2043518094365552</v>
      </c>
      <c r="G14" s="228"/>
      <c r="H14" s="283" t="s">
        <v>38</v>
      </c>
      <c r="I14" s="284" t="s">
        <v>38</v>
      </c>
      <c r="J14" s="285">
        <v>282154.01299999998</v>
      </c>
      <c r="K14" s="208"/>
      <c r="L14" s="406" t="s">
        <v>38</v>
      </c>
      <c r="M14" s="505" t="s">
        <v>38</v>
      </c>
      <c r="N14" s="506">
        <v>275888</v>
      </c>
      <c r="O14" s="507"/>
      <c r="P14" s="283" t="s">
        <v>38</v>
      </c>
      <c r="Q14" s="284" t="s">
        <v>38</v>
      </c>
      <c r="R14" s="506">
        <v>6266.0130000000008</v>
      </c>
      <c r="S14" s="208"/>
      <c r="T14" s="283" t="s">
        <v>38</v>
      </c>
      <c r="U14" s="284" t="s">
        <v>38</v>
      </c>
      <c r="V14" s="231">
        <v>632.49050212956729</v>
      </c>
      <c r="W14" s="231"/>
      <c r="X14" s="234">
        <v>444.9</v>
      </c>
      <c r="Y14" s="228"/>
      <c r="Z14" s="246">
        <v>0.20370879120879121</v>
      </c>
      <c r="AA14" s="228"/>
      <c r="AB14" s="283" t="s">
        <v>38</v>
      </c>
      <c r="AC14" s="284" t="s">
        <v>38</v>
      </c>
      <c r="AD14" s="285">
        <v>279051</v>
      </c>
      <c r="AE14" s="208"/>
      <c r="AF14" s="406" t="s">
        <v>38</v>
      </c>
      <c r="AG14" s="505" t="s">
        <v>38</v>
      </c>
      <c r="AH14" s="506">
        <v>272785</v>
      </c>
      <c r="AI14" s="507"/>
      <c r="AJ14" s="283" t="s">
        <v>38</v>
      </c>
      <c r="AK14" s="284" t="s">
        <v>38</v>
      </c>
      <c r="AL14" s="506">
        <v>6266</v>
      </c>
      <c r="AM14" s="208"/>
      <c r="AN14" s="283" t="s">
        <v>38</v>
      </c>
      <c r="AO14" s="284" t="s">
        <v>38</v>
      </c>
      <c r="AP14" s="231">
        <v>627.22184760620371</v>
      </c>
      <c r="AQ14" s="231"/>
      <c r="AR14" s="1440">
        <f>'2024_ar_grozījumiem'!AR14-'2024_gada_plāns'!AR14</f>
        <v>0</v>
      </c>
      <c r="AS14" s="1441"/>
      <c r="AT14" s="1442">
        <f>'2024_ar_grozījumiem'!AT14-'2024_gada_plāns'!AT14</f>
        <v>0</v>
      </c>
      <c r="AU14" s="1441"/>
      <c r="AV14" s="1089" t="s">
        <v>38</v>
      </c>
      <c r="AW14" s="1443"/>
      <c r="AX14" s="1107">
        <f>'2024_ar_grozījumiem'!AX14-'2024_gada_plāns'!AX14</f>
        <v>-204</v>
      </c>
      <c r="AY14" s="1175"/>
      <c r="AZ14" s="1092" t="s">
        <v>38</v>
      </c>
      <c r="BA14" s="1446"/>
      <c r="BB14" s="1173">
        <f>'2024_ar_grozījumiem'!BB14-'2024_gada_plāns'!BB14</f>
        <v>0</v>
      </c>
      <c r="BC14" s="1469"/>
      <c r="BD14" s="1089" t="s">
        <v>38</v>
      </c>
      <c r="BE14" s="1443"/>
      <c r="BF14" s="1173">
        <f>'2024_ar_grozījumiem'!BF14-'2024_gada_plāns'!BF14</f>
        <v>-204</v>
      </c>
      <c r="BG14" s="1175"/>
      <c r="BH14" s="1089" t="s">
        <v>38</v>
      </c>
      <c r="BI14" s="1443"/>
      <c r="BJ14" s="1092">
        <f>'2024_ar_grozījumiem'!BJ14-'2024_gada_plāns'!BJ14</f>
        <v>-0.45082872928173856</v>
      </c>
      <c r="BK14" s="1092"/>
      <c r="BL14" s="1283">
        <f>'2024_ar_grozījumiem'!BL14-'2024_gada_plāns'!BL14</f>
        <v>0</v>
      </c>
      <c r="BM14" s="1087"/>
      <c r="BN14" s="1087">
        <f>'2024_ar_grozījumiem'!BN14-'2024_gada_plāns'!BN14</f>
        <v>0</v>
      </c>
      <c r="BO14" s="1087"/>
      <c r="BP14" s="1284" t="s">
        <v>38</v>
      </c>
      <c r="BQ14" s="1090"/>
      <c r="BR14" s="1285">
        <f>'2024_ar_grozījumiem'!BR14-'2024_gada_plāns'!BR14</f>
        <v>204</v>
      </c>
      <c r="BS14" s="1091"/>
      <c r="BT14" s="1095" t="s">
        <v>38</v>
      </c>
      <c r="BU14" s="1093"/>
      <c r="BV14" s="1176">
        <f>'2024_ar_grozījumiem'!BV14-'2024_gada_plāns'!BV14</f>
        <v>0</v>
      </c>
      <c r="BW14" s="1094"/>
      <c r="BX14" s="1284" t="s">
        <v>38</v>
      </c>
      <c r="BY14" s="1090"/>
      <c r="BZ14" s="1176">
        <f>'2024_ar_grozījumiem'!BZ14-'2024_gada_plāns'!BZ14</f>
        <v>204</v>
      </c>
      <c r="CA14" s="1091"/>
      <c r="CB14" s="1284" t="s">
        <v>38</v>
      </c>
      <c r="CC14" s="1090"/>
      <c r="CD14" s="1095">
        <f>'2024_ar_grozījumiem'!CD14-'2024_gada_plāns'!CD14</f>
        <v>0.45495093666363573</v>
      </c>
      <c r="CE14" s="1095"/>
      <c r="CF14" s="1309">
        <f>'2024_ar_grozījumiem'!CF14-'2024_gada_plāns'!CF14</f>
        <v>0</v>
      </c>
      <c r="CG14" s="1191"/>
      <c r="CH14" s="1349">
        <f>'2024_ar_grozījumiem'!CH14-'2024_gada_plāns'!CH14</f>
        <v>0</v>
      </c>
      <c r="CI14" s="1090"/>
      <c r="CJ14" s="1095" t="s">
        <v>38</v>
      </c>
      <c r="CK14" s="1093"/>
      <c r="CL14" s="1176">
        <f>'2024_ar_grozījumiem'!CL14-'2024_gada_plāns'!CL14</f>
        <v>0</v>
      </c>
      <c r="CM14" s="1169"/>
      <c r="CN14" s="1091" t="s">
        <v>38</v>
      </c>
      <c r="CO14" s="1093"/>
      <c r="CP14" s="1176">
        <f>'2024_ar_grozījumiem'!CP14-'2024_gada_plāns'!CP14</f>
        <v>0</v>
      </c>
      <c r="CQ14" s="1091"/>
      <c r="CR14" s="1095" t="s">
        <v>38</v>
      </c>
      <c r="CS14" s="1093"/>
      <c r="CT14" s="1176">
        <f>'2024_ar_grozījumiem'!CT14-'2024_gada_plāns'!CT14</f>
        <v>0</v>
      </c>
      <c r="CU14" s="1091"/>
      <c r="CV14" s="1095" t="s">
        <v>38</v>
      </c>
      <c r="CW14" s="1093"/>
      <c r="CX14" s="1176">
        <f>'2024_ar_grozījumiem'!CX14-'2024_gada_plāns'!CX14</f>
        <v>0</v>
      </c>
      <c r="CY14" s="1350"/>
      <c r="CZ14" s="1877">
        <f>CF14/'2024_gada_plāns'!CF14</f>
        <v>0</v>
      </c>
      <c r="DA14" s="1878"/>
      <c r="DB14" s="1879">
        <f>CH14/'2024_gada_plāns'!CH14</f>
        <v>0</v>
      </c>
      <c r="DC14" s="1880"/>
      <c r="DD14" s="1881" t="s">
        <v>38</v>
      </c>
      <c r="DE14" s="1882"/>
      <c r="DF14" s="1883">
        <f>CL14/'2024_gada_plāns'!CL14</f>
        <v>0</v>
      </c>
      <c r="DG14" s="1884"/>
      <c r="DH14" s="1885" t="s">
        <v>38</v>
      </c>
      <c r="DI14" s="1882"/>
      <c r="DJ14" s="1883">
        <f>CP14/'2024_gada_plāns'!CP14</f>
        <v>0</v>
      </c>
      <c r="DK14" s="1885"/>
      <c r="DL14" s="1881" t="s">
        <v>38</v>
      </c>
      <c r="DM14" s="1882"/>
      <c r="DN14" s="1883">
        <f>CT14/'2024_gada_plāns'!CT14</f>
        <v>0</v>
      </c>
      <c r="DO14" s="1885"/>
      <c r="DP14" s="1881" t="s">
        <v>38</v>
      </c>
      <c r="DQ14" s="1882"/>
      <c r="DR14" s="1883">
        <f>CX14/'2024_gada_plāns'!CX14</f>
        <v>0</v>
      </c>
      <c r="DS14" s="1886"/>
    </row>
    <row r="15" spans="1:123" ht="15.75" customHeight="1" x14ac:dyDescent="0.25">
      <c r="A15" s="2242"/>
      <c r="B15" s="987"/>
      <c r="C15" s="988" t="s">
        <v>40</v>
      </c>
      <c r="D15" s="234">
        <v>87.9</v>
      </c>
      <c r="E15" s="228"/>
      <c r="F15" s="246">
        <v>4.0265689418231797E-2</v>
      </c>
      <c r="G15" s="228"/>
      <c r="H15" s="283" t="s">
        <v>38</v>
      </c>
      <c r="I15" s="284" t="s">
        <v>38</v>
      </c>
      <c r="J15" s="286">
        <v>0</v>
      </c>
      <c r="K15" s="238"/>
      <c r="L15" s="406" t="s">
        <v>38</v>
      </c>
      <c r="M15" s="505" t="s">
        <v>38</v>
      </c>
      <c r="N15" s="506">
        <v>0</v>
      </c>
      <c r="O15" s="522"/>
      <c r="P15" s="283" t="s">
        <v>38</v>
      </c>
      <c r="Q15" s="284" t="s">
        <v>38</v>
      </c>
      <c r="R15" s="506">
        <v>0</v>
      </c>
      <c r="S15" s="208"/>
      <c r="T15" s="283" t="s">
        <v>38</v>
      </c>
      <c r="U15" s="284" t="s">
        <v>38</v>
      </c>
      <c r="V15" s="231">
        <v>0</v>
      </c>
      <c r="W15" s="231"/>
      <c r="X15" s="234">
        <v>87</v>
      </c>
      <c r="Y15" s="228"/>
      <c r="Z15" s="246">
        <v>3.9835164835164832E-2</v>
      </c>
      <c r="AA15" s="228"/>
      <c r="AB15" s="283" t="s">
        <v>38</v>
      </c>
      <c r="AC15" s="284" t="s">
        <v>38</v>
      </c>
      <c r="AD15" s="286">
        <v>0</v>
      </c>
      <c r="AE15" s="238"/>
      <c r="AF15" s="406" t="s">
        <v>38</v>
      </c>
      <c r="AG15" s="505" t="s">
        <v>38</v>
      </c>
      <c r="AH15" s="506">
        <v>0</v>
      </c>
      <c r="AI15" s="522"/>
      <c r="AJ15" s="283" t="s">
        <v>38</v>
      </c>
      <c r="AK15" s="284" t="s">
        <v>38</v>
      </c>
      <c r="AL15" s="506">
        <v>0</v>
      </c>
      <c r="AM15" s="208"/>
      <c r="AN15" s="283" t="s">
        <v>38</v>
      </c>
      <c r="AO15" s="284" t="s">
        <v>38</v>
      </c>
      <c r="AP15" s="231">
        <v>0</v>
      </c>
      <c r="AQ15" s="231"/>
      <c r="AR15" s="1440">
        <f>'2024_ar_grozījumiem'!AR15-'2024_gada_plāns'!AR15</f>
        <v>-2.0999999999999943</v>
      </c>
      <c r="AS15" s="1441"/>
      <c r="AT15" s="1442">
        <f>'2024_ar_grozījumiem'!AT15-'2024_gada_plāns'!AT15</f>
        <v>-9.5108695652174058E-4</v>
      </c>
      <c r="AU15" s="1441"/>
      <c r="AV15" s="1089" t="s">
        <v>38</v>
      </c>
      <c r="AW15" s="1443"/>
      <c r="AX15" s="1089">
        <f>'2024_ar_grozījumiem'!AX15-'2024_gada_plāns'!AX15</f>
        <v>0</v>
      </c>
      <c r="AY15" s="1170"/>
      <c r="AZ15" s="1092" t="s">
        <v>38</v>
      </c>
      <c r="BA15" s="1446"/>
      <c r="BB15" s="1173">
        <f>'2024_ar_grozījumiem'!BB15-'2024_gada_plāns'!BB15</f>
        <v>0</v>
      </c>
      <c r="BC15" s="1656"/>
      <c r="BD15" s="1089" t="s">
        <v>38</v>
      </c>
      <c r="BE15" s="1443"/>
      <c r="BF15" s="1173">
        <f>'2024_ar_grozījumiem'!BF15-'2024_gada_plāns'!BF15</f>
        <v>0</v>
      </c>
      <c r="BG15" s="1175"/>
      <c r="BH15" s="1089" t="s">
        <v>38</v>
      </c>
      <c r="BI15" s="1443"/>
      <c r="BJ15" s="1092">
        <f>'2024_ar_grozījumiem'!BJ15-'2024_gada_plāns'!BJ15</f>
        <v>0</v>
      </c>
      <c r="BK15" s="1092"/>
      <c r="BL15" s="1283">
        <f>'2024_ar_grozījumiem'!BL15-'2024_gada_plāns'!BL15</f>
        <v>1.2000000000000028</v>
      </c>
      <c r="BM15" s="1087"/>
      <c r="BN15" s="1087">
        <f>'2024_ar_grozījumiem'!BN15-'2024_gada_plāns'!BN15</f>
        <v>5.4323223177908664E-4</v>
      </c>
      <c r="BO15" s="1087"/>
      <c r="BP15" s="1284" t="s">
        <v>38</v>
      </c>
      <c r="BQ15" s="1090"/>
      <c r="BR15" s="1284">
        <f>'2024_ar_grozījumiem'!BR15-'2024_gada_plāns'!BR15</f>
        <v>0</v>
      </c>
      <c r="BS15" s="1096"/>
      <c r="BT15" s="1095" t="s">
        <v>38</v>
      </c>
      <c r="BU15" s="1093"/>
      <c r="BV15" s="1176">
        <f>'2024_ar_grozījumiem'!BV15-'2024_gada_plāns'!BV15</f>
        <v>0</v>
      </c>
      <c r="BW15" s="1097"/>
      <c r="BX15" s="1284" t="s">
        <v>38</v>
      </c>
      <c r="BY15" s="1090"/>
      <c r="BZ15" s="1176">
        <f>'2024_ar_grozījumiem'!BZ15-'2024_gada_plāns'!BZ15</f>
        <v>0</v>
      </c>
      <c r="CA15" s="1091"/>
      <c r="CB15" s="1284" t="s">
        <v>38</v>
      </c>
      <c r="CC15" s="1090"/>
      <c r="CD15" s="1095">
        <f>'2024_ar_grozījumiem'!CD15-'2024_gada_plāns'!CD15</f>
        <v>0</v>
      </c>
      <c r="CE15" s="1095"/>
      <c r="CF15" s="1309">
        <f>'2024_ar_grozījumiem'!CF15-'2024_gada_plāns'!CF15</f>
        <v>-0.89999999999997726</v>
      </c>
      <c r="CG15" s="1095"/>
      <c r="CH15" s="1349">
        <f>'2024_ar_grozījumiem'!CH15-'2024_gada_plāns'!CH15</f>
        <v>-1.0273972602739545E-4</v>
      </c>
      <c r="CI15" s="1108"/>
      <c r="CJ15" s="1095" t="s">
        <v>38</v>
      </c>
      <c r="CK15" s="1093"/>
      <c r="CL15" s="1176">
        <f>'2024_ar_grozījumiem'!CL15-'2024_gada_plāns'!CL15</f>
        <v>0</v>
      </c>
      <c r="CM15" s="1169"/>
      <c r="CN15" s="1091" t="s">
        <v>38</v>
      </c>
      <c r="CO15" s="1093"/>
      <c r="CP15" s="1176">
        <f>'2024_ar_grozījumiem'!CP15-'2024_gada_plāns'!CP15</f>
        <v>0</v>
      </c>
      <c r="CQ15" s="1091"/>
      <c r="CR15" s="1095" t="s">
        <v>38</v>
      </c>
      <c r="CS15" s="1093"/>
      <c r="CT15" s="1176">
        <f>'2024_ar_grozījumiem'!CT15-'2024_gada_plāns'!CT15</f>
        <v>0</v>
      </c>
      <c r="CU15" s="1091"/>
      <c r="CV15" s="1095" t="s">
        <v>38</v>
      </c>
      <c r="CW15" s="1093"/>
      <c r="CX15" s="1176">
        <f>'2024_ar_grozījumiem'!CX15-'2024_gada_plāns'!CX15</f>
        <v>0</v>
      </c>
      <c r="CY15" s="1351"/>
      <c r="CZ15" s="1877">
        <f>CF15/'2024_gada_plāns'!CF15</f>
        <v>-2.5597269624572732E-3</v>
      </c>
      <c r="DA15" s="1881"/>
      <c r="DB15" s="1879">
        <f>CH15/'2024_gada_plāns'!CH15</f>
        <v>-2.5597269624572927E-3</v>
      </c>
      <c r="DC15" s="1887"/>
      <c r="DD15" s="1881" t="s">
        <v>38</v>
      </c>
      <c r="DE15" s="1882"/>
      <c r="DF15" s="1883" t="s">
        <v>38</v>
      </c>
      <c r="DG15" s="1884"/>
      <c r="DH15" s="1885" t="s">
        <v>38</v>
      </c>
      <c r="DI15" s="1882"/>
      <c r="DJ15" s="1883" t="s">
        <v>38</v>
      </c>
      <c r="DK15" s="1885"/>
      <c r="DL15" s="1881" t="s">
        <v>38</v>
      </c>
      <c r="DM15" s="1882"/>
      <c r="DN15" s="1888" t="s">
        <v>38</v>
      </c>
      <c r="DO15" s="1885"/>
      <c r="DP15" s="1881" t="s">
        <v>38</v>
      </c>
      <c r="DQ15" s="1882"/>
      <c r="DR15" s="1888" t="s">
        <v>38</v>
      </c>
      <c r="DS15" s="1889"/>
    </row>
    <row r="16" spans="1:123" ht="15.75" customHeight="1" x14ac:dyDescent="0.25">
      <c r="A16" s="2242"/>
      <c r="B16" s="987"/>
      <c r="C16" s="988" t="s">
        <v>41</v>
      </c>
      <c r="D16" s="234">
        <v>72.099999999999994</v>
      </c>
      <c r="E16" s="228"/>
      <c r="F16" s="246">
        <v>3.3027943197434718E-2</v>
      </c>
      <c r="G16" s="228"/>
      <c r="H16" s="283" t="s">
        <v>38</v>
      </c>
      <c r="I16" s="284" t="s">
        <v>38</v>
      </c>
      <c r="J16" s="286">
        <v>0</v>
      </c>
      <c r="K16" s="238"/>
      <c r="L16" s="406" t="s">
        <v>38</v>
      </c>
      <c r="M16" s="505" t="s">
        <v>38</v>
      </c>
      <c r="N16" s="506">
        <v>0</v>
      </c>
      <c r="O16" s="522"/>
      <c r="P16" s="283" t="s">
        <v>38</v>
      </c>
      <c r="Q16" s="284" t="s">
        <v>38</v>
      </c>
      <c r="R16" s="506">
        <v>0</v>
      </c>
      <c r="S16" s="208"/>
      <c r="T16" s="283" t="s">
        <v>38</v>
      </c>
      <c r="U16" s="284" t="s">
        <v>38</v>
      </c>
      <c r="V16" s="231">
        <v>0</v>
      </c>
      <c r="W16" s="231"/>
      <c r="X16" s="234">
        <v>72</v>
      </c>
      <c r="Y16" s="228"/>
      <c r="Z16" s="246">
        <v>3.2967032967032968E-2</v>
      </c>
      <c r="AA16" s="228"/>
      <c r="AB16" s="283" t="s">
        <v>38</v>
      </c>
      <c r="AC16" s="284" t="s">
        <v>38</v>
      </c>
      <c r="AD16" s="286">
        <v>0</v>
      </c>
      <c r="AE16" s="238"/>
      <c r="AF16" s="406" t="s">
        <v>38</v>
      </c>
      <c r="AG16" s="505" t="s">
        <v>38</v>
      </c>
      <c r="AH16" s="506">
        <v>0</v>
      </c>
      <c r="AI16" s="522"/>
      <c r="AJ16" s="283" t="s">
        <v>38</v>
      </c>
      <c r="AK16" s="284" t="s">
        <v>38</v>
      </c>
      <c r="AL16" s="506">
        <v>0</v>
      </c>
      <c r="AM16" s="208"/>
      <c r="AN16" s="283" t="s">
        <v>38</v>
      </c>
      <c r="AO16" s="284" t="s">
        <v>38</v>
      </c>
      <c r="AP16" s="231">
        <v>0</v>
      </c>
      <c r="AQ16" s="231"/>
      <c r="AR16" s="1440">
        <f>'2024_ar_grozījumiem'!AR16-'2024_gada_plāns'!AR16</f>
        <v>-1.0999999999999943</v>
      </c>
      <c r="AS16" s="1441"/>
      <c r="AT16" s="1442">
        <f>'2024_ar_grozījumiem'!AT16-'2024_gada_plāns'!AT16</f>
        <v>-4.9818840579710089E-4</v>
      </c>
      <c r="AU16" s="1441"/>
      <c r="AV16" s="1089" t="s">
        <v>38</v>
      </c>
      <c r="AW16" s="1443"/>
      <c r="AX16" s="1089">
        <f>'2024_ar_grozījumiem'!AX16-'2024_gada_plāns'!AX16</f>
        <v>0</v>
      </c>
      <c r="AY16" s="1170"/>
      <c r="AZ16" s="1092" t="s">
        <v>38</v>
      </c>
      <c r="BA16" s="1446"/>
      <c r="BB16" s="1173">
        <f>'2024_ar_grozījumiem'!BB16-'2024_gada_plāns'!BB16</f>
        <v>0</v>
      </c>
      <c r="BC16" s="1656"/>
      <c r="BD16" s="1089" t="s">
        <v>38</v>
      </c>
      <c r="BE16" s="1443"/>
      <c r="BF16" s="1173">
        <f>'2024_ar_grozījumiem'!BF16-'2024_gada_plāns'!BF16</f>
        <v>0</v>
      </c>
      <c r="BG16" s="1175"/>
      <c r="BH16" s="1089" t="s">
        <v>38</v>
      </c>
      <c r="BI16" s="1443"/>
      <c r="BJ16" s="1092">
        <f>'2024_ar_grozījumiem'!BJ16-'2024_gada_plāns'!BJ16</f>
        <v>0</v>
      </c>
      <c r="BK16" s="1092"/>
      <c r="BL16" s="1283">
        <f>'2024_ar_grozījumiem'!BL16-'2024_gada_plāns'!BL16</f>
        <v>-0.20000000000000284</v>
      </c>
      <c r="BM16" s="1087"/>
      <c r="BN16" s="1087">
        <f>'2024_ar_grozījumiem'!BN16-'2024_gada_plāns'!BN16</f>
        <v>-9.0538705296516753E-5</v>
      </c>
      <c r="BO16" s="1087"/>
      <c r="BP16" s="1284" t="s">
        <v>38</v>
      </c>
      <c r="BQ16" s="1090"/>
      <c r="BR16" s="1284">
        <f>'2024_ar_grozījumiem'!BR16-'2024_gada_plāns'!BR16</f>
        <v>0</v>
      </c>
      <c r="BS16" s="1096"/>
      <c r="BT16" s="1095" t="s">
        <v>38</v>
      </c>
      <c r="BU16" s="1093"/>
      <c r="BV16" s="1176">
        <f>'2024_ar_grozījumiem'!BV16-'2024_gada_plāns'!BV16</f>
        <v>0</v>
      </c>
      <c r="BW16" s="1097"/>
      <c r="BX16" s="1284" t="s">
        <v>38</v>
      </c>
      <c r="BY16" s="1090"/>
      <c r="BZ16" s="1176">
        <f>'2024_ar_grozījumiem'!BZ16-'2024_gada_plāns'!BZ16</f>
        <v>0</v>
      </c>
      <c r="CA16" s="1091"/>
      <c r="CB16" s="1284" t="s">
        <v>38</v>
      </c>
      <c r="CC16" s="1090"/>
      <c r="CD16" s="1095">
        <f>'2024_ar_grozījumiem'!CD16-'2024_gada_plāns'!CD16</f>
        <v>0</v>
      </c>
      <c r="CE16" s="1095"/>
      <c r="CF16" s="1309">
        <f>'2024_ar_grozījumiem'!CF16-'2024_gada_plāns'!CF16</f>
        <v>-1.3000000000000682</v>
      </c>
      <c r="CG16" s="1095"/>
      <c r="CH16" s="1349">
        <f>'2024_ar_grozījumiem'!CH16-'2024_gada_plāns'!CH16</f>
        <v>-1.4840182648402644E-4</v>
      </c>
      <c r="CI16" s="1108"/>
      <c r="CJ16" s="1095" t="s">
        <v>38</v>
      </c>
      <c r="CK16" s="1093"/>
      <c r="CL16" s="1176">
        <f>'2024_ar_grozījumiem'!CL16-'2024_gada_plāns'!CL16</f>
        <v>0</v>
      </c>
      <c r="CM16" s="1169"/>
      <c r="CN16" s="1091" t="s">
        <v>38</v>
      </c>
      <c r="CO16" s="1093"/>
      <c r="CP16" s="1176">
        <f>'2024_ar_grozījumiem'!CP16-'2024_gada_plāns'!CP16</f>
        <v>0</v>
      </c>
      <c r="CQ16" s="1091"/>
      <c r="CR16" s="1095" t="s">
        <v>38</v>
      </c>
      <c r="CS16" s="1093"/>
      <c r="CT16" s="1176">
        <f>'2024_ar_grozījumiem'!CT16-'2024_gada_plāns'!CT16</f>
        <v>0</v>
      </c>
      <c r="CU16" s="1091"/>
      <c r="CV16" s="1095" t="s">
        <v>38</v>
      </c>
      <c r="CW16" s="1093"/>
      <c r="CX16" s="1176">
        <f>'2024_ar_grozījumiem'!CX16-'2024_gada_plāns'!CX16</f>
        <v>0</v>
      </c>
      <c r="CY16" s="1352"/>
      <c r="CZ16" s="1877">
        <f>CF16/'2024_gada_plāns'!CF16</f>
        <v>-4.4812133746986145E-3</v>
      </c>
      <c r="DA16" s="1881"/>
      <c r="DB16" s="1879">
        <f>CH16/'2024_gada_plāns'!CH16</f>
        <v>-4.4812133746986267E-3</v>
      </c>
      <c r="DC16" s="1887"/>
      <c r="DD16" s="1881" t="s">
        <v>38</v>
      </c>
      <c r="DE16" s="1882"/>
      <c r="DF16" s="1883" t="s">
        <v>38</v>
      </c>
      <c r="DG16" s="1884"/>
      <c r="DH16" s="1885" t="s">
        <v>38</v>
      </c>
      <c r="DI16" s="1882"/>
      <c r="DJ16" s="1883" t="s">
        <v>38</v>
      </c>
      <c r="DK16" s="1885"/>
      <c r="DL16" s="1881" t="s">
        <v>38</v>
      </c>
      <c r="DM16" s="1882"/>
      <c r="DN16" s="1888" t="s">
        <v>38</v>
      </c>
      <c r="DO16" s="1885"/>
      <c r="DP16" s="1881" t="s">
        <v>38</v>
      </c>
      <c r="DQ16" s="1882"/>
      <c r="DR16" s="1888" t="s">
        <v>38</v>
      </c>
      <c r="DS16" s="1889"/>
    </row>
    <row r="17" spans="1:123" ht="15.75" customHeight="1" x14ac:dyDescent="0.25">
      <c r="A17" s="2242"/>
      <c r="B17" s="987"/>
      <c r="C17" s="988" t="s">
        <v>42</v>
      </c>
      <c r="D17" s="234">
        <v>186.2</v>
      </c>
      <c r="E17" s="228"/>
      <c r="F17" s="246">
        <v>8.5295464956481895E-2</v>
      </c>
      <c r="G17" s="228"/>
      <c r="H17" s="283" t="s">
        <v>38</v>
      </c>
      <c r="I17" s="284" t="s">
        <v>38</v>
      </c>
      <c r="J17" s="286">
        <v>85242</v>
      </c>
      <c r="K17" s="238"/>
      <c r="L17" s="406" t="s">
        <v>38</v>
      </c>
      <c r="M17" s="505" t="s">
        <v>38</v>
      </c>
      <c r="N17" s="506">
        <v>85242</v>
      </c>
      <c r="O17" s="208"/>
      <c r="P17" s="283" t="s">
        <v>38</v>
      </c>
      <c r="Q17" s="284" t="s">
        <v>38</v>
      </c>
      <c r="R17" s="506">
        <v>0</v>
      </c>
      <c r="S17" s="208"/>
      <c r="T17" s="283" t="s">
        <v>38</v>
      </c>
      <c r="U17" s="284" t="s">
        <v>38</v>
      </c>
      <c r="V17" s="231">
        <v>457.79806659505908</v>
      </c>
      <c r="W17" s="231"/>
      <c r="X17" s="234">
        <v>186.2</v>
      </c>
      <c r="Y17" s="228"/>
      <c r="Z17" s="246">
        <v>8.5256410256410245E-2</v>
      </c>
      <c r="AA17" s="228"/>
      <c r="AB17" s="283" t="s">
        <v>38</v>
      </c>
      <c r="AC17" s="284" t="s">
        <v>38</v>
      </c>
      <c r="AD17" s="286">
        <v>66587</v>
      </c>
      <c r="AE17" s="238"/>
      <c r="AF17" s="406" t="s">
        <v>38</v>
      </c>
      <c r="AG17" s="505" t="s">
        <v>38</v>
      </c>
      <c r="AH17" s="506">
        <v>66587</v>
      </c>
      <c r="AI17" s="208"/>
      <c r="AJ17" s="283" t="s">
        <v>38</v>
      </c>
      <c r="AK17" s="284" t="s">
        <v>38</v>
      </c>
      <c r="AL17" s="506">
        <v>0</v>
      </c>
      <c r="AM17" s="208"/>
      <c r="AN17" s="283" t="s">
        <v>38</v>
      </c>
      <c r="AO17" s="284" t="s">
        <v>38</v>
      </c>
      <c r="AP17" s="231">
        <v>357.61009667024706</v>
      </c>
      <c r="AQ17" s="231"/>
      <c r="AR17" s="1440">
        <f>'2024_ar_grozījumiem'!AR17-'2024_gada_plāns'!AR17</f>
        <v>2.2000000000000171</v>
      </c>
      <c r="AS17" s="1441"/>
      <c r="AT17" s="1442">
        <f>'2024_ar_grozījumiem'!AT17-'2024_gada_plāns'!AT17</f>
        <v>9.9637681159421565E-4</v>
      </c>
      <c r="AU17" s="1441"/>
      <c r="AV17" s="1089" t="s">
        <v>38</v>
      </c>
      <c r="AW17" s="1443"/>
      <c r="AX17" s="1089">
        <f>'2024_ar_grozījumiem'!AX17-'2024_gada_plāns'!AX17</f>
        <v>0</v>
      </c>
      <c r="AY17" s="1170"/>
      <c r="AZ17" s="1092" t="s">
        <v>38</v>
      </c>
      <c r="BA17" s="1446"/>
      <c r="BB17" s="1173">
        <f>'2024_ar_grozījumiem'!BB17-'2024_gada_plāns'!BB17</f>
        <v>0</v>
      </c>
      <c r="BC17" s="1656"/>
      <c r="BD17" s="1089" t="s">
        <v>38</v>
      </c>
      <c r="BE17" s="1443"/>
      <c r="BF17" s="1173">
        <f>'2024_ar_grozījumiem'!BF17-'2024_gada_plāns'!BF17</f>
        <v>0</v>
      </c>
      <c r="BG17" s="1175"/>
      <c r="BH17" s="1089" t="s">
        <v>38</v>
      </c>
      <c r="BI17" s="1443"/>
      <c r="BJ17" s="1092">
        <f>'2024_ar_grozījumiem'!BJ17-'2024_gada_plāns'!BJ17</f>
        <v>-5.3207751551600495</v>
      </c>
      <c r="BK17" s="1092"/>
      <c r="BL17" s="1283">
        <f>'2024_ar_grozījumiem'!BL17-'2024_gada_plāns'!BL17</f>
        <v>2.0999999999999943</v>
      </c>
      <c r="BM17" s="1087"/>
      <c r="BN17" s="1087">
        <f>'2024_ar_grozījumiem'!BN17-'2024_gada_plāns'!BN17</f>
        <v>9.5065640561339815E-4</v>
      </c>
      <c r="BO17" s="1087"/>
      <c r="BP17" s="1284" t="s">
        <v>38</v>
      </c>
      <c r="BQ17" s="1090"/>
      <c r="BR17" s="1284">
        <f>'2024_ar_grozījumiem'!BR17-'2024_gada_plāns'!BR17</f>
        <v>0</v>
      </c>
      <c r="BS17" s="1096"/>
      <c r="BT17" s="1095" t="s">
        <v>38</v>
      </c>
      <c r="BU17" s="1093"/>
      <c r="BV17" s="1176">
        <f>'2024_ar_grozījumiem'!BV17-'2024_gada_plāns'!BV17</f>
        <v>0</v>
      </c>
      <c r="BW17" s="1097"/>
      <c r="BX17" s="1284" t="s">
        <v>38</v>
      </c>
      <c r="BY17" s="1090"/>
      <c r="BZ17" s="1176">
        <f>'2024_ar_grozījumiem'!BZ17-'2024_gada_plāns'!BZ17</f>
        <v>0</v>
      </c>
      <c r="CA17" s="1091"/>
      <c r="CB17" s="1284" t="s">
        <v>38</v>
      </c>
      <c r="CC17" s="1090"/>
      <c r="CD17" s="1095">
        <f>'2024_ar_grozījumiem'!CD17-'2024_gada_plāns'!CD17</f>
        <v>-5.1579941128409246</v>
      </c>
      <c r="CE17" s="1095"/>
      <c r="CF17" s="1309">
        <f>'2024_ar_grozījumiem'!CF17-'2024_gada_plāns'!CF17</f>
        <v>4.3000000000001819</v>
      </c>
      <c r="CG17" s="1095"/>
      <c r="CH17" s="1349">
        <f>'2024_ar_grozījumiem'!CH17-'2024_gada_plāns'!CH17</f>
        <v>4.9086757990869645E-4</v>
      </c>
      <c r="CI17" s="1108"/>
      <c r="CJ17" s="1095" t="s">
        <v>38</v>
      </c>
      <c r="CK17" s="1093"/>
      <c r="CL17" s="1176">
        <f>'2024_ar_grozījumiem'!CL17-'2024_gada_plāns'!CL17</f>
        <v>0</v>
      </c>
      <c r="CM17" s="1169"/>
      <c r="CN17" s="1091" t="s">
        <v>38</v>
      </c>
      <c r="CO17" s="1093"/>
      <c r="CP17" s="1176">
        <f>'2024_ar_grozījumiem'!CP17-'2024_gada_plāns'!CP17</f>
        <v>0</v>
      </c>
      <c r="CQ17" s="1091"/>
      <c r="CR17" s="1095" t="s">
        <v>38</v>
      </c>
      <c r="CS17" s="1093"/>
      <c r="CT17" s="1176">
        <f>'2024_ar_grozījumiem'!CT17-'2024_gada_plāns'!CT17</f>
        <v>0</v>
      </c>
      <c r="CU17" s="1091"/>
      <c r="CV17" s="1095" t="s">
        <v>38</v>
      </c>
      <c r="CW17" s="1093"/>
      <c r="CX17" s="1176">
        <f>'2024_ar_grozījumiem'!CX17-'2024_gada_plāns'!CX17</f>
        <v>-2.4899855097157229</v>
      </c>
      <c r="CY17" s="1352"/>
      <c r="CZ17" s="1877">
        <f>CF17/'2024_gada_plāns'!CF17</f>
        <v>5.7287503330671228E-3</v>
      </c>
      <c r="DA17" s="1881"/>
      <c r="DB17" s="1879">
        <f>CH17/'2024_gada_plāns'!CH17</f>
        <v>5.728750333067122E-3</v>
      </c>
      <c r="DC17" s="1887"/>
      <c r="DD17" s="1881" t="s">
        <v>38</v>
      </c>
      <c r="DE17" s="1882"/>
      <c r="DF17" s="1883">
        <f>CL17/'2024_gada_plāns'!CL17</f>
        <v>0</v>
      </c>
      <c r="DG17" s="1884"/>
      <c r="DH17" s="1885" t="s">
        <v>38</v>
      </c>
      <c r="DI17" s="1882"/>
      <c r="DJ17" s="1883">
        <f>CP17/'2024_gada_plāns'!CP17</f>
        <v>0</v>
      </c>
      <c r="DK17" s="1885"/>
      <c r="DL17" s="1881" t="s">
        <v>38</v>
      </c>
      <c r="DM17" s="1882"/>
      <c r="DN17" s="1888" t="s">
        <v>38</v>
      </c>
      <c r="DO17" s="1885"/>
      <c r="DP17" s="1881" t="s">
        <v>38</v>
      </c>
      <c r="DQ17" s="1882"/>
      <c r="DR17" s="1883">
        <f>CX17/'2024_gada_plāns'!CX17</f>
        <v>-5.6961186912176612E-3</v>
      </c>
      <c r="DS17" s="1889"/>
    </row>
    <row r="18" spans="1:123" ht="15.75" customHeight="1" x14ac:dyDescent="0.25">
      <c r="A18" s="2242"/>
      <c r="B18" s="987"/>
      <c r="C18" s="988" t="s">
        <v>43</v>
      </c>
      <c r="D18" s="234">
        <v>17.399999999999999</v>
      </c>
      <c r="E18" s="228"/>
      <c r="F18" s="246">
        <v>7.9706825469537321E-3</v>
      </c>
      <c r="G18" s="228"/>
      <c r="H18" s="283" t="s">
        <v>38</v>
      </c>
      <c r="I18" s="284" t="s">
        <v>38</v>
      </c>
      <c r="J18" s="286">
        <v>1979.1200000000001</v>
      </c>
      <c r="K18" s="238"/>
      <c r="L18" s="406" t="s">
        <v>38</v>
      </c>
      <c r="M18" s="505" t="s">
        <v>38</v>
      </c>
      <c r="N18" s="506">
        <v>1979.1200000000001</v>
      </c>
      <c r="O18" s="522"/>
      <c r="P18" s="283" t="s">
        <v>38</v>
      </c>
      <c r="Q18" s="284" t="s">
        <v>38</v>
      </c>
      <c r="R18" s="506">
        <v>0</v>
      </c>
      <c r="S18" s="208"/>
      <c r="T18" s="283" t="s">
        <v>38</v>
      </c>
      <c r="U18" s="284" t="s">
        <v>38</v>
      </c>
      <c r="V18" s="231">
        <v>113.74252873563221</v>
      </c>
      <c r="W18" s="231"/>
      <c r="X18" s="234">
        <v>17.3</v>
      </c>
      <c r="Y18" s="228"/>
      <c r="Z18" s="246">
        <v>7.9212454212454209E-3</v>
      </c>
      <c r="AA18" s="228"/>
      <c r="AB18" s="283" t="s">
        <v>38</v>
      </c>
      <c r="AC18" s="284" t="s">
        <v>38</v>
      </c>
      <c r="AD18" s="286">
        <v>1970.8</v>
      </c>
      <c r="AE18" s="238"/>
      <c r="AF18" s="406" t="s">
        <v>38</v>
      </c>
      <c r="AG18" s="505" t="s">
        <v>38</v>
      </c>
      <c r="AH18" s="506">
        <v>1970.8</v>
      </c>
      <c r="AI18" s="522"/>
      <c r="AJ18" s="283" t="s">
        <v>38</v>
      </c>
      <c r="AK18" s="284" t="s">
        <v>38</v>
      </c>
      <c r="AL18" s="506">
        <v>0</v>
      </c>
      <c r="AM18" s="208"/>
      <c r="AN18" s="283" t="s">
        <v>38</v>
      </c>
      <c r="AO18" s="284" t="s">
        <v>38</v>
      </c>
      <c r="AP18" s="231">
        <v>113.91907514450867</v>
      </c>
      <c r="AQ18" s="231"/>
      <c r="AR18" s="1440">
        <f>'2024_ar_grozījumiem'!AR18-'2024_gada_plāns'!AR18</f>
        <v>0</v>
      </c>
      <c r="AS18" s="1441"/>
      <c r="AT18" s="1442">
        <f>'2024_ar_grozījumiem'!AT18-'2024_gada_plāns'!AT18</f>
        <v>0</v>
      </c>
      <c r="AU18" s="1441"/>
      <c r="AV18" s="1089" t="s">
        <v>38</v>
      </c>
      <c r="AW18" s="1443"/>
      <c r="AX18" s="1089">
        <f>'2024_ar_grozījumiem'!AX18-'2024_gada_plāns'!AX18</f>
        <v>64</v>
      </c>
      <c r="AY18" s="1170"/>
      <c r="AZ18" s="1092" t="s">
        <v>38</v>
      </c>
      <c r="BA18" s="1446"/>
      <c r="BB18" s="1173">
        <f>'2024_ar_grozījumiem'!BB18-'2024_gada_plāns'!BB18</f>
        <v>64</v>
      </c>
      <c r="BC18" s="1656"/>
      <c r="BD18" s="1089" t="s">
        <v>38</v>
      </c>
      <c r="BE18" s="1443"/>
      <c r="BF18" s="1173">
        <f>'2024_ar_grozījumiem'!BF18-'2024_gada_plāns'!BF18</f>
        <v>0</v>
      </c>
      <c r="BG18" s="1175"/>
      <c r="BH18" s="1089" t="s">
        <v>38</v>
      </c>
      <c r="BI18" s="1443"/>
      <c r="BJ18" s="1092">
        <f>'2024_ar_grozījumiem'!BJ18-'2024_gada_plāns'!BJ18</f>
        <v>3.5955056179775227</v>
      </c>
      <c r="BK18" s="1092"/>
      <c r="BL18" s="1283">
        <f>'2024_ar_grozījumiem'!BL18-'2024_gada_plāns'!BL18</f>
        <v>-0.20000000000000284</v>
      </c>
      <c r="BM18" s="1087"/>
      <c r="BN18" s="1087">
        <f>'2024_ar_grozījumiem'!BN18-'2024_gada_plāns'!BN18</f>
        <v>-9.0538705296515018E-5</v>
      </c>
      <c r="BO18" s="1087"/>
      <c r="BP18" s="1284" t="s">
        <v>38</v>
      </c>
      <c r="BQ18" s="1090"/>
      <c r="BR18" s="1284">
        <f>'2024_ar_grozījumiem'!BR18-'2024_gada_plāns'!BR18</f>
        <v>0</v>
      </c>
      <c r="BS18" s="1096"/>
      <c r="BT18" s="1095" t="s">
        <v>38</v>
      </c>
      <c r="BU18" s="1093"/>
      <c r="BV18" s="1176">
        <f>'2024_ar_grozījumiem'!BV18-'2024_gada_plāns'!BV18</f>
        <v>0</v>
      </c>
      <c r="BW18" s="1097"/>
      <c r="BX18" s="1284" t="s">
        <v>38</v>
      </c>
      <c r="BY18" s="1090"/>
      <c r="BZ18" s="1176">
        <f>'2024_ar_grozījumiem'!BZ18-'2024_gada_plāns'!BZ18</f>
        <v>0</v>
      </c>
      <c r="CA18" s="1091"/>
      <c r="CB18" s="1284" t="s">
        <v>38</v>
      </c>
      <c r="CC18" s="1090"/>
      <c r="CD18" s="1095">
        <f>'2024_ar_grozījumiem'!CD18-'2024_gada_plāns'!CD18</f>
        <v>1.2891327063741045</v>
      </c>
      <c r="CE18" s="1095"/>
      <c r="CF18" s="1309">
        <f>'2024_ar_grozījumiem'!CF18-'2024_gada_plāns'!CF18</f>
        <v>-0.19999999999998863</v>
      </c>
      <c r="CG18" s="1095"/>
      <c r="CH18" s="1349">
        <f>'2024_ar_grozījumiem'!CH18-'2024_gada_plāns'!CH18</f>
        <v>-2.2831050228308558E-5</v>
      </c>
      <c r="CI18" s="1108"/>
      <c r="CJ18" s="1095" t="s">
        <v>38</v>
      </c>
      <c r="CK18" s="1093"/>
      <c r="CL18" s="1176">
        <f>'2024_ar_grozījumiem'!CL18-'2024_gada_plāns'!CL18</f>
        <v>64</v>
      </c>
      <c r="CM18" s="1169"/>
      <c r="CN18" s="1091" t="s">
        <v>38</v>
      </c>
      <c r="CO18" s="1093"/>
      <c r="CP18" s="1176">
        <f>'2024_ar_grozījumiem'!CP18-'2024_gada_plāns'!CP18</f>
        <v>64</v>
      </c>
      <c r="CQ18" s="1091"/>
      <c r="CR18" s="1095" t="s">
        <v>38</v>
      </c>
      <c r="CS18" s="1093"/>
      <c r="CT18" s="1176">
        <f>'2024_ar_grozījumiem'!CT18-'2024_gada_plāns'!CT18</f>
        <v>0</v>
      </c>
      <c r="CU18" s="1091"/>
      <c r="CV18" s="1095" t="s">
        <v>38</v>
      </c>
      <c r="CW18" s="1093"/>
      <c r="CX18" s="1176">
        <f>'2024_ar_grozījumiem'!CX18-'2024_gada_plāns'!CX18</f>
        <v>1.2380368123200043</v>
      </c>
      <c r="CY18" s="1352"/>
      <c r="CZ18" s="1877">
        <f>CF18/'2024_gada_plāns'!CF18</f>
        <v>-2.8530670470754442E-3</v>
      </c>
      <c r="DA18" s="1881"/>
      <c r="DB18" s="1879">
        <f>CH18/'2024_gada_plāns'!CH18</f>
        <v>-2.8530670470753639E-3</v>
      </c>
      <c r="DC18" s="1887"/>
      <c r="DD18" s="1881" t="s">
        <v>38</v>
      </c>
      <c r="DE18" s="1882"/>
      <c r="DF18" s="1883">
        <f>CL18/'2024_gada_plāns'!CL18</f>
        <v>8.10142990237777E-3</v>
      </c>
      <c r="DG18" s="1884"/>
      <c r="DH18" s="1885" t="s">
        <v>38</v>
      </c>
      <c r="DI18" s="1882"/>
      <c r="DJ18" s="1883">
        <f>CP18/'2024_gada_plāns'!CP18</f>
        <v>8.10142990237777E-3</v>
      </c>
      <c r="DK18" s="1885"/>
      <c r="DL18" s="1881" t="s">
        <v>38</v>
      </c>
      <c r="DM18" s="1882"/>
      <c r="DN18" s="1888" t="s">
        <v>38</v>
      </c>
      <c r="DO18" s="1885"/>
      <c r="DP18" s="1881" t="s">
        <v>38</v>
      </c>
      <c r="DQ18" s="1882"/>
      <c r="DR18" s="1883">
        <f>CX18/'2024_gada_plāns'!CX18</f>
        <v>1.0985840288364359E-2</v>
      </c>
      <c r="DS18" s="1889"/>
    </row>
    <row r="19" spans="1:123" s="993" customFormat="1" ht="26.25" customHeight="1" x14ac:dyDescent="0.25">
      <c r="A19" s="2242"/>
      <c r="B19" s="991" t="s">
        <v>44</v>
      </c>
      <c r="C19" s="992"/>
      <c r="D19" s="287">
        <v>824.30000000000007</v>
      </c>
      <c r="E19" s="288"/>
      <c r="F19" s="289">
        <v>7.4957488019350912E-2</v>
      </c>
      <c r="G19" s="288"/>
      <c r="H19" s="290" t="s">
        <v>38</v>
      </c>
      <c r="I19" s="291" t="s">
        <v>38</v>
      </c>
      <c r="J19" s="292">
        <v>287753.63157894736</v>
      </c>
      <c r="K19" s="525"/>
      <c r="L19" s="407" t="s">
        <v>38</v>
      </c>
      <c r="M19" s="526" t="s">
        <v>38</v>
      </c>
      <c r="N19" s="527">
        <v>287753.63157894736</v>
      </c>
      <c r="O19" s="528"/>
      <c r="P19" s="290" t="s">
        <v>38</v>
      </c>
      <c r="Q19" s="291" t="s">
        <v>38</v>
      </c>
      <c r="R19" s="527">
        <v>0</v>
      </c>
      <c r="S19" s="528"/>
      <c r="T19" s="290" t="s">
        <v>38</v>
      </c>
      <c r="U19" s="291" t="s">
        <v>38</v>
      </c>
      <c r="V19" s="529">
        <v>349.08847698525699</v>
      </c>
      <c r="W19" s="529"/>
      <c r="X19" s="287">
        <v>804.90000000000009</v>
      </c>
      <c r="Y19" s="288"/>
      <c r="Z19" s="289">
        <v>7.316009052981759E-2</v>
      </c>
      <c r="AA19" s="288"/>
      <c r="AB19" s="290" t="s">
        <v>38</v>
      </c>
      <c r="AC19" s="291" t="s">
        <v>38</v>
      </c>
      <c r="AD19" s="292">
        <v>279776.26315789472</v>
      </c>
      <c r="AE19" s="525"/>
      <c r="AF19" s="407" t="s">
        <v>38</v>
      </c>
      <c r="AG19" s="526" t="s">
        <v>38</v>
      </c>
      <c r="AH19" s="527">
        <v>279776.26315789472</v>
      </c>
      <c r="AI19" s="528"/>
      <c r="AJ19" s="290" t="s">
        <v>38</v>
      </c>
      <c r="AK19" s="291" t="s">
        <v>38</v>
      </c>
      <c r="AL19" s="527">
        <v>0</v>
      </c>
      <c r="AM19" s="528"/>
      <c r="AN19" s="290" t="s">
        <v>38</v>
      </c>
      <c r="AO19" s="291" t="s">
        <v>38</v>
      </c>
      <c r="AP19" s="529">
        <v>347.59133203863172</v>
      </c>
      <c r="AQ19" s="529"/>
      <c r="AR19" s="1451">
        <f>'2024_ar_grozījumiem'!AR19-'2024_gada_plāns'!AR19</f>
        <v>11.899999999999977</v>
      </c>
      <c r="AS19" s="1452"/>
      <c r="AT19" s="1453">
        <f>'2024_ar_grozījumiem'!AT19-'2024_gada_plāns'!AT19</f>
        <v>1.0714060628978367E-3</v>
      </c>
      <c r="AU19" s="1452"/>
      <c r="AV19" s="1100" t="s">
        <v>38</v>
      </c>
      <c r="AW19" s="1454"/>
      <c r="AX19" s="1100">
        <f>'2024_ar_grozījumiem'!AX19-'2024_gada_plāns'!AX19</f>
        <v>-35502.263157894718</v>
      </c>
      <c r="AY19" s="1460"/>
      <c r="AZ19" s="1103" t="s">
        <v>38</v>
      </c>
      <c r="BA19" s="1457"/>
      <c r="BB19" s="1458">
        <f>'2024_ar_grozījumiem'!BB19-'2024_gada_plāns'!BB19</f>
        <v>-35502.263157894718</v>
      </c>
      <c r="BC19" s="1461"/>
      <c r="BD19" s="1100" t="s">
        <v>38</v>
      </c>
      <c r="BE19" s="1454"/>
      <c r="BF19" s="1458">
        <f>'2024_ar_grozījumiem'!BF19-'2024_gada_plāns'!BF19</f>
        <v>0</v>
      </c>
      <c r="BG19" s="1461"/>
      <c r="BH19" s="1100" t="s">
        <v>38</v>
      </c>
      <c r="BI19" s="1454"/>
      <c r="BJ19" s="1112">
        <f>'2024_ar_grozījumiem'!BJ19-'2024_gada_plāns'!BJ19</f>
        <v>-50.18253623032416</v>
      </c>
      <c r="BK19" s="1112"/>
      <c r="BL19" s="1286">
        <f>'2024_ar_grozījumiem'!BL19-'2024_gada_plāns'!BL19</f>
        <v>23.100000000000136</v>
      </c>
      <c r="BM19" s="1098"/>
      <c r="BN19" s="1098">
        <f>'2024_ar_grozījumiem'!BN19-'2024_gada_plāns'!BN19</f>
        <v>2.0816624462687838E-3</v>
      </c>
      <c r="BO19" s="1098"/>
      <c r="BP19" s="1287" t="s">
        <v>38</v>
      </c>
      <c r="BQ19" s="1101"/>
      <c r="BR19" s="1287">
        <f>'2024_ar_grozījumiem'!BR19-'2024_gada_plāns'!BR19</f>
        <v>-36924.842105263146</v>
      </c>
      <c r="BS19" s="1102"/>
      <c r="BT19" s="1288" t="s">
        <v>38</v>
      </c>
      <c r="BU19" s="1104"/>
      <c r="BV19" s="1289">
        <f>'2024_ar_grozījumiem'!BV19-'2024_gada_plāns'!BV19</f>
        <v>-36924.842105263146</v>
      </c>
      <c r="BW19" s="1105"/>
      <c r="BX19" s="1287" t="s">
        <v>38</v>
      </c>
      <c r="BY19" s="1101"/>
      <c r="BZ19" s="1289">
        <f>'2024_ar_grozījumiem'!BZ19-'2024_gada_plāns'!BZ19</f>
        <v>0</v>
      </c>
      <c r="CA19" s="1105"/>
      <c r="CB19" s="1287" t="s">
        <v>38</v>
      </c>
      <c r="CC19" s="1101"/>
      <c r="CD19" s="1106">
        <f>'2024_ar_grozījumiem'!CD19-'2024_gada_plāns'!CD19</f>
        <v>-43.927743286956172</v>
      </c>
      <c r="CE19" s="1106"/>
      <c r="CF19" s="1353">
        <f>'2024_ar_grozījumiem'!CF19-'2024_gada_plāns'!CF19</f>
        <v>35.000000000000455</v>
      </c>
      <c r="CG19" s="1106"/>
      <c r="CH19" s="1099">
        <f>'2024_ar_grozījumiem'!CH19-'2024_gada_plāns'!CH19</f>
        <v>7.9180862664188223E-4</v>
      </c>
      <c r="CI19" s="1354"/>
      <c r="CJ19" s="1288" t="s">
        <v>38</v>
      </c>
      <c r="CK19" s="1104"/>
      <c r="CL19" s="1289">
        <f>'2024_ar_grozījumiem'!CL19-'2024_gada_plāns'!CL19</f>
        <v>-72427.105263157981</v>
      </c>
      <c r="CM19" s="1355"/>
      <c r="CN19" s="1102" t="s">
        <v>38</v>
      </c>
      <c r="CO19" s="1104"/>
      <c r="CP19" s="1289">
        <f>'2024_ar_grozījumiem'!CP19-'2024_gada_plāns'!CP19</f>
        <v>-72427.105263157981</v>
      </c>
      <c r="CQ19" s="1105"/>
      <c r="CR19" s="1288" t="s">
        <v>38</v>
      </c>
      <c r="CS19" s="1104"/>
      <c r="CT19" s="1289">
        <f>'2024_ar_grozījumiem'!CT19-'2024_gada_plāns'!CT19</f>
        <v>0</v>
      </c>
      <c r="CU19" s="1105"/>
      <c r="CV19" s="1288" t="s">
        <v>38</v>
      </c>
      <c r="CW19" s="1104"/>
      <c r="CX19" s="1289">
        <f>'2024_ar_grozījumiem'!CX19-'2024_gada_plāns'!CX19</f>
        <v>-24.605590619828263</v>
      </c>
      <c r="CY19" s="1356"/>
      <c r="CZ19" s="1890">
        <f>CF19/'2024_gada_plāns'!CF19</f>
        <v>1.0378057820607993E-2</v>
      </c>
      <c r="DA19" s="1891"/>
      <c r="DB19" s="1892">
        <f>CH19/'2024_gada_plāns'!CH19</f>
        <v>1.0378057820607994E-2</v>
      </c>
      <c r="DC19" s="1893"/>
      <c r="DD19" s="1894" t="s">
        <v>38</v>
      </c>
      <c r="DE19" s="1895"/>
      <c r="DF19" s="1896">
        <f>CL19/'2024_gada_plāns'!CL19</f>
        <v>-6.5839471138885636E-2</v>
      </c>
      <c r="DG19" s="1897"/>
      <c r="DH19" s="1898" t="s">
        <v>38</v>
      </c>
      <c r="DI19" s="1895"/>
      <c r="DJ19" s="1896">
        <f>CP19/'2024_gada_plāns'!CP19</f>
        <v>-6.5839471138885636E-2</v>
      </c>
      <c r="DK19" s="1899"/>
      <c r="DL19" s="1894" t="s">
        <v>38</v>
      </c>
      <c r="DM19" s="1895"/>
      <c r="DN19" s="1900" t="s">
        <v>38</v>
      </c>
      <c r="DO19" s="1899"/>
      <c r="DP19" s="1894" t="s">
        <v>38</v>
      </c>
      <c r="DQ19" s="1895"/>
      <c r="DR19" s="1896">
        <f>CX19/'2024_gada_plāns'!CX19</f>
        <v>-7.5434663658369039E-2</v>
      </c>
      <c r="DS19" s="1901"/>
    </row>
    <row r="20" spans="1:123" s="990" customFormat="1" ht="15.75" customHeight="1" x14ac:dyDescent="0.25">
      <c r="A20" s="2242"/>
      <c r="B20" s="987"/>
      <c r="C20" s="988" t="s">
        <v>39</v>
      </c>
      <c r="D20" s="234">
        <v>293.90000000000003</v>
      </c>
      <c r="E20" s="228"/>
      <c r="F20" s="246">
        <v>0.13463124141090244</v>
      </c>
      <c r="G20" s="228"/>
      <c r="H20" s="293" t="s">
        <v>38</v>
      </c>
      <c r="I20" s="230" t="s">
        <v>38</v>
      </c>
      <c r="J20" s="285">
        <v>141869</v>
      </c>
      <c r="K20" s="208"/>
      <c r="L20" s="406" t="s">
        <v>38</v>
      </c>
      <c r="M20" s="505" t="s">
        <v>38</v>
      </c>
      <c r="N20" s="506">
        <v>141869</v>
      </c>
      <c r="O20" s="507"/>
      <c r="P20" s="293" t="s">
        <v>38</v>
      </c>
      <c r="Q20" s="230" t="s">
        <v>38</v>
      </c>
      <c r="R20" s="506">
        <v>0</v>
      </c>
      <c r="S20" s="208"/>
      <c r="T20" s="293" t="s">
        <v>38</v>
      </c>
      <c r="U20" s="230" t="s">
        <v>38</v>
      </c>
      <c r="V20" s="231">
        <v>482.7118067369853</v>
      </c>
      <c r="W20" s="231"/>
      <c r="X20" s="234">
        <v>284.40000000000003</v>
      </c>
      <c r="Y20" s="228"/>
      <c r="Z20" s="246">
        <v>0.13021978021978023</v>
      </c>
      <c r="AA20" s="228"/>
      <c r="AB20" s="293" t="s">
        <v>38</v>
      </c>
      <c r="AC20" s="230" t="s">
        <v>38</v>
      </c>
      <c r="AD20" s="285">
        <v>136201</v>
      </c>
      <c r="AE20" s="208"/>
      <c r="AF20" s="406" t="s">
        <v>38</v>
      </c>
      <c r="AG20" s="505" t="s">
        <v>38</v>
      </c>
      <c r="AH20" s="506">
        <v>136201</v>
      </c>
      <c r="AI20" s="507"/>
      <c r="AJ20" s="293" t="s">
        <v>38</v>
      </c>
      <c r="AK20" s="230" t="s">
        <v>38</v>
      </c>
      <c r="AL20" s="506">
        <v>0</v>
      </c>
      <c r="AM20" s="208"/>
      <c r="AN20" s="293" t="s">
        <v>38</v>
      </c>
      <c r="AO20" s="230" t="s">
        <v>38</v>
      </c>
      <c r="AP20" s="231">
        <v>478.90646976090011</v>
      </c>
      <c r="AQ20" s="231"/>
      <c r="AR20" s="1440">
        <f>'2024_ar_grozījumiem'!AR20-'2024_gada_plāns'!AR20</f>
        <v>-2.7000000000000455</v>
      </c>
      <c r="AS20" s="1441"/>
      <c r="AT20" s="1442">
        <f>'2024_ar_grozījumiem'!AT20-'2024_gada_plāns'!AT20</f>
        <v>-1.2228260869565494E-3</v>
      </c>
      <c r="AU20" s="1441"/>
      <c r="AV20" s="1107" t="s">
        <v>38</v>
      </c>
      <c r="AW20" s="1449"/>
      <c r="AX20" s="1107">
        <f>'2024_ar_grozījumiem'!AX20-'2024_gada_plāns'!AX20</f>
        <v>-9693</v>
      </c>
      <c r="AY20" s="1175"/>
      <c r="AZ20" s="1092" t="s">
        <v>38</v>
      </c>
      <c r="BA20" s="1446"/>
      <c r="BB20" s="1173">
        <f>'2024_ar_grozījumiem'!BB20-'2024_gada_plāns'!BB20</f>
        <v>-9693</v>
      </c>
      <c r="BC20" s="1469"/>
      <c r="BD20" s="1107" t="s">
        <v>38</v>
      </c>
      <c r="BE20" s="1449"/>
      <c r="BF20" s="1173">
        <f>'2024_ar_grozījumiem'!BF20-'2024_gada_plāns'!BF20</f>
        <v>0</v>
      </c>
      <c r="BG20" s="1175"/>
      <c r="BH20" s="1107" t="s">
        <v>38</v>
      </c>
      <c r="BI20" s="1449"/>
      <c r="BJ20" s="1092">
        <f>'2024_ar_grozījumiem'!BJ20-'2024_gada_plāns'!BJ20</f>
        <v>-35.309038318541127</v>
      </c>
      <c r="BK20" s="1092"/>
      <c r="BL20" s="1283">
        <f>'2024_ar_grozījumiem'!BL20-'2024_gada_plāns'!BL20</f>
        <v>11.400000000000034</v>
      </c>
      <c r="BM20" s="1087"/>
      <c r="BN20" s="1087">
        <f>'2024_ar_grozījumiem'!BN20-'2024_gada_plāns'!BN20</f>
        <v>5.16070620190133E-3</v>
      </c>
      <c r="BO20" s="1087"/>
      <c r="BP20" s="1285" t="s">
        <v>38</v>
      </c>
      <c r="BQ20" s="1108"/>
      <c r="BR20" s="1285">
        <f>'2024_ar_grozījumiem'!BR20-'2024_gada_plāns'!BR20</f>
        <v>-10061</v>
      </c>
      <c r="BS20" s="1091"/>
      <c r="BT20" s="1095" t="s">
        <v>38</v>
      </c>
      <c r="BU20" s="1093"/>
      <c r="BV20" s="1176">
        <f>'2024_ar_grozījumiem'!BV20-'2024_gada_plāns'!BV20</f>
        <v>-10061</v>
      </c>
      <c r="BW20" s="1094"/>
      <c r="BX20" s="1285" t="s">
        <v>38</v>
      </c>
      <c r="BY20" s="1108"/>
      <c r="BZ20" s="1176">
        <f>'2024_ar_grozījumiem'!BZ20-'2024_gada_plāns'!BZ20</f>
        <v>0</v>
      </c>
      <c r="CA20" s="1091"/>
      <c r="CB20" s="1285" t="s">
        <v>38</v>
      </c>
      <c r="CC20" s="1108"/>
      <c r="CD20" s="1095">
        <f>'2024_ar_grozījumiem'!CD20-'2024_gada_plāns'!CD20</f>
        <v>-54.914477670996234</v>
      </c>
      <c r="CE20" s="1095"/>
      <c r="CF20" s="1309">
        <f>'2024_ar_grozījumiem'!CF20-'2024_gada_plāns'!CF20</f>
        <v>8.7000000000000455</v>
      </c>
      <c r="CG20" s="1095"/>
      <c r="CH20" s="1088">
        <f>'2024_ar_grozījumiem'!CH20-'2024_gada_plāns'!CH20</f>
        <v>9.9315068493152636E-4</v>
      </c>
      <c r="CI20" s="1108"/>
      <c r="CJ20" s="1095" t="s">
        <v>38</v>
      </c>
      <c r="CK20" s="1093"/>
      <c r="CL20" s="1176">
        <f>'2024_ar_grozījumiem'!CL20-'2024_gada_plāns'!CL20</f>
        <v>-19754</v>
      </c>
      <c r="CM20" s="1169"/>
      <c r="CN20" s="1091" t="s">
        <v>38</v>
      </c>
      <c r="CO20" s="1093"/>
      <c r="CP20" s="1176">
        <f>'2024_ar_grozījumiem'!CP20-'2024_gada_plāns'!CP20</f>
        <v>-19754</v>
      </c>
      <c r="CQ20" s="1091"/>
      <c r="CR20" s="1095" t="s">
        <v>38</v>
      </c>
      <c r="CS20" s="1093"/>
      <c r="CT20" s="1176">
        <f>'2024_ar_grozījumiem'!CT20-'2024_gada_plāns'!CT20</f>
        <v>0</v>
      </c>
      <c r="CU20" s="1091"/>
      <c r="CV20" s="1095" t="s">
        <v>38</v>
      </c>
      <c r="CW20" s="1093"/>
      <c r="CX20" s="1176">
        <f>'2024_ar_grozījumiem'!CX20-'2024_gada_plāns'!CX20</f>
        <v>-21.612286878943394</v>
      </c>
      <c r="CY20" s="1352"/>
      <c r="CZ20" s="1877">
        <f>CF20/'2024_gada_plāns'!CF20</f>
        <v>7.9299972655182249E-3</v>
      </c>
      <c r="DA20" s="1881"/>
      <c r="DB20" s="1902">
        <f>CH20/'2024_gada_plāns'!CH20</f>
        <v>7.9299972655183393E-3</v>
      </c>
      <c r="DC20" s="1887"/>
      <c r="DD20" s="1881" t="s">
        <v>38</v>
      </c>
      <c r="DE20" s="1882"/>
      <c r="DF20" s="1883">
        <f>CL20/'2024_gada_plāns'!CL20</f>
        <v>-3.7793534118259288E-2</v>
      </c>
      <c r="DG20" s="1884"/>
      <c r="DH20" s="1885" t="s">
        <v>38</v>
      </c>
      <c r="DI20" s="1882"/>
      <c r="DJ20" s="1883">
        <f>CP20/'2024_gada_plāns'!CP20</f>
        <v>-3.7793534118259288E-2</v>
      </c>
      <c r="DK20" s="1885"/>
      <c r="DL20" s="1881" t="s">
        <v>38</v>
      </c>
      <c r="DM20" s="1882"/>
      <c r="DN20" s="1888" t="s">
        <v>38</v>
      </c>
      <c r="DO20" s="1885"/>
      <c r="DP20" s="1881" t="s">
        <v>38</v>
      </c>
      <c r="DQ20" s="1882"/>
      <c r="DR20" s="1883">
        <f>CX20/'2024_gada_plāns'!CX20</f>
        <v>-4.536379660077982E-2</v>
      </c>
      <c r="DS20" s="1889"/>
    </row>
    <row r="21" spans="1:123" s="990" customFormat="1" ht="15.75" customHeight="1" x14ac:dyDescent="0.25">
      <c r="A21" s="2242"/>
      <c r="B21" s="987"/>
      <c r="C21" s="988" t="s">
        <v>40</v>
      </c>
      <c r="D21" s="234">
        <v>3.2</v>
      </c>
      <c r="E21" s="228"/>
      <c r="F21" s="246">
        <v>1.4658726523133303E-3</v>
      </c>
      <c r="G21" s="228"/>
      <c r="H21" s="293" t="s">
        <v>38</v>
      </c>
      <c r="I21" s="230" t="s">
        <v>38</v>
      </c>
      <c r="J21" s="285">
        <v>3772.6315789473683</v>
      </c>
      <c r="K21" s="208"/>
      <c r="L21" s="406" t="s">
        <v>38</v>
      </c>
      <c r="M21" s="505" t="s">
        <v>38</v>
      </c>
      <c r="N21" s="506">
        <v>3772.6315789473683</v>
      </c>
      <c r="O21" s="507"/>
      <c r="P21" s="293" t="s">
        <v>38</v>
      </c>
      <c r="Q21" s="230" t="s">
        <v>38</v>
      </c>
      <c r="R21" s="506">
        <v>0</v>
      </c>
      <c r="S21" s="208"/>
      <c r="T21" s="293" t="s">
        <v>38</v>
      </c>
      <c r="U21" s="230" t="s">
        <v>38</v>
      </c>
      <c r="V21" s="231">
        <v>1178.9473684210525</v>
      </c>
      <c r="W21" s="231"/>
      <c r="X21" s="234">
        <v>2.6</v>
      </c>
      <c r="Y21" s="228"/>
      <c r="Z21" s="246">
        <v>1.1904761904761906E-3</v>
      </c>
      <c r="AA21" s="228"/>
      <c r="AB21" s="293" t="s">
        <v>38</v>
      </c>
      <c r="AC21" s="230" t="s">
        <v>38</v>
      </c>
      <c r="AD21" s="285">
        <v>3065.2631578947367</v>
      </c>
      <c r="AE21" s="208"/>
      <c r="AF21" s="406" t="s">
        <v>38</v>
      </c>
      <c r="AG21" s="505" t="s">
        <v>38</v>
      </c>
      <c r="AH21" s="506">
        <v>3065.2631578947367</v>
      </c>
      <c r="AI21" s="507"/>
      <c r="AJ21" s="293" t="s">
        <v>38</v>
      </c>
      <c r="AK21" s="230" t="s">
        <v>38</v>
      </c>
      <c r="AL21" s="506">
        <v>0</v>
      </c>
      <c r="AM21" s="208"/>
      <c r="AN21" s="293" t="s">
        <v>38</v>
      </c>
      <c r="AO21" s="230" t="s">
        <v>38</v>
      </c>
      <c r="AP21" s="231">
        <v>1178.9473684210525</v>
      </c>
      <c r="AQ21" s="231"/>
      <c r="AR21" s="1440">
        <f>'2024_ar_grozījumiem'!AR21-'2024_gada_plāns'!AR21</f>
        <v>0.10000000000000009</v>
      </c>
      <c r="AS21" s="1441"/>
      <c r="AT21" s="1442">
        <f>'2024_ar_grozījumiem'!AT21-'2024_gada_plāns'!AT21</f>
        <v>4.5289855072463796E-5</v>
      </c>
      <c r="AU21" s="1441"/>
      <c r="AV21" s="1107" t="s">
        <v>38</v>
      </c>
      <c r="AW21" s="1449"/>
      <c r="AX21" s="1107">
        <f>'2024_ar_grozījumiem'!AX21-'2024_gada_plāns'!AX21</f>
        <v>71.736842105263349</v>
      </c>
      <c r="AY21" s="1175"/>
      <c r="AZ21" s="1092" t="s">
        <v>38</v>
      </c>
      <c r="BA21" s="1446"/>
      <c r="BB21" s="1173">
        <f>'2024_ar_grozījumiem'!BB21-'2024_gada_plāns'!BB21</f>
        <v>71.736842105263349</v>
      </c>
      <c r="BC21" s="1469"/>
      <c r="BD21" s="1107" t="s">
        <v>38</v>
      </c>
      <c r="BE21" s="1449"/>
      <c r="BF21" s="1173">
        <f>'2024_ar_grozījumiem'!BF21-'2024_gada_plāns'!BF21</f>
        <v>0</v>
      </c>
      <c r="BG21" s="1175"/>
      <c r="BH21" s="1107" t="s">
        <v>38</v>
      </c>
      <c r="BI21" s="1449"/>
      <c r="BJ21" s="1092">
        <f>'2024_ar_grozījumiem'!BJ21-'2024_gada_plāns'!BJ21</f>
        <v>-17.095516569200754</v>
      </c>
      <c r="BK21" s="1092"/>
      <c r="BL21" s="1283">
        <f>'2024_ar_grozījumiem'!BL21-'2024_gada_plāns'!BL21</f>
        <v>-0.29999999999999982</v>
      </c>
      <c r="BM21" s="1087"/>
      <c r="BN21" s="1087">
        <f>'2024_ar_grozījumiem'!BN21-'2024_gada_plāns'!BN21</f>
        <v>-1.3580805794477144E-4</v>
      </c>
      <c r="BO21" s="1087"/>
      <c r="BP21" s="1285" t="s">
        <v>38</v>
      </c>
      <c r="BQ21" s="1108"/>
      <c r="BR21" s="1285">
        <f>'2024_ar_grozījumiem'!BR21-'2024_gada_plāns'!BR21</f>
        <v>-399.84210526315746</v>
      </c>
      <c r="BS21" s="1091"/>
      <c r="BT21" s="1095" t="s">
        <v>38</v>
      </c>
      <c r="BU21" s="1093"/>
      <c r="BV21" s="1176">
        <f>'2024_ar_grozījumiem'!BV21-'2024_gada_plāns'!BV21</f>
        <v>-399.84210526315746</v>
      </c>
      <c r="BW21" s="1094"/>
      <c r="BX21" s="1285" t="s">
        <v>38</v>
      </c>
      <c r="BY21" s="1108"/>
      <c r="BZ21" s="1176">
        <f>'2024_ar_grozījumiem'!BZ21-'2024_gada_plāns'!BZ21</f>
        <v>0</v>
      </c>
      <c r="CA21" s="1091"/>
      <c r="CB21" s="1285" t="s">
        <v>38</v>
      </c>
      <c r="CC21" s="1108"/>
      <c r="CD21" s="1095">
        <f>'2024_ar_grozījumiem'!CD21-'2024_gada_plāns'!CD21</f>
        <v>-17.095516569200754</v>
      </c>
      <c r="CE21" s="1095"/>
      <c r="CF21" s="1309">
        <f>'2024_ar_grozījumiem'!CF21-'2024_gada_plāns'!CF21</f>
        <v>-0.19999999999999929</v>
      </c>
      <c r="CG21" s="1095"/>
      <c r="CH21" s="1088">
        <f>'2024_ar_grozījumiem'!CH21-'2024_gada_plāns'!CH21</f>
        <v>-2.2831050228310293E-5</v>
      </c>
      <c r="CI21" s="1108"/>
      <c r="CJ21" s="1095" t="s">
        <v>38</v>
      </c>
      <c r="CK21" s="1093"/>
      <c r="CL21" s="1176">
        <f>'2024_ar_grozījumiem'!CL21-'2024_gada_plāns'!CL21</f>
        <v>-328.10526315789321</v>
      </c>
      <c r="CM21" s="1169"/>
      <c r="CN21" s="1091" t="s">
        <v>38</v>
      </c>
      <c r="CO21" s="1093"/>
      <c r="CP21" s="1176">
        <f>'2024_ar_grozījumiem'!CP21-'2024_gada_plāns'!CP21</f>
        <v>-328.10526315789321</v>
      </c>
      <c r="CQ21" s="1091"/>
      <c r="CR21" s="1095" t="s">
        <v>38</v>
      </c>
      <c r="CS21" s="1093"/>
      <c r="CT21" s="1176">
        <f>'2024_ar_grozījumiem'!CT21-'2024_gada_plāns'!CT21</f>
        <v>0</v>
      </c>
      <c r="CU21" s="1091"/>
      <c r="CV21" s="1095" t="s">
        <v>38</v>
      </c>
      <c r="CW21" s="1093"/>
      <c r="CX21" s="1176">
        <f>'2024_ar_grozījumiem'!CX21-'2024_gada_plāns'!CX21</f>
        <v>-8.2424812030076282</v>
      </c>
      <c r="CY21" s="1352"/>
      <c r="CZ21" s="1877">
        <f>CF21/'2024_gada_plāns'!CF21</f>
        <v>-1.7543859649122747E-2</v>
      </c>
      <c r="DA21" s="1881"/>
      <c r="DB21" s="1902">
        <f>CH21/'2024_gada_plāns'!CH21</f>
        <v>-1.754385964912265E-2</v>
      </c>
      <c r="DC21" s="1887"/>
      <c r="DD21" s="1881" t="s">
        <v>38</v>
      </c>
      <c r="DE21" s="1882"/>
      <c r="DF21" s="1883">
        <f>CL21/'2024_gada_plāns'!CL21</f>
        <v>-2.4412593984962296E-2</v>
      </c>
      <c r="DG21" s="1884"/>
      <c r="DH21" s="1885" t="s">
        <v>38</v>
      </c>
      <c r="DI21" s="1882"/>
      <c r="DJ21" s="1883">
        <f>CP21/'2024_gada_plāns'!CP21</f>
        <v>-2.4412593984962296E-2</v>
      </c>
      <c r="DK21" s="1885"/>
      <c r="DL21" s="1881" t="s">
        <v>38</v>
      </c>
      <c r="DM21" s="1882"/>
      <c r="DN21" s="1888" t="s">
        <v>38</v>
      </c>
      <c r="DO21" s="1885"/>
      <c r="DP21" s="1881" t="s">
        <v>38</v>
      </c>
      <c r="DQ21" s="1882"/>
      <c r="DR21" s="1883">
        <f>CX21/'2024_gada_plāns'!CX21</f>
        <v>-6.9913903061225415E-3</v>
      </c>
      <c r="DS21" s="1889"/>
    </row>
    <row r="22" spans="1:123" s="990" customFormat="1" ht="15.75" customHeight="1" x14ac:dyDescent="0.25">
      <c r="A22" s="2242"/>
      <c r="B22" s="987"/>
      <c r="C22" s="988" t="s">
        <v>41</v>
      </c>
      <c r="D22" s="234">
        <v>3</v>
      </c>
      <c r="E22" s="228"/>
      <c r="F22" s="246">
        <v>1.3742556115437471E-3</v>
      </c>
      <c r="G22" s="228"/>
      <c r="H22" s="293" t="s">
        <v>38</v>
      </c>
      <c r="I22" s="230" t="s">
        <v>38</v>
      </c>
      <c r="J22" s="285">
        <v>3563</v>
      </c>
      <c r="K22" s="208"/>
      <c r="L22" s="406" t="s">
        <v>38</v>
      </c>
      <c r="M22" s="505" t="s">
        <v>38</v>
      </c>
      <c r="N22" s="506">
        <v>3563</v>
      </c>
      <c r="O22" s="507"/>
      <c r="P22" s="293" t="s">
        <v>38</v>
      </c>
      <c r="Q22" s="230" t="s">
        <v>38</v>
      </c>
      <c r="R22" s="506">
        <v>0</v>
      </c>
      <c r="S22" s="208"/>
      <c r="T22" s="293" t="s">
        <v>38</v>
      </c>
      <c r="U22" s="230" t="s">
        <v>38</v>
      </c>
      <c r="V22" s="231">
        <v>1187.6666666666667</v>
      </c>
      <c r="W22" s="231"/>
      <c r="X22" s="234">
        <v>2</v>
      </c>
      <c r="Y22" s="228"/>
      <c r="Z22" s="246">
        <v>9.1575091575091575E-4</v>
      </c>
      <c r="AA22" s="228"/>
      <c r="AB22" s="293" t="s">
        <v>38</v>
      </c>
      <c r="AC22" s="230" t="s">
        <v>38</v>
      </c>
      <c r="AD22" s="285">
        <v>2379</v>
      </c>
      <c r="AE22" s="208"/>
      <c r="AF22" s="406" t="s">
        <v>38</v>
      </c>
      <c r="AG22" s="505" t="s">
        <v>38</v>
      </c>
      <c r="AH22" s="506">
        <v>2379</v>
      </c>
      <c r="AI22" s="507"/>
      <c r="AJ22" s="293" t="s">
        <v>38</v>
      </c>
      <c r="AK22" s="230" t="s">
        <v>38</v>
      </c>
      <c r="AL22" s="506">
        <v>0</v>
      </c>
      <c r="AM22" s="208"/>
      <c r="AN22" s="293" t="s">
        <v>38</v>
      </c>
      <c r="AO22" s="230" t="s">
        <v>38</v>
      </c>
      <c r="AP22" s="231">
        <v>1189.5</v>
      </c>
      <c r="AQ22" s="231"/>
      <c r="AR22" s="1440">
        <f>'2024_ar_grozījumiem'!AR22-'2024_gada_plāns'!AR22</f>
        <v>0</v>
      </c>
      <c r="AS22" s="1441"/>
      <c r="AT22" s="1442">
        <f>'2024_ar_grozījumiem'!AT22-'2024_gada_plāns'!AT22</f>
        <v>0</v>
      </c>
      <c r="AU22" s="1441"/>
      <c r="AV22" s="1107" t="s">
        <v>38</v>
      </c>
      <c r="AW22" s="1449"/>
      <c r="AX22" s="1107">
        <f>'2024_ar_grozījumiem'!AX22-'2024_gada_plāns'!AX22</f>
        <v>0</v>
      </c>
      <c r="AY22" s="1175"/>
      <c r="AZ22" s="1092" t="s">
        <v>38</v>
      </c>
      <c r="BA22" s="1446"/>
      <c r="BB22" s="1173">
        <f>'2024_ar_grozījumiem'!BB22-'2024_gada_plāns'!BB22</f>
        <v>0</v>
      </c>
      <c r="BC22" s="1469"/>
      <c r="BD22" s="1107" t="s">
        <v>38</v>
      </c>
      <c r="BE22" s="1449"/>
      <c r="BF22" s="1173">
        <f>'2024_ar_grozījumiem'!BF22-'2024_gada_plāns'!BF22</f>
        <v>0</v>
      </c>
      <c r="BG22" s="1175"/>
      <c r="BH22" s="1107" t="s">
        <v>38</v>
      </c>
      <c r="BI22" s="1449"/>
      <c r="BJ22" s="1092">
        <v>0</v>
      </c>
      <c r="BK22" s="1092"/>
      <c r="BL22" s="1283">
        <f>'2024_ar_grozījumiem'!BL22-'2024_gada_plāns'!BL22</f>
        <v>-1</v>
      </c>
      <c r="BM22" s="1087"/>
      <c r="BN22" s="1087">
        <f>'2024_ar_grozījumiem'!BN22-'2024_gada_plāns'!BN22</f>
        <v>-4.526935264825714E-4</v>
      </c>
      <c r="BO22" s="1087"/>
      <c r="BP22" s="1285" t="s">
        <v>38</v>
      </c>
      <c r="BQ22" s="1108"/>
      <c r="BR22" s="1285">
        <f>'2024_ar_grozījumiem'!BR22-'2024_gada_plāns'!BR22</f>
        <v>-13</v>
      </c>
      <c r="BS22" s="1091"/>
      <c r="BT22" s="1095" t="s">
        <v>38</v>
      </c>
      <c r="BU22" s="1093"/>
      <c r="BV22" s="1176">
        <f>'2024_ar_grozījumiem'!BV22-'2024_gada_plāns'!BV22</f>
        <v>-13</v>
      </c>
      <c r="BW22" s="1094"/>
      <c r="BX22" s="1285" t="s">
        <v>38</v>
      </c>
      <c r="BY22" s="1108"/>
      <c r="BZ22" s="1176">
        <f>'2024_ar_grozījumiem'!BZ22-'2024_gada_plāns'!BZ22</f>
        <v>0</v>
      </c>
      <c r="CA22" s="1091"/>
      <c r="CB22" s="1285" t="s">
        <v>38</v>
      </c>
      <c r="CC22" s="1108"/>
      <c r="CD22" s="1095">
        <f>'2024_ar_grozījumiem'!CD22-'2024_gada_plāns'!CD22</f>
        <v>587.66666666666674</v>
      </c>
      <c r="CE22" s="1095"/>
      <c r="CF22" s="1309">
        <f>'2024_ar_grozījumiem'!CF22-'2024_gada_plāns'!CF22</f>
        <v>-1</v>
      </c>
      <c r="CG22" s="1095"/>
      <c r="CH22" s="1088">
        <f>'2024_ar_grozījumiem'!CH22-'2024_gada_plāns'!CH22</f>
        <v>-1.1415525114155244E-4</v>
      </c>
      <c r="CI22" s="1108"/>
      <c r="CJ22" s="1095" t="s">
        <v>38</v>
      </c>
      <c r="CK22" s="1093"/>
      <c r="CL22" s="1176">
        <f>'2024_ar_grozījumiem'!CL22-'2024_gada_plāns'!CL22</f>
        <v>-13</v>
      </c>
      <c r="CM22" s="1169"/>
      <c r="CN22" s="1091" t="s">
        <v>38</v>
      </c>
      <c r="CO22" s="1093"/>
      <c r="CP22" s="1176">
        <f>'2024_ar_grozījumiem'!CP22-'2024_gada_plāns'!CP22</f>
        <v>-13</v>
      </c>
      <c r="CQ22" s="1091"/>
      <c r="CR22" s="1095" t="s">
        <v>38</v>
      </c>
      <c r="CS22" s="1093"/>
      <c r="CT22" s="1176">
        <f>'2024_ar_grozījumiem'!CT22-'2024_gada_plāns'!CT22</f>
        <v>0</v>
      </c>
      <c r="CU22" s="1091"/>
      <c r="CV22" s="1095" t="s">
        <v>38</v>
      </c>
      <c r="CW22" s="1093"/>
      <c r="CX22" s="1176">
        <f>'2024_ar_grozījumiem'!CX22-'2024_gada_plāns'!CX22</f>
        <v>167.91071428571422</v>
      </c>
      <c r="CY22" s="1352"/>
      <c r="CZ22" s="1877">
        <f>CF22/'2024_gada_plāns'!CF22</f>
        <v>-0.125</v>
      </c>
      <c r="DA22" s="1881"/>
      <c r="DB22" s="1902">
        <f>CH22/'2024_gada_plāns'!CH22</f>
        <v>-0.12499999999999993</v>
      </c>
      <c r="DC22" s="1887"/>
      <c r="DD22" s="1881" t="s">
        <v>38</v>
      </c>
      <c r="DE22" s="1882"/>
      <c r="DF22" s="1883">
        <f>CL22/'2024_gada_plāns'!CL22</f>
        <v>-1.3674134848006732E-3</v>
      </c>
      <c r="DG22" s="1884"/>
      <c r="DH22" s="1885" t="s">
        <v>38</v>
      </c>
      <c r="DI22" s="1882"/>
      <c r="DJ22" s="1883">
        <f>CP22/'2024_gada_plāns'!CP22</f>
        <v>-1.3674134848006732E-3</v>
      </c>
      <c r="DK22" s="1885"/>
      <c r="DL22" s="1881" t="s">
        <v>38</v>
      </c>
      <c r="DM22" s="1882"/>
      <c r="DN22" s="1888" t="s">
        <v>38</v>
      </c>
      <c r="DO22" s="1885"/>
      <c r="DP22" s="1881" t="s">
        <v>38</v>
      </c>
      <c r="DQ22" s="1882"/>
      <c r="DR22" s="1883">
        <f>CX22/'2024_gada_plāns'!CX22</f>
        <v>0.14129438458879917</v>
      </c>
      <c r="DS22" s="1889"/>
    </row>
    <row r="23" spans="1:123" ht="15.75" customHeight="1" x14ac:dyDescent="0.25">
      <c r="A23" s="2242"/>
      <c r="B23" s="19"/>
      <c r="C23" s="988" t="s">
        <v>42</v>
      </c>
      <c r="D23" s="234">
        <v>512.30000000000007</v>
      </c>
      <c r="E23" s="228"/>
      <c r="F23" s="246">
        <v>0.23467704993128724</v>
      </c>
      <c r="G23" s="228"/>
      <c r="H23" s="293" t="s">
        <v>38</v>
      </c>
      <c r="I23" s="230" t="s">
        <v>38</v>
      </c>
      <c r="J23" s="285">
        <v>132653</v>
      </c>
      <c r="K23" s="208"/>
      <c r="L23" s="406" t="s">
        <v>38</v>
      </c>
      <c r="M23" s="505" t="s">
        <v>38</v>
      </c>
      <c r="N23" s="506">
        <v>132653</v>
      </c>
      <c r="O23" s="522"/>
      <c r="P23" s="293" t="s">
        <v>38</v>
      </c>
      <c r="Q23" s="230" t="s">
        <v>38</v>
      </c>
      <c r="R23" s="506">
        <v>0</v>
      </c>
      <c r="S23" s="208"/>
      <c r="T23" s="293" t="s">
        <v>38</v>
      </c>
      <c r="U23" s="230" t="s">
        <v>38</v>
      </c>
      <c r="V23" s="231">
        <v>258.93617021276594</v>
      </c>
      <c r="W23" s="231"/>
      <c r="X23" s="234">
        <v>504.00000000000006</v>
      </c>
      <c r="Y23" s="228"/>
      <c r="Z23" s="246">
        <v>0.23076923076923078</v>
      </c>
      <c r="AA23" s="228"/>
      <c r="AB23" s="293" t="s">
        <v>38</v>
      </c>
      <c r="AC23" s="230" t="s">
        <v>38</v>
      </c>
      <c r="AD23" s="285">
        <v>132250</v>
      </c>
      <c r="AE23" s="208"/>
      <c r="AF23" s="406" t="s">
        <v>38</v>
      </c>
      <c r="AG23" s="505" t="s">
        <v>38</v>
      </c>
      <c r="AH23" s="506">
        <v>132250</v>
      </c>
      <c r="AI23" s="522"/>
      <c r="AJ23" s="293" t="s">
        <v>38</v>
      </c>
      <c r="AK23" s="230" t="s">
        <v>38</v>
      </c>
      <c r="AL23" s="506">
        <v>0</v>
      </c>
      <c r="AM23" s="208"/>
      <c r="AN23" s="293" t="s">
        <v>38</v>
      </c>
      <c r="AO23" s="230" t="s">
        <v>38</v>
      </c>
      <c r="AP23" s="231">
        <v>262.40079365079362</v>
      </c>
      <c r="AQ23" s="231"/>
      <c r="AR23" s="1440">
        <f>'2024_ar_grozījumiem'!AR23-'2024_gada_plāns'!AR23</f>
        <v>14.5</v>
      </c>
      <c r="AS23" s="1441"/>
      <c r="AT23" s="1442">
        <f>'2024_ar_grozījumiem'!AT23-'2024_gada_plāns'!AT23</f>
        <v>6.5670289855072617E-3</v>
      </c>
      <c r="AU23" s="1441"/>
      <c r="AV23" s="1107" t="s">
        <v>38</v>
      </c>
      <c r="AW23" s="1449"/>
      <c r="AX23" s="1107">
        <f>'2024_ar_grozījumiem'!AX23-'2024_gada_plāns'!AX23</f>
        <v>-25520</v>
      </c>
      <c r="AY23" s="1175"/>
      <c r="AZ23" s="1092" t="s">
        <v>38</v>
      </c>
      <c r="BA23" s="1446"/>
      <c r="BB23" s="1173">
        <f>'2024_ar_grozījumiem'!BB23-'2024_gada_plāns'!BB23</f>
        <v>-25520</v>
      </c>
      <c r="BC23" s="1656"/>
      <c r="BD23" s="1107" t="s">
        <v>38</v>
      </c>
      <c r="BE23" s="1449"/>
      <c r="BF23" s="1173">
        <f>'2024_ar_grozījumiem'!BF23-'2024_gada_plāns'!BF23</f>
        <v>0</v>
      </c>
      <c r="BG23" s="1175"/>
      <c r="BH23" s="1107" t="s">
        <v>38</v>
      </c>
      <c r="BI23" s="1449"/>
      <c r="BJ23" s="1092">
        <f>'2024_ar_grozījumiem'!BJ23-'2024_gada_plāns'!BJ23</f>
        <v>-55.342235028304714</v>
      </c>
      <c r="BK23" s="1092"/>
      <c r="BL23" s="1283">
        <f>'2024_ar_grozījumiem'!BL23-'2024_gada_plāns'!BL23</f>
        <v>13</v>
      </c>
      <c r="BM23" s="1087"/>
      <c r="BN23" s="1087">
        <f>'2024_ar_grozījumiem'!BN23-'2024_gada_plāns'!BN23</f>
        <v>5.8850158442734224E-3</v>
      </c>
      <c r="BO23" s="1087"/>
      <c r="BP23" s="1285" t="s">
        <v>38</v>
      </c>
      <c r="BQ23" s="1108"/>
      <c r="BR23" s="1285">
        <f>'2024_ar_grozījumiem'!BR23-'2024_gada_plāns'!BR23</f>
        <v>-26056</v>
      </c>
      <c r="BS23" s="1091"/>
      <c r="BT23" s="1095" t="s">
        <v>38</v>
      </c>
      <c r="BU23" s="1093"/>
      <c r="BV23" s="1176">
        <f>'2024_ar_grozījumiem'!BV23-'2024_gada_plāns'!BV23</f>
        <v>-26056</v>
      </c>
      <c r="BW23" s="1097"/>
      <c r="BX23" s="1285" t="s">
        <v>38</v>
      </c>
      <c r="BY23" s="1108"/>
      <c r="BZ23" s="1176">
        <f>'2024_ar_grozījumiem'!BZ23-'2024_gada_plāns'!BZ23</f>
        <v>0</v>
      </c>
      <c r="CA23" s="1091"/>
      <c r="CB23" s="1285" t="s">
        <v>38</v>
      </c>
      <c r="CC23" s="1108"/>
      <c r="CD23" s="1095">
        <f>'2024_ar_grozījumiem'!CD23-'2024_gada_plāns'!CD23</f>
        <v>-56.018055277611012</v>
      </c>
      <c r="CE23" s="1095"/>
      <c r="CF23" s="1309">
        <f>'2024_ar_grozījumiem'!CF23-'2024_gada_plāns'!CF23</f>
        <v>27.5</v>
      </c>
      <c r="CG23" s="1095"/>
      <c r="CH23" s="1088">
        <f>'2024_ar_grozījumiem'!CH23-'2024_gada_plāns'!CH23</f>
        <v>3.1392694063926974E-3</v>
      </c>
      <c r="CI23" s="1108"/>
      <c r="CJ23" s="1095" t="s">
        <v>38</v>
      </c>
      <c r="CK23" s="1093"/>
      <c r="CL23" s="1176">
        <f>'2024_ar_grozījumiem'!CL23-'2024_gada_plāns'!CL23</f>
        <v>-51576</v>
      </c>
      <c r="CM23" s="1169"/>
      <c r="CN23" s="1091" t="s">
        <v>38</v>
      </c>
      <c r="CO23" s="1093"/>
      <c r="CP23" s="1176">
        <f>'2024_ar_grozījumiem'!CP23-'2024_gada_plāns'!CP23</f>
        <v>-51576</v>
      </c>
      <c r="CQ23" s="1091"/>
      <c r="CR23" s="1095" t="s">
        <v>38</v>
      </c>
      <c r="CS23" s="1093"/>
      <c r="CT23" s="1176">
        <f>'2024_ar_grozījumiem'!CT23-'2024_gada_plāns'!CT23</f>
        <v>0</v>
      </c>
      <c r="CU23" s="1091"/>
      <c r="CV23" s="1095" t="s">
        <v>38</v>
      </c>
      <c r="CW23" s="1093"/>
      <c r="CX23" s="1176">
        <f>'2024_ar_grozījumiem'!CX23-'2024_gada_plāns'!CX23</f>
        <v>-28.36167603007209</v>
      </c>
      <c r="CY23" s="1352"/>
      <c r="CZ23" s="1877">
        <f>CF23/'2024_gada_plāns'!CF23</f>
        <v>1.346059716103769E-2</v>
      </c>
      <c r="DA23" s="1881"/>
      <c r="DB23" s="1902">
        <f>CH23/'2024_gada_plāns'!CH23</f>
        <v>1.3460597161037703E-2</v>
      </c>
      <c r="DC23" s="1887"/>
      <c r="DD23" s="1881" t="s">
        <v>38</v>
      </c>
      <c r="DE23" s="1882"/>
      <c r="DF23" s="1883">
        <f>CL23/'2024_gada_plāns'!CL23</f>
        <v>-9.7139822128804065E-2</v>
      </c>
      <c r="DG23" s="1884"/>
      <c r="DH23" s="1885" t="s">
        <v>38</v>
      </c>
      <c r="DI23" s="1882"/>
      <c r="DJ23" s="1883">
        <f>CP23/'2024_gada_plāns'!CP23</f>
        <v>-9.7139822128804065E-2</v>
      </c>
      <c r="DK23" s="1885"/>
      <c r="DL23" s="1881" t="s">
        <v>38</v>
      </c>
      <c r="DM23" s="1882"/>
      <c r="DN23" s="1888" t="s">
        <v>38</v>
      </c>
      <c r="DO23" s="1885"/>
      <c r="DP23" s="1881" t="s">
        <v>38</v>
      </c>
      <c r="DQ23" s="1882"/>
      <c r="DR23" s="1883">
        <f>CX23/'2024_gada_plāns'!CX23</f>
        <v>-0.10913144487280681</v>
      </c>
      <c r="DS23" s="1889"/>
    </row>
    <row r="24" spans="1:123" ht="15.75" customHeight="1" x14ac:dyDescent="0.25">
      <c r="A24" s="2242"/>
      <c r="B24" s="19"/>
      <c r="C24" s="988" t="s">
        <v>43</v>
      </c>
      <c r="D24" s="234">
        <v>0</v>
      </c>
      <c r="E24" s="228"/>
      <c r="F24" s="246">
        <v>0</v>
      </c>
      <c r="G24" s="228"/>
      <c r="H24" s="293" t="s">
        <v>38</v>
      </c>
      <c r="I24" s="230" t="s">
        <v>38</v>
      </c>
      <c r="J24" s="285">
        <v>0</v>
      </c>
      <c r="K24" s="208"/>
      <c r="L24" s="406" t="s">
        <v>38</v>
      </c>
      <c r="M24" s="505" t="s">
        <v>38</v>
      </c>
      <c r="N24" s="506">
        <v>0</v>
      </c>
      <c r="O24" s="522"/>
      <c r="P24" s="293" t="s">
        <v>38</v>
      </c>
      <c r="Q24" s="230" t="s">
        <v>38</v>
      </c>
      <c r="R24" s="506">
        <v>0</v>
      </c>
      <c r="S24" s="208"/>
      <c r="T24" s="293" t="s">
        <v>38</v>
      </c>
      <c r="U24" s="230" t="s">
        <v>38</v>
      </c>
      <c r="V24" s="231">
        <v>0</v>
      </c>
      <c r="W24" s="231"/>
      <c r="X24" s="234">
        <v>0</v>
      </c>
      <c r="Y24" s="228"/>
      <c r="Z24" s="246">
        <v>0</v>
      </c>
      <c r="AA24" s="228"/>
      <c r="AB24" s="293" t="s">
        <v>38</v>
      </c>
      <c r="AC24" s="230" t="s">
        <v>38</v>
      </c>
      <c r="AD24" s="285">
        <v>0</v>
      </c>
      <c r="AE24" s="208"/>
      <c r="AF24" s="406" t="s">
        <v>38</v>
      </c>
      <c r="AG24" s="505" t="s">
        <v>38</v>
      </c>
      <c r="AH24" s="506"/>
      <c r="AI24" s="522"/>
      <c r="AJ24" s="293" t="s">
        <v>38</v>
      </c>
      <c r="AK24" s="230" t="s">
        <v>38</v>
      </c>
      <c r="AL24" s="506">
        <v>0</v>
      </c>
      <c r="AM24" s="208"/>
      <c r="AN24" s="293" t="s">
        <v>38</v>
      </c>
      <c r="AO24" s="230" t="s">
        <v>38</v>
      </c>
      <c r="AP24" s="231">
        <v>0</v>
      </c>
      <c r="AQ24" s="231"/>
      <c r="AR24" s="1440">
        <f>'2024_ar_grozījumiem'!AR24-'2024_gada_plāns'!AR24</f>
        <v>0</v>
      </c>
      <c r="AS24" s="1441"/>
      <c r="AT24" s="1442">
        <f>'2024_ar_grozījumiem'!AT24-'2024_gada_plāns'!AT24</f>
        <v>0</v>
      </c>
      <c r="AU24" s="1441"/>
      <c r="AV24" s="1107" t="s">
        <v>38</v>
      </c>
      <c r="AW24" s="1449"/>
      <c r="AX24" s="1107">
        <f>'2024_ar_grozījumiem'!AX24-'2024_gada_plāns'!AX24</f>
        <v>0</v>
      </c>
      <c r="AY24" s="1175"/>
      <c r="AZ24" s="1092" t="s">
        <v>38</v>
      </c>
      <c r="BA24" s="1446"/>
      <c r="BB24" s="1173">
        <f>'2024_ar_grozījumiem'!BB24-'2024_gada_plāns'!BB24</f>
        <v>0</v>
      </c>
      <c r="BC24" s="1656"/>
      <c r="BD24" s="1107" t="s">
        <v>38</v>
      </c>
      <c r="BE24" s="1449"/>
      <c r="BF24" s="1173">
        <f>'2024_ar_grozījumiem'!BF24-'2024_gada_plāns'!BF24</f>
        <v>0</v>
      </c>
      <c r="BG24" s="1175"/>
      <c r="BH24" s="1107" t="s">
        <v>38</v>
      </c>
      <c r="BI24" s="1449"/>
      <c r="BJ24" s="1092">
        <v>0</v>
      </c>
      <c r="BK24" s="1092"/>
      <c r="BL24" s="1283">
        <f>'2024_ar_grozījumiem'!BL24-'2024_gada_plāns'!BL24</f>
        <v>0</v>
      </c>
      <c r="BM24" s="1087"/>
      <c r="BN24" s="1087">
        <f>'2024_ar_grozījumiem'!BN24-'2024_gada_plāns'!BN24</f>
        <v>0</v>
      </c>
      <c r="BO24" s="1087"/>
      <c r="BP24" s="1285" t="s">
        <v>38</v>
      </c>
      <c r="BQ24" s="1108"/>
      <c r="BR24" s="1285">
        <f>'2024_ar_grozījumiem'!BR24-'2024_gada_plāns'!BR24</f>
        <v>0</v>
      </c>
      <c r="BS24" s="1091"/>
      <c r="BT24" s="1095" t="s">
        <v>38</v>
      </c>
      <c r="BU24" s="1093"/>
      <c r="BV24" s="1176">
        <f>'2024_ar_grozījumiem'!BV24-'2024_gada_plāns'!BV24</f>
        <v>0</v>
      </c>
      <c r="BW24" s="1097"/>
      <c r="BX24" s="1285" t="s">
        <v>38</v>
      </c>
      <c r="BY24" s="1108"/>
      <c r="BZ24" s="1176">
        <f>'2024_ar_grozījumiem'!BZ24-'2024_gada_plāns'!BZ24</f>
        <v>0</v>
      </c>
      <c r="CA24" s="1091"/>
      <c r="CB24" s="1285" t="s">
        <v>38</v>
      </c>
      <c r="CC24" s="1108"/>
      <c r="CD24" s="1095" t="s">
        <v>38</v>
      </c>
      <c r="CE24" s="1095"/>
      <c r="CF24" s="1309">
        <f>'2024_ar_grozījumiem'!CF24-'2024_gada_plāns'!CF24</f>
        <v>0</v>
      </c>
      <c r="CG24" s="1095"/>
      <c r="CH24" s="1088">
        <f>'2024_ar_grozījumiem'!CH24-'2024_gada_plāns'!CH24</f>
        <v>0</v>
      </c>
      <c r="CI24" s="1108"/>
      <c r="CJ24" s="1095" t="s">
        <v>38</v>
      </c>
      <c r="CK24" s="1093"/>
      <c r="CL24" s="1176">
        <f>'2024_ar_grozījumiem'!CL24-'2024_gada_plāns'!CL24</f>
        <v>0</v>
      </c>
      <c r="CM24" s="1169"/>
      <c r="CN24" s="1091" t="s">
        <v>38</v>
      </c>
      <c r="CO24" s="1093"/>
      <c r="CP24" s="1176">
        <f>'2024_ar_grozījumiem'!CP24-'2024_gada_plāns'!CP24</f>
        <v>0</v>
      </c>
      <c r="CQ24" s="1091"/>
      <c r="CR24" s="1095" t="s">
        <v>38</v>
      </c>
      <c r="CS24" s="1093"/>
      <c r="CT24" s="1176">
        <f>'2024_ar_grozījumiem'!CT24-'2024_gada_plāns'!CT24</f>
        <v>0</v>
      </c>
      <c r="CU24" s="1091"/>
      <c r="CV24" s="1095" t="s">
        <v>38</v>
      </c>
      <c r="CW24" s="1093"/>
      <c r="CX24" s="1176" t="s">
        <v>38</v>
      </c>
      <c r="CY24" s="1352"/>
      <c r="CZ24" s="1877">
        <f>CF24/'2024_gada_plāns'!CF24</f>
        <v>0</v>
      </c>
      <c r="DA24" s="1881"/>
      <c r="DB24" s="1902">
        <f>CH24/'2024_gada_plāns'!CH24</f>
        <v>0</v>
      </c>
      <c r="DC24" s="1887"/>
      <c r="DD24" s="1881" t="s">
        <v>38</v>
      </c>
      <c r="DE24" s="1882"/>
      <c r="DF24" s="1883" t="s">
        <v>38</v>
      </c>
      <c r="DG24" s="1884"/>
      <c r="DH24" s="1885" t="s">
        <v>38</v>
      </c>
      <c r="DI24" s="1882"/>
      <c r="DJ24" s="1883" t="s">
        <v>38</v>
      </c>
      <c r="DK24" s="1885"/>
      <c r="DL24" s="1881" t="s">
        <v>38</v>
      </c>
      <c r="DM24" s="1882"/>
      <c r="DN24" s="1888" t="s">
        <v>38</v>
      </c>
      <c r="DO24" s="1885"/>
      <c r="DP24" s="1881" t="s">
        <v>38</v>
      </c>
      <c r="DQ24" s="1882"/>
      <c r="DR24" s="1888" t="s">
        <v>38</v>
      </c>
      <c r="DS24" s="1889"/>
    </row>
    <row r="25" spans="1:123" ht="15.75" customHeight="1" x14ac:dyDescent="0.25">
      <c r="A25" s="2242"/>
      <c r="B25" s="19"/>
      <c r="C25" s="994" t="s">
        <v>45</v>
      </c>
      <c r="D25" s="234">
        <v>11.9</v>
      </c>
      <c r="E25" s="228"/>
      <c r="F25" s="246">
        <v>1</v>
      </c>
      <c r="G25" s="228"/>
      <c r="H25" s="293" t="s">
        <v>38</v>
      </c>
      <c r="I25" s="230" t="s">
        <v>38</v>
      </c>
      <c r="J25" s="285">
        <v>5896</v>
      </c>
      <c r="K25" s="208"/>
      <c r="L25" s="406" t="s">
        <v>38</v>
      </c>
      <c r="M25" s="505" t="s">
        <v>38</v>
      </c>
      <c r="N25" s="506">
        <v>5896</v>
      </c>
      <c r="O25" s="208"/>
      <c r="P25" s="293" t="s">
        <v>38</v>
      </c>
      <c r="Q25" s="230" t="s">
        <v>38</v>
      </c>
      <c r="R25" s="506">
        <v>0</v>
      </c>
      <c r="S25" s="208"/>
      <c r="T25" s="293" t="s">
        <v>38</v>
      </c>
      <c r="U25" s="230" t="s">
        <v>38</v>
      </c>
      <c r="V25" s="231">
        <v>495.46218487394958</v>
      </c>
      <c r="W25" s="231"/>
      <c r="X25" s="234">
        <v>11.9</v>
      </c>
      <c r="Y25" s="228"/>
      <c r="Z25" s="246">
        <v>1</v>
      </c>
      <c r="AA25" s="228"/>
      <c r="AB25" s="293" t="s">
        <v>38</v>
      </c>
      <c r="AC25" s="230" t="s">
        <v>38</v>
      </c>
      <c r="AD25" s="285">
        <v>5881</v>
      </c>
      <c r="AE25" s="208"/>
      <c r="AF25" s="406" t="s">
        <v>38</v>
      </c>
      <c r="AG25" s="505" t="s">
        <v>38</v>
      </c>
      <c r="AH25" s="506">
        <v>5881</v>
      </c>
      <c r="AI25" s="208"/>
      <c r="AJ25" s="293" t="s">
        <v>38</v>
      </c>
      <c r="AK25" s="230" t="s">
        <v>38</v>
      </c>
      <c r="AL25" s="506">
        <v>0</v>
      </c>
      <c r="AM25" s="208"/>
      <c r="AN25" s="293" t="s">
        <v>38</v>
      </c>
      <c r="AO25" s="230" t="s">
        <v>38</v>
      </c>
      <c r="AP25" s="231">
        <v>494.20168067226888</v>
      </c>
      <c r="AQ25" s="231"/>
      <c r="AR25" s="1440">
        <f>'2024_ar_grozījumiem'!AR25-'2024_gada_plāns'!AR25</f>
        <v>0</v>
      </c>
      <c r="AS25" s="1441"/>
      <c r="AT25" s="1442">
        <f>'2024_ar_grozījumiem'!AT25-'2024_gada_plāns'!AT25</f>
        <v>0</v>
      </c>
      <c r="AU25" s="1441"/>
      <c r="AV25" s="1107" t="s">
        <v>38</v>
      </c>
      <c r="AW25" s="1449"/>
      <c r="AX25" s="1107">
        <f>'2024_ar_grozījumiem'!AX25-'2024_gada_plāns'!AX25</f>
        <v>-361</v>
      </c>
      <c r="AY25" s="1175"/>
      <c r="AZ25" s="1092" t="s">
        <v>38</v>
      </c>
      <c r="BA25" s="1446"/>
      <c r="BB25" s="1173">
        <f>'2024_ar_grozījumiem'!BB25-'2024_gada_plāns'!BB25</f>
        <v>-361</v>
      </c>
      <c r="BC25" s="1656"/>
      <c r="BD25" s="1107" t="s">
        <v>38</v>
      </c>
      <c r="BE25" s="1449"/>
      <c r="BF25" s="1173">
        <f>'2024_ar_grozījumiem'!BF25-'2024_gada_plāns'!BF25</f>
        <v>0</v>
      </c>
      <c r="BG25" s="1175"/>
      <c r="BH25" s="1107" t="s">
        <v>38</v>
      </c>
      <c r="BI25" s="1449"/>
      <c r="BJ25" s="1092">
        <f>'2024_ar_grozījumiem'!BJ25-'2024_gada_plāns'!BJ25</f>
        <v>-30.336134453781483</v>
      </c>
      <c r="BK25" s="1092"/>
      <c r="BL25" s="1283">
        <f>'2024_ar_grozījumiem'!BL25-'2024_gada_plāns'!BL25</f>
        <v>0</v>
      </c>
      <c r="BM25" s="1087"/>
      <c r="BN25" s="1087">
        <f>'2024_ar_grozījumiem'!BN25-'2024_gada_plāns'!BN25</f>
        <v>0</v>
      </c>
      <c r="BO25" s="1087"/>
      <c r="BP25" s="1285" t="s">
        <v>38</v>
      </c>
      <c r="BQ25" s="1108"/>
      <c r="BR25" s="1285">
        <f>'2024_ar_grozījumiem'!BR25-'2024_gada_plāns'!BR25</f>
        <v>-395</v>
      </c>
      <c r="BS25" s="1091"/>
      <c r="BT25" s="1095" t="s">
        <v>38</v>
      </c>
      <c r="BU25" s="1093"/>
      <c r="BV25" s="1176">
        <f>'2024_ar_grozījumiem'!BV25-'2024_gada_plāns'!BV25</f>
        <v>-395</v>
      </c>
      <c r="BW25" s="1097"/>
      <c r="BX25" s="1285" t="s">
        <v>38</v>
      </c>
      <c r="BY25" s="1108"/>
      <c r="BZ25" s="1176">
        <f>'2024_ar_grozījumiem'!BZ25-'2024_gada_plāns'!BZ25</f>
        <v>0</v>
      </c>
      <c r="CA25" s="1091"/>
      <c r="CB25" s="1285" t="s">
        <v>38</v>
      </c>
      <c r="CC25" s="1108"/>
      <c r="CD25" s="1095">
        <f>'2024_ar_grozījumiem'!CD25-'2024_gada_plāns'!CD25</f>
        <v>-33.193277310924373</v>
      </c>
      <c r="CE25" s="1095"/>
      <c r="CF25" s="1309">
        <f>'2024_ar_grozījumiem'!CF25-'2024_gada_plāns'!CF25</f>
        <v>0</v>
      </c>
      <c r="CG25" s="1095"/>
      <c r="CH25" s="1088">
        <f>'2024_ar_grozījumiem'!CH25-'2024_gada_plāns'!CH25</f>
        <v>-1.4846420640269795E-5</v>
      </c>
      <c r="CI25" s="1108"/>
      <c r="CJ25" s="1095" t="s">
        <v>38</v>
      </c>
      <c r="CK25" s="1093"/>
      <c r="CL25" s="1176">
        <f>'2024_ar_grozījumiem'!CL25-'2024_gada_plāns'!CL25</f>
        <v>-756</v>
      </c>
      <c r="CM25" s="1169"/>
      <c r="CN25" s="1091" t="s">
        <v>38</v>
      </c>
      <c r="CO25" s="1093"/>
      <c r="CP25" s="1176">
        <f>'2024_ar_grozījumiem'!CP25-'2024_gada_plāns'!CP25</f>
        <v>-756</v>
      </c>
      <c r="CQ25" s="1091"/>
      <c r="CR25" s="1095" t="s">
        <v>38</v>
      </c>
      <c r="CS25" s="1093"/>
      <c r="CT25" s="1176">
        <f>'2024_ar_grozījumiem'!CT25-'2024_gada_plāns'!CT25</f>
        <v>0</v>
      </c>
      <c r="CU25" s="1091"/>
      <c r="CV25" s="1095" t="s">
        <v>38</v>
      </c>
      <c r="CW25" s="1093"/>
      <c r="CX25" s="1176">
        <f>'2024_ar_grozījumiem'!CX25-'2024_gada_plāns'!CX25</f>
        <v>-15.882352941176464</v>
      </c>
      <c r="CY25" s="1352"/>
      <c r="CZ25" s="1877">
        <f>CF25/'2024_gada_plāns'!CF25</f>
        <v>0</v>
      </c>
      <c r="DA25" s="1881"/>
      <c r="DB25" s="1902">
        <f>CH25/'2024_gada_plāns'!CH25</f>
        <v>-2.732240437158895E-3</v>
      </c>
      <c r="DC25" s="1887"/>
      <c r="DD25" s="1881" t="s">
        <v>38</v>
      </c>
      <c r="DE25" s="1882"/>
      <c r="DF25" s="1883">
        <f>CL25/'2024_gada_plāns'!CL25</f>
        <v>-3.2196243771559982E-2</v>
      </c>
      <c r="DG25" s="1884"/>
      <c r="DH25" s="1885" t="s">
        <v>38</v>
      </c>
      <c r="DI25" s="1882"/>
      <c r="DJ25" s="1883">
        <f>CP25/'2024_gada_plāns'!CP25</f>
        <v>-3.2196243771559982E-2</v>
      </c>
      <c r="DK25" s="1885"/>
      <c r="DL25" s="1881" t="s">
        <v>38</v>
      </c>
      <c r="DM25" s="1882"/>
      <c r="DN25" s="1888" t="s">
        <v>38</v>
      </c>
      <c r="DO25" s="1885"/>
      <c r="DP25" s="1881" t="s">
        <v>38</v>
      </c>
      <c r="DQ25" s="1882"/>
      <c r="DR25" s="1883">
        <f>CX25/'2024_gada_plāns'!CX25</f>
        <v>-3.2196243771559975E-2</v>
      </c>
      <c r="DS25" s="1889"/>
    </row>
    <row r="26" spans="1:123" s="993" customFormat="1" ht="26.25" customHeight="1" x14ac:dyDescent="0.25">
      <c r="A26" s="2242"/>
      <c r="B26" s="991" t="s">
        <v>46</v>
      </c>
      <c r="C26" s="992"/>
      <c r="D26" s="287">
        <v>11.7</v>
      </c>
      <c r="E26" s="288"/>
      <c r="F26" s="289">
        <v>1.063936200201875E-3</v>
      </c>
      <c r="G26" s="288"/>
      <c r="H26" s="290" t="s">
        <v>38</v>
      </c>
      <c r="I26" s="291" t="s">
        <v>38</v>
      </c>
      <c r="J26" s="292">
        <v>46582</v>
      </c>
      <c r="K26" s="525"/>
      <c r="L26" s="407" t="s">
        <v>38</v>
      </c>
      <c r="M26" s="526" t="s">
        <v>38</v>
      </c>
      <c r="N26" s="527">
        <v>46582</v>
      </c>
      <c r="O26" s="528"/>
      <c r="P26" s="290" t="s">
        <v>38</v>
      </c>
      <c r="Q26" s="291" t="s">
        <v>38</v>
      </c>
      <c r="R26" s="527">
        <v>0</v>
      </c>
      <c r="S26" s="528"/>
      <c r="T26" s="290" t="s">
        <v>38</v>
      </c>
      <c r="U26" s="291" t="s">
        <v>38</v>
      </c>
      <c r="V26" s="529">
        <v>3981.3675213675215</v>
      </c>
      <c r="W26" s="529"/>
      <c r="X26" s="287">
        <v>11.2</v>
      </c>
      <c r="Y26" s="288"/>
      <c r="Z26" s="289">
        <v>1.0180059807851371E-3</v>
      </c>
      <c r="AA26" s="288"/>
      <c r="AB26" s="290" t="s">
        <v>38</v>
      </c>
      <c r="AC26" s="291" t="s">
        <v>38</v>
      </c>
      <c r="AD26" s="292">
        <v>45560</v>
      </c>
      <c r="AE26" s="525"/>
      <c r="AF26" s="407" t="s">
        <v>38</v>
      </c>
      <c r="AG26" s="526" t="s">
        <v>38</v>
      </c>
      <c r="AH26" s="527">
        <v>45560</v>
      </c>
      <c r="AI26" s="528"/>
      <c r="AJ26" s="290" t="s">
        <v>38</v>
      </c>
      <c r="AK26" s="291" t="s">
        <v>38</v>
      </c>
      <c r="AL26" s="527">
        <v>0</v>
      </c>
      <c r="AM26" s="528"/>
      <c r="AN26" s="290" t="s">
        <v>38</v>
      </c>
      <c r="AO26" s="291" t="s">
        <v>38</v>
      </c>
      <c r="AP26" s="529">
        <v>4067.8571428571431</v>
      </c>
      <c r="AQ26" s="529"/>
      <c r="AR26" s="1451">
        <f>'2024_ar_grozījumiem'!AR26-'2024_gada_plāns'!AR26</f>
        <v>0</v>
      </c>
      <c r="AS26" s="1452"/>
      <c r="AT26" s="1453">
        <f>'2024_ar_grozījumiem'!AT26-'2024_gada_plāns'!AT26</f>
        <v>0</v>
      </c>
      <c r="AU26" s="1452"/>
      <c r="AV26" s="1100" t="s">
        <v>38</v>
      </c>
      <c r="AW26" s="1454"/>
      <c r="AX26" s="1100">
        <f>'2024_ar_grozījumiem'!AX26-'2024_gada_plāns'!AX26</f>
        <v>-2356</v>
      </c>
      <c r="AY26" s="1460"/>
      <c r="AZ26" s="1103" t="s">
        <v>38</v>
      </c>
      <c r="BA26" s="1457"/>
      <c r="BB26" s="1458">
        <f>'2024_ar_grozījumiem'!BB26-'2024_gada_plāns'!BB26</f>
        <v>-2356</v>
      </c>
      <c r="BC26" s="1461"/>
      <c r="BD26" s="1100" t="s">
        <v>38</v>
      </c>
      <c r="BE26" s="1454"/>
      <c r="BF26" s="1458">
        <f>'2024_ar_grozījumiem'!BF26-'2024_gada_plāns'!BF26</f>
        <v>0</v>
      </c>
      <c r="BG26" s="1461"/>
      <c r="BH26" s="1100" t="s">
        <v>38</v>
      </c>
      <c r="BI26" s="1454"/>
      <c r="BJ26" s="1112">
        <f>'2024_ar_grozījumiem'!BJ26-'2024_gada_plāns'!BJ26</f>
        <v>-636.75675675675666</v>
      </c>
      <c r="BK26" s="1112"/>
      <c r="BL26" s="1286">
        <f>'2024_ar_grozījumiem'!BL26-'2024_gada_plāns'!BL26</f>
        <v>0</v>
      </c>
      <c r="BM26" s="1098"/>
      <c r="BN26" s="1098">
        <f>'2024_ar_grozījumiem'!BN26-'2024_gada_plāns'!BN26</f>
        <v>0</v>
      </c>
      <c r="BO26" s="1098"/>
      <c r="BP26" s="1287" t="s">
        <v>38</v>
      </c>
      <c r="BQ26" s="1101"/>
      <c r="BR26" s="1287">
        <f>'2024_ar_grozījumiem'!BR26-'2024_gada_plāns'!BR26</f>
        <v>-3035</v>
      </c>
      <c r="BS26" s="1102"/>
      <c r="BT26" s="1288" t="s">
        <v>38</v>
      </c>
      <c r="BU26" s="1104"/>
      <c r="BV26" s="1289">
        <f>'2024_ar_grozījumiem'!BV26-'2024_gada_plāns'!BV26</f>
        <v>-3035</v>
      </c>
      <c r="BW26" s="1105"/>
      <c r="BX26" s="1287" t="s">
        <v>38</v>
      </c>
      <c r="BY26" s="1101"/>
      <c r="BZ26" s="1289">
        <f>'2024_ar_grozījumiem'!BZ26-'2024_gada_plāns'!BZ26</f>
        <v>0</v>
      </c>
      <c r="CA26" s="1105"/>
      <c r="CB26" s="1287" t="s">
        <v>38</v>
      </c>
      <c r="CC26" s="1101"/>
      <c r="CD26" s="1106">
        <f>'2024_ar_grozījumiem'!CD26-'2024_gada_plāns'!CD26</f>
        <v>-270.98214285714312</v>
      </c>
      <c r="CE26" s="1106"/>
      <c r="CF26" s="1353">
        <f>'2024_ar_grozījumiem'!CF26-'2024_gada_plāns'!CF26</f>
        <v>0</v>
      </c>
      <c r="CG26" s="1106"/>
      <c r="CH26" s="1099">
        <f>'2024_ar_grozījumiem'!CH26-'2024_gada_plāns'!CH26</f>
        <v>0</v>
      </c>
      <c r="CI26" s="1354"/>
      <c r="CJ26" s="1288" t="s">
        <v>38</v>
      </c>
      <c r="CK26" s="1104"/>
      <c r="CL26" s="1289">
        <f>'2024_ar_grozījumiem'!CL26-'2024_gada_plāns'!CL26</f>
        <v>-5391</v>
      </c>
      <c r="CM26" s="1355"/>
      <c r="CN26" s="1102" t="s">
        <v>38</v>
      </c>
      <c r="CO26" s="1104"/>
      <c r="CP26" s="1289">
        <f>'2024_ar_grozījumiem'!CP26-'2024_gada_plāns'!CP26</f>
        <v>-5391</v>
      </c>
      <c r="CQ26" s="1105"/>
      <c r="CR26" s="1288" t="s">
        <v>38</v>
      </c>
      <c r="CS26" s="1104"/>
      <c r="CT26" s="1289">
        <f>'2024_ar_grozījumiem'!CT26-'2024_gada_plāns'!CT26</f>
        <v>0</v>
      </c>
      <c r="CU26" s="1105"/>
      <c r="CV26" s="1288" t="s">
        <v>38</v>
      </c>
      <c r="CW26" s="1104"/>
      <c r="CX26" s="1289">
        <f>'2024_ar_grozījumiem'!CX26-'2024_gada_plāns'!CX26</f>
        <v>-142.61904761904771</v>
      </c>
      <c r="CY26" s="1356"/>
      <c r="CZ26" s="1890">
        <f>CF26/'2024_gada_plāns'!CF26</f>
        <v>0</v>
      </c>
      <c r="DA26" s="1891"/>
      <c r="DB26" s="1892">
        <f>CH26/'2024_gada_plāns'!CH26</f>
        <v>0</v>
      </c>
      <c r="DC26" s="1893"/>
      <c r="DD26" s="1894" t="s">
        <v>38</v>
      </c>
      <c r="DE26" s="1895"/>
      <c r="DF26" s="1896">
        <f>CL26/'2024_gada_plāns'!CL26</f>
        <v>-2.9540373487638084E-2</v>
      </c>
      <c r="DG26" s="1897"/>
      <c r="DH26" s="1898" t="s">
        <v>38</v>
      </c>
      <c r="DI26" s="1895"/>
      <c r="DJ26" s="1896">
        <f>CP26/'2024_gada_plāns'!CP26</f>
        <v>-2.9540373487638084E-2</v>
      </c>
      <c r="DK26" s="1899"/>
      <c r="DL26" s="1894" t="s">
        <v>38</v>
      </c>
      <c r="DM26" s="1895"/>
      <c r="DN26" s="1900" t="s">
        <v>38</v>
      </c>
      <c r="DO26" s="1899"/>
      <c r="DP26" s="1894" t="s">
        <v>38</v>
      </c>
      <c r="DQ26" s="1895"/>
      <c r="DR26" s="1896">
        <f>CX26/'2024_gada_plāns'!CX26</f>
        <v>-2.9540373487638102E-2</v>
      </c>
      <c r="DS26" s="1901"/>
    </row>
    <row r="27" spans="1:123" s="990" customFormat="1" ht="15.75" customHeight="1" x14ac:dyDescent="0.25">
      <c r="A27" s="2242"/>
      <c r="B27" s="987"/>
      <c r="C27" s="988" t="s">
        <v>39</v>
      </c>
      <c r="D27" s="234">
        <v>11.7</v>
      </c>
      <c r="E27" s="228"/>
      <c r="F27" s="246">
        <v>5.3595968850206135E-3</v>
      </c>
      <c r="G27" s="228"/>
      <c r="H27" s="294" t="s">
        <v>38</v>
      </c>
      <c r="I27" s="230" t="s">
        <v>38</v>
      </c>
      <c r="J27" s="285">
        <v>46582</v>
      </c>
      <c r="K27" s="208"/>
      <c r="L27" s="406" t="s">
        <v>38</v>
      </c>
      <c r="M27" s="505" t="s">
        <v>38</v>
      </c>
      <c r="N27" s="506">
        <v>46582</v>
      </c>
      <c r="O27" s="507"/>
      <c r="P27" s="294" t="s">
        <v>38</v>
      </c>
      <c r="Q27" s="230" t="s">
        <v>38</v>
      </c>
      <c r="R27" s="506">
        <v>0</v>
      </c>
      <c r="S27" s="208"/>
      <c r="T27" s="294" t="s">
        <v>38</v>
      </c>
      <c r="U27" s="230" t="s">
        <v>38</v>
      </c>
      <c r="V27" s="231">
        <v>3981.3675213675215</v>
      </c>
      <c r="W27" s="231"/>
      <c r="X27" s="234">
        <v>11.2</v>
      </c>
      <c r="Y27" s="228"/>
      <c r="Z27" s="246">
        <v>5.1282051282051282E-3</v>
      </c>
      <c r="AA27" s="228"/>
      <c r="AB27" s="294" t="s">
        <v>38</v>
      </c>
      <c r="AC27" s="230" t="s">
        <v>38</v>
      </c>
      <c r="AD27" s="285">
        <v>45560</v>
      </c>
      <c r="AE27" s="208"/>
      <c r="AF27" s="406" t="s">
        <v>38</v>
      </c>
      <c r="AG27" s="505" t="s">
        <v>38</v>
      </c>
      <c r="AH27" s="506">
        <v>45560</v>
      </c>
      <c r="AI27" s="507"/>
      <c r="AJ27" s="294" t="s">
        <v>38</v>
      </c>
      <c r="AK27" s="230" t="s">
        <v>38</v>
      </c>
      <c r="AL27" s="506">
        <v>0</v>
      </c>
      <c r="AM27" s="208"/>
      <c r="AN27" s="294" t="s">
        <v>38</v>
      </c>
      <c r="AO27" s="230" t="s">
        <v>38</v>
      </c>
      <c r="AP27" s="231">
        <v>4067.8571428571431</v>
      </c>
      <c r="AQ27" s="231"/>
      <c r="AR27" s="1440">
        <f>'2024_ar_grozījumiem'!AR27-'2024_gada_plāns'!AR27</f>
        <v>0</v>
      </c>
      <c r="AS27" s="1441"/>
      <c r="AT27" s="1442">
        <f>'2024_ar_grozījumiem'!AT27-'2024_gada_plāns'!AT27</f>
        <v>0</v>
      </c>
      <c r="AU27" s="1441"/>
      <c r="AV27" s="1109" t="s">
        <v>38</v>
      </c>
      <c r="AW27" s="1449"/>
      <c r="AX27" s="1107">
        <f>'2024_ar_grozījumiem'!AX27-'2024_gada_plāns'!AX27</f>
        <v>-2356</v>
      </c>
      <c r="AY27" s="1175"/>
      <c r="AZ27" s="1092" t="s">
        <v>38</v>
      </c>
      <c r="BA27" s="1446"/>
      <c r="BB27" s="1173">
        <f>'2024_ar_grozījumiem'!BB27-'2024_gada_plāns'!BB27</f>
        <v>-2356</v>
      </c>
      <c r="BC27" s="1469"/>
      <c r="BD27" s="1109" t="s">
        <v>38</v>
      </c>
      <c r="BE27" s="1449"/>
      <c r="BF27" s="1173">
        <f>'2024_ar_grozījumiem'!BF27-'2024_gada_plāns'!BF27</f>
        <v>0</v>
      </c>
      <c r="BG27" s="1175"/>
      <c r="BH27" s="1109" t="s">
        <v>38</v>
      </c>
      <c r="BI27" s="1449"/>
      <c r="BJ27" s="1092">
        <f>'2024_ar_grozījumiem'!BJ27-'2024_gada_plāns'!BJ27</f>
        <v>-636.75675675675666</v>
      </c>
      <c r="BK27" s="1092"/>
      <c r="BL27" s="1283">
        <f>'2024_ar_grozījumiem'!BL27-'2024_gada_plāns'!BL27</f>
        <v>0</v>
      </c>
      <c r="BM27" s="1087"/>
      <c r="BN27" s="1087">
        <f>'2024_ar_grozījumiem'!BN27-'2024_gada_plāns'!BN27</f>
        <v>0</v>
      </c>
      <c r="BO27" s="1087"/>
      <c r="BP27" s="1174" t="s">
        <v>38</v>
      </c>
      <c r="BQ27" s="1108"/>
      <c r="BR27" s="1285">
        <f>'2024_ar_grozījumiem'!BR27-'2024_gada_plāns'!BR27</f>
        <v>-3035</v>
      </c>
      <c r="BS27" s="1091"/>
      <c r="BT27" s="1095" t="s">
        <v>38</v>
      </c>
      <c r="BU27" s="1093"/>
      <c r="BV27" s="1176">
        <f>'2024_ar_grozījumiem'!BV27-'2024_gada_plāns'!BV27</f>
        <v>-3035</v>
      </c>
      <c r="BW27" s="1094"/>
      <c r="BX27" s="1174" t="s">
        <v>38</v>
      </c>
      <c r="BY27" s="1108"/>
      <c r="BZ27" s="1176">
        <f>'2024_ar_grozījumiem'!BZ27-'2024_gada_plāns'!BZ27</f>
        <v>0</v>
      </c>
      <c r="CA27" s="1091"/>
      <c r="CB27" s="1174" t="s">
        <v>38</v>
      </c>
      <c r="CC27" s="1108"/>
      <c r="CD27" s="1095">
        <f>'2024_ar_grozījumiem'!CD27-'2024_gada_plāns'!CD27</f>
        <v>-270.98214285714312</v>
      </c>
      <c r="CE27" s="1095"/>
      <c r="CF27" s="1309">
        <f>'2024_ar_grozījumiem'!CF27-'2024_gada_plāns'!CF27</f>
        <v>0</v>
      </c>
      <c r="CG27" s="1095"/>
      <c r="CH27" s="1088">
        <f>'2024_ar_grozījumiem'!CH27-'2024_gada_plāns'!CH27</f>
        <v>0</v>
      </c>
      <c r="CI27" s="1108"/>
      <c r="CJ27" s="1095" t="s">
        <v>38</v>
      </c>
      <c r="CK27" s="1093"/>
      <c r="CL27" s="1176">
        <f>'2024_ar_grozījumiem'!CL27-'2024_gada_plāns'!CL27</f>
        <v>-5391</v>
      </c>
      <c r="CM27" s="1169"/>
      <c r="CN27" s="1091" t="s">
        <v>38</v>
      </c>
      <c r="CO27" s="1093"/>
      <c r="CP27" s="1176">
        <f>'2024_ar_grozījumiem'!CP27-'2024_gada_plāns'!CP27</f>
        <v>-5391</v>
      </c>
      <c r="CQ27" s="1091"/>
      <c r="CR27" s="1095" t="s">
        <v>38</v>
      </c>
      <c r="CS27" s="1093"/>
      <c r="CT27" s="1176">
        <f>'2024_ar_grozījumiem'!CT27-'2024_gada_plāns'!CT27</f>
        <v>0</v>
      </c>
      <c r="CU27" s="1091"/>
      <c r="CV27" s="1095" t="s">
        <v>38</v>
      </c>
      <c r="CW27" s="1093"/>
      <c r="CX27" s="1176">
        <f>'2024_ar_grozījumiem'!CX27-'2024_gada_plāns'!CX27</f>
        <v>-142.61904761904771</v>
      </c>
      <c r="CY27" s="1352"/>
      <c r="CZ27" s="1877">
        <f>CF27/'2024_gada_plāns'!CF27</f>
        <v>0</v>
      </c>
      <c r="DA27" s="1881"/>
      <c r="DB27" s="1902">
        <f>CH27/'2024_gada_plāns'!CH27</f>
        <v>0</v>
      </c>
      <c r="DC27" s="1887"/>
      <c r="DD27" s="1881" t="s">
        <v>38</v>
      </c>
      <c r="DE27" s="1882"/>
      <c r="DF27" s="1883">
        <f>CL27/'2024_gada_plāns'!CL27</f>
        <v>-2.9540373487638084E-2</v>
      </c>
      <c r="DG27" s="1884"/>
      <c r="DH27" s="1885" t="s">
        <v>38</v>
      </c>
      <c r="DI27" s="1882"/>
      <c r="DJ27" s="1883">
        <f>CP27/'2024_gada_plāns'!CP27</f>
        <v>-2.9540373487638084E-2</v>
      </c>
      <c r="DK27" s="1885"/>
      <c r="DL27" s="1881" t="s">
        <v>38</v>
      </c>
      <c r="DM27" s="1882"/>
      <c r="DN27" s="1888" t="s">
        <v>38</v>
      </c>
      <c r="DO27" s="1885"/>
      <c r="DP27" s="1881" t="s">
        <v>38</v>
      </c>
      <c r="DQ27" s="1882"/>
      <c r="DR27" s="1883">
        <f>CX27/'2024_gada_plāns'!CX27</f>
        <v>-2.9540373487638102E-2</v>
      </c>
      <c r="DS27" s="1889"/>
    </row>
    <row r="28" spans="1:123" s="993" customFormat="1" ht="15.75" customHeight="1" x14ac:dyDescent="0.25">
      <c r="A28" s="2242"/>
      <c r="B28" s="995" t="s">
        <v>47</v>
      </c>
      <c r="C28" s="996"/>
      <c r="D28" s="287">
        <v>65.5</v>
      </c>
      <c r="E28" s="288"/>
      <c r="F28" s="289">
        <v>5.9562240267711812E-3</v>
      </c>
      <c r="G28" s="288"/>
      <c r="H28" s="290" t="s">
        <v>38</v>
      </c>
      <c r="I28" s="291" t="s">
        <v>38</v>
      </c>
      <c r="J28" s="292">
        <v>28797.547836053542</v>
      </c>
      <c r="K28" s="525"/>
      <c r="L28" s="407" t="s">
        <v>38</v>
      </c>
      <c r="M28" s="526" t="s">
        <v>38</v>
      </c>
      <c r="N28" s="527">
        <v>28797.547836053542</v>
      </c>
      <c r="O28" s="528"/>
      <c r="P28" s="290" t="s">
        <v>38</v>
      </c>
      <c r="Q28" s="291" t="s">
        <v>38</v>
      </c>
      <c r="R28" s="527">
        <v>0</v>
      </c>
      <c r="S28" s="528"/>
      <c r="T28" s="290" t="s">
        <v>38</v>
      </c>
      <c r="U28" s="291" t="s">
        <v>38</v>
      </c>
      <c r="V28" s="529">
        <v>439.65721887104644</v>
      </c>
      <c r="W28" s="529"/>
      <c r="X28" s="287">
        <v>64.8</v>
      </c>
      <c r="Y28" s="288"/>
      <c r="Z28" s="289">
        <v>5.8898917459711507E-3</v>
      </c>
      <c r="AA28" s="288"/>
      <c r="AB28" s="290" t="s">
        <v>38</v>
      </c>
      <c r="AC28" s="291" t="s">
        <v>38</v>
      </c>
      <c r="AD28" s="292">
        <v>28921.693971208508</v>
      </c>
      <c r="AE28" s="525"/>
      <c r="AF28" s="407" t="s">
        <v>38</v>
      </c>
      <c r="AG28" s="526" t="s">
        <v>38</v>
      </c>
      <c r="AH28" s="527">
        <v>28921.693971208508</v>
      </c>
      <c r="AI28" s="528"/>
      <c r="AJ28" s="290" t="s">
        <v>38</v>
      </c>
      <c r="AK28" s="291" t="s">
        <v>38</v>
      </c>
      <c r="AL28" s="527">
        <v>0</v>
      </c>
      <c r="AM28" s="528"/>
      <c r="AN28" s="290" t="s">
        <v>38</v>
      </c>
      <c r="AO28" s="291" t="s">
        <v>38</v>
      </c>
      <c r="AP28" s="529">
        <v>446.32243782729182</v>
      </c>
      <c r="AQ28" s="529"/>
      <c r="AR28" s="1451">
        <f>'2024_ar_grozījumiem'!AR28-'2024_gada_plāns'!AR28</f>
        <v>0</v>
      </c>
      <c r="AS28" s="1452"/>
      <c r="AT28" s="1453">
        <f>'2024_ar_grozījumiem'!AT28-'2024_gada_plāns'!AT28</f>
        <v>0</v>
      </c>
      <c r="AU28" s="1452"/>
      <c r="AV28" s="1100" t="s">
        <v>38</v>
      </c>
      <c r="AW28" s="1454"/>
      <c r="AX28" s="1100">
        <f>'2024_ar_grozījumiem'!AX28-'2024_gada_plāns'!AX28</f>
        <v>-660.81154868879457</v>
      </c>
      <c r="AY28" s="1460"/>
      <c r="AZ28" s="1103" t="s">
        <v>38</v>
      </c>
      <c r="BA28" s="1457"/>
      <c r="BB28" s="1458">
        <f>'2024_ar_grozījumiem'!BB28-'2024_gada_plāns'!BB28</f>
        <v>-660.81154868879457</v>
      </c>
      <c r="BC28" s="1461"/>
      <c r="BD28" s="1100" t="s">
        <v>38</v>
      </c>
      <c r="BE28" s="1454"/>
      <c r="BF28" s="1458">
        <f>'2024_ar_grozījumiem'!BF28-'2024_gada_plāns'!BF28</f>
        <v>0</v>
      </c>
      <c r="BG28" s="1461"/>
      <c r="BH28" s="1100" t="s">
        <v>38</v>
      </c>
      <c r="BI28" s="1454"/>
      <c r="BJ28" s="1112">
        <f>'2024_ar_grozījumiem'!BJ28-'2024_gada_plāns'!BJ28</f>
        <v>-10.958732150726291</v>
      </c>
      <c r="BK28" s="1112"/>
      <c r="BL28" s="1286">
        <f>'2024_ar_grozījumiem'!BL28-'2024_gada_plāns'!BL28</f>
        <v>1</v>
      </c>
      <c r="BM28" s="1098"/>
      <c r="BN28" s="1098">
        <f>'2024_ar_grozījumiem'!BN28-'2024_gada_plāns'!BN28</f>
        <v>9.0115257414233145E-5</v>
      </c>
      <c r="BO28" s="1098"/>
      <c r="BP28" s="1287" t="s">
        <v>38</v>
      </c>
      <c r="BQ28" s="1101"/>
      <c r="BR28" s="1287">
        <f>'2024_ar_grozījumiem'!BR28-'2024_gada_plāns'!BR28</f>
        <v>-325.72822299651671</v>
      </c>
      <c r="BS28" s="1102"/>
      <c r="BT28" s="1288" t="s">
        <v>38</v>
      </c>
      <c r="BU28" s="1104"/>
      <c r="BV28" s="1289">
        <f>'2024_ar_grozījumiem'!BV28-'2024_gada_plāns'!BV28</f>
        <v>-325.72822299651671</v>
      </c>
      <c r="BW28" s="1105"/>
      <c r="BX28" s="1287" t="s">
        <v>38</v>
      </c>
      <c r="BY28" s="1101"/>
      <c r="BZ28" s="1289">
        <f>'2024_ar_grozījumiem'!BZ28-'2024_gada_plāns'!BZ28</f>
        <v>0</v>
      </c>
      <c r="CA28" s="1105"/>
      <c r="CB28" s="1287" t="s">
        <v>38</v>
      </c>
      <c r="CC28" s="1101"/>
      <c r="CD28" s="1106">
        <f>'2024_ar_grozījumiem'!CD28-'2024_gada_plāns'!CD28</f>
        <v>-11.596001656704118</v>
      </c>
      <c r="CE28" s="1106"/>
      <c r="CF28" s="1353">
        <f>'2024_ar_grozījumiem'!CF28-'2024_gada_plāns'!CF28</f>
        <v>1</v>
      </c>
      <c r="CG28" s="1106"/>
      <c r="CH28" s="1099">
        <f>'2024_ar_grozījumiem'!CH28-'2024_gada_plāns'!CH28</f>
        <v>2.2623103618338997E-5</v>
      </c>
      <c r="CI28" s="1354"/>
      <c r="CJ28" s="1288" t="s">
        <v>38</v>
      </c>
      <c r="CK28" s="1104"/>
      <c r="CL28" s="1289">
        <f>'2024_ar_grozījumiem'!CL28-'2024_gada_plāns'!CL28</f>
        <v>-986.53977168531856</v>
      </c>
      <c r="CM28" s="1355"/>
      <c r="CN28" s="1102" t="s">
        <v>38</v>
      </c>
      <c r="CO28" s="1104"/>
      <c r="CP28" s="1289">
        <f>'2024_ar_grozījumiem'!CP28-'2024_gada_plāns'!CP28</f>
        <v>-986.53977168531856</v>
      </c>
      <c r="CQ28" s="1105"/>
      <c r="CR28" s="1288" t="s">
        <v>38</v>
      </c>
      <c r="CS28" s="1104"/>
      <c r="CT28" s="1289">
        <f>'2024_ar_grozījumiem'!CT28-'2024_gada_plāns'!CT28</f>
        <v>0</v>
      </c>
      <c r="CU28" s="1105"/>
      <c r="CV28" s="1288" t="s">
        <v>38</v>
      </c>
      <c r="CW28" s="1104"/>
      <c r="CX28" s="1289">
        <f>'2024_ar_grozījumiem'!CX28-'2024_gada_plāns'!CX28</f>
        <v>-5.5530298832343874</v>
      </c>
      <c r="CY28" s="1356"/>
      <c r="CZ28" s="1890">
        <f>CF28/'2024_gada_plāns'!CF28</f>
        <v>3.90625E-3</v>
      </c>
      <c r="DA28" s="1891"/>
      <c r="DB28" s="1892">
        <f>CH28/'2024_gada_plāns'!CH28</f>
        <v>3.9062499999999662E-3</v>
      </c>
      <c r="DC28" s="1893"/>
      <c r="DD28" s="1894" t="s">
        <v>38</v>
      </c>
      <c r="DE28" s="1895"/>
      <c r="DF28" s="1896">
        <f>CL28/'2024_gada_plāns'!CL28</f>
        <v>-8.7466364007284456E-3</v>
      </c>
      <c r="DG28" s="1897"/>
      <c r="DH28" s="1898" t="s">
        <v>38</v>
      </c>
      <c r="DI28" s="1895"/>
      <c r="DJ28" s="1896">
        <f>CP28/'2024_gada_plāns'!CP28</f>
        <v>-8.7466364007284456E-3</v>
      </c>
      <c r="DK28" s="1899"/>
      <c r="DL28" s="1894" t="s">
        <v>38</v>
      </c>
      <c r="DM28" s="1895"/>
      <c r="DN28" s="1900" t="s">
        <v>38</v>
      </c>
      <c r="DO28" s="1899"/>
      <c r="DP28" s="1894" t="s">
        <v>38</v>
      </c>
      <c r="DQ28" s="1895"/>
      <c r="DR28" s="1896">
        <f>CX28/'2024_gada_plāns'!CX28</f>
        <v>-1.2603653379713919E-2</v>
      </c>
      <c r="DS28" s="1901"/>
    </row>
    <row r="29" spans="1:123" s="990" customFormat="1" ht="15.75" customHeight="1" x14ac:dyDescent="0.25">
      <c r="A29" s="2242"/>
      <c r="B29" s="987"/>
      <c r="C29" s="988" t="s">
        <v>39</v>
      </c>
      <c r="D29" s="234">
        <v>38.599999999999994</v>
      </c>
      <c r="E29" s="228"/>
      <c r="F29" s="246">
        <v>1.7682088868529545E-2</v>
      </c>
      <c r="G29" s="228"/>
      <c r="H29" s="293" t="s">
        <v>38</v>
      </c>
      <c r="I29" s="230" t="s">
        <v>38</v>
      </c>
      <c r="J29" s="285">
        <v>24976.739473684203</v>
      </c>
      <c r="K29" s="208"/>
      <c r="L29" s="244" t="s">
        <v>38</v>
      </c>
      <c r="M29" s="548" t="s">
        <v>38</v>
      </c>
      <c r="N29" s="506">
        <v>24976.739473684203</v>
      </c>
      <c r="O29" s="507"/>
      <c r="P29" s="293" t="s">
        <v>38</v>
      </c>
      <c r="Q29" s="230" t="s">
        <v>38</v>
      </c>
      <c r="R29" s="506">
        <v>0</v>
      </c>
      <c r="S29" s="208"/>
      <c r="T29" s="293" t="s">
        <v>38</v>
      </c>
      <c r="U29" s="230" t="s">
        <v>38</v>
      </c>
      <c r="V29" s="231">
        <v>647.06578947368416</v>
      </c>
      <c r="W29" s="231"/>
      <c r="X29" s="234">
        <v>39.1</v>
      </c>
      <c r="Y29" s="228"/>
      <c r="Z29" s="246">
        <v>1.7902930402930405E-2</v>
      </c>
      <c r="AA29" s="228"/>
      <c r="AB29" s="293" t="s">
        <v>38</v>
      </c>
      <c r="AC29" s="230" t="s">
        <v>38</v>
      </c>
      <c r="AD29" s="285">
        <v>25300.27236842105</v>
      </c>
      <c r="AE29" s="208"/>
      <c r="AF29" s="244" t="s">
        <v>38</v>
      </c>
      <c r="AG29" s="548" t="s">
        <v>38</v>
      </c>
      <c r="AH29" s="506">
        <v>25300.27236842105</v>
      </c>
      <c r="AI29" s="507"/>
      <c r="AJ29" s="293" t="s">
        <v>38</v>
      </c>
      <c r="AK29" s="230" t="s">
        <v>38</v>
      </c>
      <c r="AL29" s="506">
        <v>0</v>
      </c>
      <c r="AM29" s="208"/>
      <c r="AN29" s="293" t="s">
        <v>38</v>
      </c>
      <c r="AO29" s="230" t="s">
        <v>38</v>
      </c>
      <c r="AP29" s="231">
        <v>647.06578947368416</v>
      </c>
      <c r="AQ29" s="231"/>
      <c r="AR29" s="1440">
        <f>'2024_ar_grozījumiem'!AR29-'2024_gada_plāns'!AR29</f>
        <v>0</v>
      </c>
      <c r="AS29" s="1441"/>
      <c r="AT29" s="1442">
        <f>'2024_ar_grozījumiem'!AT29-'2024_gada_plāns'!AT29</f>
        <v>0</v>
      </c>
      <c r="AU29" s="1441"/>
      <c r="AV29" s="1107" t="s">
        <v>38</v>
      </c>
      <c r="AW29" s="1449"/>
      <c r="AX29" s="1107">
        <f>'2024_ar_grozījumiem'!AX29-'2024_gada_plāns'!AX29</f>
        <v>0.23026315789684304</v>
      </c>
      <c r="AY29" s="1175"/>
      <c r="AZ29" s="1110" t="s">
        <v>38</v>
      </c>
      <c r="BA29" s="1462"/>
      <c r="BB29" s="1173">
        <f>'2024_ar_grozījumiem'!BB29-'2024_gada_plāns'!BB29</f>
        <v>0.23026315789684304</v>
      </c>
      <c r="BC29" s="1469"/>
      <c r="BD29" s="1107" t="s">
        <v>38</v>
      </c>
      <c r="BE29" s="1449"/>
      <c r="BF29" s="1173">
        <f>'2024_ar_grozījumiem'!BF29-'2024_gada_plāns'!BF29</f>
        <v>0</v>
      </c>
      <c r="BG29" s="1175"/>
      <c r="BH29" s="1107" t="s">
        <v>38</v>
      </c>
      <c r="BI29" s="1449"/>
      <c r="BJ29" s="1092">
        <f>'2024_ar_grozījumiem'!BJ29-'2024_gada_plāns'!BJ29</f>
        <v>6.6742944318320951E-3</v>
      </c>
      <c r="BK29" s="1092"/>
      <c r="BL29" s="1283">
        <f>'2024_ar_grozījumiem'!BL29-'2024_gada_plāns'!BL29</f>
        <v>0</v>
      </c>
      <c r="BM29" s="1087"/>
      <c r="BN29" s="1087">
        <f>'2024_ar_grozījumiem'!BN29-'2024_gada_plāns'!BN29</f>
        <v>0</v>
      </c>
      <c r="BO29" s="1087"/>
      <c r="BP29" s="1285" t="s">
        <v>38</v>
      </c>
      <c r="BQ29" s="1108"/>
      <c r="BR29" s="1285">
        <f>'2024_ar_grozījumiem'!BR29-'2024_gada_plāns'!BR29</f>
        <v>0</v>
      </c>
      <c r="BS29" s="1091"/>
      <c r="BT29" s="1191" t="s">
        <v>38</v>
      </c>
      <c r="BU29" s="1111"/>
      <c r="BV29" s="1176">
        <f>'2024_ar_grozījumiem'!BV29-'2024_gada_plāns'!BV29</f>
        <v>0</v>
      </c>
      <c r="BW29" s="1094"/>
      <c r="BX29" s="1285" t="s">
        <v>38</v>
      </c>
      <c r="BY29" s="1108"/>
      <c r="BZ29" s="1176">
        <f>'2024_ar_grozījumiem'!BZ29-'2024_gada_plāns'!BZ29</f>
        <v>0</v>
      </c>
      <c r="CA29" s="1091"/>
      <c r="CB29" s="1285" t="s">
        <v>38</v>
      </c>
      <c r="CC29" s="1108"/>
      <c r="CD29" s="1095">
        <f>'2024_ar_grozījumiem'!CD29-'2024_gada_plāns'!CD29</f>
        <v>0</v>
      </c>
      <c r="CE29" s="1095"/>
      <c r="CF29" s="1309">
        <f>'2024_ar_grozījumiem'!CF29-'2024_gada_plāns'!CF29</f>
        <v>0</v>
      </c>
      <c r="CG29" s="1095"/>
      <c r="CH29" s="1088">
        <f>'2024_ar_grozījumiem'!CH29-'2024_gada_plāns'!CH29</f>
        <v>0</v>
      </c>
      <c r="CI29" s="1108"/>
      <c r="CJ29" s="1191" t="s">
        <v>38</v>
      </c>
      <c r="CK29" s="1111"/>
      <c r="CL29" s="1176">
        <f>'2024_ar_grozījumiem'!CL29-'2024_gada_plāns'!CL29</f>
        <v>0.23026315789320506</v>
      </c>
      <c r="CM29" s="1169"/>
      <c r="CN29" s="1096" t="s">
        <v>38</v>
      </c>
      <c r="CO29" s="1111"/>
      <c r="CP29" s="1176">
        <f>'2024_ar_grozījumiem'!CP29-'2024_gada_plāns'!CP29</f>
        <v>0.23026315789320506</v>
      </c>
      <c r="CQ29" s="1091"/>
      <c r="CR29" s="1191" t="s">
        <v>38</v>
      </c>
      <c r="CS29" s="1111"/>
      <c r="CT29" s="1176">
        <f>'2024_ar_grozījumiem'!CT29-'2024_gada_plāns'!CT29</f>
        <v>0</v>
      </c>
      <c r="CU29" s="1091"/>
      <c r="CV29" s="1191" t="s">
        <v>38</v>
      </c>
      <c r="CW29" s="1111"/>
      <c r="CX29" s="1176">
        <f>'2024_ar_grozījumiem'!CX29-'2024_gada_plāns'!CX29</f>
        <v>1.520892720577649E-3</v>
      </c>
      <c r="CY29" s="1352"/>
      <c r="CZ29" s="1877">
        <f>CF29/'2024_gada_plāns'!CF29</f>
        <v>0</v>
      </c>
      <c r="DA29" s="1881"/>
      <c r="DB29" s="1902">
        <f>CH29/'2024_gada_plāns'!CH29</f>
        <v>0</v>
      </c>
      <c r="DC29" s="1887"/>
      <c r="DD29" s="1878" t="s">
        <v>38</v>
      </c>
      <c r="DE29" s="1903"/>
      <c r="DF29" s="1883">
        <f>CL29/'2024_gada_plāns'!CL29</f>
        <v>2.3504452643059028E-6</v>
      </c>
      <c r="DG29" s="1884"/>
      <c r="DH29" s="1904" t="s">
        <v>38</v>
      </c>
      <c r="DI29" s="1903"/>
      <c r="DJ29" s="1883">
        <f>CP29/'2024_gada_plāns'!CP29</f>
        <v>2.3504452643059028E-6</v>
      </c>
      <c r="DK29" s="1885"/>
      <c r="DL29" s="1878" t="s">
        <v>38</v>
      </c>
      <c r="DM29" s="1903"/>
      <c r="DN29" s="1888" t="s">
        <v>38</v>
      </c>
      <c r="DO29" s="1885"/>
      <c r="DP29" s="1878" t="s">
        <v>38</v>
      </c>
      <c r="DQ29" s="1903"/>
      <c r="DR29" s="1883">
        <f>CX29/'2024_gada_plāns'!CX29</f>
        <v>2.3504452643288803E-6</v>
      </c>
      <c r="DS29" s="1889"/>
    </row>
    <row r="30" spans="1:123" s="990" customFormat="1" ht="15.75" customHeight="1" x14ac:dyDescent="0.25">
      <c r="A30" s="2242"/>
      <c r="B30" s="987"/>
      <c r="C30" s="988" t="s">
        <v>40</v>
      </c>
      <c r="D30" s="234">
        <v>7.3</v>
      </c>
      <c r="E30" s="228"/>
      <c r="F30" s="246">
        <v>3.3440219880897844E-3</v>
      </c>
      <c r="G30" s="228"/>
      <c r="H30" s="293" t="s">
        <v>38</v>
      </c>
      <c r="I30" s="230" t="s">
        <v>38</v>
      </c>
      <c r="J30" s="285">
        <v>1813.8083623693381</v>
      </c>
      <c r="K30" s="208"/>
      <c r="L30" s="244" t="s">
        <v>38</v>
      </c>
      <c r="M30" s="548" t="s">
        <v>38</v>
      </c>
      <c r="N30" s="506">
        <v>1813.8083623693381</v>
      </c>
      <c r="O30" s="507"/>
      <c r="P30" s="293" t="s">
        <v>38</v>
      </c>
      <c r="Q30" s="230" t="s">
        <v>38</v>
      </c>
      <c r="R30" s="506">
        <v>0</v>
      </c>
      <c r="S30" s="208"/>
      <c r="T30" s="293" t="s">
        <v>38</v>
      </c>
      <c r="U30" s="230" t="s">
        <v>38</v>
      </c>
      <c r="V30" s="231">
        <v>248.46689895470385</v>
      </c>
      <c r="W30" s="231"/>
      <c r="X30" s="234">
        <v>6.9</v>
      </c>
      <c r="Y30" s="228"/>
      <c r="Z30" s="246">
        <v>3.1593406593406594E-3</v>
      </c>
      <c r="AA30" s="228"/>
      <c r="AB30" s="293" t="s">
        <v>38</v>
      </c>
      <c r="AC30" s="230" t="s">
        <v>38</v>
      </c>
      <c r="AD30" s="285">
        <v>1714.4216027874565</v>
      </c>
      <c r="AE30" s="208"/>
      <c r="AF30" s="244" t="s">
        <v>38</v>
      </c>
      <c r="AG30" s="548" t="s">
        <v>38</v>
      </c>
      <c r="AH30" s="506">
        <v>1714.4216027874565</v>
      </c>
      <c r="AI30" s="507"/>
      <c r="AJ30" s="293" t="s">
        <v>38</v>
      </c>
      <c r="AK30" s="230" t="s">
        <v>38</v>
      </c>
      <c r="AL30" s="506">
        <v>0</v>
      </c>
      <c r="AM30" s="208"/>
      <c r="AN30" s="293" t="s">
        <v>38</v>
      </c>
      <c r="AO30" s="230" t="s">
        <v>38</v>
      </c>
      <c r="AP30" s="231">
        <v>248.46689895470382</v>
      </c>
      <c r="AQ30" s="231"/>
      <c r="AR30" s="1440">
        <f>'2024_ar_grozījumiem'!AR30-'2024_gada_plāns'!AR30</f>
        <v>0</v>
      </c>
      <c r="AS30" s="1441"/>
      <c r="AT30" s="1442">
        <f>'2024_ar_grozījumiem'!AT30-'2024_gada_plāns'!AT30</f>
        <v>0</v>
      </c>
      <c r="AU30" s="1441"/>
      <c r="AV30" s="1107" t="s">
        <v>38</v>
      </c>
      <c r="AW30" s="1449"/>
      <c r="AX30" s="1107">
        <f>'2024_ar_grozījumiem'!AX30-'2024_gada_plāns'!AX30</f>
        <v>-570.04181184669005</v>
      </c>
      <c r="AY30" s="1175"/>
      <c r="AZ30" s="1110" t="s">
        <v>38</v>
      </c>
      <c r="BA30" s="1462"/>
      <c r="BB30" s="1173">
        <f>'2024_ar_grozījumiem'!BB30-'2024_gada_plāns'!BB30</f>
        <v>-570.04181184669005</v>
      </c>
      <c r="BC30" s="1469"/>
      <c r="BD30" s="1107" t="s">
        <v>38</v>
      </c>
      <c r="BE30" s="1449"/>
      <c r="BF30" s="1173">
        <f>'2024_ar_grozījumiem'!BF30-'2024_gada_plāns'!BF30</f>
        <v>0</v>
      </c>
      <c r="BG30" s="1175"/>
      <c r="BH30" s="1107" t="s">
        <v>38</v>
      </c>
      <c r="BI30" s="1449"/>
      <c r="BJ30" s="1092">
        <f>'2024_ar_grozījumiem'!BJ30-'2024_gada_plāns'!BJ30</f>
        <v>-73.082283570088464</v>
      </c>
      <c r="BK30" s="1092"/>
      <c r="BL30" s="1283">
        <f>'2024_ar_grozījumiem'!BL30-'2024_gada_plāns'!BL30</f>
        <v>1</v>
      </c>
      <c r="BM30" s="1087"/>
      <c r="BN30" s="1087">
        <f>'2024_ar_grozījumiem'!BN30-'2024_gada_plāns'!BN30</f>
        <v>4.5269352648257119E-4</v>
      </c>
      <c r="BO30" s="1087"/>
      <c r="BP30" s="1285" t="s">
        <v>38</v>
      </c>
      <c r="BQ30" s="1108"/>
      <c r="BR30" s="1285">
        <f>'2024_ar_grozījumiem'!BR30-'2024_gada_plāns'!BR30</f>
        <v>-235.7282229965158</v>
      </c>
      <c r="BS30" s="1091"/>
      <c r="BT30" s="1191" t="s">
        <v>38</v>
      </c>
      <c r="BU30" s="1111"/>
      <c r="BV30" s="1176">
        <f>'2024_ar_grozījumiem'!BV30-'2024_gada_plāns'!BV30</f>
        <v>-235.7282229965158</v>
      </c>
      <c r="BW30" s="1094"/>
      <c r="BX30" s="1285" t="s">
        <v>38</v>
      </c>
      <c r="BY30" s="1108"/>
      <c r="BZ30" s="1176">
        <f>'2024_ar_grozījumiem'!BZ30-'2024_gada_plāns'!BZ30</f>
        <v>0</v>
      </c>
      <c r="CA30" s="1091"/>
      <c r="CB30" s="1285" t="s">
        <v>38</v>
      </c>
      <c r="CC30" s="1108"/>
      <c r="CD30" s="1095">
        <f>'2024_ar_grozījumiem'!CD30-'2024_gada_plāns'!CD30</f>
        <v>-62.88248337028827</v>
      </c>
      <c r="CE30" s="1095"/>
      <c r="CF30" s="1309">
        <f>'2024_ar_grozījumiem'!CF30-'2024_gada_plāns'!CF30</f>
        <v>1</v>
      </c>
      <c r="CG30" s="1095"/>
      <c r="CH30" s="1088">
        <f>'2024_ar_grozījumiem'!CH30-'2024_gada_plāns'!CH30</f>
        <v>1.1415525114155277E-4</v>
      </c>
      <c r="CI30" s="1108"/>
      <c r="CJ30" s="1191" t="s">
        <v>38</v>
      </c>
      <c r="CK30" s="1111"/>
      <c r="CL30" s="1176">
        <f>'2024_ar_grozījumiem'!CL30-'2024_gada_plāns'!CL30</f>
        <v>-805.7700348432063</v>
      </c>
      <c r="CM30" s="1169"/>
      <c r="CN30" s="1096" t="s">
        <v>38</v>
      </c>
      <c r="CO30" s="1111"/>
      <c r="CP30" s="1176">
        <f>'2024_ar_grozījumiem'!CP30-'2024_gada_plāns'!CP30</f>
        <v>-805.7700348432063</v>
      </c>
      <c r="CQ30" s="1091"/>
      <c r="CR30" s="1191" t="s">
        <v>38</v>
      </c>
      <c r="CS30" s="1111"/>
      <c r="CT30" s="1176">
        <f>'2024_ar_grozījumiem'!CT30-'2024_gada_plāns'!CT30</f>
        <v>0</v>
      </c>
      <c r="CU30" s="1091"/>
      <c r="CV30" s="1191" t="s">
        <v>38</v>
      </c>
      <c r="CW30" s="1111"/>
      <c r="CX30" s="1176">
        <f>'2024_ar_grozījumiem'!CX30-'2024_gada_plāns'!CX30</f>
        <v>-35.496193057168711</v>
      </c>
      <c r="CY30" s="1352"/>
      <c r="CZ30" s="1877">
        <f>CF30/'2024_gada_plāns'!CF30</f>
        <v>3.484320557491289E-2</v>
      </c>
      <c r="DA30" s="1881"/>
      <c r="DB30" s="1902">
        <f>CH30/'2024_gada_plāns'!CH30</f>
        <v>3.4843205574912973E-2</v>
      </c>
      <c r="DC30" s="1887"/>
      <c r="DD30" s="1878" t="s">
        <v>38</v>
      </c>
      <c r="DE30" s="1903"/>
      <c r="DF30" s="1883">
        <f>CL30/'2024_gada_plāns'!CL30</f>
        <v>-0.11299537720420785</v>
      </c>
      <c r="DG30" s="1884"/>
      <c r="DH30" s="1904" t="s">
        <v>38</v>
      </c>
      <c r="DI30" s="1903"/>
      <c r="DJ30" s="1883">
        <f>CP30/'2024_gada_plāns'!CP30</f>
        <v>-0.11299537720420785</v>
      </c>
      <c r="DK30" s="1885"/>
      <c r="DL30" s="1878" t="s">
        <v>38</v>
      </c>
      <c r="DM30" s="1903"/>
      <c r="DN30" s="1888" t="s">
        <v>38</v>
      </c>
      <c r="DO30" s="1885"/>
      <c r="DP30" s="1878" t="s">
        <v>38</v>
      </c>
      <c r="DQ30" s="1903"/>
      <c r="DR30" s="1883">
        <f>CX30/'2024_gada_plāns'!CX30</f>
        <v>-0.14286085271921775</v>
      </c>
      <c r="DS30" s="1889"/>
    </row>
    <row r="31" spans="1:123" ht="15.75" customHeight="1" x14ac:dyDescent="0.25">
      <c r="A31" s="2242"/>
      <c r="B31" s="20"/>
      <c r="C31" s="988" t="s">
        <v>42</v>
      </c>
      <c r="D31" s="234">
        <v>19.600000000000001</v>
      </c>
      <c r="E31" s="228"/>
      <c r="F31" s="246">
        <v>8.9784699954191492E-3</v>
      </c>
      <c r="G31" s="228"/>
      <c r="H31" s="293" t="s">
        <v>38</v>
      </c>
      <c r="I31" s="230" t="s">
        <v>38</v>
      </c>
      <c r="J31" s="285">
        <v>2007</v>
      </c>
      <c r="K31" s="208"/>
      <c r="L31" s="244" t="s">
        <v>38</v>
      </c>
      <c r="M31" s="548" t="s">
        <v>38</v>
      </c>
      <c r="N31" s="506">
        <v>2007</v>
      </c>
      <c r="O31" s="522"/>
      <c r="P31" s="293" t="s">
        <v>38</v>
      </c>
      <c r="Q31" s="230" t="s">
        <v>38</v>
      </c>
      <c r="R31" s="506">
        <v>0</v>
      </c>
      <c r="S31" s="208"/>
      <c r="T31" s="293" t="s">
        <v>38</v>
      </c>
      <c r="U31" s="230" t="s">
        <v>38</v>
      </c>
      <c r="V31" s="231">
        <v>102.39795918367346</v>
      </c>
      <c r="W31" s="231"/>
      <c r="X31" s="234">
        <v>18.8</v>
      </c>
      <c r="Y31" s="228"/>
      <c r="Z31" s="246">
        <v>8.6080586080586087E-3</v>
      </c>
      <c r="AA31" s="228"/>
      <c r="AB31" s="293" t="s">
        <v>38</v>
      </c>
      <c r="AC31" s="230" t="s">
        <v>38</v>
      </c>
      <c r="AD31" s="285">
        <v>1907</v>
      </c>
      <c r="AE31" s="208"/>
      <c r="AF31" s="244" t="s">
        <v>38</v>
      </c>
      <c r="AG31" s="548" t="s">
        <v>38</v>
      </c>
      <c r="AH31" s="506">
        <v>1907</v>
      </c>
      <c r="AI31" s="522"/>
      <c r="AJ31" s="293" t="s">
        <v>38</v>
      </c>
      <c r="AK31" s="230" t="s">
        <v>38</v>
      </c>
      <c r="AL31" s="506">
        <v>0</v>
      </c>
      <c r="AM31" s="208"/>
      <c r="AN31" s="293" t="s">
        <v>38</v>
      </c>
      <c r="AO31" s="230" t="s">
        <v>38</v>
      </c>
      <c r="AP31" s="231">
        <v>101.43617021276596</v>
      </c>
      <c r="AQ31" s="231"/>
      <c r="AR31" s="1440">
        <f>'2024_ar_grozījumiem'!AR31-'2024_gada_plāns'!AR31</f>
        <v>0</v>
      </c>
      <c r="AS31" s="1441"/>
      <c r="AT31" s="1442">
        <f>'2024_ar_grozījumiem'!AT31-'2024_gada_plāns'!AT31</f>
        <v>0</v>
      </c>
      <c r="AU31" s="1441"/>
      <c r="AV31" s="1107" t="s">
        <v>38</v>
      </c>
      <c r="AW31" s="1449"/>
      <c r="AX31" s="1107">
        <f>'2024_ar_grozījumiem'!AX31-'2024_gada_plāns'!AX31</f>
        <v>-91</v>
      </c>
      <c r="AY31" s="1175"/>
      <c r="AZ31" s="1110" t="s">
        <v>38</v>
      </c>
      <c r="BA31" s="1462"/>
      <c r="BB31" s="1173">
        <f>'2024_ar_grozījumiem'!BB31-'2024_gada_plāns'!BB31</f>
        <v>-91</v>
      </c>
      <c r="BC31" s="1656"/>
      <c r="BD31" s="1107" t="s">
        <v>38</v>
      </c>
      <c r="BE31" s="1449"/>
      <c r="BF31" s="1173">
        <f>'2024_ar_grozījumiem'!BF31-'2024_gada_plāns'!BF31</f>
        <v>0</v>
      </c>
      <c r="BG31" s="1175"/>
      <c r="BH31" s="1107" t="s">
        <v>38</v>
      </c>
      <c r="BI31" s="1449"/>
      <c r="BJ31" s="1092">
        <f>'2024_ar_grozījumiem'!BJ31-'2024_gada_plāns'!BJ31</f>
        <v>-5.0555555555555571</v>
      </c>
      <c r="BK31" s="1092"/>
      <c r="BL31" s="1283">
        <f>'2024_ar_grozījumiem'!BL31-'2024_gada_plāns'!BL31</f>
        <v>0</v>
      </c>
      <c r="BM31" s="1087"/>
      <c r="BN31" s="1087">
        <f>'2024_ar_grozījumiem'!BN31-'2024_gada_plāns'!BN31</f>
        <v>0</v>
      </c>
      <c r="BO31" s="1087"/>
      <c r="BP31" s="1285" t="s">
        <v>38</v>
      </c>
      <c r="BQ31" s="1108"/>
      <c r="BR31" s="1285">
        <f>'2024_ar_grozījumiem'!BR31-'2024_gada_plāns'!BR31</f>
        <v>-90</v>
      </c>
      <c r="BS31" s="1091"/>
      <c r="BT31" s="1191" t="s">
        <v>38</v>
      </c>
      <c r="BU31" s="1111"/>
      <c r="BV31" s="1176">
        <f>'2024_ar_grozījumiem'!BV31-'2024_gada_plāns'!BV31</f>
        <v>-90</v>
      </c>
      <c r="BW31" s="1097"/>
      <c r="BX31" s="1285" t="s">
        <v>38</v>
      </c>
      <c r="BY31" s="1108"/>
      <c r="BZ31" s="1176">
        <f>'2024_ar_grozījumiem'!BZ31-'2024_gada_plāns'!BZ31</f>
        <v>0</v>
      </c>
      <c r="CA31" s="1091"/>
      <c r="CB31" s="1285" t="s">
        <v>38</v>
      </c>
      <c r="CC31" s="1108"/>
      <c r="CD31" s="1095">
        <f>'2024_ar_grozījumiem'!CD31-'2024_gada_plāns'!CD31</f>
        <v>-4.6153846153846132</v>
      </c>
      <c r="CE31" s="1095"/>
      <c r="CF31" s="1309">
        <f>'2024_ar_grozījumiem'!CF31-'2024_gada_plāns'!CF31</f>
        <v>0</v>
      </c>
      <c r="CG31" s="1095"/>
      <c r="CH31" s="1088">
        <f>'2024_ar_grozījumiem'!CH31-'2024_gada_plāns'!CH31</f>
        <v>0</v>
      </c>
      <c r="CI31" s="1108"/>
      <c r="CJ31" s="1191" t="s">
        <v>38</v>
      </c>
      <c r="CK31" s="1111"/>
      <c r="CL31" s="1176">
        <f>'2024_ar_grozījumiem'!CL31-'2024_gada_plāns'!CL31</f>
        <v>-181</v>
      </c>
      <c r="CM31" s="1169"/>
      <c r="CN31" s="1096" t="s">
        <v>38</v>
      </c>
      <c r="CO31" s="1111"/>
      <c r="CP31" s="1176">
        <f>'2024_ar_grozījumiem'!CP31-'2024_gada_plāns'!CP31</f>
        <v>-181</v>
      </c>
      <c r="CQ31" s="1091"/>
      <c r="CR31" s="1191" t="s">
        <v>38</v>
      </c>
      <c r="CS31" s="1111"/>
      <c r="CT31" s="1176">
        <f>'2024_ar_grozījumiem'!CT31-'2024_gada_plāns'!CT31</f>
        <v>0</v>
      </c>
      <c r="CU31" s="1091"/>
      <c r="CV31" s="1191" t="s">
        <v>38</v>
      </c>
      <c r="CW31" s="1111"/>
      <c r="CX31" s="1176">
        <f>'2024_ar_grozījumiem'!CX31-'2024_gada_plāns'!CX31</f>
        <v>-2.3847167325428273</v>
      </c>
      <c r="CY31" s="1352"/>
      <c r="CZ31" s="1877">
        <f>CF31/'2024_gada_plāns'!CF31</f>
        <v>0</v>
      </c>
      <c r="DA31" s="1881"/>
      <c r="DB31" s="1902">
        <f>CH31/'2024_gada_plāns'!CH31</f>
        <v>0</v>
      </c>
      <c r="DC31" s="1887"/>
      <c r="DD31" s="1878" t="s">
        <v>38</v>
      </c>
      <c r="DE31" s="1903"/>
      <c r="DF31" s="1883">
        <f>CL31/'2024_gada_plāns'!CL31</f>
        <v>-2.3524824538601507E-2</v>
      </c>
      <c r="DG31" s="1884"/>
      <c r="DH31" s="1904" t="s">
        <v>38</v>
      </c>
      <c r="DI31" s="1903"/>
      <c r="DJ31" s="1883">
        <f>CP31/'2024_gada_plāns'!CP31</f>
        <v>-2.3524824538601507E-2</v>
      </c>
      <c r="DK31" s="1885"/>
      <c r="DL31" s="1878" t="s">
        <v>38</v>
      </c>
      <c r="DM31" s="1903"/>
      <c r="DN31" s="1888" t="s">
        <v>38</v>
      </c>
      <c r="DO31" s="1885"/>
      <c r="DP31" s="1878" t="s">
        <v>38</v>
      </c>
      <c r="DQ31" s="1903"/>
      <c r="DR31" s="1883">
        <f>CX31/'2024_gada_plāns'!CX31</f>
        <v>-2.3524824538601587E-2</v>
      </c>
      <c r="DS31" s="1889"/>
    </row>
    <row r="32" spans="1:123" ht="15.75" customHeight="1" x14ac:dyDescent="0.25">
      <c r="A32" s="2242"/>
      <c r="B32" s="20"/>
      <c r="C32" s="988" t="s">
        <v>43</v>
      </c>
      <c r="D32" s="234">
        <v>0</v>
      </c>
      <c r="E32" s="228"/>
      <c r="F32" s="246">
        <v>0</v>
      </c>
      <c r="G32" s="228"/>
      <c r="H32" s="293" t="s">
        <v>38</v>
      </c>
      <c r="I32" s="230" t="s">
        <v>38</v>
      </c>
      <c r="J32" s="285">
        <v>0</v>
      </c>
      <c r="K32" s="208"/>
      <c r="L32" s="244" t="s">
        <v>38</v>
      </c>
      <c r="M32" s="548" t="s">
        <v>38</v>
      </c>
      <c r="N32" s="506">
        <v>0</v>
      </c>
      <c r="O32" s="522"/>
      <c r="P32" s="293" t="s">
        <v>38</v>
      </c>
      <c r="Q32" s="230" t="s">
        <v>38</v>
      </c>
      <c r="R32" s="506">
        <v>0</v>
      </c>
      <c r="S32" s="208"/>
      <c r="T32" s="293" t="s">
        <v>38</v>
      </c>
      <c r="U32" s="230" t="s">
        <v>38</v>
      </c>
      <c r="V32" s="231">
        <v>0</v>
      </c>
      <c r="W32" s="231"/>
      <c r="X32" s="234">
        <v>0</v>
      </c>
      <c r="Y32" s="228"/>
      <c r="Z32" s="246">
        <v>0</v>
      </c>
      <c r="AA32" s="228"/>
      <c r="AB32" s="293" t="s">
        <v>38</v>
      </c>
      <c r="AC32" s="230" t="s">
        <v>38</v>
      </c>
      <c r="AD32" s="285">
        <v>0</v>
      </c>
      <c r="AE32" s="208"/>
      <c r="AF32" s="244" t="s">
        <v>38</v>
      </c>
      <c r="AG32" s="548" t="s">
        <v>38</v>
      </c>
      <c r="AH32" s="506">
        <v>0</v>
      </c>
      <c r="AI32" s="522"/>
      <c r="AJ32" s="293" t="s">
        <v>38</v>
      </c>
      <c r="AK32" s="230" t="s">
        <v>38</v>
      </c>
      <c r="AL32" s="506">
        <v>0</v>
      </c>
      <c r="AM32" s="208"/>
      <c r="AN32" s="293" t="s">
        <v>38</v>
      </c>
      <c r="AO32" s="230" t="s">
        <v>38</v>
      </c>
      <c r="AP32" s="231">
        <v>0</v>
      </c>
      <c r="AQ32" s="231"/>
      <c r="AR32" s="1440">
        <f>'2024_ar_grozījumiem'!AR32-'2024_gada_plāns'!AR32</f>
        <v>0</v>
      </c>
      <c r="AS32" s="1441"/>
      <c r="AT32" s="1442">
        <f>'2024_ar_grozījumiem'!AT32-'2024_gada_plāns'!AT32</f>
        <v>0</v>
      </c>
      <c r="AU32" s="1441"/>
      <c r="AV32" s="1107" t="s">
        <v>38</v>
      </c>
      <c r="AW32" s="1449"/>
      <c r="AX32" s="1107">
        <f>'2024_ar_grozījumiem'!AX32-'2024_gada_plāns'!AX32</f>
        <v>0</v>
      </c>
      <c r="AY32" s="1175"/>
      <c r="AZ32" s="1110" t="s">
        <v>38</v>
      </c>
      <c r="BA32" s="1462"/>
      <c r="BB32" s="1173">
        <f>'2024_ar_grozījumiem'!BB32-'2024_gada_plāns'!BB32</f>
        <v>0</v>
      </c>
      <c r="BC32" s="1656"/>
      <c r="BD32" s="1107" t="s">
        <v>38</v>
      </c>
      <c r="BE32" s="1449"/>
      <c r="BF32" s="1173">
        <f>'2024_ar_grozījumiem'!BF32-'2024_gada_plāns'!BF32</f>
        <v>0</v>
      </c>
      <c r="BG32" s="1175"/>
      <c r="BH32" s="1107" t="s">
        <v>38</v>
      </c>
      <c r="BI32" s="1449"/>
      <c r="BJ32" s="1092" t="s">
        <v>38</v>
      </c>
      <c r="BK32" s="1092"/>
      <c r="BL32" s="1283">
        <f>'2024_ar_grozījumiem'!BL32-'2024_gada_plāns'!BL32</f>
        <v>0</v>
      </c>
      <c r="BM32" s="1087"/>
      <c r="BN32" s="1087">
        <f>'2024_ar_grozījumiem'!BN32-'2024_gada_plāns'!BN32</f>
        <v>0</v>
      </c>
      <c r="BO32" s="1087"/>
      <c r="BP32" s="1285" t="s">
        <v>38</v>
      </c>
      <c r="BQ32" s="1108"/>
      <c r="BR32" s="1285">
        <f>'2024_ar_grozījumiem'!BR32-'2024_gada_plāns'!BR32</f>
        <v>0</v>
      </c>
      <c r="BS32" s="1091"/>
      <c r="BT32" s="1191" t="s">
        <v>38</v>
      </c>
      <c r="BU32" s="1111"/>
      <c r="BV32" s="1176">
        <f>'2024_ar_grozījumiem'!BV32-'2024_gada_plāns'!BV32</f>
        <v>0</v>
      </c>
      <c r="BW32" s="1097"/>
      <c r="BX32" s="1285" t="s">
        <v>38</v>
      </c>
      <c r="BY32" s="1108"/>
      <c r="BZ32" s="1176">
        <f>'2024_ar_grozījumiem'!BZ32-'2024_gada_plāns'!BZ32</f>
        <v>0</v>
      </c>
      <c r="CA32" s="1091"/>
      <c r="CB32" s="1285" t="s">
        <v>38</v>
      </c>
      <c r="CC32" s="1108"/>
      <c r="CD32" s="1095" t="s">
        <v>38</v>
      </c>
      <c r="CE32" s="1095"/>
      <c r="CF32" s="1309">
        <f>'2024_ar_grozījumiem'!CF32-'2024_gada_plāns'!CF32</f>
        <v>0</v>
      </c>
      <c r="CG32" s="1095"/>
      <c r="CH32" s="1088">
        <f>'2024_ar_grozījumiem'!CH32-'2024_gada_plāns'!CH32</f>
        <v>0</v>
      </c>
      <c r="CI32" s="1108"/>
      <c r="CJ32" s="1191" t="s">
        <v>38</v>
      </c>
      <c r="CK32" s="1111"/>
      <c r="CL32" s="1176">
        <f>'2024_ar_grozījumiem'!CL32-'2024_gada_plāns'!CL32</f>
        <v>0</v>
      </c>
      <c r="CM32" s="1169"/>
      <c r="CN32" s="1096" t="s">
        <v>38</v>
      </c>
      <c r="CO32" s="1111"/>
      <c r="CP32" s="1176">
        <f>'2024_ar_grozījumiem'!CP32-'2024_gada_plāns'!CP32</f>
        <v>0</v>
      </c>
      <c r="CQ32" s="1091"/>
      <c r="CR32" s="1191" t="s">
        <v>38</v>
      </c>
      <c r="CS32" s="1111"/>
      <c r="CT32" s="1176">
        <f>'2024_ar_grozījumiem'!CT32-'2024_gada_plāns'!CT32</f>
        <v>0</v>
      </c>
      <c r="CU32" s="1091"/>
      <c r="CV32" s="1191" t="s">
        <v>38</v>
      </c>
      <c r="CW32" s="1111"/>
      <c r="CX32" s="1176" t="s">
        <v>38</v>
      </c>
      <c r="CY32" s="1352"/>
      <c r="CZ32" s="1877" t="s">
        <v>38</v>
      </c>
      <c r="DA32" s="1881"/>
      <c r="DB32" s="1902" t="s">
        <v>38</v>
      </c>
      <c r="DC32" s="1887"/>
      <c r="DD32" s="1878" t="s">
        <v>38</v>
      </c>
      <c r="DE32" s="1903"/>
      <c r="DF32" s="1883" t="s">
        <v>38</v>
      </c>
      <c r="DG32" s="1884"/>
      <c r="DH32" s="1904" t="s">
        <v>38</v>
      </c>
      <c r="DI32" s="1903"/>
      <c r="DJ32" s="1883" t="s">
        <v>38</v>
      </c>
      <c r="DK32" s="1885"/>
      <c r="DL32" s="1878" t="s">
        <v>38</v>
      </c>
      <c r="DM32" s="1903"/>
      <c r="DN32" s="1888" t="s">
        <v>38</v>
      </c>
      <c r="DO32" s="1885"/>
      <c r="DP32" s="1878" t="s">
        <v>38</v>
      </c>
      <c r="DQ32" s="1903"/>
      <c r="DR32" s="1888" t="s">
        <v>38</v>
      </c>
      <c r="DS32" s="1889"/>
    </row>
    <row r="33" spans="1:123" s="993" customFormat="1" ht="29.25" customHeight="1" x14ac:dyDescent="0.25">
      <c r="A33" s="2242"/>
      <c r="B33" s="995" t="s">
        <v>48</v>
      </c>
      <c r="C33" s="996"/>
      <c r="D33" s="287">
        <v>237.1</v>
      </c>
      <c r="E33" s="288"/>
      <c r="F33" s="289">
        <v>2.1560621629732015E-2</v>
      </c>
      <c r="G33" s="288"/>
      <c r="H33" s="290" t="s">
        <v>38</v>
      </c>
      <c r="I33" s="291" t="s">
        <v>38</v>
      </c>
      <c r="J33" s="292">
        <v>30018</v>
      </c>
      <c r="K33" s="525"/>
      <c r="L33" s="408" t="s">
        <v>38</v>
      </c>
      <c r="M33" s="549" t="s">
        <v>38</v>
      </c>
      <c r="N33" s="527">
        <v>30018</v>
      </c>
      <c r="O33" s="528"/>
      <c r="P33" s="290" t="s">
        <v>38</v>
      </c>
      <c r="Q33" s="291" t="s">
        <v>38</v>
      </c>
      <c r="R33" s="527">
        <v>0</v>
      </c>
      <c r="S33" s="528"/>
      <c r="T33" s="290" t="s">
        <v>38</v>
      </c>
      <c r="U33" s="291" t="s">
        <v>38</v>
      </c>
      <c r="V33" s="529">
        <v>126.60480809784902</v>
      </c>
      <c r="W33" s="529"/>
      <c r="X33" s="287">
        <v>224.89999999999998</v>
      </c>
      <c r="Y33" s="288"/>
      <c r="Z33" s="289">
        <v>2.0441923667730118E-2</v>
      </c>
      <c r="AA33" s="288"/>
      <c r="AB33" s="290" t="s">
        <v>38</v>
      </c>
      <c r="AC33" s="291" t="s">
        <v>38</v>
      </c>
      <c r="AD33" s="292">
        <v>28434</v>
      </c>
      <c r="AE33" s="525"/>
      <c r="AF33" s="408" t="s">
        <v>38</v>
      </c>
      <c r="AG33" s="549" t="s">
        <v>38</v>
      </c>
      <c r="AH33" s="527">
        <v>28434</v>
      </c>
      <c r="AI33" s="528"/>
      <c r="AJ33" s="290" t="s">
        <v>38</v>
      </c>
      <c r="AK33" s="291" t="s">
        <v>38</v>
      </c>
      <c r="AL33" s="527">
        <v>0</v>
      </c>
      <c r="AM33" s="528"/>
      <c r="AN33" s="290" t="s">
        <v>38</v>
      </c>
      <c r="AO33" s="291" t="s">
        <v>38</v>
      </c>
      <c r="AP33" s="529">
        <v>126.42952423299245</v>
      </c>
      <c r="AQ33" s="529"/>
      <c r="AR33" s="1451">
        <f>'2024_ar_grozījumiem'!AR33-'2024_gada_plāns'!AR33</f>
        <v>1.6000000000000227</v>
      </c>
      <c r="AS33" s="1452"/>
      <c r="AT33" s="1453">
        <f>'2024_ar_grozījumiem'!AT33-'2024_gada_plāns'!AT33</f>
        <v>1.4405459669214818E-4</v>
      </c>
      <c r="AU33" s="1452"/>
      <c r="AV33" s="1100" t="s">
        <v>38</v>
      </c>
      <c r="AW33" s="1454"/>
      <c r="AX33" s="1100">
        <f>'2024_ar_grozījumiem'!AX33-'2024_gada_plāns'!AX33</f>
        <v>-310</v>
      </c>
      <c r="AY33" s="1460"/>
      <c r="AZ33" s="1112" t="s">
        <v>38</v>
      </c>
      <c r="BA33" s="1463"/>
      <c r="BB33" s="1458">
        <f>'2024_ar_grozījumiem'!BB33-'2024_gada_plāns'!BB33</f>
        <v>-310</v>
      </c>
      <c r="BC33" s="1461"/>
      <c r="BD33" s="1100" t="s">
        <v>38</v>
      </c>
      <c r="BE33" s="1454"/>
      <c r="BF33" s="1458">
        <f>'2024_ar_grozījumiem'!BF33-'2024_gada_plāns'!BF33</f>
        <v>0</v>
      </c>
      <c r="BG33" s="1461"/>
      <c r="BH33" s="1100" t="s">
        <v>38</v>
      </c>
      <c r="BI33" s="1454"/>
      <c r="BJ33" s="1112">
        <f>'2024_ar_grozījumiem'!BJ33-'2024_gada_plāns'!BJ33</f>
        <v>-1.8486593402658116</v>
      </c>
      <c r="BK33" s="1112"/>
      <c r="BL33" s="1286">
        <f>'2024_ar_grozījumiem'!BL33-'2024_gada_plāns'!BL33</f>
        <v>-1.0000000000000284</v>
      </c>
      <c r="BM33" s="1098"/>
      <c r="BN33" s="1098">
        <f>'2024_ar_grozījumiem'!BN33-'2024_gada_plāns'!BN33</f>
        <v>-9.0115257414237482E-5</v>
      </c>
      <c r="BO33" s="1098"/>
      <c r="BP33" s="1287" t="s">
        <v>38</v>
      </c>
      <c r="BQ33" s="1101"/>
      <c r="BR33" s="1287">
        <f>'2024_ar_grozījumiem'!BR33-'2024_gada_plāns'!BR33</f>
        <v>-1569</v>
      </c>
      <c r="BS33" s="1102"/>
      <c r="BT33" s="1106" t="s">
        <v>38</v>
      </c>
      <c r="BU33" s="1113"/>
      <c r="BV33" s="1289">
        <f>'2024_ar_grozījumiem'!BV33-'2024_gada_plāns'!BV33</f>
        <v>-1569</v>
      </c>
      <c r="BW33" s="1105"/>
      <c r="BX33" s="1287" t="s">
        <v>38</v>
      </c>
      <c r="BY33" s="1101"/>
      <c r="BZ33" s="1289">
        <f>'2024_ar_grozījumiem'!BZ33-'2024_gada_plāns'!BZ33</f>
        <v>0</v>
      </c>
      <c r="CA33" s="1105"/>
      <c r="CB33" s="1287" t="s">
        <v>38</v>
      </c>
      <c r="CC33" s="1101"/>
      <c r="CD33" s="1106">
        <f>'2024_ar_grozījumiem'!CD33-'2024_gada_plāns'!CD33</f>
        <v>-6.5932109372226648</v>
      </c>
      <c r="CE33" s="1106"/>
      <c r="CF33" s="1353">
        <f>'2024_ar_grozījumiem'!CF33-'2024_gada_plāns'!CF33</f>
        <v>0.60000000000002274</v>
      </c>
      <c r="CG33" s="1106"/>
      <c r="CH33" s="1099">
        <f>'2024_ar_grozījumiem'!CH33-'2024_gada_plāns'!CH33</f>
        <v>1.3573862171004092E-5</v>
      </c>
      <c r="CI33" s="1354"/>
      <c r="CJ33" s="1106" t="s">
        <v>38</v>
      </c>
      <c r="CK33" s="1113"/>
      <c r="CL33" s="1289">
        <f>'2024_ar_grozījumiem'!CL33-'2024_gada_plāns'!CL33</f>
        <v>-1879</v>
      </c>
      <c r="CM33" s="1355"/>
      <c r="CN33" s="1105" t="s">
        <v>38</v>
      </c>
      <c r="CO33" s="1113"/>
      <c r="CP33" s="1289">
        <f>'2024_ar_grozījumiem'!CP33-'2024_gada_plāns'!CP33</f>
        <v>-1879</v>
      </c>
      <c r="CQ33" s="1105"/>
      <c r="CR33" s="1106" t="s">
        <v>38</v>
      </c>
      <c r="CS33" s="1113"/>
      <c r="CT33" s="1289">
        <f>'2024_ar_grozījumiem'!CT33-'2024_gada_plāns'!CT33</f>
        <v>0</v>
      </c>
      <c r="CU33" s="1105"/>
      <c r="CV33" s="1106" t="s">
        <v>38</v>
      </c>
      <c r="CW33" s="1113"/>
      <c r="CX33" s="1289">
        <f>'2024_ar_grozījumiem'!CX33-'2024_gada_plāns'!CX33</f>
        <v>-2.1156044297650141</v>
      </c>
      <c r="CY33" s="1356"/>
      <c r="CZ33" s="1890">
        <f>CF33/'2024_gada_plāns'!CF33</f>
        <v>6.5153654034099545E-4</v>
      </c>
      <c r="DA33" s="1891"/>
      <c r="DB33" s="1892">
        <f>CH33/'2024_gada_plāns'!CH33</f>
        <v>6.5153654034099838E-4</v>
      </c>
      <c r="DC33" s="1893"/>
      <c r="DD33" s="1891" t="s">
        <v>38</v>
      </c>
      <c r="DE33" s="1905"/>
      <c r="DF33" s="1896">
        <f>CL33/'2024_gada_plāns'!CL33</f>
        <v>-1.7357807318177199E-2</v>
      </c>
      <c r="DG33" s="1897"/>
      <c r="DH33" s="1899" t="s">
        <v>38</v>
      </c>
      <c r="DI33" s="1905"/>
      <c r="DJ33" s="1896">
        <f>CP33/'2024_gada_plāns'!CP33</f>
        <v>-1.7357807318177199E-2</v>
      </c>
      <c r="DK33" s="1899"/>
      <c r="DL33" s="1891" t="s">
        <v>38</v>
      </c>
      <c r="DM33" s="1905"/>
      <c r="DN33" s="1900" t="s">
        <v>38</v>
      </c>
      <c r="DO33" s="1899"/>
      <c r="DP33" s="1891" t="s">
        <v>38</v>
      </c>
      <c r="DQ33" s="1905"/>
      <c r="DR33" s="1896">
        <f>CX33/'2024_gada_plāns'!CX33</f>
        <v>-1.7997617752913149E-2</v>
      </c>
      <c r="DS33" s="1901"/>
    </row>
    <row r="34" spans="1:123" ht="15.75" customHeight="1" x14ac:dyDescent="0.25">
      <c r="A34" s="2242"/>
      <c r="B34" s="19"/>
      <c r="C34" s="988" t="s">
        <v>39</v>
      </c>
      <c r="D34" s="234">
        <v>31.699999999999996</v>
      </c>
      <c r="E34" s="228"/>
      <c r="F34" s="246">
        <v>1.4521300961978926E-2</v>
      </c>
      <c r="G34" s="228"/>
      <c r="H34" s="293" t="s">
        <v>38</v>
      </c>
      <c r="I34" s="230" t="s">
        <v>38</v>
      </c>
      <c r="J34" s="285">
        <v>16447</v>
      </c>
      <c r="K34" s="208"/>
      <c r="L34" s="406" t="s">
        <v>38</v>
      </c>
      <c r="M34" s="505" t="s">
        <v>38</v>
      </c>
      <c r="N34" s="506">
        <v>16447</v>
      </c>
      <c r="O34" s="522"/>
      <c r="P34" s="293" t="s">
        <v>38</v>
      </c>
      <c r="Q34" s="230" t="s">
        <v>38</v>
      </c>
      <c r="R34" s="506">
        <v>0</v>
      </c>
      <c r="S34" s="208"/>
      <c r="T34" s="293" t="s">
        <v>38</v>
      </c>
      <c r="U34" s="230" t="s">
        <v>38</v>
      </c>
      <c r="V34" s="231">
        <v>518.83280757097793</v>
      </c>
      <c r="W34" s="231"/>
      <c r="X34" s="234">
        <v>29.4</v>
      </c>
      <c r="Y34" s="228"/>
      <c r="Z34" s="246">
        <v>1.3461538461538461E-2</v>
      </c>
      <c r="AA34" s="228"/>
      <c r="AB34" s="293" t="s">
        <v>38</v>
      </c>
      <c r="AC34" s="230" t="s">
        <v>38</v>
      </c>
      <c r="AD34" s="285">
        <v>15863</v>
      </c>
      <c r="AE34" s="208"/>
      <c r="AF34" s="406" t="s">
        <v>38</v>
      </c>
      <c r="AG34" s="505" t="s">
        <v>38</v>
      </c>
      <c r="AH34" s="506">
        <v>15863</v>
      </c>
      <c r="AI34" s="522"/>
      <c r="AJ34" s="293" t="s">
        <v>38</v>
      </c>
      <c r="AK34" s="230" t="s">
        <v>38</v>
      </c>
      <c r="AL34" s="506">
        <v>0</v>
      </c>
      <c r="AM34" s="208"/>
      <c r="AN34" s="293" t="s">
        <v>38</v>
      </c>
      <c r="AO34" s="230" t="s">
        <v>38</v>
      </c>
      <c r="AP34" s="231">
        <v>539.55782312925169</v>
      </c>
      <c r="AQ34" s="231"/>
      <c r="AR34" s="1440">
        <f>'2024_ar_grozījumiem'!AR34-'2024_gada_plāns'!AR34</f>
        <v>1.5999999999999979</v>
      </c>
      <c r="AS34" s="1441"/>
      <c r="AT34" s="1442">
        <f>'2024_ar_grozījumiem'!AT34-'2024_gada_plāns'!AT34</f>
        <v>7.24637681159419E-4</v>
      </c>
      <c r="AU34" s="1441"/>
      <c r="AV34" s="1107" t="s">
        <v>38</v>
      </c>
      <c r="AW34" s="1449"/>
      <c r="AX34" s="1107">
        <f>'2024_ar_grozījumiem'!AX34-'2024_gada_plāns'!AX34</f>
        <v>677</v>
      </c>
      <c r="AY34" s="1175"/>
      <c r="AZ34" s="1092" t="s">
        <v>38</v>
      </c>
      <c r="BA34" s="1446"/>
      <c r="BB34" s="1173">
        <f>'2024_ar_grozījumiem'!BB34-'2024_gada_plāns'!BB34</f>
        <v>677</v>
      </c>
      <c r="BC34" s="1656"/>
      <c r="BD34" s="1107" t="s">
        <v>38</v>
      </c>
      <c r="BE34" s="1449"/>
      <c r="BF34" s="1173">
        <f>'2024_ar_grozījumiem'!BF34-'2024_gada_plāns'!BF34</f>
        <v>0</v>
      </c>
      <c r="BG34" s="1175"/>
      <c r="BH34" s="1107" t="s">
        <v>38</v>
      </c>
      <c r="BI34" s="1449"/>
      <c r="BJ34" s="1092">
        <f>'2024_ar_grozījumiem'!BJ34-'2024_gada_plāns'!BJ34</f>
        <v>-0.8916647954902146</v>
      </c>
      <c r="BK34" s="1092"/>
      <c r="BL34" s="1283">
        <f>'2024_ar_grozījumiem'!BL34-'2024_gada_plāns'!BL34</f>
        <v>-0.69999999999999929</v>
      </c>
      <c r="BM34" s="1087"/>
      <c r="BN34" s="1087">
        <f>'2024_ar_grozījumiem'!BN34-'2024_gada_plāns'!BN34</f>
        <v>-3.1688546853779996E-4</v>
      </c>
      <c r="BO34" s="1087"/>
      <c r="BP34" s="1285" t="s">
        <v>38</v>
      </c>
      <c r="BQ34" s="1108"/>
      <c r="BR34" s="1285">
        <f>'2024_ar_grozījumiem'!BR34-'2024_gada_plāns'!BR34</f>
        <v>-889</v>
      </c>
      <c r="BS34" s="1091"/>
      <c r="BT34" s="1095" t="s">
        <v>38</v>
      </c>
      <c r="BU34" s="1093"/>
      <c r="BV34" s="1176">
        <f>'2024_ar_grozījumiem'!BV34-'2024_gada_plāns'!BV34</f>
        <v>-889</v>
      </c>
      <c r="BW34" s="1097"/>
      <c r="BX34" s="1285" t="s">
        <v>38</v>
      </c>
      <c r="BY34" s="1108"/>
      <c r="BZ34" s="1176">
        <f>'2024_ar_grozījumiem'!BZ34-'2024_gada_plāns'!BZ34</f>
        <v>0</v>
      </c>
      <c r="CA34" s="1091"/>
      <c r="CB34" s="1285" t="s">
        <v>38</v>
      </c>
      <c r="CC34" s="1108"/>
      <c r="CD34" s="1095">
        <f>'2024_ar_grozījumiem'!CD34-'2024_gada_plāns'!CD34</f>
        <v>-16.981261740046762</v>
      </c>
      <c r="CE34" s="1095"/>
      <c r="CF34" s="1309">
        <f>'2024_ar_grozījumiem'!CF34-'2024_gada_plāns'!CF34</f>
        <v>0.90000000000000568</v>
      </c>
      <c r="CG34" s="1095"/>
      <c r="CH34" s="1088">
        <f>'2024_ar_grozījumiem'!CH34-'2024_gada_plāns'!CH34</f>
        <v>1.0273972602739892E-4</v>
      </c>
      <c r="CI34" s="1108"/>
      <c r="CJ34" s="1095" t="s">
        <v>38</v>
      </c>
      <c r="CK34" s="1093"/>
      <c r="CL34" s="1176">
        <f>'2024_ar_grozījumiem'!CL34-'2024_gada_plāns'!CL34</f>
        <v>-212</v>
      </c>
      <c r="CM34" s="1169"/>
      <c r="CN34" s="1091" t="s">
        <v>38</v>
      </c>
      <c r="CO34" s="1093"/>
      <c r="CP34" s="1176">
        <f>'2024_ar_grozījumiem'!CP34-'2024_gada_plāns'!CP34</f>
        <v>-212</v>
      </c>
      <c r="CQ34" s="1091"/>
      <c r="CR34" s="1095" t="s">
        <v>38</v>
      </c>
      <c r="CS34" s="1093"/>
      <c r="CT34" s="1176">
        <f>'2024_ar_grozījumiem'!CT34-'2024_gada_plāns'!CT34</f>
        <v>0</v>
      </c>
      <c r="CU34" s="1091"/>
      <c r="CV34" s="1095" t="s">
        <v>38</v>
      </c>
      <c r="CW34" s="1093"/>
      <c r="CX34" s="1176">
        <f>'2024_ar_grozījumiem'!CX34-'2024_gada_plāns'!CX34</f>
        <v>-5.6266727848110349</v>
      </c>
      <c r="CY34" s="1352"/>
      <c r="CZ34" s="1877">
        <f>CF34/'2024_gada_plāns'!CF34</f>
        <v>7.5440067057837871E-3</v>
      </c>
      <c r="DA34" s="1881"/>
      <c r="DB34" s="1902">
        <f>CH34/'2024_gada_plāns'!CH34</f>
        <v>7.5440067057838617E-3</v>
      </c>
      <c r="DC34" s="1887"/>
      <c r="DD34" s="1881" t="s">
        <v>38</v>
      </c>
      <c r="DE34" s="1882"/>
      <c r="DF34" s="1883">
        <f>CL34/'2024_gada_plāns'!CL34</f>
        <v>-3.4444101447627094E-3</v>
      </c>
      <c r="DG34" s="1884"/>
      <c r="DH34" s="1885" t="s">
        <v>38</v>
      </c>
      <c r="DI34" s="1882"/>
      <c r="DJ34" s="1883">
        <f>CP34/'2024_gada_plāns'!CP34</f>
        <v>-3.4444101447627094E-3</v>
      </c>
      <c r="DK34" s="1885"/>
      <c r="DL34" s="1881" t="s">
        <v>38</v>
      </c>
      <c r="DM34" s="1882"/>
      <c r="DN34" s="1888" t="s">
        <v>38</v>
      </c>
      <c r="DO34" s="1885"/>
      <c r="DP34" s="1881" t="s">
        <v>38</v>
      </c>
      <c r="DQ34" s="1882"/>
      <c r="DR34" s="1883">
        <f>CX34/'2024_gada_plāns'!CX34</f>
        <v>-1.0906140850833586E-2</v>
      </c>
      <c r="DS34" s="1889"/>
    </row>
    <row r="35" spans="1:123" ht="15.75" customHeight="1" x14ac:dyDescent="0.25">
      <c r="A35" s="2242"/>
      <c r="B35" s="19"/>
      <c r="C35" s="988" t="s">
        <v>40</v>
      </c>
      <c r="D35" s="234">
        <v>0</v>
      </c>
      <c r="E35" s="228"/>
      <c r="F35" s="246">
        <v>0</v>
      </c>
      <c r="G35" s="228"/>
      <c r="H35" s="293" t="s">
        <v>38</v>
      </c>
      <c r="I35" s="230" t="s">
        <v>38</v>
      </c>
      <c r="J35" s="285">
        <v>0</v>
      </c>
      <c r="K35" s="208"/>
      <c r="L35" s="406" t="s">
        <v>38</v>
      </c>
      <c r="M35" s="505" t="s">
        <v>38</v>
      </c>
      <c r="N35" s="506">
        <v>0</v>
      </c>
      <c r="O35" s="522"/>
      <c r="P35" s="293" t="s">
        <v>38</v>
      </c>
      <c r="Q35" s="230" t="s">
        <v>38</v>
      </c>
      <c r="R35" s="506">
        <v>0</v>
      </c>
      <c r="S35" s="208"/>
      <c r="T35" s="293" t="s">
        <v>38</v>
      </c>
      <c r="U35" s="230" t="s">
        <v>38</v>
      </c>
      <c r="V35" s="231">
        <v>0</v>
      </c>
      <c r="W35" s="231"/>
      <c r="X35" s="234">
        <v>0</v>
      </c>
      <c r="Y35" s="228"/>
      <c r="Z35" s="246">
        <v>0</v>
      </c>
      <c r="AA35" s="228"/>
      <c r="AB35" s="293" t="s">
        <v>38</v>
      </c>
      <c r="AC35" s="230" t="s">
        <v>38</v>
      </c>
      <c r="AD35" s="285">
        <v>0</v>
      </c>
      <c r="AE35" s="208"/>
      <c r="AF35" s="406" t="s">
        <v>38</v>
      </c>
      <c r="AG35" s="505" t="s">
        <v>38</v>
      </c>
      <c r="AH35" s="506">
        <v>0</v>
      </c>
      <c r="AI35" s="522"/>
      <c r="AJ35" s="293" t="s">
        <v>38</v>
      </c>
      <c r="AK35" s="230" t="s">
        <v>38</v>
      </c>
      <c r="AL35" s="506">
        <v>0</v>
      </c>
      <c r="AM35" s="208"/>
      <c r="AN35" s="293" t="s">
        <v>38</v>
      </c>
      <c r="AO35" s="230" t="s">
        <v>38</v>
      </c>
      <c r="AP35" s="231">
        <v>0</v>
      </c>
      <c r="AQ35" s="231"/>
      <c r="AR35" s="1440">
        <f>'2024_ar_grozījumiem'!AR35-'2024_gada_plāns'!AR35</f>
        <v>0</v>
      </c>
      <c r="AS35" s="1441"/>
      <c r="AT35" s="1442">
        <f>'2024_ar_grozījumiem'!AT35-'2024_gada_plāns'!AT35</f>
        <v>0</v>
      </c>
      <c r="AU35" s="1441"/>
      <c r="AV35" s="1107" t="s">
        <v>38</v>
      </c>
      <c r="AW35" s="1449"/>
      <c r="AX35" s="1107">
        <f>'2024_ar_grozījumiem'!AX35-'2024_gada_plāns'!AX35</f>
        <v>0</v>
      </c>
      <c r="AY35" s="1175"/>
      <c r="AZ35" s="1092" t="s">
        <v>38</v>
      </c>
      <c r="BA35" s="1446"/>
      <c r="BB35" s="1173">
        <f>'2024_ar_grozījumiem'!BB35-'2024_gada_plāns'!BB35</f>
        <v>0</v>
      </c>
      <c r="BC35" s="1656"/>
      <c r="BD35" s="1107" t="s">
        <v>38</v>
      </c>
      <c r="BE35" s="1449"/>
      <c r="BF35" s="1173">
        <f>'2024_ar_grozījumiem'!BF35-'2024_gada_plāns'!BF35</f>
        <v>0</v>
      </c>
      <c r="BG35" s="1175"/>
      <c r="BH35" s="1107" t="s">
        <v>38</v>
      </c>
      <c r="BI35" s="1449"/>
      <c r="BJ35" s="1092" t="s">
        <v>38</v>
      </c>
      <c r="BK35" s="1092"/>
      <c r="BL35" s="1283">
        <f>'2024_ar_grozījumiem'!BL35-'2024_gada_plāns'!BL35</f>
        <v>0</v>
      </c>
      <c r="BM35" s="1087"/>
      <c r="BN35" s="1087">
        <f>'2024_ar_grozījumiem'!BN35-'2024_gada_plāns'!BN35</f>
        <v>0</v>
      </c>
      <c r="BO35" s="1087"/>
      <c r="BP35" s="1285" t="s">
        <v>38</v>
      </c>
      <c r="BQ35" s="1108"/>
      <c r="BR35" s="1285">
        <f>'2024_ar_grozījumiem'!BR35-'2024_gada_plāns'!BR35</f>
        <v>0</v>
      </c>
      <c r="BS35" s="1091"/>
      <c r="BT35" s="1095" t="s">
        <v>38</v>
      </c>
      <c r="BU35" s="1093"/>
      <c r="BV35" s="1176">
        <f>'2024_ar_grozījumiem'!BV35-'2024_gada_plāns'!BV35</f>
        <v>0</v>
      </c>
      <c r="BW35" s="1097"/>
      <c r="BX35" s="1285" t="s">
        <v>38</v>
      </c>
      <c r="BY35" s="1108"/>
      <c r="BZ35" s="1176">
        <f>'2024_ar_grozījumiem'!BZ35-'2024_gada_plāns'!BZ35</f>
        <v>0</v>
      </c>
      <c r="CA35" s="1091"/>
      <c r="CB35" s="1285" t="s">
        <v>38</v>
      </c>
      <c r="CC35" s="1108"/>
      <c r="CD35" s="1095" t="s">
        <v>38</v>
      </c>
      <c r="CE35" s="1095"/>
      <c r="CF35" s="1309">
        <f>'2024_ar_grozījumiem'!CF35-'2024_gada_plāns'!CF35</f>
        <v>0</v>
      </c>
      <c r="CG35" s="1095"/>
      <c r="CH35" s="1088">
        <f>'2024_ar_grozījumiem'!CH35-'2024_gada_plāns'!CH35</f>
        <v>0</v>
      </c>
      <c r="CI35" s="1108"/>
      <c r="CJ35" s="1095" t="s">
        <v>38</v>
      </c>
      <c r="CK35" s="1093"/>
      <c r="CL35" s="1176">
        <f>'2024_ar_grozījumiem'!CL35-'2024_gada_plāns'!CL35</f>
        <v>0</v>
      </c>
      <c r="CM35" s="1169"/>
      <c r="CN35" s="1091" t="s">
        <v>38</v>
      </c>
      <c r="CO35" s="1093"/>
      <c r="CP35" s="1176">
        <f>'2024_ar_grozījumiem'!CP35-'2024_gada_plāns'!CP35</f>
        <v>0</v>
      </c>
      <c r="CQ35" s="1091"/>
      <c r="CR35" s="1095" t="s">
        <v>38</v>
      </c>
      <c r="CS35" s="1093"/>
      <c r="CT35" s="1176">
        <f>'2024_ar_grozījumiem'!CT35-'2024_gada_plāns'!CT35</f>
        <v>0</v>
      </c>
      <c r="CU35" s="1091"/>
      <c r="CV35" s="1095" t="s">
        <v>38</v>
      </c>
      <c r="CW35" s="1093"/>
      <c r="CX35" s="1176" t="s">
        <v>38</v>
      </c>
      <c r="CY35" s="1352"/>
      <c r="CZ35" s="1877" t="s">
        <v>38</v>
      </c>
      <c r="DA35" s="1881"/>
      <c r="DB35" s="1902" t="s">
        <v>38</v>
      </c>
      <c r="DC35" s="1887"/>
      <c r="DD35" s="1881" t="s">
        <v>38</v>
      </c>
      <c r="DE35" s="1882"/>
      <c r="DF35" s="1883" t="s">
        <v>38</v>
      </c>
      <c r="DG35" s="1884"/>
      <c r="DH35" s="1885" t="s">
        <v>38</v>
      </c>
      <c r="DI35" s="1882"/>
      <c r="DJ35" s="1883" t="s">
        <v>38</v>
      </c>
      <c r="DK35" s="1885"/>
      <c r="DL35" s="1881" t="s">
        <v>38</v>
      </c>
      <c r="DM35" s="1882"/>
      <c r="DN35" s="1888" t="s">
        <v>38</v>
      </c>
      <c r="DO35" s="1885"/>
      <c r="DP35" s="1881" t="s">
        <v>38</v>
      </c>
      <c r="DQ35" s="1882"/>
      <c r="DR35" s="1888" t="s">
        <v>38</v>
      </c>
      <c r="DS35" s="1889"/>
    </row>
    <row r="36" spans="1:123" ht="15.75" customHeight="1" x14ac:dyDescent="0.25">
      <c r="A36" s="2242"/>
      <c r="B36" s="22"/>
      <c r="C36" s="988" t="s">
        <v>41</v>
      </c>
      <c r="D36" s="234">
        <v>2.5</v>
      </c>
      <c r="E36" s="228"/>
      <c r="F36" s="246">
        <v>1.1452130096197893E-3</v>
      </c>
      <c r="G36" s="228"/>
      <c r="H36" s="293" t="s">
        <v>38</v>
      </c>
      <c r="I36" s="230" t="s">
        <v>38</v>
      </c>
      <c r="J36" s="285">
        <v>4914</v>
      </c>
      <c r="K36" s="208"/>
      <c r="L36" s="406" t="s">
        <v>38</v>
      </c>
      <c r="M36" s="505" t="s">
        <v>38</v>
      </c>
      <c r="N36" s="506">
        <v>4914</v>
      </c>
      <c r="O36" s="522"/>
      <c r="P36" s="293" t="s">
        <v>38</v>
      </c>
      <c r="Q36" s="230" t="s">
        <v>38</v>
      </c>
      <c r="R36" s="506">
        <v>0</v>
      </c>
      <c r="S36" s="208"/>
      <c r="T36" s="293" t="s">
        <v>38</v>
      </c>
      <c r="U36" s="230" t="s">
        <v>38</v>
      </c>
      <c r="V36" s="231">
        <v>1965.6</v>
      </c>
      <c r="W36" s="231"/>
      <c r="X36" s="234">
        <v>4.5</v>
      </c>
      <c r="Y36" s="228"/>
      <c r="Z36" s="246">
        <v>2.0604395604395605E-3</v>
      </c>
      <c r="AA36" s="228"/>
      <c r="AB36" s="293" t="s">
        <v>38</v>
      </c>
      <c r="AC36" s="230" t="s">
        <v>38</v>
      </c>
      <c r="AD36" s="285">
        <v>4949</v>
      </c>
      <c r="AE36" s="208"/>
      <c r="AF36" s="406" t="s">
        <v>38</v>
      </c>
      <c r="AG36" s="505" t="s">
        <v>38</v>
      </c>
      <c r="AH36" s="506">
        <v>4949</v>
      </c>
      <c r="AI36" s="522"/>
      <c r="AJ36" s="293" t="s">
        <v>38</v>
      </c>
      <c r="AK36" s="230" t="s">
        <v>38</v>
      </c>
      <c r="AL36" s="506">
        <v>0</v>
      </c>
      <c r="AM36" s="208"/>
      <c r="AN36" s="293" t="s">
        <v>38</v>
      </c>
      <c r="AO36" s="230" t="s">
        <v>38</v>
      </c>
      <c r="AP36" s="231">
        <v>1099.7777777777778</v>
      </c>
      <c r="AQ36" s="231"/>
      <c r="AR36" s="1440">
        <f>'2024_ar_grozījumiem'!AR36-'2024_gada_plāns'!AR36</f>
        <v>0</v>
      </c>
      <c r="AS36" s="1441"/>
      <c r="AT36" s="1442">
        <f>'2024_ar_grozījumiem'!AT36-'2024_gada_plāns'!AT36</f>
        <v>0</v>
      </c>
      <c r="AU36" s="1441"/>
      <c r="AV36" s="1107" t="s">
        <v>38</v>
      </c>
      <c r="AW36" s="1449"/>
      <c r="AX36" s="1107">
        <f>'2024_ar_grozījumiem'!AX36-'2024_gada_plāns'!AX36</f>
        <v>0</v>
      </c>
      <c r="AY36" s="1175"/>
      <c r="AZ36" s="1092" t="s">
        <v>38</v>
      </c>
      <c r="BA36" s="1446"/>
      <c r="BB36" s="1173">
        <f>'2024_ar_grozījumiem'!BB36-'2024_gada_plāns'!BB36</f>
        <v>0</v>
      </c>
      <c r="BC36" s="1656"/>
      <c r="BD36" s="1107" t="s">
        <v>38</v>
      </c>
      <c r="BE36" s="1449"/>
      <c r="BF36" s="1173">
        <f>'2024_ar_grozījumiem'!BF36-'2024_gada_plāns'!BF36</f>
        <v>0</v>
      </c>
      <c r="BG36" s="1175"/>
      <c r="BH36" s="1107" t="s">
        <v>38</v>
      </c>
      <c r="BI36" s="1449"/>
      <c r="BJ36" s="1092" t="s">
        <v>38</v>
      </c>
      <c r="BK36" s="1092"/>
      <c r="BL36" s="1283">
        <f>'2024_ar_grozījumiem'!BL36-'2024_gada_plāns'!BL36</f>
        <v>0</v>
      </c>
      <c r="BM36" s="1087"/>
      <c r="BN36" s="1087">
        <f>'2024_ar_grozījumiem'!BN36-'2024_gada_plāns'!BN36</f>
        <v>0</v>
      </c>
      <c r="BO36" s="1087"/>
      <c r="BP36" s="1285" t="s">
        <v>38</v>
      </c>
      <c r="BQ36" s="1108"/>
      <c r="BR36" s="1285">
        <f>'2024_ar_grozījumiem'!BR36-'2024_gada_plāns'!BR36</f>
        <v>-16</v>
      </c>
      <c r="BS36" s="1091"/>
      <c r="BT36" s="1095" t="s">
        <v>38</v>
      </c>
      <c r="BU36" s="1093"/>
      <c r="BV36" s="1176">
        <f>'2024_ar_grozījumiem'!BV36-'2024_gada_plāns'!BV36</f>
        <v>-16</v>
      </c>
      <c r="BW36" s="1097"/>
      <c r="BX36" s="1285" t="s">
        <v>38</v>
      </c>
      <c r="BY36" s="1108"/>
      <c r="BZ36" s="1176">
        <f>'2024_ar_grozījumiem'!BZ36-'2024_gada_plāns'!BZ36</f>
        <v>0</v>
      </c>
      <c r="CA36" s="1091"/>
      <c r="CB36" s="1285" t="s">
        <v>38</v>
      </c>
      <c r="CC36" s="1108"/>
      <c r="CD36" s="1095">
        <f>'2024_ar_grozījumiem'!CD36-'2024_gada_plāns'!CD36</f>
        <v>-4.5714285714286689</v>
      </c>
      <c r="CE36" s="1095"/>
      <c r="CF36" s="1309">
        <f>'2024_ar_grozījumiem'!CF36-'2024_gada_plāns'!CF36</f>
        <v>0</v>
      </c>
      <c r="CG36" s="1095"/>
      <c r="CH36" s="1088">
        <f>'2024_ar_grozījumiem'!CH36-'2024_gada_plāns'!CH36</f>
        <v>0</v>
      </c>
      <c r="CI36" s="1108"/>
      <c r="CJ36" s="1095" t="s">
        <v>38</v>
      </c>
      <c r="CK36" s="1093"/>
      <c r="CL36" s="1176">
        <f>'2024_ar_grozījumiem'!CL36-'2024_gada_plāns'!CL36</f>
        <v>-16</v>
      </c>
      <c r="CM36" s="1169"/>
      <c r="CN36" s="1091" t="s">
        <v>38</v>
      </c>
      <c r="CO36" s="1093"/>
      <c r="CP36" s="1176">
        <f>'2024_ar_grozījumiem'!CP36-'2024_gada_plāns'!CP36</f>
        <v>-16</v>
      </c>
      <c r="CQ36" s="1091"/>
      <c r="CR36" s="1095" t="s">
        <v>38</v>
      </c>
      <c r="CS36" s="1093"/>
      <c r="CT36" s="1176">
        <f>'2024_ar_grozījumiem'!CT36-'2024_gada_plāns'!CT36</f>
        <v>0</v>
      </c>
      <c r="CU36" s="1091"/>
      <c r="CV36" s="1095" t="s">
        <v>38</v>
      </c>
      <c r="CW36" s="1093"/>
      <c r="CX36" s="1176">
        <f>'2024_ar_grozījumiem'!CX36-'2024_gada_plāns'!CX36</f>
        <v>-1.5238095238096321</v>
      </c>
      <c r="CY36" s="1357"/>
      <c r="CZ36" s="1877">
        <f>CF36/'2024_gada_plāns'!CF36</f>
        <v>0</v>
      </c>
      <c r="DA36" s="1881"/>
      <c r="DB36" s="1902">
        <f>CH36/'2024_gada_plāns'!CH36</f>
        <v>0</v>
      </c>
      <c r="DC36" s="1887"/>
      <c r="DD36" s="1881" t="s">
        <v>38</v>
      </c>
      <c r="DE36" s="1882"/>
      <c r="DF36" s="1883">
        <f>CL36/'2024_gada_plāns'!CL36</f>
        <v>-1.0815195349466E-3</v>
      </c>
      <c r="DG36" s="1884"/>
      <c r="DH36" s="1885" t="s">
        <v>38</v>
      </c>
      <c r="DI36" s="1882"/>
      <c r="DJ36" s="1883">
        <f>CP36/'2024_gada_plāns'!CP36</f>
        <v>-1.0815195349466E-3</v>
      </c>
      <c r="DK36" s="1885"/>
      <c r="DL36" s="1881" t="s">
        <v>38</v>
      </c>
      <c r="DM36" s="1882"/>
      <c r="DN36" s="1888" t="s">
        <v>38</v>
      </c>
      <c r="DO36" s="1885"/>
      <c r="DP36" s="1881" t="s">
        <v>38</v>
      </c>
      <c r="DQ36" s="1882"/>
      <c r="DR36" s="1883">
        <f>CX36/'2024_gada_plāns'!CX36</f>
        <v>-1.0815195349466768E-3</v>
      </c>
      <c r="DS36" s="1906"/>
    </row>
    <row r="37" spans="1:123" ht="15.75" customHeight="1" x14ac:dyDescent="0.25">
      <c r="A37" s="2242"/>
      <c r="B37" s="22"/>
      <c r="C37" s="988" t="s">
        <v>42</v>
      </c>
      <c r="D37" s="234">
        <v>17.399999999999999</v>
      </c>
      <c r="E37" s="228"/>
      <c r="F37" s="246">
        <v>7.9706825469537321E-3</v>
      </c>
      <c r="G37" s="228"/>
      <c r="H37" s="293" t="s">
        <v>38</v>
      </c>
      <c r="I37" s="230" t="s">
        <v>38</v>
      </c>
      <c r="J37" s="285">
        <v>2854</v>
      </c>
      <c r="K37" s="208"/>
      <c r="L37" s="406" t="s">
        <v>38</v>
      </c>
      <c r="M37" s="505" t="s">
        <v>38</v>
      </c>
      <c r="N37" s="506">
        <v>2854</v>
      </c>
      <c r="O37" s="522"/>
      <c r="P37" s="293" t="s">
        <v>38</v>
      </c>
      <c r="Q37" s="230" t="s">
        <v>38</v>
      </c>
      <c r="R37" s="506">
        <v>0</v>
      </c>
      <c r="S37" s="208"/>
      <c r="T37" s="293" t="s">
        <v>38</v>
      </c>
      <c r="U37" s="230" t="s">
        <v>38</v>
      </c>
      <c r="V37" s="231">
        <v>164.02298850574715</v>
      </c>
      <c r="W37" s="231"/>
      <c r="X37" s="234">
        <v>17.3</v>
      </c>
      <c r="Y37" s="228"/>
      <c r="Z37" s="246">
        <v>7.9212454212454209E-3</v>
      </c>
      <c r="AA37" s="228"/>
      <c r="AB37" s="293" t="s">
        <v>38</v>
      </c>
      <c r="AC37" s="230" t="s">
        <v>38</v>
      </c>
      <c r="AD37" s="285">
        <v>2192</v>
      </c>
      <c r="AE37" s="208"/>
      <c r="AF37" s="406" t="s">
        <v>38</v>
      </c>
      <c r="AG37" s="505" t="s">
        <v>38</v>
      </c>
      <c r="AH37" s="506">
        <v>2192</v>
      </c>
      <c r="AI37" s="522"/>
      <c r="AJ37" s="293" t="s">
        <v>38</v>
      </c>
      <c r="AK37" s="230" t="s">
        <v>38</v>
      </c>
      <c r="AL37" s="506">
        <v>0</v>
      </c>
      <c r="AM37" s="208"/>
      <c r="AN37" s="293" t="s">
        <v>38</v>
      </c>
      <c r="AO37" s="230" t="s">
        <v>38</v>
      </c>
      <c r="AP37" s="231">
        <v>126.70520231213872</v>
      </c>
      <c r="AQ37" s="231"/>
      <c r="AR37" s="1440">
        <f>'2024_ar_grozījumiem'!AR37-'2024_gada_plāns'!AR37</f>
        <v>0</v>
      </c>
      <c r="AS37" s="1441"/>
      <c r="AT37" s="1442">
        <f>'2024_ar_grozījumiem'!AT37-'2024_gada_plāns'!AT37</f>
        <v>0</v>
      </c>
      <c r="AU37" s="1441"/>
      <c r="AV37" s="1107" t="s">
        <v>38</v>
      </c>
      <c r="AW37" s="1449"/>
      <c r="AX37" s="1107">
        <f>'2024_ar_grozījumiem'!AX37-'2024_gada_plāns'!AX37</f>
        <v>-82</v>
      </c>
      <c r="AY37" s="1175"/>
      <c r="AZ37" s="1092" t="s">
        <v>38</v>
      </c>
      <c r="BA37" s="1446"/>
      <c r="BB37" s="1173">
        <f>'2024_ar_grozījumiem'!BB37-'2024_gada_plāns'!BB37</f>
        <v>-82</v>
      </c>
      <c r="BC37" s="1656"/>
      <c r="BD37" s="1107" t="s">
        <v>38</v>
      </c>
      <c r="BE37" s="1449"/>
      <c r="BF37" s="1173">
        <f>'2024_ar_grozījumiem'!BF37-'2024_gada_plāns'!BF37</f>
        <v>0</v>
      </c>
      <c r="BG37" s="1175"/>
      <c r="BH37" s="1107" t="s">
        <v>38</v>
      </c>
      <c r="BI37" s="1449"/>
      <c r="BJ37" s="1092">
        <f>'2024_ar_grozījumiem'!BJ37-'2024_gada_plāns'!BJ37</f>
        <v>-4.6857142857142833</v>
      </c>
      <c r="BK37" s="1092"/>
      <c r="BL37" s="1283">
        <f>'2024_ar_grozījumiem'!BL37-'2024_gada_plāns'!BL37</f>
        <v>0</v>
      </c>
      <c r="BM37" s="1087"/>
      <c r="BN37" s="1087">
        <f>'2024_ar_grozījumiem'!BN37-'2024_gada_plāns'!BN37</f>
        <v>0</v>
      </c>
      <c r="BO37" s="1087"/>
      <c r="BP37" s="1285" t="s">
        <v>38</v>
      </c>
      <c r="BQ37" s="1108"/>
      <c r="BR37" s="1285">
        <f>'2024_ar_grozījumiem'!BR37-'2024_gada_plāns'!BR37</f>
        <v>-81</v>
      </c>
      <c r="BS37" s="1091"/>
      <c r="BT37" s="1095" t="s">
        <v>38</v>
      </c>
      <c r="BU37" s="1093"/>
      <c r="BV37" s="1176">
        <f>'2024_ar_grozījumiem'!BV37-'2024_gada_plāns'!BV37</f>
        <v>-81</v>
      </c>
      <c r="BW37" s="1097"/>
      <c r="BX37" s="1285" t="s">
        <v>38</v>
      </c>
      <c r="BY37" s="1108"/>
      <c r="BZ37" s="1176">
        <f>'2024_ar_grozījumiem'!BZ37-'2024_gada_plāns'!BZ37</f>
        <v>0</v>
      </c>
      <c r="CA37" s="1091"/>
      <c r="CB37" s="1285" t="s">
        <v>38</v>
      </c>
      <c r="CC37" s="1108"/>
      <c r="CD37" s="1095">
        <f>'2024_ar_grozījumiem'!CD37-'2024_gada_plāns'!CD37</f>
        <v>-4.6285714285714334</v>
      </c>
      <c r="CE37" s="1095"/>
      <c r="CF37" s="1309">
        <f>'2024_ar_grozījumiem'!CF37-'2024_gada_plāns'!CF37</f>
        <v>0</v>
      </c>
      <c r="CG37" s="1095"/>
      <c r="CH37" s="1088">
        <f>'2024_ar_grozījumiem'!CH37-'2024_gada_plāns'!CH37</f>
        <v>0</v>
      </c>
      <c r="CI37" s="1108"/>
      <c r="CJ37" s="1095" t="s">
        <v>38</v>
      </c>
      <c r="CK37" s="1093"/>
      <c r="CL37" s="1176">
        <f>'2024_ar_grozījumiem'!CL37-'2024_gada_plāns'!CL37</f>
        <v>-163</v>
      </c>
      <c r="CM37" s="1169"/>
      <c r="CN37" s="1091" t="s">
        <v>38</v>
      </c>
      <c r="CO37" s="1093"/>
      <c r="CP37" s="1176">
        <f>'2024_ar_grozījumiem'!CP37-'2024_gada_plāns'!CP37</f>
        <v>-163</v>
      </c>
      <c r="CQ37" s="1091"/>
      <c r="CR37" s="1095" t="s">
        <v>38</v>
      </c>
      <c r="CS37" s="1093"/>
      <c r="CT37" s="1176">
        <f>'2024_ar_grozījumiem'!CT37-'2024_gada_plāns'!CT37</f>
        <v>0</v>
      </c>
      <c r="CU37" s="1091"/>
      <c r="CV37" s="1095" t="s">
        <v>38</v>
      </c>
      <c r="CW37" s="1093"/>
      <c r="CX37" s="1176">
        <f>'2024_ar_grozījumiem'!CX37-'2024_gada_plāns'!CX37</f>
        <v>-2.3385939741750406</v>
      </c>
      <c r="CY37" s="1357"/>
      <c r="CZ37" s="1877">
        <f>CF37/'2024_gada_plāns'!CF37</f>
        <v>0</v>
      </c>
      <c r="DA37" s="1881"/>
      <c r="DB37" s="1902">
        <f>CH37/'2024_gada_plāns'!CH37</f>
        <v>0</v>
      </c>
      <c r="DC37" s="1887"/>
      <c r="DD37" s="1881" t="s">
        <v>38</v>
      </c>
      <c r="DE37" s="1882"/>
      <c r="DF37" s="1883">
        <f>CL37/'2024_gada_plāns'!CL37</f>
        <v>-1.7331206804891017E-2</v>
      </c>
      <c r="DG37" s="1884"/>
      <c r="DH37" s="1885" t="s">
        <v>38</v>
      </c>
      <c r="DI37" s="1882"/>
      <c r="DJ37" s="1883">
        <f>CP37/'2024_gada_plāns'!CP37</f>
        <v>-1.7331206804891017E-2</v>
      </c>
      <c r="DK37" s="1885"/>
      <c r="DL37" s="1881" t="s">
        <v>38</v>
      </c>
      <c r="DM37" s="1882"/>
      <c r="DN37" s="1888" t="s">
        <v>38</v>
      </c>
      <c r="DO37" s="1885"/>
      <c r="DP37" s="1881" t="s">
        <v>38</v>
      </c>
      <c r="DQ37" s="1882"/>
      <c r="DR37" s="1883">
        <f>CX37/'2024_gada_plāns'!CX37</f>
        <v>-1.7331206804891048E-2</v>
      </c>
      <c r="DS37" s="1906"/>
    </row>
    <row r="38" spans="1:123" ht="15.75" customHeight="1" x14ac:dyDescent="0.25">
      <c r="A38" s="2242"/>
      <c r="B38" s="20"/>
      <c r="C38" s="988" t="s">
        <v>43</v>
      </c>
      <c r="D38" s="234">
        <v>185.5</v>
      </c>
      <c r="E38" s="228"/>
      <c r="F38" s="246">
        <v>8.4974805313788371E-2</v>
      </c>
      <c r="G38" s="228"/>
      <c r="H38" s="293" t="s">
        <v>38</v>
      </c>
      <c r="I38" s="230" t="s">
        <v>38</v>
      </c>
      <c r="J38" s="285">
        <v>5803</v>
      </c>
      <c r="K38" s="208"/>
      <c r="L38" s="406" t="s">
        <v>38</v>
      </c>
      <c r="M38" s="505" t="s">
        <v>38</v>
      </c>
      <c r="N38" s="506">
        <v>5803</v>
      </c>
      <c r="O38" s="208"/>
      <c r="P38" s="293" t="s">
        <v>38</v>
      </c>
      <c r="Q38" s="230" t="s">
        <v>38</v>
      </c>
      <c r="R38" s="506">
        <v>0</v>
      </c>
      <c r="S38" s="208"/>
      <c r="T38" s="293" t="s">
        <v>38</v>
      </c>
      <c r="U38" s="230" t="s">
        <v>38</v>
      </c>
      <c r="V38" s="231">
        <v>31.283018867924529</v>
      </c>
      <c r="W38" s="231"/>
      <c r="X38" s="234">
        <v>173.7</v>
      </c>
      <c r="Y38" s="228"/>
      <c r="Z38" s="246">
        <v>7.9532967032967028E-2</v>
      </c>
      <c r="AA38" s="228"/>
      <c r="AB38" s="293" t="s">
        <v>38</v>
      </c>
      <c r="AC38" s="230" t="s">
        <v>38</v>
      </c>
      <c r="AD38" s="285">
        <v>5430</v>
      </c>
      <c r="AE38" s="208"/>
      <c r="AF38" s="406" t="s">
        <v>38</v>
      </c>
      <c r="AG38" s="505" t="s">
        <v>38</v>
      </c>
      <c r="AH38" s="506">
        <v>5430</v>
      </c>
      <c r="AI38" s="208"/>
      <c r="AJ38" s="293" t="s">
        <v>38</v>
      </c>
      <c r="AK38" s="230" t="s">
        <v>38</v>
      </c>
      <c r="AL38" s="506">
        <v>0</v>
      </c>
      <c r="AM38" s="208"/>
      <c r="AN38" s="293" t="s">
        <v>38</v>
      </c>
      <c r="AO38" s="230" t="s">
        <v>38</v>
      </c>
      <c r="AP38" s="231">
        <v>31.260794473229709</v>
      </c>
      <c r="AQ38" s="231"/>
      <c r="AR38" s="1440">
        <f>'2024_ar_grozījumiem'!AR38-'2024_gada_plāns'!AR38</f>
        <v>0</v>
      </c>
      <c r="AS38" s="1441"/>
      <c r="AT38" s="1442">
        <f>'2024_ar_grozījumiem'!AT38-'2024_gada_plāns'!AT38</f>
        <v>0</v>
      </c>
      <c r="AU38" s="1441"/>
      <c r="AV38" s="1107" t="s">
        <v>38</v>
      </c>
      <c r="AW38" s="1449"/>
      <c r="AX38" s="1107">
        <f>'2024_ar_grozījumiem'!AX38-'2024_gada_plāns'!AX38</f>
        <v>-905</v>
      </c>
      <c r="AY38" s="1175"/>
      <c r="AZ38" s="1092" t="s">
        <v>38</v>
      </c>
      <c r="BA38" s="1446"/>
      <c r="BB38" s="1173">
        <f>'2024_ar_grozījumiem'!BB38-'2024_gada_plāns'!BB38</f>
        <v>-905</v>
      </c>
      <c r="BC38" s="1656"/>
      <c r="BD38" s="1107" t="s">
        <v>38</v>
      </c>
      <c r="BE38" s="1449"/>
      <c r="BF38" s="1173">
        <f>'2024_ar_grozījumiem'!BF38-'2024_gada_plāns'!BF38</f>
        <v>0</v>
      </c>
      <c r="BG38" s="1175"/>
      <c r="BH38" s="1107" t="s">
        <v>38</v>
      </c>
      <c r="BI38" s="1449"/>
      <c r="BJ38" s="1092">
        <f>'2024_ar_grozījumiem'!BJ38-'2024_gada_plāns'!BJ38</f>
        <v>-4.6553497942386812</v>
      </c>
      <c r="BK38" s="1092"/>
      <c r="BL38" s="1283">
        <f>'2024_ar_grozījumiem'!BL38-'2024_gada_plāns'!BL38</f>
        <v>-0.30000000000001137</v>
      </c>
      <c r="BM38" s="1087"/>
      <c r="BN38" s="1087">
        <f>'2024_ar_grozījumiem'!BN38-'2024_gada_plāns'!BN38</f>
        <v>-1.3580805794477513E-4</v>
      </c>
      <c r="BO38" s="1087"/>
      <c r="BP38" s="1285" t="s">
        <v>38</v>
      </c>
      <c r="BQ38" s="1108"/>
      <c r="BR38" s="1285">
        <f>'2024_ar_grozījumiem'!BR38-'2024_gada_plāns'!BR38</f>
        <v>-583</v>
      </c>
      <c r="BS38" s="1091"/>
      <c r="BT38" s="1095" t="s">
        <v>38</v>
      </c>
      <c r="BU38" s="1093"/>
      <c r="BV38" s="1176">
        <f>'2024_ar_grozījumiem'!BV38-'2024_gada_plāns'!BV38</f>
        <v>-583</v>
      </c>
      <c r="BW38" s="1097"/>
      <c r="BX38" s="1285" t="s">
        <v>38</v>
      </c>
      <c r="BY38" s="1108"/>
      <c r="BZ38" s="1176">
        <f>'2024_ar_grozījumiem'!BZ38-'2024_gada_plāns'!BZ38</f>
        <v>0</v>
      </c>
      <c r="CA38" s="1091"/>
      <c r="CB38" s="1285" t="s">
        <v>38</v>
      </c>
      <c r="CC38" s="1108"/>
      <c r="CD38" s="1095">
        <f>'2024_ar_grozījumiem'!CD38-'2024_gada_plāns'!CD38</f>
        <v>-3.4237276074929284</v>
      </c>
      <c r="CE38" s="1095"/>
      <c r="CF38" s="1309">
        <f>'2024_ar_grozījumiem'!CF38-'2024_gada_plāns'!CF38</f>
        <v>-0.3000000000001819</v>
      </c>
      <c r="CG38" s="1095"/>
      <c r="CH38" s="1088">
        <f>'2024_ar_grozījumiem'!CH38-'2024_gada_plāns'!CH38</f>
        <v>-3.4246575342483654E-5</v>
      </c>
      <c r="CI38" s="1108"/>
      <c r="CJ38" s="1095" t="s">
        <v>38</v>
      </c>
      <c r="CK38" s="1093"/>
      <c r="CL38" s="1176">
        <f>'2024_ar_grozījumiem'!CL38-'2024_gada_plāns'!CL38</f>
        <v>-1488</v>
      </c>
      <c r="CM38" s="1169"/>
      <c r="CN38" s="1091" t="s">
        <v>38</v>
      </c>
      <c r="CO38" s="1093"/>
      <c r="CP38" s="1176">
        <f>'2024_ar_grozījumiem'!CP38-'2024_gada_plāns'!CP38</f>
        <v>-1488</v>
      </c>
      <c r="CQ38" s="1091"/>
      <c r="CR38" s="1095" t="s">
        <v>38</v>
      </c>
      <c r="CS38" s="1093"/>
      <c r="CT38" s="1176">
        <f>'2024_ar_grozījumiem'!CT38-'2024_gada_plāns'!CT38</f>
        <v>0</v>
      </c>
      <c r="CU38" s="1091"/>
      <c r="CV38" s="1095" t="s">
        <v>38</v>
      </c>
      <c r="CW38" s="1093"/>
      <c r="CX38" s="1176">
        <f>'2024_ar_grozījumiem'!CX38-'2024_gada_plāns'!CX38</f>
        <v>-2.0505366054856289</v>
      </c>
      <c r="CY38" s="1357"/>
      <c r="CZ38" s="1877">
        <f>CF38/'2024_gada_plāns'!CF38</f>
        <v>-4.1585805378456037E-4</v>
      </c>
      <c r="DA38" s="1881"/>
      <c r="DB38" s="1902">
        <f>CH38/'2024_gada_plāns'!CH38</f>
        <v>-4.1585805378452562E-4</v>
      </c>
      <c r="DC38" s="1887"/>
      <c r="DD38" s="1881" t="s">
        <v>38</v>
      </c>
      <c r="DE38" s="1882"/>
      <c r="DF38" s="1883">
        <f>CL38/'2024_gada_plāns'!CL38</f>
        <v>-6.612451673110252E-2</v>
      </c>
      <c r="DG38" s="1884"/>
      <c r="DH38" s="1885" t="s">
        <v>38</v>
      </c>
      <c r="DI38" s="1882"/>
      <c r="DJ38" s="1883">
        <f>CP38/'2024_gada_plāns'!CP38</f>
        <v>-6.612451673110252E-2</v>
      </c>
      <c r="DK38" s="1885"/>
      <c r="DL38" s="1881" t="s">
        <v>38</v>
      </c>
      <c r="DM38" s="1882"/>
      <c r="DN38" s="1888" t="s">
        <v>38</v>
      </c>
      <c r="DO38" s="1885"/>
      <c r="DP38" s="1881" t="s">
        <v>38</v>
      </c>
      <c r="DQ38" s="1882"/>
      <c r="DR38" s="1883">
        <f>CX38/'2024_gada_plāns'!CX38</f>
        <v>-6.5735995520478721E-2</v>
      </c>
      <c r="DS38" s="1906"/>
    </row>
    <row r="39" spans="1:123" s="993" customFormat="1" ht="27" customHeight="1" x14ac:dyDescent="0.25">
      <c r="A39" s="2242"/>
      <c r="B39" s="995" t="s">
        <v>49</v>
      </c>
      <c r="C39" s="996"/>
      <c r="D39" s="287">
        <v>1322.6999999999998</v>
      </c>
      <c r="E39" s="288"/>
      <c r="F39" s="289">
        <v>0.12027935145359145</v>
      </c>
      <c r="G39" s="288"/>
      <c r="H39" s="290" t="s">
        <v>38</v>
      </c>
      <c r="I39" s="291" t="s">
        <v>38</v>
      </c>
      <c r="J39" s="292">
        <v>257780.48318317259</v>
      </c>
      <c r="K39" s="525"/>
      <c r="L39" s="407" t="s">
        <v>38</v>
      </c>
      <c r="M39" s="526" t="s">
        <v>38</v>
      </c>
      <c r="N39" s="527">
        <v>245915.48318317259</v>
      </c>
      <c r="O39" s="528"/>
      <c r="P39" s="290" t="s">
        <v>38</v>
      </c>
      <c r="Q39" s="291" t="s">
        <v>38</v>
      </c>
      <c r="R39" s="527">
        <v>11865</v>
      </c>
      <c r="S39" s="528"/>
      <c r="T39" s="290" t="s">
        <v>38</v>
      </c>
      <c r="U39" s="291" t="s">
        <v>38</v>
      </c>
      <c r="V39" s="529">
        <v>194.88960700323022</v>
      </c>
      <c r="W39" s="529"/>
      <c r="X39" s="287">
        <v>1295</v>
      </c>
      <c r="Y39" s="288"/>
      <c r="Z39" s="289">
        <v>0.11770694152828148</v>
      </c>
      <c r="AA39" s="288"/>
      <c r="AB39" s="290" t="s">
        <v>38</v>
      </c>
      <c r="AC39" s="291" t="s">
        <v>38</v>
      </c>
      <c r="AD39" s="292">
        <v>234300</v>
      </c>
      <c r="AE39" s="525"/>
      <c r="AF39" s="407" t="s">
        <v>38</v>
      </c>
      <c r="AG39" s="526" t="s">
        <v>38</v>
      </c>
      <c r="AH39" s="527">
        <v>222435</v>
      </c>
      <c r="AI39" s="528"/>
      <c r="AJ39" s="290" t="s">
        <v>38</v>
      </c>
      <c r="AK39" s="291" t="s">
        <v>38</v>
      </c>
      <c r="AL39" s="527">
        <v>11865</v>
      </c>
      <c r="AM39" s="528"/>
      <c r="AN39" s="290" t="s">
        <v>38</v>
      </c>
      <c r="AO39" s="291" t="s">
        <v>38</v>
      </c>
      <c r="AP39" s="529">
        <v>180.92664092664091</v>
      </c>
      <c r="AQ39" s="529"/>
      <c r="AR39" s="1451">
        <f>'2024_ar_grozījumiem'!AR39-'2024_gada_plāns'!AR39</f>
        <v>-41.499999999999773</v>
      </c>
      <c r="AS39" s="1452"/>
      <c r="AT39" s="1453">
        <f>'2024_ar_grozījumiem'!AT39-'2024_gada_plāns'!AT39</f>
        <v>-3.7364161017025277E-3</v>
      </c>
      <c r="AU39" s="1452"/>
      <c r="AV39" s="1100" t="s">
        <v>38</v>
      </c>
      <c r="AW39" s="1454"/>
      <c r="AX39" s="1100">
        <f>'2024_ar_grozījumiem'!AX39-'2024_gada_plāns'!AX39</f>
        <v>-9568</v>
      </c>
      <c r="AY39" s="1460"/>
      <c r="AZ39" s="1103" t="s">
        <v>38</v>
      </c>
      <c r="BA39" s="1457"/>
      <c r="BB39" s="1458">
        <f>'2024_ar_grozījumiem'!BB39-'2024_gada_plāns'!BB39</f>
        <v>-9568</v>
      </c>
      <c r="BC39" s="1461"/>
      <c r="BD39" s="1100" t="s">
        <v>38</v>
      </c>
      <c r="BE39" s="1454"/>
      <c r="BF39" s="1458">
        <f>'2024_ar_grozījumiem'!BF39-'2024_gada_plāns'!BF39</f>
        <v>0</v>
      </c>
      <c r="BG39" s="1461"/>
      <c r="BH39" s="1100" t="s">
        <v>38</v>
      </c>
      <c r="BI39" s="1454"/>
      <c r="BJ39" s="1112">
        <f>'2024_ar_grozījumiem'!BJ39-'2024_gada_plāns'!BJ39</f>
        <v>-2.4106392273571089</v>
      </c>
      <c r="BK39" s="1112"/>
      <c r="BL39" s="1286">
        <f>'2024_ar_grozījumiem'!BL39-'2024_gada_plāns'!BL39</f>
        <v>-38.800000000000182</v>
      </c>
      <c r="BM39" s="1098"/>
      <c r="BN39" s="1098">
        <f>'2024_ar_grozījumiem'!BN39-'2024_gada_plāns'!BN39</f>
        <v>-3.4964719876722505E-3</v>
      </c>
      <c r="BO39" s="1098"/>
      <c r="BP39" s="1287" t="s">
        <v>38</v>
      </c>
      <c r="BQ39" s="1101"/>
      <c r="BR39" s="1287">
        <f>'2024_ar_grozījumiem'!BR39-'2024_gada_plāns'!BR39</f>
        <v>-18664</v>
      </c>
      <c r="BS39" s="1102"/>
      <c r="BT39" s="1288" t="s">
        <v>38</v>
      </c>
      <c r="BU39" s="1104"/>
      <c r="BV39" s="1289">
        <f>'2024_ar_grozījumiem'!BV39-'2024_gada_plāns'!BV39</f>
        <v>-18664</v>
      </c>
      <c r="BW39" s="1105"/>
      <c r="BX39" s="1287" t="s">
        <v>38</v>
      </c>
      <c r="BY39" s="1101"/>
      <c r="BZ39" s="1289">
        <f>'2024_ar_grozījumiem'!BZ39-'2024_gada_plāns'!BZ39</f>
        <v>0</v>
      </c>
      <c r="CA39" s="1105"/>
      <c r="CB39" s="1287" t="s">
        <v>38</v>
      </c>
      <c r="CC39" s="1101"/>
      <c r="CD39" s="1106">
        <f>'2024_ar_grozījumiem'!CD39-'2024_gada_plāns'!CD39</f>
        <v>-9.4846851178783993</v>
      </c>
      <c r="CE39" s="1106"/>
      <c r="CF39" s="1353">
        <f>'2024_ar_grozījumiem'!CF39-'2024_gada_plāns'!CF39</f>
        <v>-80.299999999999272</v>
      </c>
      <c r="CG39" s="1106"/>
      <c r="CH39" s="1099">
        <f>'2024_ar_grozījumiem'!CH39-'2024_gada_plāns'!CH39</f>
        <v>-1.8166352205526287E-3</v>
      </c>
      <c r="CI39" s="1354"/>
      <c r="CJ39" s="1288" t="s">
        <v>38</v>
      </c>
      <c r="CK39" s="1104"/>
      <c r="CL39" s="1289">
        <f>'2024_ar_grozījumiem'!CL39-'2024_gada_plāns'!CL39</f>
        <v>-28232</v>
      </c>
      <c r="CM39" s="1355"/>
      <c r="CN39" s="1102" t="s">
        <v>38</v>
      </c>
      <c r="CO39" s="1104"/>
      <c r="CP39" s="1289">
        <f>'2024_ar_grozījumiem'!CP39-'2024_gada_plāns'!CP39</f>
        <v>-28232</v>
      </c>
      <c r="CQ39" s="1105"/>
      <c r="CR39" s="1288" t="s">
        <v>38</v>
      </c>
      <c r="CS39" s="1104"/>
      <c r="CT39" s="1289">
        <f>'2024_ar_grozījumiem'!CT39-'2024_gada_plāns'!CT39</f>
        <v>0</v>
      </c>
      <c r="CU39" s="1105"/>
      <c r="CV39" s="1288" t="s">
        <v>38</v>
      </c>
      <c r="CW39" s="1104"/>
      <c r="CX39" s="1289">
        <f>'2024_ar_grozījumiem'!CX39-'2024_gada_plāns'!CX39</f>
        <v>-2.7420330346089088</v>
      </c>
      <c r="CY39" s="1358"/>
      <c r="CZ39" s="1890">
        <f>CF39/'2024_gada_plāns'!CF39</f>
        <v>-1.5162673011197204E-2</v>
      </c>
      <c r="DA39" s="1891"/>
      <c r="DB39" s="1892">
        <f>CH39/'2024_gada_plāns'!CH39</f>
        <v>-1.516267301119727E-2</v>
      </c>
      <c r="DC39" s="1893"/>
      <c r="DD39" s="1894" t="s">
        <v>38</v>
      </c>
      <c r="DE39" s="1895"/>
      <c r="DF39" s="1896">
        <f>CL39/'2024_gada_plāns'!CL39</f>
        <v>-3.0728825107645418E-2</v>
      </c>
      <c r="DG39" s="1897"/>
      <c r="DH39" s="1898" t="s">
        <v>38</v>
      </c>
      <c r="DI39" s="1895"/>
      <c r="DJ39" s="1896">
        <f>CP39/'2024_gada_plāns'!CP39</f>
        <v>-3.2716614064817476E-2</v>
      </c>
      <c r="DK39" s="1899"/>
      <c r="DL39" s="1894" t="s">
        <v>38</v>
      </c>
      <c r="DM39" s="1895"/>
      <c r="DN39" s="1900">
        <f>CT39/'2024_gada_plāns'!CT39</f>
        <v>0</v>
      </c>
      <c r="DO39" s="1899"/>
      <c r="DP39" s="1894" t="s">
        <v>38</v>
      </c>
      <c r="DQ39" s="1895"/>
      <c r="DR39" s="1896">
        <f>CX39/'2024_gada_plāns'!CX39</f>
        <v>-1.5805810431701133E-2</v>
      </c>
      <c r="DS39" s="1907"/>
    </row>
    <row r="40" spans="1:123" s="990" customFormat="1" ht="15.75" customHeight="1" x14ac:dyDescent="0.25">
      <c r="A40" s="2242"/>
      <c r="B40" s="987"/>
      <c r="C40" s="988" t="s">
        <v>39</v>
      </c>
      <c r="D40" s="234">
        <v>270.70000000000005</v>
      </c>
      <c r="E40" s="228"/>
      <c r="F40" s="246">
        <v>0.12400366468163081</v>
      </c>
      <c r="G40" s="228"/>
      <c r="H40" s="293" t="s">
        <v>38</v>
      </c>
      <c r="I40" s="230" t="s">
        <v>38</v>
      </c>
      <c r="J40" s="285">
        <v>89636.48318317259</v>
      </c>
      <c r="K40" s="208"/>
      <c r="L40" s="406" t="s">
        <v>38</v>
      </c>
      <c r="M40" s="505" t="s">
        <v>38</v>
      </c>
      <c r="N40" s="506">
        <v>83580.48318317259</v>
      </c>
      <c r="O40" s="507"/>
      <c r="P40" s="293" t="s">
        <v>38</v>
      </c>
      <c r="Q40" s="230" t="s">
        <v>38</v>
      </c>
      <c r="R40" s="506">
        <v>6056</v>
      </c>
      <c r="S40" s="208"/>
      <c r="T40" s="293" t="s">
        <v>38</v>
      </c>
      <c r="U40" s="230" t="s">
        <v>38</v>
      </c>
      <c r="V40" s="231">
        <v>331.12849347311629</v>
      </c>
      <c r="W40" s="231"/>
      <c r="X40" s="234">
        <v>276.39999999999998</v>
      </c>
      <c r="Y40" s="228"/>
      <c r="Z40" s="246">
        <v>0.12655677655677655</v>
      </c>
      <c r="AA40" s="228"/>
      <c r="AB40" s="293" t="s">
        <v>38</v>
      </c>
      <c r="AC40" s="230" t="s">
        <v>38</v>
      </c>
      <c r="AD40" s="285">
        <v>98576</v>
      </c>
      <c r="AE40" s="208"/>
      <c r="AF40" s="406" t="s">
        <v>38</v>
      </c>
      <c r="AG40" s="505" t="s">
        <v>38</v>
      </c>
      <c r="AH40" s="506">
        <v>92520</v>
      </c>
      <c r="AI40" s="507"/>
      <c r="AJ40" s="293" t="s">
        <v>38</v>
      </c>
      <c r="AK40" s="230" t="s">
        <v>38</v>
      </c>
      <c r="AL40" s="506">
        <v>6056</v>
      </c>
      <c r="AM40" s="208"/>
      <c r="AN40" s="293" t="s">
        <v>38</v>
      </c>
      <c r="AO40" s="230" t="s">
        <v>38</v>
      </c>
      <c r="AP40" s="231">
        <v>356.6425470332851</v>
      </c>
      <c r="AQ40" s="231"/>
      <c r="AR40" s="1440">
        <f>'2024_ar_grozījumiem'!AR40-'2024_gada_plāns'!AR40</f>
        <v>8.6000000000000227</v>
      </c>
      <c r="AS40" s="1441"/>
      <c r="AT40" s="1442">
        <f>'2024_ar_grozījumiem'!AT40-'2024_gada_plāns'!AT40</f>
        <v>3.8949275362318847E-3</v>
      </c>
      <c r="AU40" s="1441"/>
      <c r="AV40" s="1107" t="s">
        <v>38</v>
      </c>
      <c r="AW40" s="1449"/>
      <c r="AX40" s="1107">
        <f>'2024_ar_grozījumiem'!AX40-'2024_gada_plāns'!AX40</f>
        <v>-4772</v>
      </c>
      <c r="AY40" s="1175"/>
      <c r="AZ40" s="1092" t="s">
        <v>38</v>
      </c>
      <c r="BA40" s="1446"/>
      <c r="BB40" s="1173">
        <f>'2024_ar_grozījumiem'!BB40-'2024_gada_plāns'!BB40</f>
        <v>-4772</v>
      </c>
      <c r="BC40" s="1469"/>
      <c r="BD40" s="1107" t="s">
        <v>38</v>
      </c>
      <c r="BE40" s="1449"/>
      <c r="BF40" s="1173">
        <f>'2024_ar_grozījumiem'!BF40-'2024_gada_plāns'!BF40</f>
        <v>0</v>
      </c>
      <c r="BG40" s="1175"/>
      <c r="BH40" s="1107" t="s">
        <v>38</v>
      </c>
      <c r="BI40" s="1449"/>
      <c r="BJ40" s="1092">
        <f>'2024_ar_grozījumiem'!BJ40-'2024_gada_plāns'!BJ40</f>
        <v>-22.586983903683858</v>
      </c>
      <c r="BK40" s="1092"/>
      <c r="BL40" s="1283">
        <f>'2024_ar_grozījumiem'!BL40-'2024_gada_plāns'!BL40</f>
        <v>15.599999999999966</v>
      </c>
      <c r="BM40" s="1087"/>
      <c r="BN40" s="1087">
        <f>'2024_ar_grozījumiem'!BN40-'2024_gada_plāns'!BN40</f>
        <v>7.0620190131280847E-3</v>
      </c>
      <c r="BO40" s="1087"/>
      <c r="BP40" s="1285" t="s">
        <v>38</v>
      </c>
      <c r="BQ40" s="1108"/>
      <c r="BR40" s="1285">
        <f>'2024_ar_grozījumiem'!BR40-'2024_gada_plāns'!BR40</f>
        <v>-15054</v>
      </c>
      <c r="BS40" s="1091"/>
      <c r="BT40" s="1095" t="s">
        <v>38</v>
      </c>
      <c r="BU40" s="1093"/>
      <c r="BV40" s="1176">
        <f>'2024_ar_grozījumiem'!BV40-'2024_gada_plāns'!BV40</f>
        <v>-15054</v>
      </c>
      <c r="BW40" s="1094"/>
      <c r="BX40" s="1285" t="s">
        <v>38</v>
      </c>
      <c r="BY40" s="1108"/>
      <c r="BZ40" s="1176">
        <f>'2024_ar_grozījumiem'!BZ40-'2024_gada_plāns'!BZ40</f>
        <v>0</v>
      </c>
      <c r="CA40" s="1091"/>
      <c r="CB40" s="1285" t="s">
        <v>38</v>
      </c>
      <c r="CC40" s="1108"/>
      <c r="CD40" s="1095">
        <f>'2024_ar_grozījumiem'!CD40-'2024_gada_plāns'!CD40</f>
        <v>-66.94289181242965</v>
      </c>
      <c r="CE40" s="1095"/>
      <c r="CF40" s="1309">
        <f>'2024_ar_grozījumiem'!CF40-'2024_gada_plāns'!CF40</f>
        <v>24.199999999999818</v>
      </c>
      <c r="CG40" s="1095"/>
      <c r="CH40" s="1088">
        <f>'2024_ar_grozījumiem'!CH40-'2024_gada_plāns'!CH40</f>
        <v>2.7625570776255437E-3</v>
      </c>
      <c r="CI40" s="1108"/>
      <c r="CJ40" s="1095" t="s">
        <v>38</v>
      </c>
      <c r="CK40" s="1093"/>
      <c r="CL40" s="1176">
        <f>'2024_ar_grozījumiem'!CL40-'2024_gada_plāns'!CL40</f>
        <v>-19826</v>
      </c>
      <c r="CM40" s="1169"/>
      <c r="CN40" s="1091" t="s">
        <v>38</v>
      </c>
      <c r="CO40" s="1093"/>
      <c r="CP40" s="1176">
        <f>'2024_ar_grozījumiem'!CP40-'2024_gada_plāns'!CP40</f>
        <v>-19826</v>
      </c>
      <c r="CQ40" s="1091"/>
      <c r="CR40" s="1095" t="s">
        <v>38</v>
      </c>
      <c r="CS40" s="1093"/>
      <c r="CT40" s="1176">
        <f>'2024_ar_grozījumiem'!CT40-'2024_gada_plāns'!CT40</f>
        <v>0</v>
      </c>
      <c r="CU40" s="1091"/>
      <c r="CV40" s="1095" t="s">
        <v>38</v>
      </c>
      <c r="CW40" s="1093"/>
      <c r="CX40" s="1176">
        <f>'2024_ar_grozījumiem'!CX40-'2024_gada_plāns'!CX40</f>
        <v>-23.65950766682397</v>
      </c>
      <c r="CY40" s="1357"/>
      <c r="CZ40" s="1877">
        <f>CF40/'2024_gada_plāns'!CF40</f>
        <v>2.0999652898299043E-2</v>
      </c>
      <c r="DA40" s="1881"/>
      <c r="DB40" s="1902">
        <f>CH40/'2024_gada_plāns'!CH40</f>
        <v>2.0999652898298995E-2</v>
      </c>
      <c r="DC40" s="1887"/>
      <c r="DD40" s="1881" t="s">
        <v>38</v>
      </c>
      <c r="DE40" s="1882"/>
      <c r="DF40" s="1883">
        <f>CL40/'2024_gada_plāns'!CL40</f>
        <v>-5.1965891321155082E-2</v>
      </c>
      <c r="DG40" s="1884"/>
      <c r="DH40" s="1885" t="s">
        <v>38</v>
      </c>
      <c r="DI40" s="1882"/>
      <c r="DJ40" s="1883">
        <f>CP40/'2024_gada_plāns'!CP40</f>
        <v>-5.6449353888399757E-2</v>
      </c>
      <c r="DK40" s="1885"/>
      <c r="DL40" s="1881" t="s">
        <v>38</v>
      </c>
      <c r="DM40" s="1882"/>
      <c r="DN40" s="1888">
        <f>CT40/'2024_gada_plāns'!CT40</f>
        <v>0</v>
      </c>
      <c r="DO40" s="1885"/>
      <c r="DP40" s="1881" t="s">
        <v>38</v>
      </c>
      <c r="DQ40" s="1882"/>
      <c r="DR40" s="1883">
        <f>CX40/'2024_gada_plāns'!CX40</f>
        <v>-7.1464808055838006E-2</v>
      </c>
      <c r="DS40" s="1906"/>
    </row>
    <row r="41" spans="1:123" ht="15.75" customHeight="1" x14ac:dyDescent="0.25">
      <c r="A41" s="2242"/>
      <c r="B41" s="20"/>
      <c r="C41" s="988" t="s">
        <v>40</v>
      </c>
      <c r="D41" s="234">
        <v>144.30000000000001</v>
      </c>
      <c r="E41" s="228"/>
      <c r="F41" s="246">
        <v>6.6101694915254236E-2</v>
      </c>
      <c r="G41" s="228"/>
      <c r="H41" s="293" t="s">
        <v>38</v>
      </c>
      <c r="I41" s="230" t="s">
        <v>38</v>
      </c>
      <c r="J41" s="285">
        <v>11741</v>
      </c>
      <c r="K41" s="208"/>
      <c r="L41" s="406" t="s">
        <v>38</v>
      </c>
      <c r="M41" s="505" t="s">
        <v>38</v>
      </c>
      <c r="N41" s="506">
        <v>11741</v>
      </c>
      <c r="O41" s="522"/>
      <c r="P41" s="293" t="s">
        <v>38</v>
      </c>
      <c r="Q41" s="230" t="s">
        <v>38</v>
      </c>
      <c r="R41" s="506">
        <v>0</v>
      </c>
      <c r="S41" s="208"/>
      <c r="T41" s="293" t="s">
        <v>38</v>
      </c>
      <c r="U41" s="230" t="s">
        <v>38</v>
      </c>
      <c r="V41" s="231">
        <v>81.365211365211366</v>
      </c>
      <c r="W41" s="231"/>
      <c r="X41" s="234">
        <v>144.1</v>
      </c>
      <c r="Y41" s="228"/>
      <c r="Z41" s="246">
        <v>6.5979853479853481E-2</v>
      </c>
      <c r="AA41" s="228"/>
      <c r="AB41" s="293" t="s">
        <v>38</v>
      </c>
      <c r="AC41" s="230" t="s">
        <v>38</v>
      </c>
      <c r="AD41" s="285">
        <v>12552</v>
      </c>
      <c r="AE41" s="208"/>
      <c r="AF41" s="406" t="s">
        <v>38</v>
      </c>
      <c r="AG41" s="505" t="s">
        <v>38</v>
      </c>
      <c r="AH41" s="506">
        <v>12552</v>
      </c>
      <c r="AI41" s="522"/>
      <c r="AJ41" s="293" t="s">
        <v>38</v>
      </c>
      <c r="AK41" s="230" t="s">
        <v>38</v>
      </c>
      <c r="AL41" s="506">
        <v>0</v>
      </c>
      <c r="AM41" s="208"/>
      <c r="AN41" s="293" t="s">
        <v>38</v>
      </c>
      <c r="AO41" s="230" t="s">
        <v>38</v>
      </c>
      <c r="AP41" s="231">
        <v>87.106176266481611</v>
      </c>
      <c r="AQ41" s="231"/>
      <c r="AR41" s="1440">
        <f>'2024_ar_grozījumiem'!AR41-'2024_gada_plāns'!AR41</f>
        <v>1.0999999999999943</v>
      </c>
      <c r="AS41" s="1441"/>
      <c r="AT41" s="1442">
        <f>'2024_ar_grozījumiem'!AT41-'2024_gada_plāns'!AT41</f>
        <v>4.9818840579710089E-4</v>
      </c>
      <c r="AU41" s="1441"/>
      <c r="AV41" s="1107" t="s">
        <v>38</v>
      </c>
      <c r="AW41" s="1449"/>
      <c r="AX41" s="1107">
        <f>'2024_ar_grozījumiem'!AX41-'2024_gada_plāns'!AX41</f>
        <v>-1233</v>
      </c>
      <c r="AY41" s="1175"/>
      <c r="AZ41" s="1092" t="s">
        <v>38</v>
      </c>
      <c r="BA41" s="1446"/>
      <c r="BB41" s="1173">
        <f>'2024_ar_grozījumiem'!BB41-'2024_gada_plāns'!BB41</f>
        <v>-1233</v>
      </c>
      <c r="BC41" s="1656"/>
      <c r="BD41" s="1107" t="s">
        <v>38</v>
      </c>
      <c r="BE41" s="1449"/>
      <c r="BF41" s="1173">
        <f>'2024_ar_grozījumiem'!BF41-'2024_gada_plāns'!BF41</f>
        <v>0</v>
      </c>
      <c r="BG41" s="1175"/>
      <c r="BH41" s="1107" t="s">
        <v>38</v>
      </c>
      <c r="BI41" s="1449"/>
      <c r="BJ41" s="1092">
        <f>'2024_ar_grozījumiem'!BJ41-'2024_gada_plāns'!BJ41</f>
        <v>-9.0157773687763836</v>
      </c>
      <c r="BK41" s="1092"/>
      <c r="BL41" s="1283">
        <f>'2024_ar_grozījumiem'!BL41-'2024_gada_plāns'!BL41</f>
        <v>1.0999999999999943</v>
      </c>
      <c r="BM41" s="1087"/>
      <c r="BN41" s="1087">
        <f>'2024_ar_grozījumiem'!BN41-'2024_gada_plāns'!BN41</f>
        <v>4.9796287913082826E-4</v>
      </c>
      <c r="BO41" s="1087"/>
      <c r="BP41" s="1285" t="s">
        <v>38</v>
      </c>
      <c r="BQ41" s="1108"/>
      <c r="BR41" s="1285">
        <f>'2024_ar_grozījumiem'!BR41-'2024_gada_plāns'!BR41</f>
        <v>-1270</v>
      </c>
      <c r="BS41" s="1091"/>
      <c r="BT41" s="1095" t="s">
        <v>38</v>
      </c>
      <c r="BU41" s="1093"/>
      <c r="BV41" s="1176">
        <f>'2024_ar_grozījumiem'!BV41-'2024_gada_plāns'!BV41</f>
        <v>-1270</v>
      </c>
      <c r="BW41" s="1097"/>
      <c r="BX41" s="1285" t="s">
        <v>38</v>
      </c>
      <c r="BY41" s="1108"/>
      <c r="BZ41" s="1176">
        <f>'2024_ar_grozījumiem'!BZ41-'2024_gada_plāns'!BZ41</f>
        <v>0</v>
      </c>
      <c r="CA41" s="1091"/>
      <c r="CB41" s="1285" t="s">
        <v>38</v>
      </c>
      <c r="CC41" s="1108"/>
      <c r="CD41" s="1095">
        <f>'2024_ar_grozījumiem'!CD41-'2024_gada_plāns'!CD41</f>
        <v>-9.2695496595857207</v>
      </c>
      <c r="CE41" s="1095"/>
      <c r="CF41" s="1309">
        <f>'2024_ar_grozījumiem'!CF41-'2024_gada_plāns'!CF41</f>
        <v>2.2000000000000455</v>
      </c>
      <c r="CG41" s="1095"/>
      <c r="CH41" s="1088">
        <f>'2024_ar_grozījumiem'!CH41-'2024_gada_plāns'!CH41</f>
        <v>2.5114155251142189E-4</v>
      </c>
      <c r="CI41" s="1108"/>
      <c r="CJ41" s="1095" t="s">
        <v>38</v>
      </c>
      <c r="CK41" s="1093"/>
      <c r="CL41" s="1176">
        <f>'2024_ar_grozījumiem'!CL41-'2024_gada_plāns'!CL41</f>
        <v>-2503</v>
      </c>
      <c r="CM41" s="1169"/>
      <c r="CN41" s="1091" t="s">
        <v>38</v>
      </c>
      <c r="CO41" s="1093"/>
      <c r="CP41" s="1176">
        <f>'2024_ar_grozījumiem'!CP41-'2024_gada_plāns'!CP41</f>
        <v>-2503</v>
      </c>
      <c r="CQ41" s="1091"/>
      <c r="CR41" s="1095" t="s">
        <v>38</v>
      </c>
      <c r="CS41" s="1093"/>
      <c r="CT41" s="1176">
        <f>'2024_ar_grozījumiem'!CT41-'2024_gada_plāns'!CT41</f>
        <v>0</v>
      </c>
      <c r="CU41" s="1091"/>
      <c r="CV41" s="1095" t="s">
        <v>38</v>
      </c>
      <c r="CW41" s="1093"/>
      <c r="CX41" s="1176">
        <f>'2024_ar_grozījumiem'!CX41-'2024_gada_plāns'!CX41</f>
        <v>-4.6156102299245418</v>
      </c>
      <c r="CY41" s="1357"/>
      <c r="CZ41" s="1877">
        <f>CF41/'2024_gada_plāns'!CF41</f>
        <v>3.7931034482759406E-3</v>
      </c>
      <c r="DA41" s="1881"/>
      <c r="DB41" s="1902">
        <f>CH41/'2024_gada_plāns'!CH41</f>
        <v>3.7931034482759584E-3</v>
      </c>
      <c r="DC41" s="1887"/>
      <c r="DD41" s="1881" t="s">
        <v>38</v>
      </c>
      <c r="DE41" s="1882"/>
      <c r="DF41" s="1883">
        <f>CL41/'2024_gada_plāns'!CL41</f>
        <v>-5.1540235565439421E-2</v>
      </c>
      <c r="DG41" s="1884"/>
      <c r="DH41" s="1885" t="s">
        <v>38</v>
      </c>
      <c r="DI41" s="1882"/>
      <c r="DJ41" s="1883">
        <f>CP41/'2024_gada_plāns'!CP41</f>
        <v>-5.1540235565439421E-2</v>
      </c>
      <c r="DK41" s="1885"/>
      <c r="DL41" s="1881" t="s">
        <v>38</v>
      </c>
      <c r="DM41" s="1882"/>
      <c r="DN41" s="1888" t="s">
        <v>38</v>
      </c>
      <c r="DO41" s="1885"/>
      <c r="DP41" s="1881" t="s">
        <v>38</v>
      </c>
      <c r="DQ41" s="1882"/>
      <c r="DR41" s="1883">
        <f>CX41/'2024_gada_plāns'!CX41</f>
        <v>-5.5124247042175979E-2</v>
      </c>
      <c r="DS41" s="1906"/>
    </row>
    <row r="42" spans="1:123" ht="15.75" customHeight="1" x14ac:dyDescent="0.25">
      <c r="A42" s="2242"/>
      <c r="B42" s="20"/>
      <c r="C42" s="988" t="s">
        <v>41</v>
      </c>
      <c r="D42" s="234">
        <v>581.20000000000005</v>
      </c>
      <c r="E42" s="228"/>
      <c r="F42" s="246">
        <v>0.26623912047640863</v>
      </c>
      <c r="G42" s="228"/>
      <c r="H42" s="293" t="s">
        <v>38</v>
      </c>
      <c r="I42" s="230" t="s">
        <v>38</v>
      </c>
      <c r="J42" s="285">
        <v>132213</v>
      </c>
      <c r="K42" s="208"/>
      <c r="L42" s="406" t="s">
        <v>38</v>
      </c>
      <c r="M42" s="505" t="s">
        <v>38</v>
      </c>
      <c r="N42" s="506">
        <v>132213</v>
      </c>
      <c r="O42" s="522"/>
      <c r="P42" s="293" t="s">
        <v>38</v>
      </c>
      <c r="Q42" s="230" t="s">
        <v>38</v>
      </c>
      <c r="R42" s="506">
        <v>0</v>
      </c>
      <c r="S42" s="208"/>
      <c r="T42" s="293" t="s">
        <v>38</v>
      </c>
      <c r="U42" s="230" t="s">
        <v>38</v>
      </c>
      <c r="V42" s="231">
        <v>227.48279421885752</v>
      </c>
      <c r="W42" s="231"/>
      <c r="X42" s="234">
        <v>558.4</v>
      </c>
      <c r="Y42" s="228"/>
      <c r="Z42" s="246">
        <v>0.25567765567765566</v>
      </c>
      <c r="AA42" s="228"/>
      <c r="AB42" s="293" t="s">
        <v>38</v>
      </c>
      <c r="AC42" s="230" t="s">
        <v>38</v>
      </c>
      <c r="AD42" s="285">
        <v>96293</v>
      </c>
      <c r="AE42" s="208"/>
      <c r="AF42" s="406" t="s">
        <v>38</v>
      </c>
      <c r="AG42" s="505" t="s">
        <v>38</v>
      </c>
      <c r="AH42" s="506">
        <v>96293</v>
      </c>
      <c r="AI42" s="522"/>
      <c r="AJ42" s="293" t="s">
        <v>38</v>
      </c>
      <c r="AK42" s="230" t="s">
        <v>38</v>
      </c>
      <c r="AL42" s="506">
        <v>0</v>
      </c>
      <c r="AM42" s="208"/>
      <c r="AN42" s="293" t="s">
        <v>38</v>
      </c>
      <c r="AO42" s="230" t="s">
        <v>38</v>
      </c>
      <c r="AP42" s="231">
        <v>172.4444842406877</v>
      </c>
      <c r="AQ42" s="231"/>
      <c r="AR42" s="1440">
        <f>'2024_ar_grozījumiem'!AR42-'2024_gada_plāns'!AR42</f>
        <v>12.400000000000091</v>
      </c>
      <c r="AS42" s="1441"/>
      <c r="AT42" s="1442">
        <f>'2024_ar_grozījumiem'!AT42-'2024_gada_plāns'!AT42</f>
        <v>5.6159420289855766E-3</v>
      </c>
      <c r="AU42" s="1441"/>
      <c r="AV42" s="1107" t="s">
        <v>38</v>
      </c>
      <c r="AW42" s="1449"/>
      <c r="AX42" s="1107">
        <f>'2024_ar_grozījumiem'!AX42-'2024_gada_plāns'!AX42</f>
        <v>0</v>
      </c>
      <c r="AY42" s="1175"/>
      <c r="AZ42" s="1092" t="s">
        <v>38</v>
      </c>
      <c r="BA42" s="1446"/>
      <c r="BB42" s="1173">
        <f>'2024_ar_grozījumiem'!BB42-'2024_gada_plāns'!BB42</f>
        <v>0</v>
      </c>
      <c r="BC42" s="1656"/>
      <c r="BD42" s="1107" t="s">
        <v>38</v>
      </c>
      <c r="BE42" s="1449"/>
      <c r="BF42" s="1173">
        <f>'2024_ar_grozījumiem'!BF42-'2024_gada_plāns'!BF42</f>
        <v>0</v>
      </c>
      <c r="BG42" s="1175"/>
      <c r="BH42" s="1107" t="s">
        <v>38</v>
      </c>
      <c r="BI42" s="1449"/>
      <c r="BJ42" s="1092">
        <f>'2024_ar_grozījumiem'!BJ42-'2024_gada_plāns'!BJ42</f>
        <v>-2.8943141071664513</v>
      </c>
      <c r="BK42" s="1092"/>
      <c r="BL42" s="1283">
        <f>'2024_ar_grozījumiem'!BL42-'2024_gada_plāns'!BL42</f>
        <v>3.6000000000000227</v>
      </c>
      <c r="BM42" s="1087"/>
      <c r="BN42" s="1087">
        <f>'2024_ar_grozījumiem'!BN42-'2024_gada_plāns'!BN42</f>
        <v>1.629696695337246E-3</v>
      </c>
      <c r="BO42" s="1087"/>
      <c r="BP42" s="1285" t="s">
        <v>38</v>
      </c>
      <c r="BQ42" s="1108"/>
      <c r="BR42" s="1285">
        <f>'2024_ar_grozījumiem'!BR42-'2024_gada_plāns'!BR42</f>
        <v>998</v>
      </c>
      <c r="BS42" s="1091"/>
      <c r="BT42" s="1095" t="s">
        <v>38</v>
      </c>
      <c r="BU42" s="1093"/>
      <c r="BV42" s="1176">
        <f>'2024_ar_grozījumiem'!BV42-'2024_gada_plāns'!BV42</f>
        <v>998</v>
      </c>
      <c r="BW42" s="1097"/>
      <c r="BX42" s="1285" t="s">
        <v>38</v>
      </c>
      <c r="BY42" s="1108"/>
      <c r="BZ42" s="1176">
        <f>'2024_ar_grozījumiem'!BZ42-'2024_gada_plāns'!BZ42</f>
        <v>0</v>
      </c>
      <c r="CA42" s="1091"/>
      <c r="CB42" s="1285" t="s">
        <v>38</v>
      </c>
      <c r="CC42" s="1108"/>
      <c r="CD42" s="1095">
        <f>'2024_ar_grozījumiem'!CD42-'2024_gada_plāns'!CD42</f>
        <v>0.84834137358114958</v>
      </c>
      <c r="CE42" s="1095"/>
      <c r="CF42" s="1309">
        <f>'2024_ar_grozījumiem'!CF42-'2024_gada_plāns'!CF42</f>
        <v>16.000000000000909</v>
      </c>
      <c r="CG42" s="1095"/>
      <c r="CH42" s="1088">
        <f>'2024_ar_grozījumiem'!CH42-'2024_gada_plāns'!CH42</f>
        <v>1.8264840182649067E-3</v>
      </c>
      <c r="CI42" s="1108"/>
      <c r="CJ42" s="1095" t="s">
        <v>38</v>
      </c>
      <c r="CK42" s="1093"/>
      <c r="CL42" s="1176">
        <f>'2024_ar_grozījumiem'!CL42-'2024_gada_plāns'!CL42</f>
        <v>998</v>
      </c>
      <c r="CM42" s="1169"/>
      <c r="CN42" s="1091" t="s">
        <v>38</v>
      </c>
      <c r="CO42" s="1093"/>
      <c r="CP42" s="1176">
        <f>'2024_ar_grozījumiem'!CP42-'2024_gada_plāns'!CP42</f>
        <v>998</v>
      </c>
      <c r="CQ42" s="1091"/>
      <c r="CR42" s="1095" t="s">
        <v>38</v>
      </c>
      <c r="CS42" s="1093"/>
      <c r="CT42" s="1176">
        <f>'2024_ar_grozījumiem'!CT42-'2024_gada_plāns'!CT42</f>
        <v>0</v>
      </c>
      <c r="CU42" s="1091"/>
      <c r="CV42" s="1095" t="s">
        <v>38</v>
      </c>
      <c r="CW42" s="1093"/>
      <c r="CX42" s="1176">
        <f>'2024_ar_grozījumiem'!CX42-'2024_gada_plāns'!CX42</f>
        <v>-0.7382240260919275</v>
      </c>
      <c r="CY42" s="1357"/>
      <c r="CZ42" s="1877">
        <f>CF42/'2024_gada_plāns'!CF42</f>
        <v>7.0379167766345171E-3</v>
      </c>
      <c r="DA42" s="1881"/>
      <c r="DB42" s="1902">
        <f>CH42/'2024_gada_plāns'!CH42</f>
        <v>7.0379167766343731E-3</v>
      </c>
      <c r="DC42" s="1887"/>
      <c r="DD42" s="1881" t="s">
        <v>38</v>
      </c>
      <c r="DE42" s="1882"/>
      <c r="DF42" s="1883">
        <f>CL42/'2024_gada_plāns'!CL42</f>
        <v>2.6129484950673399E-3</v>
      </c>
      <c r="DG42" s="1884"/>
      <c r="DH42" s="1885" t="s">
        <v>38</v>
      </c>
      <c r="DI42" s="1882"/>
      <c r="DJ42" s="1883">
        <f>CP42/'2024_gada_plāns'!CP42</f>
        <v>2.6129484950673399E-3</v>
      </c>
      <c r="DK42" s="1885"/>
      <c r="DL42" s="1881" t="s">
        <v>38</v>
      </c>
      <c r="DM42" s="1882"/>
      <c r="DN42" s="1888" t="s">
        <v>38</v>
      </c>
      <c r="DO42" s="1885"/>
      <c r="DP42" s="1881" t="s">
        <v>38</v>
      </c>
      <c r="DQ42" s="1882"/>
      <c r="DR42" s="1883">
        <f>CX42/'2024_gada_plāns'!CX42</f>
        <v>-4.3940433700159912E-3</v>
      </c>
      <c r="DS42" s="1906"/>
    </row>
    <row r="43" spans="1:123" ht="15.75" customHeight="1" x14ac:dyDescent="0.25">
      <c r="A43" s="2242"/>
      <c r="B43" s="20"/>
      <c r="C43" s="988" t="s">
        <v>42</v>
      </c>
      <c r="D43" s="234">
        <v>180.89999999999998</v>
      </c>
      <c r="E43" s="228"/>
      <c r="F43" s="246">
        <v>8.2867613376087945E-2</v>
      </c>
      <c r="G43" s="228"/>
      <c r="H43" s="293" t="s">
        <v>38</v>
      </c>
      <c r="I43" s="230" t="s">
        <v>38</v>
      </c>
      <c r="J43" s="285">
        <v>21359</v>
      </c>
      <c r="K43" s="208"/>
      <c r="L43" s="406" t="s">
        <v>38</v>
      </c>
      <c r="M43" s="505" t="s">
        <v>38</v>
      </c>
      <c r="N43" s="506">
        <v>15550</v>
      </c>
      <c r="O43" s="522"/>
      <c r="P43" s="293" t="s">
        <v>38</v>
      </c>
      <c r="Q43" s="230" t="s">
        <v>38</v>
      </c>
      <c r="R43" s="506">
        <v>5809</v>
      </c>
      <c r="S43" s="208"/>
      <c r="T43" s="293" t="s">
        <v>38</v>
      </c>
      <c r="U43" s="230" t="s">
        <v>38</v>
      </c>
      <c r="V43" s="231">
        <v>118.07075732448868</v>
      </c>
      <c r="W43" s="231"/>
      <c r="X43" s="234">
        <v>170.5</v>
      </c>
      <c r="Y43" s="228"/>
      <c r="Z43" s="246">
        <v>7.8067765567765568E-2</v>
      </c>
      <c r="AA43" s="228"/>
      <c r="AB43" s="293" t="s">
        <v>38</v>
      </c>
      <c r="AC43" s="230" t="s">
        <v>38</v>
      </c>
      <c r="AD43" s="285">
        <v>24141</v>
      </c>
      <c r="AE43" s="208"/>
      <c r="AF43" s="406" t="s">
        <v>38</v>
      </c>
      <c r="AG43" s="505" t="s">
        <v>38</v>
      </c>
      <c r="AH43" s="506">
        <v>18332</v>
      </c>
      <c r="AI43" s="522"/>
      <c r="AJ43" s="293" t="s">
        <v>38</v>
      </c>
      <c r="AK43" s="230" t="s">
        <v>38</v>
      </c>
      <c r="AL43" s="506">
        <v>5809</v>
      </c>
      <c r="AM43" s="208"/>
      <c r="AN43" s="293" t="s">
        <v>38</v>
      </c>
      <c r="AO43" s="230" t="s">
        <v>38</v>
      </c>
      <c r="AP43" s="231">
        <v>141.58944281524927</v>
      </c>
      <c r="AQ43" s="231"/>
      <c r="AR43" s="1440">
        <f>'2024_ar_grozījumiem'!AR43-'2024_gada_plāns'!AR43</f>
        <v>-12</v>
      </c>
      <c r="AS43" s="1441"/>
      <c r="AT43" s="1442">
        <f>'2024_ar_grozījumiem'!AT43-'2024_gada_plāns'!AT43</f>
        <v>-5.4347826086956486E-3</v>
      </c>
      <c r="AU43" s="1441"/>
      <c r="AV43" s="1107" t="s">
        <v>38</v>
      </c>
      <c r="AW43" s="1449"/>
      <c r="AX43" s="1107">
        <f>'2024_ar_grozījumiem'!AX43-'2024_gada_plāns'!AX43</f>
        <v>-2792</v>
      </c>
      <c r="AY43" s="1175"/>
      <c r="AZ43" s="1092" t="s">
        <v>38</v>
      </c>
      <c r="BA43" s="1446"/>
      <c r="BB43" s="1173">
        <f>'2024_ar_grozījumiem'!BB43-'2024_gada_plāns'!BB43</f>
        <v>-2792</v>
      </c>
      <c r="BC43" s="1656"/>
      <c r="BD43" s="1107" t="s">
        <v>38</v>
      </c>
      <c r="BE43" s="1449"/>
      <c r="BF43" s="1173">
        <f>'2024_ar_grozījumiem'!BF43-'2024_gada_plāns'!BF43</f>
        <v>0</v>
      </c>
      <c r="BG43" s="1175"/>
      <c r="BH43" s="1107" t="s">
        <v>38</v>
      </c>
      <c r="BI43" s="1449"/>
      <c r="BJ43" s="1092">
        <f>'2024_ar_grozījumiem'!BJ43-'2024_gada_plāns'!BJ43</f>
        <v>-6.0133009358220022</v>
      </c>
      <c r="BK43" s="1092"/>
      <c r="BL43" s="1283">
        <f>'2024_ar_grozījumiem'!BL43-'2024_gada_plāns'!BL43</f>
        <v>-13.5</v>
      </c>
      <c r="BM43" s="1087"/>
      <c r="BN43" s="1087">
        <f>'2024_ar_grozījumiem'!BN43-'2024_gada_plāns'!BN43</f>
        <v>-6.1113626075147143E-3</v>
      </c>
      <c r="BO43" s="1087"/>
      <c r="BP43" s="1285" t="s">
        <v>38</v>
      </c>
      <c r="BQ43" s="1108"/>
      <c r="BR43" s="1285">
        <f>'2024_ar_grozījumiem'!BR43-'2024_gada_plāns'!BR43</f>
        <v>-2782</v>
      </c>
      <c r="BS43" s="1091"/>
      <c r="BT43" s="1095" t="s">
        <v>38</v>
      </c>
      <c r="BU43" s="1093"/>
      <c r="BV43" s="1176">
        <f>'2024_ar_grozījumiem'!BV43-'2024_gada_plāns'!BV43</f>
        <v>-2782</v>
      </c>
      <c r="BW43" s="1097"/>
      <c r="BX43" s="1285" t="s">
        <v>38</v>
      </c>
      <c r="BY43" s="1108"/>
      <c r="BZ43" s="1176">
        <f>'2024_ar_grozījumiem'!BZ43-'2024_gada_plāns'!BZ43</f>
        <v>0</v>
      </c>
      <c r="CA43" s="1091"/>
      <c r="CB43" s="1285" t="s">
        <v>38</v>
      </c>
      <c r="CC43" s="1108"/>
      <c r="CD43" s="1095">
        <f>'2024_ar_grozījumiem'!CD43-'2024_gada_plāns'!CD43</f>
        <v>-5.9184302344539645</v>
      </c>
      <c r="CE43" s="1095"/>
      <c r="CF43" s="1309">
        <f>'2024_ar_grozījumiem'!CF43-'2024_gada_plāns'!CF43</f>
        <v>-25.500000000000114</v>
      </c>
      <c r="CG43" s="1095"/>
      <c r="CH43" s="1088">
        <f>'2024_ar_grozījumiem'!CH43-'2024_gada_plāns'!CH43</f>
        <v>-2.9109589041095979E-3</v>
      </c>
      <c r="CI43" s="1108"/>
      <c r="CJ43" s="1095" t="s">
        <v>38</v>
      </c>
      <c r="CK43" s="1093"/>
      <c r="CL43" s="1176">
        <f>'2024_ar_grozījumiem'!CL43-'2024_gada_plāns'!CL43</f>
        <v>-5574</v>
      </c>
      <c r="CM43" s="1169"/>
      <c r="CN43" s="1091" t="s">
        <v>38</v>
      </c>
      <c r="CO43" s="1093"/>
      <c r="CP43" s="1176">
        <f>'2024_ar_grozījumiem'!CP43-'2024_gada_plāns'!CP43</f>
        <v>-5574</v>
      </c>
      <c r="CQ43" s="1091"/>
      <c r="CR43" s="1095" t="s">
        <v>38</v>
      </c>
      <c r="CS43" s="1093"/>
      <c r="CT43" s="1176">
        <f>'2024_ar_grozījumiem'!CT43-'2024_gada_plāns'!CT43</f>
        <v>0</v>
      </c>
      <c r="CU43" s="1091"/>
      <c r="CV43" s="1095" t="s">
        <v>38</v>
      </c>
      <c r="CW43" s="1093"/>
      <c r="CX43" s="1176">
        <f>'2024_ar_grozījumiem'!CX43-'2024_gada_plāns'!CX43</f>
        <v>-3.1042223990985462</v>
      </c>
      <c r="CY43" s="1357"/>
      <c r="CZ43" s="1877">
        <f>CF43/'2024_gada_plāns'!CF43</f>
        <v>-3.6088310217945251E-2</v>
      </c>
      <c r="DA43" s="1881"/>
      <c r="DB43" s="1902">
        <f>CH43/'2024_gada_plāns'!CH43</f>
        <v>-3.6088310217945202E-2</v>
      </c>
      <c r="DC43" s="1887"/>
      <c r="DD43" s="1881" t="s">
        <v>38</v>
      </c>
      <c r="DE43" s="1882"/>
      <c r="DF43" s="1883">
        <f>CL43/'2024_gada_plāns'!CL43</f>
        <v>-5.8142445863061713E-2</v>
      </c>
      <c r="DG43" s="1884"/>
      <c r="DH43" s="1885" t="s">
        <v>38</v>
      </c>
      <c r="DI43" s="1882"/>
      <c r="DJ43" s="1883">
        <f>CP43/'2024_gada_plāns'!CP43</f>
        <v>-7.9233535657934021E-2</v>
      </c>
      <c r="DK43" s="1885"/>
      <c r="DL43" s="1881" t="s">
        <v>38</v>
      </c>
      <c r="DM43" s="1882"/>
      <c r="DN43" s="1888">
        <f>CT43/'2024_gada_plāns'!CT43</f>
        <v>0</v>
      </c>
      <c r="DO43" s="1885"/>
      <c r="DP43" s="1881" t="s">
        <v>38</v>
      </c>
      <c r="DQ43" s="1882"/>
      <c r="DR43" s="1883">
        <f>CX43/'2024_gada_plāns'!CX43</f>
        <v>-2.287983004968324E-2</v>
      </c>
      <c r="DS43" s="1906"/>
    </row>
    <row r="44" spans="1:123" ht="15.75" customHeight="1" x14ac:dyDescent="0.25">
      <c r="A44" s="2242"/>
      <c r="B44" s="20"/>
      <c r="C44" s="988" t="s">
        <v>43</v>
      </c>
      <c r="D44" s="234">
        <v>145.6</v>
      </c>
      <c r="E44" s="228"/>
      <c r="F44" s="246">
        <v>6.6697205680256527E-2</v>
      </c>
      <c r="G44" s="228"/>
      <c r="H44" s="293" t="s">
        <v>38</v>
      </c>
      <c r="I44" s="230" t="s">
        <v>38</v>
      </c>
      <c r="J44" s="285">
        <v>2831</v>
      </c>
      <c r="K44" s="208"/>
      <c r="L44" s="406" t="s">
        <v>38</v>
      </c>
      <c r="M44" s="505" t="s">
        <v>38</v>
      </c>
      <c r="N44" s="506">
        <v>2831</v>
      </c>
      <c r="O44" s="522"/>
      <c r="P44" s="293" t="s">
        <v>38</v>
      </c>
      <c r="Q44" s="230" t="s">
        <v>38</v>
      </c>
      <c r="R44" s="506">
        <v>0</v>
      </c>
      <c r="S44" s="208"/>
      <c r="T44" s="293" t="s">
        <v>38</v>
      </c>
      <c r="U44" s="230" t="s">
        <v>38</v>
      </c>
      <c r="V44" s="231">
        <v>19.443681318681321</v>
      </c>
      <c r="W44" s="231"/>
      <c r="X44" s="234">
        <v>145.6</v>
      </c>
      <c r="Y44" s="228"/>
      <c r="Z44" s="246">
        <v>6.6666666666666666E-2</v>
      </c>
      <c r="AA44" s="228"/>
      <c r="AB44" s="293" t="s">
        <v>38</v>
      </c>
      <c r="AC44" s="230" t="s">
        <v>38</v>
      </c>
      <c r="AD44" s="285">
        <v>2738</v>
      </c>
      <c r="AE44" s="208"/>
      <c r="AF44" s="406" t="s">
        <v>38</v>
      </c>
      <c r="AG44" s="505" t="s">
        <v>38</v>
      </c>
      <c r="AH44" s="506">
        <v>2738</v>
      </c>
      <c r="AI44" s="522"/>
      <c r="AJ44" s="293" t="s">
        <v>38</v>
      </c>
      <c r="AK44" s="230" t="s">
        <v>38</v>
      </c>
      <c r="AL44" s="506">
        <v>0</v>
      </c>
      <c r="AM44" s="208"/>
      <c r="AN44" s="293" t="s">
        <v>38</v>
      </c>
      <c r="AO44" s="230" t="s">
        <v>38</v>
      </c>
      <c r="AP44" s="231">
        <v>18.804945054945055</v>
      </c>
      <c r="AQ44" s="231"/>
      <c r="AR44" s="1440">
        <f>'2024_ar_grozījumiem'!AR44-'2024_gada_plāns'!AR44</f>
        <v>-51.599999999999994</v>
      </c>
      <c r="AS44" s="1441"/>
      <c r="AT44" s="1442">
        <f>'2024_ar_grozījumiem'!AT44-'2024_gada_plāns'!AT44</f>
        <v>-2.3369565217391308E-2</v>
      </c>
      <c r="AU44" s="1441"/>
      <c r="AV44" s="1107" t="s">
        <v>38</v>
      </c>
      <c r="AW44" s="1449"/>
      <c r="AX44" s="1107">
        <f>'2024_ar_grozījumiem'!AX44-'2024_gada_plāns'!AX44</f>
        <v>-771</v>
      </c>
      <c r="AY44" s="1175"/>
      <c r="AZ44" s="1092" t="s">
        <v>38</v>
      </c>
      <c r="BA44" s="1446"/>
      <c r="BB44" s="1173">
        <f>'2024_ar_grozījumiem'!BB44-'2024_gada_plāns'!BB44</f>
        <v>-771</v>
      </c>
      <c r="BC44" s="1656"/>
      <c r="BD44" s="1107" t="s">
        <v>38</v>
      </c>
      <c r="BE44" s="1449"/>
      <c r="BF44" s="1173">
        <f>'2024_ar_grozījumiem'!BF44-'2024_gada_plāns'!BF44</f>
        <v>0</v>
      </c>
      <c r="BG44" s="1175"/>
      <c r="BH44" s="1107" t="s">
        <v>38</v>
      </c>
      <c r="BI44" s="1449"/>
      <c r="BJ44" s="1092">
        <f>'2024_ar_grozījumiem'!BJ44-'2024_gada_plāns'!BJ44</f>
        <v>1.6039764377849508</v>
      </c>
      <c r="BK44" s="1092"/>
      <c r="BL44" s="1283">
        <f>'2024_ar_grozījumiem'!BL44-'2024_gada_plāns'!BL44</f>
        <v>-45.599999999999994</v>
      </c>
      <c r="BM44" s="1087"/>
      <c r="BN44" s="1087">
        <f>'2024_ar_grozījumiem'!BN44-'2024_gada_plāns'!BN44</f>
        <v>-2.0642824807605251E-2</v>
      </c>
      <c r="BO44" s="1087"/>
      <c r="BP44" s="1285" t="s">
        <v>38</v>
      </c>
      <c r="BQ44" s="1108"/>
      <c r="BR44" s="1285">
        <f>'2024_ar_grozījumiem'!BR44-'2024_gada_plāns'!BR44</f>
        <v>-556</v>
      </c>
      <c r="BS44" s="1091"/>
      <c r="BT44" s="1095" t="s">
        <v>38</v>
      </c>
      <c r="BU44" s="1093"/>
      <c r="BV44" s="1176">
        <f>'2024_ar_grozījumiem'!BV44-'2024_gada_plāns'!BV44</f>
        <v>-556</v>
      </c>
      <c r="BW44" s="1097"/>
      <c r="BX44" s="1285" t="s">
        <v>38</v>
      </c>
      <c r="BY44" s="1108"/>
      <c r="BZ44" s="1176">
        <f>'2024_ar_grozījumiem'!BZ44-'2024_gada_plāns'!BZ44</f>
        <v>0</v>
      </c>
      <c r="CA44" s="1091"/>
      <c r="CB44" s="1285" t="s">
        <v>38</v>
      </c>
      <c r="CC44" s="1108"/>
      <c r="CD44" s="1095">
        <f>'2024_ar_grozījumiem'!CD44-'2024_gada_plāns'!CD44</f>
        <v>2.8693827633598978</v>
      </c>
      <c r="CE44" s="1095"/>
      <c r="CF44" s="1309">
        <f>'2024_ar_grozījumiem'!CF44-'2024_gada_plāns'!CF44</f>
        <v>-97.200000000000045</v>
      </c>
      <c r="CG44" s="1095"/>
      <c r="CH44" s="1088">
        <f>'2024_ar_grozījumiem'!CH44-'2024_gada_plāns'!CH44</f>
        <v>-1.1095890410958903E-2</v>
      </c>
      <c r="CI44" s="1108"/>
      <c r="CJ44" s="1095" t="s">
        <v>38</v>
      </c>
      <c r="CK44" s="1093"/>
      <c r="CL44" s="1176">
        <f>'2024_ar_grozījumiem'!CL44-'2024_gada_plāns'!CL44</f>
        <v>-1327</v>
      </c>
      <c r="CM44" s="1169"/>
      <c r="CN44" s="1091" t="s">
        <v>38</v>
      </c>
      <c r="CO44" s="1093"/>
      <c r="CP44" s="1176">
        <f>'2024_ar_grozījumiem'!CP44-'2024_gada_plāns'!CP44</f>
        <v>-1327</v>
      </c>
      <c r="CQ44" s="1091"/>
      <c r="CR44" s="1095" t="s">
        <v>38</v>
      </c>
      <c r="CS44" s="1093"/>
      <c r="CT44" s="1176">
        <f>'2024_ar_grozījumiem'!CT44-'2024_gada_plāns'!CT44</f>
        <v>0</v>
      </c>
      <c r="CU44" s="1091"/>
      <c r="CV44" s="1095" t="s">
        <v>38</v>
      </c>
      <c r="CW44" s="1093"/>
      <c r="CX44" s="1176">
        <f>'2024_ar_grozījumiem'!CX44-'2024_gada_plāns'!CX44</f>
        <v>0.98821751994362828</v>
      </c>
      <c r="CY44" s="1357"/>
      <c r="CZ44" s="1908">
        <f>CF44/'2024_gada_plāns'!CF44</f>
        <v>-0.16658097686375328</v>
      </c>
      <c r="DA44" s="1909"/>
      <c r="DB44" s="1910">
        <f>CH44/'2024_gada_plāns'!CH44</f>
        <v>-0.1665809768637532</v>
      </c>
      <c r="DC44" s="1887"/>
      <c r="DD44" s="1881" t="s">
        <v>38</v>
      </c>
      <c r="DE44" s="1882"/>
      <c r="DF44" s="1883">
        <f>CL44/'2024_gada_plāns'!CL44</f>
        <v>-0.12229287623260529</v>
      </c>
      <c r="DG44" s="1884"/>
      <c r="DH44" s="1885" t="s">
        <v>38</v>
      </c>
      <c r="DI44" s="1882"/>
      <c r="DJ44" s="1883">
        <f>CP44/'2024_gada_plāns'!CP44</f>
        <v>-0.12229287623260529</v>
      </c>
      <c r="DK44" s="1885"/>
      <c r="DL44" s="1881" t="s">
        <v>38</v>
      </c>
      <c r="DM44" s="1882"/>
      <c r="DN44" s="1888" t="s">
        <v>38</v>
      </c>
      <c r="DO44" s="1885"/>
      <c r="DP44" s="1881" t="s">
        <v>38</v>
      </c>
      <c r="DQ44" s="1882"/>
      <c r="DR44" s="1883">
        <f>CX44/'2024_gada_plāns'!CX44</f>
        <v>5.3140256463653772E-2</v>
      </c>
      <c r="DS44" s="1906"/>
    </row>
    <row r="45" spans="1:123" s="993" customFormat="1" ht="29.25" customHeight="1" x14ac:dyDescent="0.25">
      <c r="A45" s="2242"/>
      <c r="B45" s="995" t="s">
        <v>50</v>
      </c>
      <c r="C45" s="996"/>
      <c r="D45" s="287">
        <v>667.8</v>
      </c>
      <c r="E45" s="288"/>
      <c r="F45" s="289">
        <v>6.0726204657676253E-2</v>
      </c>
      <c r="G45" s="288"/>
      <c r="H45" s="290" t="s">
        <v>38</v>
      </c>
      <c r="I45" s="291" t="s">
        <v>38</v>
      </c>
      <c r="J45" s="292">
        <v>132813</v>
      </c>
      <c r="K45" s="525"/>
      <c r="L45" s="407" t="s">
        <v>38</v>
      </c>
      <c r="M45" s="526" t="s">
        <v>38</v>
      </c>
      <c r="N45" s="527">
        <v>132813</v>
      </c>
      <c r="O45" s="528"/>
      <c r="P45" s="290" t="s">
        <v>38</v>
      </c>
      <c r="Q45" s="291" t="s">
        <v>38</v>
      </c>
      <c r="R45" s="527">
        <v>0</v>
      </c>
      <c r="S45" s="528"/>
      <c r="T45" s="290" t="s">
        <v>38</v>
      </c>
      <c r="U45" s="291" t="s">
        <v>38</v>
      </c>
      <c r="V45" s="529">
        <v>198.88140161725067</v>
      </c>
      <c r="W45" s="529"/>
      <c r="X45" s="287">
        <v>632.20000000000005</v>
      </c>
      <c r="Y45" s="288"/>
      <c r="Z45" s="289">
        <v>5.7462801879675333E-2</v>
      </c>
      <c r="AA45" s="288"/>
      <c r="AB45" s="290" t="s">
        <v>38</v>
      </c>
      <c r="AC45" s="291" t="s">
        <v>38</v>
      </c>
      <c r="AD45" s="292">
        <v>131445</v>
      </c>
      <c r="AE45" s="525"/>
      <c r="AF45" s="407" t="s">
        <v>38</v>
      </c>
      <c r="AG45" s="526" t="s">
        <v>38</v>
      </c>
      <c r="AH45" s="527">
        <v>131445</v>
      </c>
      <c r="AI45" s="528"/>
      <c r="AJ45" s="290" t="s">
        <v>38</v>
      </c>
      <c r="AK45" s="291" t="s">
        <v>38</v>
      </c>
      <c r="AL45" s="527">
        <v>0</v>
      </c>
      <c r="AM45" s="528"/>
      <c r="AN45" s="290" t="s">
        <v>38</v>
      </c>
      <c r="AO45" s="291" t="s">
        <v>38</v>
      </c>
      <c r="AP45" s="529">
        <v>207.91679848149317</v>
      </c>
      <c r="AQ45" s="529"/>
      <c r="AR45" s="1451">
        <f>'2024_ar_grozījumiem'!AR45-'2024_gada_plāns'!AR45</f>
        <v>-42.899999999999977</v>
      </c>
      <c r="AS45" s="1452"/>
      <c r="AT45" s="1453">
        <f>'2024_ar_grozījumiem'!AT45-'2024_gada_plāns'!AT45</f>
        <v>-3.8624638738081682E-3</v>
      </c>
      <c r="AU45" s="1452"/>
      <c r="AV45" s="1100" t="s">
        <v>38</v>
      </c>
      <c r="AW45" s="1454"/>
      <c r="AX45" s="1100">
        <f>'2024_ar_grozījumiem'!AX45-'2024_gada_plāns'!AX45</f>
        <v>-3056</v>
      </c>
      <c r="AY45" s="1460"/>
      <c r="AZ45" s="1103" t="s">
        <v>38</v>
      </c>
      <c r="BA45" s="1457"/>
      <c r="BB45" s="1458">
        <f>'2024_ar_grozījumiem'!BB45-'2024_gada_plāns'!BB45</f>
        <v>-3056</v>
      </c>
      <c r="BC45" s="1461"/>
      <c r="BD45" s="1100" t="s">
        <v>38</v>
      </c>
      <c r="BE45" s="1454"/>
      <c r="BF45" s="1458">
        <f>'2024_ar_grozījumiem'!BF45-'2024_gada_plāns'!BF45</f>
        <v>0</v>
      </c>
      <c r="BG45" s="1461"/>
      <c r="BH45" s="1100" t="s">
        <v>38</v>
      </c>
      <c r="BI45" s="1454"/>
      <c r="BJ45" s="1112">
        <f>'2024_ar_grozījumiem'!BJ45-'2024_gada_plāns'!BJ45</f>
        <v>9.0118675926475191</v>
      </c>
      <c r="BK45" s="1112"/>
      <c r="BL45" s="1286">
        <f>'2024_ar_grozījumiem'!BL45-'2024_gada_plāns'!BL45</f>
        <v>-26.200000000000045</v>
      </c>
      <c r="BM45" s="1098"/>
      <c r="BN45" s="1098">
        <f>'2024_ar_grozījumiem'!BN45-'2024_gada_plāns'!BN45</f>
        <v>-2.3610197442529082E-3</v>
      </c>
      <c r="BO45" s="1098"/>
      <c r="BP45" s="1287" t="s">
        <v>38</v>
      </c>
      <c r="BQ45" s="1101"/>
      <c r="BR45" s="1287">
        <f>'2024_ar_grozījumiem'!BR45-'2024_gada_plāns'!BR45</f>
        <v>-2561</v>
      </c>
      <c r="BS45" s="1102"/>
      <c r="BT45" s="1288" t="s">
        <v>38</v>
      </c>
      <c r="BU45" s="1104"/>
      <c r="BV45" s="1289">
        <f>'2024_ar_grozījumiem'!BV45-'2024_gada_plāns'!BV45</f>
        <v>-2561</v>
      </c>
      <c r="BW45" s="1105"/>
      <c r="BX45" s="1287" t="s">
        <v>38</v>
      </c>
      <c r="BY45" s="1101"/>
      <c r="BZ45" s="1289">
        <f>'2024_ar_grozījumiem'!BZ45-'2024_gada_plāns'!BZ45</f>
        <v>0</v>
      </c>
      <c r="CA45" s="1105"/>
      <c r="CB45" s="1287" t="s">
        <v>38</v>
      </c>
      <c r="CC45" s="1101"/>
      <c r="CD45" s="1106">
        <f>'2024_ar_grozījumiem'!CD45-'2024_gada_plāns'!CD45</f>
        <v>4.5500312857059839</v>
      </c>
      <c r="CE45" s="1106"/>
      <c r="CF45" s="1353">
        <f>'2024_ar_grozījumiem'!CF45-'2024_gada_plāns'!CF45</f>
        <v>-69.099999999999909</v>
      </c>
      <c r="CG45" s="1106"/>
      <c r="CH45" s="1099">
        <f>'2024_ar_grozījumiem'!CH45-'2024_gada_plāns'!CH45</f>
        <v>-1.5632564600272375E-3</v>
      </c>
      <c r="CI45" s="1354"/>
      <c r="CJ45" s="1288" t="s">
        <v>38</v>
      </c>
      <c r="CK45" s="1104"/>
      <c r="CL45" s="1289">
        <f>'2024_ar_grozījumiem'!CL45-'2024_gada_plāns'!CL45</f>
        <v>-5617</v>
      </c>
      <c r="CM45" s="1355"/>
      <c r="CN45" s="1102" t="s">
        <v>38</v>
      </c>
      <c r="CO45" s="1104"/>
      <c r="CP45" s="1289">
        <f>'2024_ar_grozījumiem'!CP45-'2024_gada_plāns'!CP45</f>
        <v>-5617</v>
      </c>
      <c r="CQ45" s="1105"/>
      <c r="CR45" s="1288" t="s">
        <v>38</v>
      </c>
      <c r="CS45" s="1104"/>
      <c r="CT45" s="1289">
        <f>'2024_ar_grozījumiem'!CT45-'2024_gada_plāns'!CT45</f>
        <v>0</v>
      </c>
      <c r="CU45" s="1105"/>
      <c r="CV45" s="1288" t="s">
        <v>38</v>
      </c>
      <c r="CW45" s="1104"/>
      <c r="CX45" s="1289">
        <f>'2024_ar_grozījumiem'!CX45-'2024_gada_plāns'!CX45</f>
        <v>3.3190661440343945</v>
      </c>
      <c r="CY45" s="1358"/>
      <c r="CZ45" s="1890">
        <f>CF45/'2024_gada_plāns'!CF45</f>
        <v>-2.680164455821888E-2</v>
      </c>
      <c r="DA45" s="1891"/>
      <c r="DB45" s="1892">
        <f>CH45/'2024_gada_plāns'!CH45</f>
        <v>-2.6801644558218901E-2</v>
      </c>
      <c r="DC45" s="1893"/>
      <c r="DD45" s="1894" t="s">
        <v>38</v>
      </c>
      <c r="DE45" s="1895"/>
      <c r="DF45" s="1896">
        <f>CL45/'2024_gada_plāns'!CL45</f>
        <v>-1.0795715540487296E-2</v>
      </c>
      <c r="DG45" s="1897"/>
      <c r="DH45" s="1898" t="s">
        <v>38</v>
      </c>
      <c r="DI45" s="1895"/>
      <c r="DJ45" s="1896">
        <f>CP45/'2024_gada_plāns'!CP45</f>
        <v>-1.0795715540487296E-2</v>
      </c>
      <c r="DK45" s="1899"/>
      <c r="DL45" s="1894" t="s">
        <v>38</v>
      </c>
      <c r="DM45" s="1895"/>
      <c r="DN45" s="1900" t="s">
        <v>38</v>
      </c>
      <c r="DO45" s="1899"/>
      <c r="DP45" s="1894" t="s">
        <v>38</v>
      </c>
      <c r="DQ45" s="1895"/>
      <c r="DR45" s="1896">
        <f>CX45/'2024_gada_plāns'!CX45</f>
        <v>1.6446728386080838E-2</v>
      </c>
      <c r="DS45" s="1907"/>
    </row>
    <row r="46" spans="1:123" s="940" customFormat="1" ht="15.75" customHeight="1" x14ac:dyDescent="0.25">
      <c r="A46" s="2242"/>
      <c r="B46" s="23"/>
      <c r="C46" s="988" t="s">
        <v>39</v>
      </c>
      <c r="D46" s="234">
        <v>457.4</v>
      </c>
      <c r="E46" s="228"/>
      <c r="F46" s="246">
        <v>0.20952817224003664</v>
      </c>
      <c r="G46" s="228"/>
      <c r="H46" s="293" t="s">
        <v>38</v>
      </c>
      <c r="I46" s="230" t="s">
        <v>38</v>
      </c>
      <c r="J46" s="285">
        <v>101544</v>
      </c>
      <c r="K46" s="208"/>
      <c r="L46" s="406" t="s">
        <v>38</v>
      </c>
      <c r="M46" s="505" t="s">
        <v>38</v>
      </c>
      <c r="N46" s="506">
        <v>101544</v>
      </c>
      <c r="O46" s="208"/>
      <c r="P46" s="293" t="s">
        <v>38</v>
      </c>
      <c r="Q46" s="230" t="s">
        <v>38</v>
      </c>
      <c r="R46" s="506">
        <v>0</v>
      </c>
      <c r="S46" s="208"/>
      <c r="T46" s="293" t="s">
        <v>38</v>
      </c>
      <c r="U46" s="230" t="s">
        <v>38</v>
      </c>
      <c r="V46" s="231">
        <v>222.00262352426762</v>
      </c>
      <c r="W46" s="231"/>
      <c r="X46" s="234">
        <v>430.90000000000003</v>
      </c>
      <c r="Y46" s="228"/>
      <c r="Z46" s="246">
        <v>0.19729853479853482</v>
      </c>
      <c r="AA46" s="228"/>
      <c r="AB46" s="293" t="s">
        <v>38</v>
      </c>
      <c r="AC46" s="230" t="s">
        <v>38</v>
      </c>
      <c r="AD46" s="285">
        <v>100220</v>
      </c>
      <c r="AE46" s="208"/>
      <c r="AF46" s="406" t="s">
        <v>38</v>
      </c>
      <c r="AG46" s="505" t="s">
        <v>38</v>
      </c>
      <c r="AH46" s="506">
        <v>100220</v>
      </c>
      <c r="AI46" s="208"/>
      <c r="AJ46" s="293" t="s">
        <v>38</v>
      </c>
      <c r="AK46" s="230" t="s">
        <v>38</v>
      </c>
      <c r="AL46" s="506">
        <v>0</v>
      </c>
      <c r="AM46" s="208"/>
      <c r="AN46" s="293" t="s">
        <v>38</v>
      </c>
      <c r="AO46" s="230" t="s">
        <v>38</v>
      </c>
      <c r="AP46" s="231">
        <v>232.5829658853562</v>
      </c>
      <c r="AQ46" s="231"/>
      <c r="AR46" s="1440">
        <f>'2024_ar_grozījumiem'!AR46-'2024_gada_plāns'!AR46</f>
        <v>-15.099999999999966</v>
      </c>
      <c r="AS46" s="1441"/>
      <c r="AT46" s="1442">
        <f>'2024_ar_grozījumiem'!AT46-'2024_gada_plāns'!AT46</f>
        <v>-6.8387681159420011E-3</v>
      </c>
      <c r="AU46" s="1441"/>
      <c r="AV46" s="1107" t="s">
        <v>38</v>
      </c>
      <c r="AW46" s="1449"/>
      <c r="AX46" s="1107">
        <f>'2024_ar_grozījumiem'!AX46-'2024_gada_plāns'!AX46</f>
        <v>-5743</v>
      </c>
      <c r="AY46" s="1175"/>
      <c r="AZ46" s="1092" t="s">
        <v>38</v>
      </c>
      <c r="BA46" s="1446"/>
      <c r="BB46" s="1173">
        <f>'2024_ar_grozījumiem'!BB46-'2024_gada_plāns'!BB46</f>
        <v>-5743</v>
      </c>
      <c r="BC46" s="1175"/>
      <c r="BD46" s="1107" t="s">
        <v>38</v>
      </c>
      <c r="BE46" s="1449"/>
      <c r="BF46" s="1173">
        <f>'2024_ar_grozījumiem'!BF46-'2024_gada_plāns'!BF46</f>
        <v>0</v>
      </c>
      <c r="BG46" s="1175"/>
      <c r="BH46" s="1107" t="s">
        <v>38</v>
      </c>
      <c r="BI46" s="1449"/>
      <c r="BJ46" s="1092">
        <f>'2024_ar_grozījumiem'!BJ46-'2024_gada_plāns'!BJ46</f>
        <v>-5.9988892870368602</v>
      </c>
      <c r="BK46" s="1092"/>
      <c r="BL46" s="1283">
        <f>'2024_ar_grozījumiem'!BL46-'2024_gada_plāns'!BL46</f>
        <v>-6.2000000000000455</v>
      </c>
      <c r="BM46" s="1087"/>
      <c r="BN46" s="1087">
        <f>'2024_ar_grozījumiem'!BN46-'2024_gada_plāns'!BN46</f>
        <v>-2.8066998641919638E-3</v>
      </c>
      <c r="BO46" s="1087"/>
      <c r="BP46" s="1285" t="s">
        <v>38</v>
      </c>
      <c r="BQ46" s="1108"/>
      <c r="BR46" s="1285">
        <f>'2024_ar_grozījumiem'!BR46-'2024_gada_plāns'!BR46</f>
        <v>-6718</v>
      </c>
      <c r="BS46" s="1091"/>
      <c r="BT46" s="1095" t="s">
        <v>38</v>
      </c>
      <c r="BU46" s="1093"/>
      <c r="BV46" s="1176">
        <f>'2024_ar_grozījumiem'!BV46-'2024_gada_plāns'!BV46</f>
        <v>-6718</v>
      </c>
      <c r="BW46" s="1091"/>
      <c r="BX46" s="1285" t="s">
        <v>38</v>
      </c>
      <c r="BY46" s="1108"/>
      <c r="BZ46" s="1176">
        <f>'2024_ar_grozījumiem'!BZ46-'2024_gada_plāns'!BZ46</f>
        <v>0</v>
      </c>
      <c r="CA46" s="1091"/>
      <c r="CB46" s="1285" t="s">
        <v>38</v>
      </c>
      <c r="CC46" s="1108"/>
      <c r="CD46" s="1095">
        <f>'2024_ar_grozījumiem'!CD46-'2024_gada_plāns'!CD46</f>
        <v>-12.320096207020839</v>
      </c>
      <c r="CE46" s="1095"/>
      <c r="CF46" s="1309">
        <f>'2024_ar_grozījumiem'!CF46-'2024_gada_plāns'!CF46</f>
        <v>-21.299999999999727</v>
      </c>
      <c r="CG46" s="1095"/>
      <c r="CH46" s="1088">
        <f>'2024_ar_grozījumiem'!CH46-'2024_gada_plāns'!CH46</f>
        <v>-2.4315068493150349E-3</v>
      </c>
      <c r="CI46" s="1359"/>
      <c r="CJ46" s="1095" t="s">
        <v>38</v>
      </c>
      <c r="CK46" s="1093"/>
      <c r="CL46" s="1176">
        <f>'2024_ar_grozījumiem'!CL46-'2024_gada_plāns'!CL46</f>
        <v>-12461</v>
      </c>
      <c r="CM46" s="1169"/>
      <c r="CN46" s="1091" t="s">
        <v>38</v>
      </c>
      <c r="CO46" s="1093"/>
      <c r="CP46" s="1176">
        <f>'2024_ar_grozījumiem'!CP46-'2024_gada_plāns'!CP46</f>
        <v>-12461</v>
      </c>
      <c r="CQ46" s="1091"/>
      <c r="CR46" s="1095" t="s">
        <v>38</v>
      </c>
      <c r="CS46" s="1093"/>
      <c r="CT46" s="1176">
        <f>'2024_ar_grozījumiem'!CT46-'2024_gada_plāns'!CT46</f>
        <v>0</v>
      </c>
      <c r="CU46" s="1091"/>
      <c r="CV46" s="1095" t="s">
        <v>38</v>
      </c>
      <c r="CW46" s="1093"/>
      <c r="CX46" s="1176">
        <f>'2024_ar_grozījumiem'!CX46-'2024_gada_plāns'!CX46</f>
        <v>-4.4173278511804597</v>
      </c>
      <c r="CY46" s="1357"/>
      <c r="CZ46" s="1877">
        <f>CF46/'2024_gada_plāns'!CF46</f>
        <v>-1.2101585137207958E-2</v>
      </c>
      <c r="DA46" s="1881"/>
      <c r="DB46" s="1902">
        <f>CH46/'2024_gada_plāns'!CH46</f>
        <v>-1.2101585137207946E-2</v>
      </c>
      <c r="DC46" s="1911"/>
      <c r="DD46" s="1881" t="s">
        <v>38</v>
      </c>
      <c r="DE46" s="1882"/>
      <c r="DF46" s="1883">
        <f>CL46/'2024_gada_plāns'!CL46</f>
        <v>-3.1546675713034364E-2</v>
      </c>
      <c r="DG46" s="1884"/>
      <c r="DH46" s="1885" t="s">
        <v>38</v>
      </c>
      <c r="DI46" s="1882"/>
      <c r="DJ46" s="1883">
        <f>CP46/'2024_gada_plāns'!CP46</f>
        <v>-3.1546675713034364E-2</v>
      </c>
      <c r="DK46" s="1885"/>
      <c r="DL46" s="1881" t="s">
        <v>38</v>
      </c>
      <c r="DM46" s="1882"/>
      <c r="DN46" s="1888" t="s">
        <v>38</v>
      </c>
      <c r="DO46" s="1885"/>
      <c r="DP46" s="1881" t="s">
        <v>38</v>
      </c>
      <c r="DQ46" s="1882"/>
      <c r="DR46" s="1883">
        <f>CX46/'2024_gada_plāns'!CX46</f>
        <v>-1.9683289580464725E-2</v>
      </c>
      <c r="DS46" s="1906"/>
    </row>
    <row r="47" spans="1:123" s="940" customFormat="1" ht="15.75" customHeight="1" x14ac:dyDescent="0.25">
      <c r="A47" s="2242"/>
      <c r="B47" s="23"/>
      <c r="C47" s="997" t="s">
        <v>40</v>
      </c>
      <c r="D47" s="234">
        <v>54.5</v>
      </c>
      <c r="E47" s="228"/>
      <c r="F47" s="246">
        <v>2.4965643609711406E-2</v>
      </c>
      <c r="G47" s="228"/>
      <c r="H47" s="293" t="s">
        <v>38</v>
      </c>
      <c r="I47" s="230" t="s">
        <v>38</v>
      </c>
      <c r="J47" s="285">
        <v>10842</v>
      </c>
      <c r="K47" s="208"/>
      <c r="L47" s="406" t="s">
        <v>38</v>
      </c>
      <c r="M47" s="505" t="s">
        <v>38</v>
      </c>
      <c r="N47" s="506">
        <v>10842</v>
      </c>
      <c r="O47" s="208"/>
      <c r="P47" s="293" t="s">
        <v>38</v>
      </c>
      <c r="Q47" s="230" t="s">
        <v>38</v>
      </c>
      <c r="R47" s="506">
        <v>0</v>
      </c>
      <c r="S47" s="208"/>
      <c r="T47" s="293" t="s">
        <v>38</v>
      </c>
      <c r="U47" s="230" t="s">
        <v>38</v>
      </c>
      <c r="V47" s="231">
        <v>198.93577981651376</v>
      </c>
      <c r="W47" s="231"/>
      <c r="X47" s="234">
        <v>52.4</v>
      </c>
      <c r="Y47" s="228"/>
      <c r="Z47" s="246">
        <v>2.3992673992673991E-2</v>
      </c>
      <c r="AA47" s="228"/>
      <c r="AB47" s="293" t="s">
        <v>38</v>
      </c>
      <c r="AC47" s="230" t="s">
        <v>38</v>
      </c>
      <c r="AD47" s="285">
        <v>10359</v>
      </c>
      <c r="AE47" s="208"/>
      <c r="AF47" s="406" t="s">
        <v>38</v>
      </c>
      <c r="AG47" s="505" t="s">
        <v>38</v>
      </c>
      <c r="AH47" s="506">
        <v>10359</v>
      </c>
      <c r="AI47" s="208"/>
      <c r="AJ47" s="293" t="s">
        <v>38</v>
      </c>
      <c r="AK47" s="230" t="s">
        <v>38</v>
      </c>
      <c r="AL47" s="506">
        <v>0</v>
      </c>
      <c r="AM47" s="208"/>
      <c r="AN47" s="293" t="s">
        <v>38</v>
      </c>
      <c r="AO47" s="230" t="s">
        <v>38</v>
      </c>
      <c r="AP47" s="231">
        <v>197.69083969465649</v>
      </c>
      <c r="AQ47" s="231"/>
      <c r="AR47" s="1440">
        <f>'2024_ar_grozījumiem'!AR47-'2024_gada_plāns'!AR47</f>
        <v>0</v>
      </c>
      <c r="AS47" s="1441"/>
      <c r="AT47" s="1442">
        <f>'2024_ar_grozījumiem'!AT47-'2024_gada_plāns'!AT47</f>
        <v>0</v>
      </c>
      <c r="AU47" s="1441"/>
      <c r="AV47" s="1107" t="s">
        <v>38</v>
      </c>
      <c r="AW47" s="1449"/>
      <c r="AX47" s="1107">
        <f>'2024_ar_grozījumiem'!AX47-'2024_gada_plāns'!AX47</f>
        <v>-293</v>
      </c>
      <c r="AY47" s="1175"/>
      <c r="AZ47" s="1092" t="s">
        <v>38</v>
      </c>
      <c r="BA47" s="1446"/>
      <c r="BB47" s="1173">
        <f>'2024_ar_grozījumiem'!BB47-'2024_gada_plāns'!BB47</f>
        <v>-293</v>
      </c>
      <c r="BC47" s="1175"/>
      <c r="BD47" s="1107" t="s">
        <v>38</v>
      </c>
      <c r="BE47" s="1449"/>
      <c r="BF47" s="1173">
        <f>'2024_ar_grozījumiem'!BF47-'2024_gada_plāns'!BF47</f>
        <v>0</v>
      </c>
      <c r="BG47" s="1175"/>
      <c r="BH47" s="1107" t="s">
        <v>38</v>
      </c>
      <c r="BI47" s="1449"/>
      <c r="BJ47" s="1092">
        <f>'2024_ar_grozījumiem'!BJ47-'2024_gada_plāns'!BJ47</f>
        <v>-5.2603231597845763</v>
      </c>
      <c r="BK47" s="1092"/>
      <c r="BL47" s="1283">
        <f>'2024_ar_grozījumiem'!BL47-'2024_gada_plāns'!BL47</f>
        <v>5.5</v>
      </c>
      <c r="BM47" s="1087"/>
      <c r="BN47" s="1087">
        <f>'2024_ar_grozījumiem'!BN47-'2024_gada_plāns'!BN47</f>
        <v>2.4898143956541448E-3</v>
      </c>
      <c r="BO47" s="1087"/>
      <c r="BP47" s="1285" t="s">
        <v>38</v>
      </c>
      <c r="BQ47" s="1108"/>
      <c r="BR47" s="1285">
        <f>'2024_ar_grozījumiem'!BR47-'2024_gada_plāns'!BR47</f>
        <v>1162</v>
      </c>
      <c r="BS47" s="1091"/>
      <c r="BT47" s="1095" t="s">
        <v>38</v>
      </c>
      <c r="BU47" s="1093"/>
      <c r="BV47" s="1176">
        <f>'2024_ar_grozījumiem'!BV47-'2024_gada_plāns'!BV47</f>
        <v>1162</v>
      </c>
      <c r="BW47" s="1091"/>
      <c r="BX47" s="1285" t="s">
        <v>38</v>
      </c>
      <c r="BY47" s="1108"/>
      <c r="BZ47" s="1176">
        <f>'2024_ar_grozījumiem'!BZ47-'2024_gada_plāns'!BZ47</f>
        <v>0</v>
      </c>
      <c r="CA47" s="1091"/>
      <c r="CB47" s="1285" t="s">
        <v>38</v>
      </c>
      <c r="CC47" s="1108"/>
      <c r="CD47" s="1095">
        <f>'2024_ar_grozījumiem'!CD47-'2024_gada_plāns'!CD47</f>
        <v>1.5236766643416217</v>
      </c>
      <c r="CE47" s="1095"/>
      <c r="CF47" s="1309">
        <f>'2024_ar_grozījumiem'!CF47-'2024_gada_plāns'!CF47</f>
        <v>5.5</v>
      </c>
      <c r="CG47" s="1095"/>
      <c r="CH47" s="1088">
        <f>'2024_ar_grozījumiem'!CH47-'2024_gada_plāns'!CH47</f>
        <v>6.2785388127853739E-4</v>
      </c>
      <c r="CI47" s="1359"/>
      <c r="CJ47" s="1095" t="s">
        <v>38</v>
      </c>
      <c r="CK47" s="1093"/>
      <c r="CL47" s="1176">
        <f>'2024_ar_grozījumiem'!CL47-'2024_gada_plāns'!CL47</f>
        <v>869</v>
      </c>
      <c r="CM47" s="1169"/>
      <c r="CN47" s="1091" t="s">
        <v>38</v>
      </c>
      <c r="CO47" s="1093"/>
      <c r="CP47" s="1176">
        <f>'2024_ar_grozījumiem'!CP47-'2024_gada_plāns'!CP47</f>
        <v>869</v>
      </c>
      <c r="CQ47" s="1091"/>
      <c r="CR47" s="1095" t="s">
        <v>38</v>
      </c>
      <c r="CS47" s="1093"/>
      <c r="CT47" s="1176">
        <f>'2024_ar_grozījumiem'!CT47-'2024_gada_plāns'!CT47</f>
        <v>0</v>
      </c>
      <c r="CU47" s="1091"/>
      <c r="CV47" s="1095" t="s">
        <v>38</v>
      </c>
      <c r="CW47" s="1093"/>
      <c r="CX47" s="1176">
        <f>'2024_ar_grozījumiem'!CX47-'2024_gada_plāns'!CX47</f>
        <v>-1.0279315518700969</v>
      </c>
      <c r="CY47" s="1360"/>
      <c r="CZ47" s="1877">
        <f>CF47/'2024_gada_plāns'!CF47</f>
        <v>2.5797373358348967E-2</v>
      </c>
      <c r="DA47" s="1881"/>
      <c r="DB47" s="1902">
        <f>CH47/'2024_gada_plāns'!CH47</f>
        <v>2.5797373358348908E-2</v>
      </c>
      <c r="DC47" s="1911"/>
      <c r="DD47" s="1881" t="s">
        <v>38</v>
      </c>
      <c r="DE47" s="1882"/>
      <c r="DF47" s="1883">
        <f>CL47/'2024_gada_plāns'!CL47</f>
        <v>2.0495283018867924E-2</v>
      </c>
      <c r="DG47" s="1884"/>
      <c r="DH47" s="1885" t="s">
        <v>38</v>
      </c>
      <c r="DI47" s="1882"/>
      <c r="DJ47" s="1883">
        <f>CP47/'2024_gada_plāns'!CP47</f>
        <v>2.0495283018867924E-2</v>
      </c>
      <c r="DK47" s="1885"/>
      <c r="DL47" s="1881" t="s">
        <v>38</v>
      </c>
      <c r="DM47" s="1882"/>
      <c r="DN47" s="1888" t="s">
        <v>38</v>
      </c>
      <c r="DO47" s="1885"/>
      <c r="DP47" s="1881" t="s">
        <v>38</v>
      </c>
      <c r="DQ47" s="1882"/>
      <c r="DR47" s="1883">
        <f>CX47/'2024_gada_plāns'!CX47</f>
        <v>-5.1687501617619031E-3</v>
      </c>
      <c r="DS47" s="1912"/>
    </row>
    <row r="48" spans="1:123" s="990" customFormat="1" ht="15.75" customHeight="1" x14ac:dyDescent="0.25">
      <c r="A48" s="2242"/>
      <c r="B48" s="987"/>
      <c r="C48" s="988" t="s">
        <v>42</v>
      </c>
      <c r="D48" s="234">
        <v>155.9</v>
      </c>
      <c r="E48" s="228"/>
      <c r="F48" s="246">
        <v>7.1415483279890057E-2</v>
      </c>
      <c r="G48" s="228"/>
      <c r="H48" s="293" t="s">
        <v>38</v>
      </c>
      <c r="I48" s="230" t="s">
        <v>38</v>
      </c>
      <c r="J48" s="285">
        <v>20427</v>
      </c>
      <c r="K48" s="208"/>
      <c r="L48" s="406" t="s">
        <v>38</v>
      </c>
      <c r="M48" s="505" t="s">
        <v>38</v>
      </c>
      <c r="N48" s="506">
        <v>20427</v>
      </c>
      <c r="O48" s="208"/>
      <c r="P48" s="293" t="s">
        <v>38</v>
      </c>
      <c r="Q48" s="230" t="s">
        <v>38</v>
      </c>
      <c r="R48" s="506">
        <v>0</v>
      </c>
      <c r="S48" s="208"/>
      <c r="T48" s="293" t="s">
        <v>38</v>
      </c>
      <c r="U48" s="230" t="s">
        <v>38</v>
      </c>
      <c r="V48" s="231">
        <v>131.0262989095574</v>
      </c>
      <c r="W48" s="231"/>
      <c r="X48" s="234">
        <v>148.9</v>
      </c>
      <c r="Y48" s="228"/>
      <c r="Z48" s="246">
        <v>6.8177655677655685E-2</v>
      </c>
      <c r="AA48" s="228"/>
      <c r="AB48" s="293" t="s">
        <v>38</v>
      </c>
      <c r="AC48" s="230" t="s">
        <v>38</v>
      </c>
      <c r="AD48" s="285">
        <v>20866</v>
      </c>
      <c r="AE48" s="208"/>
      <c r="AF48" s="406" t="s">
        <v>38</v>
      </c>
      <c r="AG48" s="505" t="s">
        <v>38</v>
      </c>
      <c r="AH48" s="506">
        <v>20866</v>
      </c>
      <c r="AI48" s="208"/>
      <c r="AJ48" s="293" t="s">
        <v>38</v>
      </c>
      <c r="AK48" s="230" t="s">
        <v>38</v>
      </c>
      <c r="AL48" s="506">
        <v>0</v>
      </c>
      <c r="AM48" s="208"/>
      <c r="AN48" s="293" t="s">
        <v>38</v>
      </c>
      <c r="AO48" s="230" t="s">
        <v>38</v>
      </c>
      <c r="AP48" s="231">
        <v>140.13431833445264</v>
      </c>
      <c r="AQ48" s="231"/>
      <c r="AR48" s="1634">
        <f>'2024_ar_grozījumiem'!AR48-'2024_gada_plāns'!AR48</f>
        <v>-27.799999999999997</v>
      </c>
      <c r="AS48" s="1635"/>
      <c r="AT48" s="1442">
        <f>'2024_ar_grozījumiem'!AT48-'2024_gada_plāns'!AT48</f>
        <v>-1.2590579710144927E-2</v>
      </c>
      <c r="AU48" s="1441"/>
      <c r="AV48" s="1107" t="s">
        <v>38</v>
      </c>
      <c r="AW48" s="1449"/>
      <c r="AX48" s="1107">
        <f>'2024_ar_grozījumiem'!AX48-'2024_gada_plāns'!AX48</f>
        <v>2980</v>
      </c>
      <c r="AY48" s="1175"/>
      <c r="AZ48" s="1092" t="s">
        <v>38</v>
      </c>
      <c r="BA48" s="1446"/>
      <c r="BB48" s="1657">
        <f>'2024_ar_grozījumiem'!BB48-'2024_gada_plāns'!BB48</f>
        <v>2980</v>
      </c>
      <c r="BC48" s="1469"/>
      <c r="BD48" s="1107" t="s">
        <v>38</v>
      </c>
      <c r="BE48" s="1449"/>
      <c r="BF48" s="1657">
        <f>'2024_ar_grozījumiem'!BF48-'2024_gada_plāns'!BF48</f>
        <v>0</v>
      </c>
      <c r="BG48" s="1469"/>
      <c r="BH48" s="1107" t="s">
        <v>38</v>
      </c>
      <c r="BI48" s="1449"/>
      <c r="BJ48" s="1092">
        <f>'2024_ar_grozījumiem'!BJ48-'2024_gada_plāns'!BJ48</f>
        <v>59.039604283662015</v>
      </c>
      <c r="BK48" s="1092"/>
      <c r="BL48" s="1290">
        <f>'2024_ar_grozījumiem'!BL48-'2024_gada_plāns'!BL48</f>
        <v>-25.5</v>
      </c>
      <c r="BM48" s="1114"/>
      <c r="BN48" s="1087">
        <f>'2024_ar_grozījumiem'!BN48-'2024_gada_plāns'!BN48</f>
        <v>-1.1543684925305567E-2</v>
      </c>
      <c r="BO48" s="1087"/>
      <c r="BP48" s="1285" t="s">
        <v>38</v>
      </c>
      <c r="BQ48" s="1108"/>
      <c r="BR48" s="1285">
        <f>'2024_ar_grozījumiem'!BR48-'2024_gada_plāns'!BR48</f>
        <v>2995</v>
      </c>
      <c r="BS48" s="1091"/>
      <c r="BT48" s="1095" t="s">
        <v>38</v>
      </c>
      <c r="BU48" s="1093"/>
      <c r="BV48" s="1291">
        <f>'2024_ar_grozījumiem'!BV48-'2024_gada_plāns'!BV48</f>
        <v>2995</v>
      </c>
      <c r="BW48" s="1094"/>
      <c r="BX48" s="1285" t="s">
        <v>38</v>
      </c>
      <c r="BY48" s="1108"/>
      <c r="BZ48" s="1291">
        <f>'2024_ar_grozījumiem'!BZ48-'2024_gada_plāns'!BZ48</f>
        <v>0</v>
      </c>
      <c r="CA48" s="1094"/>
      <c r="CB48" s="1285" t="s">
        <v>38</v>
      </c>
      <c r="CC48" s="1108"/>
      <c r="CD48" s="1095">
        <f>'2024_ar_grozījumiem'!CD48-'2024_gada_plāns'!CD48</f>
        <v>49.811620380823371</v>
      </c>
      <c r="CE48" s="1095"/>
      <c r="CF48" s="1309">
        <f>'2024_ar_grozījumiem'!CF48-'2024_gada_plāns'!CF48</f>
        <v>-53.299999999999955</v>
      </c>
      <c r="CG48" s="1095"/>
      <c r="CH48" s="1088">
        <f>'2024_ar_grozījumiem'!CH48-'2024_gada_plāns'!CH48</f>
        <v>-6.0844748858447373E-3</v>
      </c>
      <c r="CI48" s="1359"/>
      <c r="CJ48" s="1095" t="s">
        <v>38</v>
      </c>
      <c r="CK48" s="1093"/>
      <c r="CL48" s="1176">
        <f>'2024_ar_grozījumiem'!CL48-'2024_gada_plāns'!CL48</f>
        <v>5975</v>
      </c>
      <c r="CM48" s="1169"/>
      <c r="CN48" s="1091" t="s">
        <v>38</v>
      </c>
      <c r="CO48" s="1093"/>
      <c r="CP48" s="1176">
        <f>'2024_ar_grozījumiem'!CP48-'2024_gada_plāns'!CP48</f>
        <v>5975</v>
      </c>
      <c r="CQ48" s="1091"/>
      <c r="CR48" s="1095" t="s">
        <v>38</v>
      </c>
      <c r="CS48" s="1093"/>
      <c r="CT48" s="1176">
        <f>'2024_ar_grozījumiem'!CT48-'2024_gada_plāns'!CT48</f>
        <v>0</v>
      </c>
      <c r="CU48" s="1091"/>
      <c r="CV48" s="1095" t="s">
        <v>38</v>
      </c>
      <c r="CW48" s="1093"/>
      <c r="CX48" s="1176">
        <f>'2024_ar_grozījumiem'!CX48-'2024_gada_plāns'!CX48</f>
        <v>24.074264907653458</v>
      </c>
      <c r="CY48" s="1357"/>
      <c r="CZ48" s="1877">
        <f>CF48/'2024_gada_plāns'!CF48</f>
        <v>-8.8113737807902062E-2</v>
      </c>
      <c r="DA48" s="1881"/>
      <c r="DB48" s="1902">
        <f>CH48/'2024_gada_plāns'!CH48</f>
        <v>-8.8113737807901965E-2</v>
      </c>
      <c r="DC48" s="1911"/>
      <c r="DD48" s="1881" t="s">
        <v>38</v>
      </c>
      <c r="DE48" s="1882"/>
      <c r="DF48" s="1883">
        <f>CL48/'2024_gada_plāns'!CL48</f>
        <v>7.2077397252011538E-2</v>
      </c>
      <c r="DG48" s="1884"/>
      <c r="DH48" s="1885" t="s">
        <v>38</v>
      </c>
      <c r="DI48" s="1882"/>
      <c r="DJ48" s="1883">
        <f>CP48/'2024_gada_plāns'!CP48</f>
        <v>7.2077397252011538E-2</v>
      </c>
      <c r="DK48" s="1885"/>
      <c r="DL48" s="1881" t="s">
        <v>38</v>
      </c>
      <c r="DM48" s="1882"/>
      <c r="DN48" s="1888" t="s">
        <v>38</v>
      </c>
      <c r="DO48" s="1885"/>
      <c r="DP48" s="1881" t="s">
        <v>38</v>
      </c>
      <c r="DQ48" s="1882"/>
      <c r="DR48" s="1913">
        <f>CX48/'2024_gada_plāns'!CX48</f>
        <v>0.17567008266450626</v>
      </c>
      <c r="DS48" s="1906"/>
    </row>
    <row r="49" spans="1:123" s="990" customFormat="1" ht="15.75" customHeight="1" x14ac:dyDescent="0.25">
      <c r="A49" s="2242"/>
      <c r="B49" s="987"/>
      <c r="C49" s="998" t="s">
        <v>43</v>
      </c>
      <c r="D49" s="234">
        <v>0</v>
      </c>
      <c r="E49" s="295"/>
      <c r="F49" s="246">
        <v>0</v>
      </c>
      <c r="G49" s="228"/>
      <c r="H49" s="293" t="s">
        <v>38</v>
      </c>
      <c r="I49" s="230" t="s">
        <v>38</v>
      </c>
      <c r="J49" s="285">
        <v>0</v>
      </c>
      <c r="K49" s="208"/>
      <c r="L49" s="406" t="s">
        <v>38</v>
      </c>
      <c r="M49" s="505" t="s">
        <v>38</v>
      </c>
      <c r="N49" s="506">
        <v>0</v>
      </c>
      <c r="O49" s="507"/>
      <c r="P49" s="293" t="s">
        <v>38</v>
      </c>
      <c r="Q49" s="230" t="s">
        <v>38</v>
      </c>
      <c r="R49" s="556">
        <v>0</v>
      </c>
      <c r="S49" s="507"/>
      <c r="T49" s="293" t="s">
        <v>38</v>
      </c>
      <c r="U49" s="230" t="s">
        <v>38</v>
      </c>
      <c r="V49" s="231">
        <v>0</v>
      </c>
      <c r="W49" s="231"/>
      <c r="X49" s="234">
        <v>0</v>
      </c>
      <c r="Y49" s="295"/>
      <c r="Z49" s="246">
        <v>0</v>
      </c>
      <c r="AA49" s="228"/>
      <c r="AB49" s="293" t="s">
        <v>38</v>
      </c>
      <c r="AC49" s="230" t="s">
        <v>38</v>
      </c>
      <c r="AD49" s="285">
        <v>0</v>
      </c>
      <c r="AE49" s="208"/>
      <c r="AF49" s="406" t="s">
        <v>38</v>
      </c>
      <c r="AG49" s="505" t="s">
        <v>38</v>
      </c>
      <c r="AH49" s="506">
        <v>0</v>
      </c>
      <c r="AI49" s="507"/>
      <c r="AJ49" s="293" t="s">
        <v>38</v>
      </c>
      <c r="AK49" s="230" t="s">
        <v>38</v>
      </c>
      <c r="AL49" s="556">
        <v>0</v>
      </c>
      <c r="AM49" s="507"/>
      <c r="AN49" s="293" t="s">
        <v>38</v>
      </c>
      <c r="AO49" s="230" t="s">
        <v>38</v>
      </c>
      <c r="AP49" s="231">
        <v>0</v>
      </c>
      <c r="AQ49" s="231"/>
      <c r="AR49" s="1440">
        <f>'2024_ar_grozījumiem'!AR49-'2024_gada_plāns'!AR49</f>
        <v>0</v>
      </c>
      <c r="AS49" s="1635"/>
      <c r="AT49" s="1442">
        <f>'2024_ar_grozījumiem'!AT49-'2024_gada_plāns'!AT49</f>
        <v>0</v>
      </c>
      <c r="AU49" s="1441"/>
      <c r="AV49" s="1107" t="s">
        <v>38</v>
      </c>
      <c r="AW49" s="1449"/>
      <c r="AX49" s="1107">
        <f>'2024_ar_grozījumiem'!AX49-'2024_gada_plāns'!AX49</f>
        <v>0</v>
      </c>
      <c r="AY49" s="1175"/>
      <c r="AZ49" s="1092" t="s">
        <v>38</v>
      </c>
      <c r="BA49" s="1446"/>
      <c r="BB49" s="1657">
        <f>'2024_ar_grozījumiem'!BB49-'2024_gada_plāns'!BB49</f>
        <v>0</v>
      </c>
      <c r="BC49" s="1469"/>
      <c r="BD49" s="1107" t="s">
        <v>38</v>
      </c>
      <c r="BE49" s="1449"/>
      <c r="BF49" s="1657">
        <f>'2024_ar_grozījumiem'!BF49-'2024_gada_plāns'!BF49</f>
        <v>0</v>
      </c>
      <c r="BG49" s="1469"/>
      <c r="BH49" s="1107" t="s">
        <v>38</v>
      </c>
      <c r="BI49" s="1449"/>
      <c r="BJ49" s="1092" t="s">
        <v>38</v>
      </c>
      <c r="BK49" s="1092"/>
      <c r="BL49" s="1283">
        <f>'2024_ar_grozījumiem'!BL49-'2024_gada_plāns'!BL49</f>
        <v>0</v>
      </c>
      <c r="BM49" s="1114"/>
      <c r="BN49" s="1087">
        <f>'2024_ar_grozījumiem'!BN49-'2024_gada_plāns'!BN49</f>
        <v>0</v>
      </c>
      <c r="BO49" s="1087"/>
      <c r="BP49" s="1285" t="s">
        <v>38</v>
      </c>
      <c r="BQ49" s="1108"/>
      <c r="BR49" s="1285">
        <f>'2024_ar_grozījumiem'!BR49-'2024_gada_plāns'!BR49</f>
        <v>0</v>
      </c>
      <c r="BS49" s="1091"/>
      <c r="BT49" s="1095" t="s">
        <v>38</v>
      </c>
      <c r="BU49" s="1093"/>
      <c r="BV49" s="1291">
        <f>'2024_ar_grozījumiem'!BV49-'2024_gada_plāns'!BV49</f>
        <v>0</v>
      </c>
      <c r="BW49" s="1094"/>
      <c r="BX49" s="1285" t="s">
        <v>38</v>
      </c>
      <c r="BY49" s="1108"/>
      <c r="BZ49" s="1291">
        <f>'2024_ar_grozījumiem'!BZ49-'2024_gada_plāns'!BZ49</f>
        <v>0</v>
      </c>
      <c r="CA49" s="1094"/>
      <c r="CB49" s="1285" t="s">
        <v>38</v>
      </c>
      <c r="CC49" s="1108"/>
      <c r="CD49" s="1095" t="s">
        <v>38</v>
      </c>
      <c r="CE49" s="1095"/>
      <c r="CF49" s="1309">
        <f>'2024_ar_grozījumiem'!CF49-'2024_gada_plāns'!CF49</f>
        <v>0</v>
      </c>
      <c r="CG49" s="1095"/>
      <c r="CH49" s="1088">
        <f>'2024_ar_grozījumiem'!CH49-'2024_gada_plāns'!CH49</f>
        <v>0</v>
      </c>
      <c r="CI49" s="1359"/>
      <c r="CJ49" s="1095" t="s">
        <v>38</v>
      </c>
      <c r="CK49" s="1093"/>
      <c r="CL49" s="1176">
        <f>'2024_ar_grozījumiem'!CL49-'2024_gada_plāns'!CL49</f>
        <v>0</v>
      </c>
      <c r="CM49" s="1169"/>
      <c r="CN49" s="1091" t="s">
        <v>38</v>
      </c>
      <c r="CO49" s="1093"/>
      <c r="CP49" s="1176">
        <f>'2024_ar_grozījumiem'!CP49-'2024_gada_plāns'!CP49</f>
        <v>0</v>
      </c>
      <c r="CQ49" s="1091"/>
      <c r="CR49" s="1095" t="s">
        <v>38</v>
      </c>
      <c r="CS49" s="1093"/>
      <c r="CT49" s="1176">
        <f>'2024_ar_grozījumiem'!CT49-'2024_gada_plāns'!CT49</f>
        <v>0</v>
      </c>
      <c r="CU49" s="1091"/>
      <c r="CV49" s="1095" t="s">
        <v>38</v>
      </c>
      <c r="CW49" s="1093"/>
      <c r="CX49" s="1176" t="s">
        <v>38</v>
      </c>
      <c r="CY49" s="1357"/>
      <c r="CZ49" s="1877" t="s">
        <v>38</v>
      </c>
      <c r="DA49" s="1881"/>
      <c r="DB49" s="1902" t="s">
        <v>38</v>
      </c>
      <c r="DC49" s="1911"/>
      <c r="DD49" s="1881" t="s">
        <v>38</v>
      </c>
      <c r="DE49" s="1882"/>
      <c r="DF49" s="1883" t="s">
        <v>38</v>
      </c>
      <c r="DG49" s="1884"/>
      <c r="DH49" s="1885" t="s">
        <v>38</v>
      </c>
      <c r="DI49" s="1882"/>
      <c r="DJ49" s="1883" t="s">
        <v>38</v>
      </c>
      <c r="DK49" s="1885"/>
      <c r="DL49" s="1881" t="s">
        <v>38</v>
      </c>
      <c r="DM49" s="1882"/>
      <c r="DN49" s="1888" t="s">
        <v>38</v>
      </c>
      <c r="DO49" s="1885"/>
      <c r="DP49" s="1881" t="s">
        <v>38</v>
      </c>
      <c r="DQ49" s="1882"/>
      <c r="DR49" s="1888" t="s">
        <v>38</v>
      </c>
      <c r="DS49" s="1906"/>
    </row>
    <row r="50" spans="1:123" s="993" customFormat="1" ht="15.75" customHeight="1" x14ac:dyDescent="0.25">
      <c r="A50" s="2242"/>
      <c r="B50" s="995" t="s">
        <v>51</v>
      </c>
      <c r="C50" s="996"/>
      <c r="D50" s="287">
        <v>1562.7</v>
      </c>
      <c r="E50" s="288"/>
      <c r="F50" s="289">
        <v>0.14210368376542482</v>
      </c>
      <c r="G50" s="288"/>
      <c r="H50" s="290" t="s">
        <v>38</v>
      </c>
      <c r="I50" s="291" t="s">
        <v>38</v>
      </c>
      <c r="J50" s="292">
        <v>126211</v>
      </c>
      <c r="K50" s="525"/>
      <c r="L50" s="407" t="s">
        <v>38</v>
      </c>
      <c r="M50" s="526" t="s">
        <v>38</v>
      </c>
      <c r="N50" s="527">
        <v>126211</v>
      </c>
      <c r="O50" s="528"/>
      <c r="P50" s="290" t="s">
        <v>38</v>
      </c>
      <c r="Q50" s="291" t="s">
        <v>38</v>
      </c>
      <c r="R50" s="527">
        <v>0</v>
      </c>
      <c r="S50" s="528"/>
      <c r="T50" s="290" t="s">
        <v>38</v>
      </c>
      <c r="U50" s="291" t="s">
        <v>38</v>
      </c>
      <c r="V50" s="529">
        <v>80.764702118128881</v>
      </c>
      <c r="W50" s="529"/>
      <c r="X50" s="287">
        <v>1541.2</v>
      </c>
      <c r="Y50" s="288"/>
      <c r="Z50" s="289">
        <v>0.14008489442732619</v>
      </c>
      <c r="AA50" s="288"/>
      <c r="AB50" s="290" t="s">
        <v>38</v>
      </c>
      <c r="AC50" s="291" t="s">
        <v>38</v>
      </c>
      <c r="AD50" s="292">
        <v>129042</v>
      </c>
      <c r="AE50" s="525"/>
      <c r="AF50" s="407" t="s">
        <v>38</v>
      </c>
      <c r="AG50" s="526" t="s">
        <v>38</v>
      </c>
      <c r="AH50" s="527">
        <v>129042</v>
      </c>
      <c r="AI50" s="528"/>
      <c r="AJ50" s="290" t="s">
        <v>38</v>
      </c>
      <c r="AK50" s="291" t="s">
        <v>38</v>
      </c>
      <c r="AL50" s="527">
        <v>0</v>
      </c>
      <c r="AM50" s="528"/>
      <c r="AN50" s="290" t="s">
        <v>38</v>
      </c>
      <c r="AO50" s="291" t="s">
        <v>38</v>
      </c>
      <c r="AP50" s="529">
        <v>83.728263690630669</v>
      </c>
      <c r="AQ50" s="529"/>
      <c r="AR50" s="1451">
        <f>'2024_ar_grozījumiem'!AR50-'2024_gada_plāns'!AR50</f>
        <v>4</v>
      </c>
      <c r="AS50" s="1452"/>
      <c r="AT50" s="1453">
        <f>'2024_ar_grozījumiem'!AT50-'2024_gada_plāns'!AT50</f>
        <v>3.6013649173036177E-4</v>
      </c>
      <c r="AU50" s="1452"/>
      <c r="AV50" s="1100" t="s">
        <v>38</v>
      </c>
      <c r="AW50" s="1454"/>
      <c r="AX50" s="1100">
        <f>'2024_ar_grozījumiem'!AX50-'2024_gada_plāns'!AX50</f>
        <v>-5737</v>
      </c>
      <c r="AY50" s="1460"/>
      <c r="AZ50" s="1103" t="s">
        <v>38</v>
      </c>
      <c r="BA50" s="1457"/>
      <c r="BB50" s="1458">
        <f>'2024_ar_grozījumiem'!BB50-'2024_gada_plāns'!BB50</f>
        <v>-5737</v>
      </c>
      <c r="BC50" s="1461"/>
      <c r="BD50" s="1100" t="s">
        <v>38</v>
      </c>
      <c r="BE50" s="1454"/>
      <c r="BF50" s="1458">
        <f>'2024_ar_grozījumiem'!BF50-'2024_gada_plāns'!BF50</f>
        <v>0</v>
      </c>
      <c r="BG50" s="1461"/>
      <c r="BH50" s="1100" t="s">
        <v>38</v>
      </c>
      <c r="BI50" s="1454"/>
      <c r="BJ50" s="1112">
        <f>'2024_ar_grozījumiem'!BJ50-'2024_gada_plāns'!BJ50</f>
        <v>-3.8858065551951597</v>
      </c>
      <c r="BK50" s="1112"/>
      <c r="BL50" s="1286">
        <f>'2024_ar_grozījumiem'!BL50-'2024_gada_plāns'!BL50</f>
        <v>-6.2999999999999545</v>
      </c>
      <c r="BM50" s="1098"/>
      <c r="BN50" s="1098">
        <f>'2024_ar_grozījumiem'!BN50-'2024_gada_plāns'!BN50</f>
        <v>-5.6772612170966075E-4</v>
      </c>
      <c r="BO50" s="1098"/>
      <c r="BP50" s="1287" t="s">
        <v>38</v>
      </c>
      <c r="BQ50" s="1101"/>
      <c r="BR50" s="1287">
        <f>'2024_ar_grozījumiem'!BR50-'2024_gada_plāns'!BR50</f>
        <v>-4111</v>
      </c>
      <c r="BS50" s="1102"/>
      <c r="BT50" s="1288" t="s">
        <v>38</v>
      </c>
      <c r="BU50" s="1104"/>
      <c r="BV50" s="1289">
        <f>'2024_ar_grozījumiem'!BV50-'2024_gada_plāns'!BV50</f>
        <v>-4111</v>
      </c>
      <c r="BW50" s="1105"/>
      <c r="BX50" s="1287" t="s">
        <v>38</v>
      </c>
      <c r="BY50" s="1101"/>
      <c r="BZ50" s="1289">
        <f>'2024_ar_grozījumiem'!BZ50-'2024_gada_plāns'!BZ50</f>
        <v>0</v>
      </c>
      <c r="CA50" s="1105"/>
      <c r="CB50" s="1287" t="s">
        <v>38</v>
      </c>
      <c r="CC50" s="1101"/>
      <c r="CD50" s="1106">
        <f>'2024_ar_grozījumiem'!CD50-'2024_gada_plāns'!CD50</f>
        <v>-2.3861209627694393</v>
      </c>
      <c r="CE50" s="1106"/>
      <c r="CF50" s="1353">
        <f>'2024_ar_grozījumiem'!CF50-'2024_gada_plāns'!CF50</f>
        <v>-2.2999999999992724</v>
      </c>
      <c r="CG50" s="1106"/>
      <c r="CH50" s="1099">
        <f>'2024_ar_grozījumiem'!CH50-'2024_gada_plāns'!CH50</f>
        <v>-5.2033138322166161E-5</v>
      </c>
      <c r="CI50" s="1354"/>
      <c r="CJ50" s="1288" t="s">
        <v>38</v>
      </c>
      <c r="CK50" s="1104"/>
      <c r="CL50" s="1289">
        <f>'2024_ar_grozījumiem'!CL50-'2024_gada_plāns'!CL50</f>
        <v>-9848</v>
      </c>
      <c r="CM50" s="1355"/>
      <c r="CN50" s="1102" t="s">
        <v>38</v>
      </c>
      <c r="CO50" s="1104"/>
      <c r="CP50" s="1289">
        <f>'2024_ar_grozījumiem'!CP50-'2024_gada_plāns'!CP50</f>
        <v>-9848</v>
      </c>
      <c r="CQ50" s="1105"/>
      <c r="CR50" s="1288" t="s">
        <v>38</v>
      </c>
      <c r="CS50" s="1104"/>
      <c r="CT50" s="1289">
        <f>'2024_ar_grozījumiem'!CT50-'2024_gada_plāns'!CT50</f>
        <v>0</v>
      </c>
      <c r="CU50" s="1105"/>
      <c r="CV50" s="1288" t="s">
        <v>38</v>
      </c>
      <c r="CW50" s="1104"/>
      <c r="CX50" s="1289">
        <f>'2024_ar_grozījumiem'!CX50-'2024_gada_plāns'!CX50</f>
        <v>-1.5663955943552992</v>
      </c>
      <c r="CY50" s="1358"/>
      <c r="CZ50" s="1890">
        <f>CF50/'2024_gada_plāns'!CF50</f>
        <v>-3.7293467157415279E-4</v>
      </c>
      <c r="DA50" s="1891"/>
      <c r="DB50" s="1892">
        <f>CH50/'2024_gada_plāns'!CH50</f>
        <v>-3.7293467157417057E-4</v>
      </c>
      <c r="DC50" s="1893"/>
      <c r="DD50" s="1894" t="s">
        <v>38</v>
      </c>
      <c r="DE50" s="1895"/>
      <c r="DF50" s="1896">
        <f>CL50/'2024_gada_plāns'!CL50</f>
        <v>-1.921137388244153E-2</v>
      </c>
      <c r="DG50" s="1897"/>
      <c r="DH50" s="1898" t="s">
        <v>38</v>
      </c>
      <c r="DI50" s="1895"/>
      <c r="DJ50" s="1896">
        <f>CP50/'2024_gada_plāns'!CP50</f>
        <v>-1.921137388244153E-2</v>
      </c>
      <c r="DK50" s="1899"/>
      <c r="DL50" s="1894" t="s">
        <v>38</v>
      </c>
      <c r="DM50" s="1895"/>
      <c r="DN50" s="1900" t="s">
        <v>38</v>
      </c>
      <c r="DO50" s="1899"/>
      <c r="DP50" s="1894" t="s">
        <v>38</v>
      </c>
      <c r="DQ50" s="1895"/>
      <c r="DR50" s="1896">
        <f>CX50/'2024_gada_plāns'!CX50</f>
        <v>-1.8845467339040241E-2</v>
      </c>
      <c r="DS50" s="1907"/>
    </row>
    <row r="51" spans="1:123" s="990" customFormat="1" ht="15.75" customHeight="1" x14ac:dyDescent="0.25">
      <c r="A51" s="2242"/>
      <c r="B51" s="987"/>
      <c r="C51" s="988" t="s">
        <v>39</v>
      </c>
      <c r="D51" s="234">
        <v>142.1</v>
      </c>
      <c r="E51" s="228"/>
      <c r="F51" s="246">
        <v>6.5093907466788822E-2</v>
      </c>
      <c r="G51" s="228"/>
      <c r="H51" s="293" t="s">
        <v>38</v>
      </c>
      <c r="I51" s="230" t="s">
        <v>38</v>
      </c>
      <c r="J51" s="285">
        <v>21551</v>
      </c>
      <c r="K51" s="208"/>
      <c r="L51" s="406" t="s">
        <v>38</v>
      </c>
      <c r="M51" s="505" t="s">
        <v>38</v>
      </c>
      <c r="N51" s="506">
        <v>21551</v>
      </c>
      <c r="O51" s="507"/>
      <c r="P51" s="293" t="s">
        <v>38</v>
      </c>
      <c r="Q51" s="230" t="s">
        <v>38</v>
      </c>
      <c r="R51" s="506">
        <v>0</v>
      </c>
      <c r="S51" s="208"/>
      <c r="T51" s="293" t="s">
        <v>38</v>
      </c>
      <c r="U51" s="230" t="s">
        <v>38</v>
      </c>
      <c r="V51" s="231">
        <v>151.66080225193525</v>
      </c>
      <c r="W51" s="231"/>
      <c r="X51" s="234">
        <v>141.5</v>
      </c>
      <c r="Y51" s="228"/>
      <c r="Z51" s="246">
        <v>6.4789377289377295E-2</v>
      </c>
      <c r="AA51" s="228"/>
      <c r="AB51" s="293" t="s">
        <v>38</v>
      </c>
      <c r="AC51" s="230" t="s">
        <v>38</v>
      </c>
      <c r="AD51" s="285">
        <v>21485</v>
      </c>
      <c r="AE51" s="208"/>
      <c r="AF51" s="406" t="s">
        <v>38</v>
      </c>
      <c r="AG51" s="505" t="s">
        <v>38</v>
      </c>
      <c r="AH51" s="506">
        <v>21485</v>
      </c>
      <c r="AI51" s="507"/>
      <c r="AJ51" s="293" t="s">
        <v>38</v>
      </c>
      <c r="AK51" s="230" t="s">
        <v>38</v>
      </c>
      <c r="AL51" s="506">
        <v>0</v>
      </c>
      <c r="AM51" s="208"/>
      <c r="AN51" s="293" t="s">
        <v>38</v>
      </c>
      <c r="AO51" s="230" t="s">
        <v>38</v>
      </c>
      <c r="AP51" s="231">
        <v>151.83745583038871</v>
      </c>
      <c r="AQ51" s="231"/>
      <c r="AR51" s="1440">
        <f>'2024_ar_grozījumiem'!AR51-'2024_gada_plāns'!AR51</f>
        <v>-1.5000000000000284</v>
      </c>
      <c r="AS51" s="1441"/>
      <c r="AT51" s="1442">
        <f>'2024_ar_grozījumiem'!AT51-'2024_gada_plāns'!AT51</f>
        <v>-6.7934782608695954E-4</v>
      </c>
      <c r="AU51" s="1441"/>
      <c r="AV51" s="1107" t="s">
        <v>38</v>
      </c>
      <c r="AW51" s="1449"/>
      <c r="AX51" s="1107">
        <f>'2024_ar_grozījumiem'!AX51-'2024_gada_plāns'!AX51</f>
        <v>-1782</v>
      </c>
      <c r="AY51" s="1175"/>
      <c r="AZ51" s="1092" t="s">
        <v>38</v>
      </c>
      <c r="BA51" s="1446"/>
      <c r="BB51" s="1173">
        <f>'2024_ar_grozījumiem'!BB51-'2024_gada_plāns'!BB51</f>
        <v>-1782</v>
      </c>
      <c r="BC51" s="1469"/>
      <c r="BD51" s="1107" t="s">
        <v>38</v>
      </c>
      <c r="BE51" s="1449"/>
      <c r="BF51" s="1173">
        <f>'2024_ar_grozījumiem'!BF51-'2024_gada_plāns'!BF51</f>
        <v>0</v>
      </c>
      <c r="BG51" s="1175"/>
      <c r="BH51" s="1107" t="s">
        <v>38</v>
      </c>
      <c r="BI51" s="1449"/>
      <c r="BJ51" s="1092">
        <f>'2024_ar_grozījumiem'!BJ51-'2024_gada_plāns'!BJ51</f>
        <v>-10.680428676836982</v>
      </c>
      <c r="BK51" s="1092"/>
      <c r="BL51" s="1283">
        <f>'2024_ar_grozījumiem'!BL51-'2024_gada_plāns'!BL51</f>
        <v>-5.2999999999999829</v>
      </c>
      <c r="BM51" s="1087"/>
      <c r="BN51" s="1087">
        <f>'2024_ar_grozījumiem'!BN51-'2024_gada_plāns'!BN51</f>
        <v>-2.3992756903576176E-3</v>
      </c>
      <c r="BO51" s="1087"/>
      <c r="BP51" s="1285" t="s">
        <v>38</v>
      </c>
      <c r="BQ51" s="1108"/>
      <c r="BR51" s="1285">
        <f>'2024_ar_grozījumiem'!BR51-'2024_gada_plāns'!BR51</f>
        <v>-2066</v>
      </c>
      <c r="BS51" s="1091"/>
      <c r="BT51" s="1095" t="s">
        <v>38</v>
      </c>
      <c r="BU51" s="1093"/>
      <c r="BV51" s="1176">
        <f>'2024_ar_grozījumiem'!BV51-'2024_gada_plāns'!BV51</f>
        <v>-2066</v>
      </c>
      <c r="BW51" s="1094"/>
      <c r="BX51" s="1285" t="s">
        <v>38</v>
      </c>
      <c r="BY51" s="1108"/>
      <c r="BZ51" s="1176">
        <f>'2024_ar_grozījumiem'!BZ51-'2024_gada_plāns'!BZ51</f>
        <v>0</v>
      </c>
      <c r="CA51" s="1091"/>
      <c r="CB51" s="1285" t="s">
        <v>38</v>
      </c>
      <c r="CC51" s="1108"/>
      <c r="CD51" s="1095">
        <f>'2024_ar_grozījumiem'!CD51-'2024_gada_plāns'!CD51</f>
        <v>-9.273213822734192</v>
      </c>
      <c r="CE51" s="1095"/>
      <c r="CF51" s="1309">
        <f>'2024_ar_grozījumiem'!CF51-'2024_gada_plāns'!CF51</f>
        <v>-6.8000000000000682</v>
      </c>
      <c r="CG51" s="1095"/>
      <c r="CH51" s="1088">
        <f>'2024_ar_grozījumiem'!CH51-'2024_gada_plāns'!CH51</f>
        <v>-7.7625570776256037E-4</v>
      </c>
      <c r="CI51" s="1359"/>
      <c r="CJ51" s="1095" t="s">
        <v>38</v>
      </c>
      <c r="CK51" s="1093"/>
      <c r="CL51" s="1176">
        <f>'2024_ar_grozījumiem'!CL51-'2024_gada_plāns'!CL51</f>
        <v>-3848</v>
      </c>
      <c r="CM51" s="1169"/>
      <c r="CN51" s="1091" t="s">
        <v>38</v>
      </c>
      <c r="CO51" s="1093"/>
      <c r="CP51" s="1176">
        <f>'2024_ar_grozījumiem'!CP51-'2024_gada_plāns'!CP51</f>
        <v>-3848</v>
      </c>
      <c r="CQ51" s="1091"/>
      <c r="CR51" s="1095" t="s">
        <v>38</v>
      </c>
      <c r="CS51" s="1093"/>
      <c r="CT51" s="1176">
        <f>'2024_ar_grozījumiem'!CT51-'2024_gada_plāns'!CT51</f>
        <v>0</v>
      </c>
      <c r="CU51" s="1091"/>
      <c r="CV51" s="1095" t="s">
        <v>38</v>
      </c>
      <c r="CW51" s="1093"/>
      <c r="CX51" s="1176">
        <f>'2024_ar_grozījumiem'!CX51-'2024_gada_plāns'!CX51</f>
        <v>-4.9939872983906639</v>
      </c>
      <c r="CY51" s="1357"/>
      <c r="CZ51" s="1877">
        <f>CF51/'2024_gada_plāns'!CF51</f>
        <v>-1.1850819100732079E-2</v>
      </c>
      <c r="DA51" s="1881"/>
      <c r="DB51" s="1902">
        <f>CH51/'2024_gada_plāns'!CH51</f>
        <v>-1.1850819100732012E-2</v>
      </c>
      <c r="DC51" s="1911"/>
      <c r="DD51" s="1881" t="s">
        <v>38</v>
      </c>
      <c r="DE51" s="1882"/>
      <c r="DF51" s="1883">
        <f>CL51/'2024_gada_plāns'!CL51</f>
        <v>-4.4865740902678183E-2</v>
      </c>
      <c r="DG51" s="1884"/>
      <c r="DH51" s="1885" t="s">
        <v>38</v>
      </c>
      <c r="DI51" s="1882"/>
      <c r="DJ51" s="1883">
        <f>CP51/'2024_gada_plāns'!CP51</f>
        <v>-4.4865740902678183E-2</v>
      </c>
      <c r="DK51" s="1885"/>
      <c r="DL51" s="1881" t="s">
        <v>38</v>
      </c>
      <c r="DM51" s="1882"/>
      <c r="DN51" s="1888" t="s">
        <v>38</v>
      </c>
      <c r="DO51" s="1885"/>
      <c r="DP51" s="1881" t="s">
        <v>38</v>
      </c>
      <c r="DQ51" s="1882"/>
      <c r="DR51" s="1883">
        <f>CX51/'2024_gada_plāns'!CX51</f>
        <v>-3.3410867954068155E-2</v>
      </c>
      <c r="DS51" s="1906"/>
    </row>
    <row r="52" spans="1:123" ht="15.75" customHeight="1" x14ac:dyDescent="0.25">
      <c r="A52" s="2242"/>
      <c r="B52" s="19"/>
      <c r="C52" s="988" t="s">
        <v>40</v>
      </c>
      <c r="D52" s="234">
        <v>611.70000000000005</v>
      </c>
      <c r="E52" s="228"/>
      <c r="F52" s="246">
        <v>0.28021071919377005</v>
      </c>
      <c r="G52" s="228"/>
      <c r="H52" s="293" t="s">
        <v>38</v>
      </c>
      <c r="I52" s="230" t="s">
        <v>38</v>
      </c>
      <c r="J52" s="285">
        <v>44383</v>
      </c>
      <c r="K52" s="208"/>
      <c r="L52" s="406" t="s">
        <v>38</v>
      </c>
      <c r="M52" s="505" t="s">
        <v>38</v>
      </c>
      <c r="N52" s="506">
        <v>44383</v>
      </c>
      <c r="O52" s="522"/>
      <c r="P52" s="293" t="s">
        <v>38</v>
      </c>
      <c r="Q52" s="230" t="s">
        <v>38</v>
      </c>
      <c r="R52" s="506">
        <v>0</v>
      </c>
      <c r="S52" s="208"/>
      <c r="T52" s="293" t="s">
        <v>38</v>
      </c>
      <c r="U52" s="230" t="s">
        <v>38</v>
      </c>
      <c r="V52" s="231">
        <v>72.556808893248316</v>
      </c>
      <c r="W52" s="231"/>
      <c r="X52" s="234">
        <v>615.4</v>
      </c>
      <c r="Y52" s="228"/>
      <c r="Z52" s="246">
        <v>0.28177655677655677</v>
      </c>
      <c r="AA52" s="228"/>
      <c r="AB52" s="293" t="s">
        <v>38</v>
      </c>
      <c r="AC52" s="230" t="s">
        <v>38</v>
      </c>
      <c r="AD52" s="285">
        <v>47707</v>
      </c>
      <c r="AE52" s="208"/>
      <c r="AF52" s="406" t="s">
        <v>38</v>
      </c>
      <c r="AG52" s="505" t="s">
        <v>38</v>
      </c>
      <c r="AH52" s="506">
        <v>47707</v>
      </c>
      <c r="AI52" s="522"/>
      <c r="AJ52" s="293" t="s">
        <v>38</v>
      </c>
      <c r="AK52" s="230" t="s">
        <v>38</v>
      </c>
      <c r="AL52" s="506">
        <v>0</v>
      </c>
      <c r="AM52" s="208"/>
      <c r="AN52" s="293" t="s">
        <v>38</v>
      </c>
      <c r="AO52" s="230" t="s">
        <v>38</v>
      </c>
      <c r="AP52" s="231">
        <v>77.521936951576208</v>
      </c>
      <c r="AQ52" s="231"/>
      <c r="AR52" s="1440">
        <f>'2024_ar_grozījumiem'!AR52-'2024_gada_plāns'!AR52</f>
        <v>1.2000000000000455</v>
      </c>
      <c r="AS52" s="1441"/>
      <c r="AT52" s="1442">
        <f>'2024_ar_grozījumiem'!AT52-'2024_gada_plāns'!AT52</f>
        <v>5.4347826086958984E-4</v>
      </c>
      <c r="AU52" s="1441"/>
      <c r="AV52" s="1107" t="s">
        <v>38</v>
      </c>
      <c r="AW52" s="1449"/>
      <c r="AX52" s="1107">
        <f>'2024_ar_grozījumiem'!AX52-'2024_gada_plāns'!AX52</f>
        <v>-1546</v>
      </c>
      <c r="AY52" s="1175"/>
      <c r="AZ52" s="1092" t="s">
        <v>38</v>
      </c>
      <c r="BA52" s="1446"/>
      <c r="BB52" s="1173">
        <f>'2024_ar_grozījumiem'!BB52-'2024_gada_plāns'!BB52</f>
        <v>-1546</v>
      </c>
      <c r="BC52" s="1656"/>
      <c r="BD52" s="1107" t="s">
        <v>38</v>
      </c>
      <c r="BE52" s="1449"/>
      <c r="BF52" s="1173">
        <f>'2024_ar_grozījumiem'!BF52-'2024_gada_plāns'!BF52</f>
        <v>0</v>
      </c>
      <c r="BG52" s="1175"/>
      <c r="BH52" s="1107" t="s">
        <v>38</v>
      </c>
      <c r="BI52" s="1449"/>
      <c r="BJ52" s="1092">
        <f>'2024_ar_grozījumiem'!BJ52-'2024_gada_plāns'!BJ52</f>
        <v>-2.6372188818104974</v>
      </c>
      <c r="BK52" s="1092"/>
      <c r="BL52" s="1283">
        <f>'2024_ar_grozījumiem'!BL52-'2024_gada_plāns'!BL52</f>
        <v>0.10000000000002274</v>
      </c>
      <c r="BM52" s="1087"/>
      <c r="BN52" s="1087">
        <f>'2024_ar_grozījumiem'!BN52-'2024_gada_plāns'!BN52</f>
        <v>4.5269352648258376E-5</v>
      </c>
      <c r="BO52" s="1087"/>
      <c r="BP52" s="1285" t="s">
        <v>38</v>
      </c>
      <c r="BQ52" s="1108"/>
      <c r="BR52" s="1285">
        <f>'2024_ar_grozījumiem'!BR52-'2024_gada_plāns'!BR52</f>
        <v>-833</v>
      </c>
      <c r="BS52" s="1091"/>
      <c r="BT52" s="1095" t="s">
        <v>38</v>
      </c>
      <c r="BU52" s="1093"/>
      <c r="BV52" s="1176">
        <f>'2024_ar_grozījumiem'!BV52-'2024_gada_plāns'!BV52</f>
        <v>-833</v>
      </c>
      <c r="BW52" s="1097"/>
      <c r="BX52" s="1285" t="s">
        <v>38</v>
      </c>
      <c r="BY52" s="1108"/>
      <c r="BZ52" s="1176">
        <f>'2024_ar_grozījumiem'!BZ52-'2024_gada_plāns'!BZ52</f>
        <v>0</v>
      </c>
      <c r="CA52" s="1091"/>
      <c r="CB52" s="1285" t="s">
        <v>38</v>
      </c>
      <c r="CC52" s="1108"/>
      <c r="CD52" s="1095">
        <f>'2024_ar_grozījumiem'!CD52-'2024_gada_plāns'!CD52</f>
        <v>-1.3531029436890805</v>
      </c>
      <c r="CE52" s="1095"/>
      <c r="CF52" s="1309">
        <f>'2024_ar_grozījumiem'!CF52-'2024_gada_plāns'!CF52</f>
        <v>1.3000000000001819</v>
      </c>
      <c r="CG52" s="1095"/>
      <c r="CH52" s="1088">
        <f>'2024_ar_grozījumiem'!CH52-'2024_gada_plāns'!CH52</f>
        <v>1.4840182648406808E-4</v>
      </c>
      <c r="CI52" s="1359"/>
      <c r="CJ52" s="1095" t="s">
        <v>38</v>
      </c>
      <c r="CK52" s="1093"/>
      <c r="CL52" s="1176">
        <f>'2024_ar_grozījumiem'!CL52-'2024_gada_plāns'!CL52</f>
        <v>-2379</v>
      </c>
      <c r="CM52" s="1169"/>
      <c r="CN52" s="1091" t="s">
        <v>38</v>
      </c>
      <c r="CO52" s="1093"/>
      <c r="CP52" s="1176">
        <f>'2024_ar_grozījumiem'!CP52-'2024_gada_plāns'!CP52</f>
        <v>-2379</v>
      </c>
      <c r="CQ52" s="1091"/>
      <c r="CR52" s="1095" t="s">
        <v>38</v>
      </c>
      <c r="CS52" s="1093"/>
      <c r="CT52" s="1176">
        <f>'2024_ar_grozījumiem'!CT52-'2024_gada_plāns'!CT52</f>
        <v>0</v>
      </c>
      <c r="CU52" s="1091"/>
      <c r="CV52" s="1095" t="s">
        <v>38</v>
      </c>
      <c r="CW52" s="1093"/>
      <c r="CX52" s="1176">
        <f>'2024_ar_grozījumiem'!CX52-'2024_gada_plāns'!CX52</f>
        <v>-1.0030989463317894</v>
      </c>
      <c r="CY52" s="1357"/>
      <c r="CZ52" s="1877">
        <f>CF52/'2024_gada_plāns'!CF52</f>
        <v>5.2687038988416231E-4</v>
      </c>
      <c r="DA52" s="1881"/>
      <c r="DB52" s="1902">
        <f>CH52/'2024_gada_plāns'!CH52</f>
        <v>5.2687038988426542E-4</v>
      </c>
      <c r="DC52" s="1911"/>
      <c r="DD52" s="1881" t="s">
        <v>38</v>
      </c>
      <c r="DE52" s="1882"/>
      <c r="DF52" s="1883">
        <f>CL52/'2024_gada_plāns'!CL52</f>
        <v>-1.2875397113183347E-2</v>
      </c>
      <c r="DG52" s="1884"/>
      <c r="DH52" s="1885" t="s">
        <v>38</v>
      </c>
      <c r="DI52" s="1882"/>
      <c r="DJ52" s="1883">
        <f>CP52/'2024_gada_plāns'!CP52</f>
        <v>-1.2875397113183347E-2</v>
      </c>
      <c r="DK52" s="1885"/>
      <c r="DL52" s="1881" t="s">
        <v>38</v>
      </c>
      <c r="DM52" s="1882"/>
      <c r="DN52" s="1888" t="s">
        <v>38</v>
      </c>
      <c r="DO52" s="1885"/>
      <c r="DP52" s="1881" t="s">
        <v>38</v>
      </c>
      <c r="DQ52" s="1882"/>
      <c r="DR52" s="1883">
        <f>CX52/'2024_gada_plāns'!CX52</f>
        <v>-1.3395209963571431E-2</v>
      </c>
      <c r="DS52" s="1906"/>
    </row>
    <row r="53" spans="1:123" s="940" customFormat="1" ht="15.75" customHeight="1" x14ac:dyDescent="0.25">
      <c r="A53" s="2242"/>
      <c r="B53" s="23"/>
      <c r="C53" s="997" t="s">
        <v>41</v>
      </c>
      <c r="D53" s="234">
        <v>185</v>
      </c>
      <c r="E53" s="228"/>
      <c r="F53" s="246">
        <v>8.4745762711864403E-2</v>
      </c>
      <c r="G53" s="228"/>
      <c r="H53" s="293" t="s">
        <v>38</v>
      </c>
      <c r="I53" s="230" t="s">
        <v>38</v>
      </c>
      <c r="J53" s="285">
        <v>35538</v>
      </c>
      <c r="K53" s="208"/>
      <c r="L53" s="406" t="s">
        <v>38</v>
      </c>
      <c r="M53" s="505" t="s">
        <v>38</v>
      </c>
      <c r="N53" s="506">
        <v>35538</v>
      </c>
      <c r="O53" s="208"/>
      <c r="P53" s="293" t="s">
        <v>38</v>
      </c>
      <c r="Q53" s="230" t="s">
        <v>38</v>
      </c>
      <c r="R53" s="506">
        <v>0</v>
      </c>
      <c r="S53" s="208"/>
      <c r="T53" s="293" t="s">
        <v>38</v>
      </c>
      <c r="U53" s="230" t="s">
        <v>38</v>
      </c>
      <c r="V53" s="231">
        <v>192.0972972972973</v>
      </c>
      <c r="W53" s="231"/>
      <c r="X53" s="234">
        <v>177.5</v>
      </c>
      <c r="Y53" s="228"/>
      <c r="Z53" s="246">
        <v>8.1272893772893776E-2</v>
      </c>
      <c r="AA53" s="228"/>
      <c r="AB53" s="293" t="s">
        <v>38</v>
      </c>
      <c r="AC53" s="230" t="s">
        <v>38</v>
      </c>
      <c r="AD53" s="285">
        <v>36051</v>
      </c>
      <c r="AE53" s="208"/>
      <c r="AF53" s="406" t="s">
        <v>38</v>
      </c>
      <c r="AG53" s="505" t="s">
        <v>38</v>
      </c>
      <c r="AH53" s="506">
        <v>36051</v>
      </c>
      <c r="AI53" s="208"/>
      <c r="AJ53" s="293" t="s">
        <v>38</v>
      </c>
      <c r="AK53" s="230" t="s">
        <v>38</v>
      </c>
      <c r="AL53" s="506">
        <v>0</v>
      </c>
      <c r="AM53" s="208"/>
      <c r="AN53" s="293" t="s">
        <v>38</v>
      </c>
      <c r="AO53" s="230" t="s">
        <v>38</v>
      </c>
      <c r="AP53" s="231">
        <v>203.10422535211268</v>
      </c>
      <c r="AQ53" s="231"/>
      <c r="AR53" s="1440">
        <f>'2024_ar_grozījumiem'!AR53-'2024_gada_plāns'!AR53</f>
        <v>4.2000000000000171</v>
      </c>
      <c r="AS53" s="1441"/>
      <c r="AT53" s="1442">
        <f>'2024_ar_grozījumiem'!AT53-'2024_gada_plāns'!AT53</f>
        <v>1.9021739130434812E-3</v>
      </c>
      <c r="AU53" s="1441"/>
      <c r="AV53" s="1107" t="s">
        <v>38</v>
      </c>
      <c r="AW53" s="1449"/>
      <c r="AX53" s="1107">
        <f>'2024_ar_grozījumiem'!AX53-'2024_gada_plāns'!AX53</f>
        <v>-4985</v>
      </c>
      <c r="AY53" s="1175"/>
      <c r="AZ53" s="1092" t="s">
        <v>38</v>
      </c>
      <c r="BA53" s="1446"/>
      <c r="BB53" s="1173">
        <f>'2024_ar_grozījumiem'!BB53-'2024_gada_plāns'!BB53</f>
        <v>-4985</v>
      </c>
      <c r="BC53" s="1175"/>
      <c r="BD53" s="1107" t="s">
        <v>38</v>
      </c>
      <c r="BE53" s="1449"/>
      <c r="BF53" s="1173">
        <f>'2024_ar_grozījumiem'!BF53-'2024_gada_plāns'!BF53</f>
        <v>0</v>
      </c>
      <c r="BG53" s="1175"/>
      <c r="BH53" s="1107" t="s">
        <v>38</v>
      </c>
      <c r="BI53" s="1449"/>
      <c r="BJ53" s="1092">
        <f>'2024_ar_grozījumiem'!BJ53-'2024_gada_plāns'!BJ53</f>
        <v>-42.300245790540657</v>
      </c>
      <c r="BK53" s="1092"/>
      <c r="BL53" s="1283">
        <f>'2024_ar_grozījumiem'!BL53-'2024_gada_plāns'!BL53</f>
        <v>0.10000000000002274</v>
      </c>
      <c r="BM53" s="1087"/>
      <c r="BN53" s="1087">
        <f>'2024_ar_grozījumiem'!BN53-'2024_gada_plāns'!BN53</f>
        <v>4.5269352648272254E-5</v>
      </c>
      <c r="BO53" s="1087"/>
      <c r="BP53" s="1285" t="s">
        <v>38</v>
      </c>
      <c r="BQ53" s="1108"/>
      <c r="BR53" s="1285">
        <f>'2024_ar_grozījumiem'!BR53-'2024_gada_plāns'!BR53</f>
        <v>-3668</v>
      </c>
      <c r="BS53" s="1091"/>
      <c r="BT53" s="1095" t="s">
        <v>38</v>
      </c>
      <c r="BU53" s="1093"/>
      <c r="BV53" s="1176">
        <f>'2024_ar_grozījumiem'!BV53-'2024_gada_plāns'!BV53</f>
        <v>-3668</v>
      </c>
      <c r="BW53" s="1091"/>
      <c r="BX53" s="1285" t="s">
        <v>38</v>
      </c>
      <c r="BY53" s="1108"/>
      <c r="BZ53" s="1176">
        <f>'2024_ar_grozījumiem'!BZ53-'2024_gada_plāns'!BZ53</f>
        <v>0</v>
      </c>
      <c r="CA53" s="1091"/>
      <c r="CB53" s="1285" t="s">
        <v>38</v>
      </c>
      <c r="CC53" s="1108"/>
      <c r="CD53" s="1095">
        <f>'2024_ar_grozījumiem'!CD53-'2024_gada_plāns'!CD53</f>
        <v>-20.627315223419458</v>
      </c>
      <c r="CE53" s="1095"/>
      <c r="CF53" s="1309">
        <f>'2024_ar_grozījumiem'!CF53-'2024_gada_plāns'!CF53</f>
        <v>4.3000000000000682</v>
      </c>
      <c r="CG53" s="1095"/>
      <c r="CH53" s="1088">
        <f>'2024_ar_grozījumiem'!CH53-'2024_gada_plāns'!CH53</f>
        <v>4.9086757990868257E-4</v>
      </c>
      <c r="CI53" s="1359"/>
      <c r="CJ53" s="1095" t="s">
        <v>38</v>
      </c>
      <c r="CK53" s="1093"/>
      <c r="CL53" s="1176">
        <f>'2024_ar_grozījumiem'!CL53-'2024_gada_plāns'!CL53</f>
        <v>-8653</v>
      </c>
      <c r="CM53" s="1169"/>
      <c r="CN53" s="1091" t="s">
        <v>38</v>
      </c>
      <c r="CO53" s="1093"/>
      <c r="CP53" s="1176">
        <f>'2024_ar_grozījumiem'!CP53-'2024_gada_plāns'!CP53</f>
        <v>-8653</v>
      </c>
      <c r="CQ53" s="1091"/>
      <c r="CR53" s="1095" t="s">
        <v>38</v>
      </c>
      <c r="CS53" s="1093"/>
      <c r="CT53" s="1176">
        <f>'2024_ar_grozījumiem'!CT53-'2024_gada_plāns'!CT53</f>
        <v>0</v>
      </c>
      <c r="CU53" s="1091"/>
      <c r="CV53" s="1095" t="s">
        <v>38</v>
      </c>
      <c r="CW53" s="1093"/>
      <c r="CX53" s="1176">
        <f>'2024_ar_grozījumiem'!CX53-'2024_gada_plāns'!CX53</f>
        <v>-13.954713847165664</v>
      </c>
      <c r="CY53" s="1357"/>
      <c r="CZ53" s="1877">
        <f>CF53/'2024_gada_plāns'!CF53</f>
        <v>6.3105371294394901E-3</v>
      </c>
      <c r="DA53" s="1881"/>
      <c r="DB53" s="1902">
        <f>CH53/'2024_gada_plāns'!CH53</f>
        <v>6.3105371294394771E-3</v>
      </c>
      <c r="DC53" s="1911"/>
      <c r="DD53" s="1881" t="s">
        <v>38</v>
      </c>
      <c r="DE53" s="1882"/>
      <c r="DF53" s="1883">
        <f>CL53/'2024_gada_plāns'!CL53</f>
        <v>-5.9628981352591759E-2</v>
      </c>
      <c r="DG53" s="1884"/>
      <c r="DH53" s="1885" t="s">
        <v>38</v>
      </c>
      <c r="DI53" s="1882"/>
      <c r="DJ53" s="1883">
        <f>CP53/'2024_gada_plāns'!CP53</f>
        <v>-5.9628981352591759E-2</v>
      </c>
      <c r="DK53" s="1885"/>
      <c r="DL53" s="1881" t="s">
        <v>38</v>
      </c>
      <c r="DM53" s="1882"/>
      <c r="DN53" s="1888" t="s">
        <v>38</v>
      </c>
      <c r="DO53" s="1885"/>
      <c r="DP53" s="1881" t="s">
        <v>38</v>
      </c>
      <c r="DQ53" s="1882"/>
      <c r="DR53" s="1883">
        <f>CX53/'2024_gada_plāns'!CX53</f>
        <v>-6.5526014136876407E-2</v>
      </c>
      <c r="DS53" s="1906"/>
    </row>
    <row r="54" spans="1:123" s="940" customFormat="1" ht="15.75" customHeight="1" x14ac:dyDescent="0.25">
      <c r="A54" s="2242"/>
      <c r="B54" s="23"/>
      <c r="C54" s="997" t="s">
        <v>42</v>
      </c>
      <c r="D54" s="234">
        <v>72.099999999999994</v>
      </c>
      <c r="E54" s="228"/>
      <c r="F54" s="246">
        <v>3.3027943197434718E-2</v>
      </c>
      <c r="G54" s="228"/>
      <c r="H54" s="293" t="s">
        <v>38</v>
      </c>
      <c r="I54" s="230" t="s">
        <v>38</v>
      </c>
      <c r="J54" s="285">
        <v>6306</v>
      </c>
      <c r="K54" s="208"/>
      <c r="L54" s="406" t="s">
        <v>38</v>
      </c>
      <c r="M54" s="505" t="s">
        <v>38</v>
      </c>
      <c r="N54" s="506">
        <v>6306</v>
      </c>
      <c r="O54" s="208"/>
      <c r="P54" s="293" t="s">
        <v>38</v>
      </c>
      <c r="Q54" s="230" t="s">
        <v>38</v>
      </c>
      <c r="R54" s="506">
        <v>0</v>
      </c>
      <c r="S54" s="208"/>
      <c r="T54" s="293" t="s">
        <v>38</v>
      </c>
      <c r="U54" s="230" t="s">
        <v>38</v>
      </c>
      <c r="V54" s="231">
        <v>87.461858529819708</v>
      </c>
      <c r="W54" s="231"/>
      <c r="X54" s="234">
        <v>72.599999999999994</v>
      </c>
      <c r="Y54" s="228"/>
      <c r="Z54" s="246">
        <v>3.3241758241758242E-2</v>
      </c>
      <c r="AA54" s="228"/>
      <c r="AB54" s="293" t="s">
        <v>38</v>
      </c>
      <c r="AC54" s="230" t="s">
        <v>38</v>
      </c>
      <c r="AD54" s="285">
        <v>6437</v>
      </c>
      <c r="AE54" s="208"/>
      <c r="AF54" s="406" t="s">
        <v>38</v>
      </c>
      <c r="AG54" s="505" t="s">
        <v>38</v>
      </c>
      <c r="AH54" s="506">
        <v>6437</v>
      </c>
      <c r="AI54" s="208"/>
      <c r="AJ54" s="293" t="s">
        <v>38</v>
      </c>
      <c r="AK54" s="230" t="s">
        <v>38</v>
      </c>
      <c r="AL54" s="506">
        <v>0</v>
      </c>
      <c r="AM54" s="208"/>
      <c r="AN54" s="293" t="s">
        <v>38</v>
      </c>
      <c r="AO54" s="230" t="s">
        <v>38</v>
      </c>
      <c r="AP54" s="231">
        <v>88.663911845730041</v>
      </c>
      <c r="AQ54" s="231"/>
      <c r="AR54" s="1440">
        <f>'2024_ar_grozījumiem'!AR54-'2024_gada_plāns'!AR54</f>
        <v>0</v>
      </c>
      <c r="AS54" s="1441"/>
      <c r="AT54" s="1442">
        <f>'2024_ar_grozījumiem'!AT54-'2024_gada_plāns'!AT54</f>
        <v>0</v>
      </c>
      <c r="AU54" s="1441"/>
      <c r="AV54" s="1107" t="s">
        <v>38</v>
      </c>
      <c r="AW54" s="1449"/>
      <c r="AX54" s="1107">
        <f>'2024_ar_grozījumiem'!AX54-'2024_gada_plāns'!AX54</f>
        <v>-342</v>
      </c>
      <c r="AY54" s="1175"/>
      <c r="AZ54" s="1092" t="s">
        <v>38</v>
      </c>
      <c r="BA54" s="1446"/>
      <c r="BB54" s="1173">
        <f>'2024_ar_grozījumiem'!BB54-'2024_gada_plāns'!BB54</f>
        <v>-342</v>
      </c>
      <c r="BC54" s="1175"/>
      <c r="BD54" s="1107" t="s">
        <v>38</v>
      </c>
      <c r="BE54" s="1449"/>
      <c r="BF54" s="1173">
        <f>'2024_ar_grozījumiem'!BF54-'2024_gada_plāns'!BF54</f>
        <v>0</v>
      </c>
      <c r="BG54" s="1175"/>
      <c r="BH54" s="1107" t="s">
        <v>38</v>
      </c>
      <c r="BI54" s="1449"/>
      <c r="BJ54" s="1092">
        <f>'2024_ar_grozījumiem'!BJ54-'2024_gada_plāns'!BJ54</f>
        <v>-4.7172413793103374</v>
      </c>
      <c r="BK54" s="1092"/>
      <c r="BL54" s="1283">
        <f>'2024_ar_grozījumiem'!BL54-'2024_gada_plāns'!BL54</f>
        <v>0</v>
      </c>
      <c r="BM54" s="1087"/>
      <c r="BN54" s="1087">
        <f>'2024_ar_grozījumiem'!BN54-'2024_gada_plāns'!BN54</f>
        <v>0</v>
      </c>
      <c r="BO54" s="1087"/>
      <c r="BP54" s="1285" t="s">
        <v>38</v>
      </c>
      <c r="BQ54" s="1108"/>
      <c r="BR54" s="1285">
        <f>'2024_ar_grozījumiem'!BR54-'2024_gada_plāns'!BR54</f>
        <v>-340</v>
      </c>
      <c r="BS54" s="1091"/>
      <c r="BT54" s="1095" t="s">
        <v>38</v>
      </c>
      <c r="BU54" s="1093"/>
      <c r="BV54" s="1176">
        <f>'2024_ar_grozījumiem'!BV54-'2024_gada_plāns'!BV54</f>
        <v>-340</v>
      </c>
      <c r="BW54" s="1091"/>
      <c r="BX54" s="1285" t="s">
        <v>38</v>
      </c>
      <c r="BY54" s="1108"/>
      <c r="BZ54" s="1176">
        <f>'2024_ar_grozījumiem'!BZ54-'2024_gada_plāns'!BZ54</f>
        <v>0</v>
      </c>
      <c r="CA54" s="1091"/>
      <c r="CB54" s="1285" t="s">
        <v>38</v>
      </c>
      <c r="CC54" s="1108"/>
      <c r="CD54" s="1095">
        <f>'2024_ar_grozījumiem'!CD54-'2024_gada_plāns'!CD54</f>
        <v>-4.657534246575338</v>
      </c>
      <c r="CE54" s="1095"/>
      <c r="CF54" s="1309">
        <f>'2024_ar_grozījumiem'!CF54-'2024_gada_plāns'!CF54</f>
        <v>0</v>
      </c>
      <c r="CG54" s="1095"/>
      <c r="CH54" s="1088">
        <f>'2024_ar_grozījumiem'!CH54-'2024_gada_plāns'!CH54</f>
        <v>0</v>
      </c>
      <c r="CI54" s="1359"/>
      <c r="CJ54" s="1095" t="s">
        <v>38</v>
      </c>
      <c r="CK54" s="1093"/>
      <c r="CL54" s="1176">
        <f>'2024_ar_grozījumiem'!CL54-'2024_gada_plāns'!CL54</f>
        <v>-682</v>
      </c>
      <c r="CM54" s="1169"/>
      <c r="CN54" s="1091" t="s">
        <v>38</v>
      </c>
      <c r="CO54" s="1093"/>
      <c r="CP54" s="1176">
        <f>'2024_ar_grozījumiem'!CP54-'2024_gada_plāns'!CP54</f>
        <v>-682</v>
      </c>
      <c r="CQ54" s="1091"/>
      <c r="CR54" s="1095" t="s">
        <v>38</v>
      </c>
      <c r="CS54" s="1093"/>
      <c r="CT54" s="1176">
        <f>'2024_ar_grozījumiem'!CT54-'2024_gada_plāns'!CT54</f>
        <v>0</v>
      </c>
      <c r="CU54" s="1091"/>
      <c r="CV54" s="1095" t="s">
        <v>38</v>
      </c>
      <c r="CW54" s="1093"/>
      <c r="CX54" s="1176">
        <f>'2024_ar_grozījumiem'!CX54-'2024_gada_plāns'!CX54</f>
        <v>-2.3501033769813944</v>
      </c>
      <c r="CY54" s="1357"/>
      <c r="CZ54" s="1877">
        <f>CF54/'2024_gada_plāns'!CF54</f>
        <v>0</v>
      </c>
      <c r="DA54" s="1881"/>
      <c r="DB54" s="1902">
        <f>CH54/'2024_gada_plāns'!CH54</f>
        <v>0</v>
      </c>
      <c r="DC54" s="1911"/>
      <c r="DD54" s="1881" t="s">
        <v>38</v>
      </c>
      <c r="DE54" s="1882"/>
      <c r="DF54" s="1883">
        <f>CL54/'2024_gada_plāns'!CL54</f>
        <v>-2.6651035560765923E-2</v>
      </c>
      <c r="DG54" s="1884"/>
      <c r="DH54" s="1885" t="s">
        <v>38</v>
      </c>
      <c r="DI54" s="1882"/>
      <c r="DJ54" s="1883">
        <f>CP54/'2024_gada_plāns'!CP54</f>
        <v>-2.6651035560765923E-2</v>
      </c>
      <c r="DK54" s="1885"/>
      <c r="DL54" s="1881" t="s">
        <v>38</v>
      </c>
      <c r="DM54" s="1882"/>
      <c r="DN54" s="1888" t="s">
        <v>38</v>
      </c>
      <c r="DO54" s="1885"/>
      <c r="DP54" s="1881" t="s">
        <v>38</v>
      </c>
      <c r="DQ54" s="1882"/>
      <c r="DR54" s="1883">
        <f>CX54/'2024_gada_plāns'!CX54</f>
        <v>-2.6651035560765948E-2</v>
      </c>
      <c r="DS54" s="1906"/>
    </row>
    <row r="55" spans="1:123" ht="15.75" customHeight="1" x14ac:dyDescent="0.25">
      <c r="A55" s="2242"/>
      <c r="B55" s="20"/>
      <c r="C55" s="988" t="s">
        <v>43</v>
      </c>
      <c r="D55" s="234">
        <v>551.79999999999995</v>
      </c>
      <c r="E55" s="228"/>
      <c r="F55" s="246">
        <v>0.25277141548327986</v>
      </c>
      <c r="G55" s="228"/>
      <c r="H55" s="293" t="s">
        <v>38</v>
      </c>
      <c r="I55" s="230" t="s">
        <v>38</v>
      </c>
      <c r="J55" s="285">
        <v>18433</v>
      </c>
      <c r="K55" s="208"/>
      <c r="L55" s="406" t="s">
        <v>38</v>
      </c>
      <c r="M55" s="505" t="s">
        <v>38</v>
      </c>
      <c r="N55" s="506">
        <v>18433</v>
      </c>
      <c r="O55" s="522"/>
      <c r="P55" s="293" t="s">
        <v>38</v>
      </c>
      <c r="Q55" s="230" t="s">
        <v>38</v>
      </c>
      <c r="R55" s="506">
        <v>0</v>
      </c>
      <c r="S55" s="208"/>
      <c r="T55" s="293" t="s">
        <v>38</v>
      </c>
      <c r="U55" s="230" t="s">
        <v>38</v>
      </c>
      <c r="V55" s="231">
        <v>33.405219282348682</v>
      </c>
      <c r="W55" s="231"/>
      <c r="X55" s="234">
        <v>534.20000000000005</v>
      </c>
      <c r="Y55" s="228"/>
      <c r="Z55" s="246">
        <v>0.24459706959706962</v>
      </c>
      <c r="AA55" s="228"/>
      <c r="AB55" s="293" t="s">
        <v>38</v>
      </c>
      <c r="AC55" s="230" t="s">
        <v>38</v>
      </c>
      <c r="AD55" s="285">
        <v>17362</v>
      </c>
      <c r="AE55" s="208"/>
      <c r="AF55" s="406" t="s">
        <v>38</v>
      </c>
      <c r="AG55" s="505" t="s">
        <v>38</v>
      </c>
      <c r="AH55" s="506">
        <v>17362</v>
      </c>
      <c r="AI55" s="522"/>
      <c r="AJ55" s="293" t="s">
        <v>38</v>
      </c>
      <c r="AK55" s="230" t="s">
        <v>38</v>
      </c>
      <c r="AL55" s="506">
        <v>0</v>
      </c>
      <c r="AM55" s="208"/>
      <c r="AN55" s="293" t="s">
        <v>38</v>
      </c>
      <c r="AO55" s="230" t="s">
        <v>38</v>
      </c>
      <c r="AP55" s="231">
        <v>32.500935979034068</v>
      </c>
      <c r="AQ55" s="231"/>
      <c r="AR55" s="1440">
        <f>'2024_ar_grozījumiem'!AR55-'2024_gada_plāns'!AR55</f>
        <v>0.10000000000002274</v>
      </c>
      <c r="AS55" s="1441"/>
      <c r="AT55" s="1442">
        <f>'2024_ar_grozījumiem'!AT55-'2024_gada_plāns'!AT55</f>
        <v>4.5289855072461194E-5</v>
      </c>
      <c r="AU55" s="1441"/>
      <c r="AV55" s="1107" t="s">
        <v>38</v>
      </c>
      <c r="AW55" s="1449"/>
      <c r="AX55" s="1107">
        <f>'2024_ar_grozījumiem'!AX55-'2024_gada_plāns'!AX55</f>
        <v>2918</v>
      </c>
      <c r="AY55" s="1175"/>
      <c r="AZ55" s="1092" t="s">
        <v>38</v>
      </c>
      <c r="BA55" s="1446"/>
      <c r="BB55" s="1173">
        <f>'2024_ar_grozījumiem'!BB55-'2024_gada_plāns'!BB55</f>
        <v>2918</v>
      </c>
      <c r="BC55" s="1656"/>
      <c r="BD55" s="1107" t="s">
        <v>38</v>
      </c>
      <c r="BE55" s="1449"/>
      <c r="BF55" s="1173">
        <f>'2024_ar_grozījumiem'!BF55-'2024_gada_plāns'!BF55</f>
        <v>0</v>
      </c>
      <c r="BG55" s="1175"/>
      <c r="BH55" s="1107" t="s">
        <v>38</v>
      </c>
      <c r="BI55" s="1449"/>
      <c r="BJ55" s="1092">
        <f>'2024_ar_grozījumiem'!BJ55-'2024_gada_plāns'!BJ55</f>
        <v>5.0422311725141853</v>
      </c>
      <c r="BK55" s="1092"/>
      <c r="BL55" s="1283">
        <f>'2024_ar_grozījumiem'!BL55-'2024_gada_plāns'!BL55</f>
        <v>-1.2000000000000455</v>
      </c>
      <c r="BM55" s="1087"/>
      <c r="BN55" s="1087">
        <f>'2024_ar_grozījumiem'!BN55-'2024_gada_plāns'!BN55</f>
        <v>-5.4323223177910052E-4</v>
      </c>
      <c r="BO55" s="1087"/>
      <c r="BP55" s="1285" t="s">
        <v>38</v>
      </c>
      <c r="BQ55" s="1108"/>
      <c r="BR55" s="1285">
        <f>'2024_ar_grozījumiem'!BR55-'2024_gada_plāns'!BR55</f>
        <v>2796</v>
      </c>
      <c r="BS55" s="1091"/>
      <c r="BT55" s="1095" t="s">
        <v>38</v>
      </c>
      <c r="BU55" s="1093"/>
      <c r="BV55" s="1176">
        <f>'2024_ar_grozījumiem'!BV55-'2024_gada_plāns'!BV55</f>
        <v>2796</v>
      </c>
      <c r="BW55" s="1097"/>
      <c r="BX55" s="1285" t="s">
        <v>38</v>
      </c>
      <c r="BY55" s="1108"/>
      <c r="BZ55" s="1176">
        <f>'2024_ar_grozījumiem'!BZ55-'2024_gada_plāns'!BZ55</f>
        <v>0</v>
      </c>
      <c r="CA55" s="1091"/>
      <c r="CB55" s="1285" t="s">
        <v>38</v>
      </c>
      <c r="CC55" s="1108"/>
      <c r="CD55" s="1095">
        <f>'2024_ar_grozījumiem'!CD55-'2024_gada_plāns'!CD55</f>
        <v>5.8029751045461637</v>
      </c>
      <c r="CE55" s="1095"/>
      <c r="CF55" s="1309">
        <f>'2024_ar_grozījumiem'!CF55-'2024_gada_plāns'!CF55</f>
        <v>-1.0999999999999091</v>
      </c>
      <c r="CG55" s="1095"/>
      <c r="CH55" s="1088">
        <f>'2024_ar_grozījumiem'!CH55-'2024_gada_plāns'!CH55</f>
        <v>-1.2557077625569013E-4</v>
      </c>
      <c r="CI55" s="1359"/>
      <c r="CJ55" s="1095" t="s">
        <v>38</v>
      </c>
      <c r="CK55" s="1093"/>
      <c r="CL55" s="1176">
        <f>'2024_ar_grozījumiem'!CL55-'2024_gada_plāns'!CL55</f>
        <v>5714</v>
      </c>
      <c r="CM55" s="1169"/>
      <c r="CN55" s="1091" t="s">
        <v>38</v>
      </c>
      <c r="CO55" s="1093"/>
      <c r="CP55" s="1176">
        <f>'2024_ar_grozījumiem'!CP55-'2024_gada_plāns'!CP55</f>
        <v>5714</v>
      </c>
      <c r="CQ55" s="1091"/>
      <c r="CR55" s="1095" t="s">
        <v>38</v>
      </c>
      <c r="CS55" s="1093"/>
      <c r="CT55" s="1176">
        <f>'2024_ar_grozījumiem'!CT55-'2024_gada_plāns'!CT55</f>
        <v>0</v>
      </c>
      <c r="CU55" s="1091"/>
      <c r="CV55" s="1095" t="s">
        <v>38</v>
      </c>
      <c r="CW55" s="1093"/>
      <c r="CX55" s="1176">
        <f>'2024_ar_grozījumiem'!CX55-'2024_gada_plāns'!CX55</f>
        <v>2.6703998919883603</v>
      </c>
      <c r="CY55" s="1357"/>
      <c r="CZ55" s="1877">
        <f>CF55/'2024_gada_plāns'!CF55</f>
        <v>-5.1055929449984178E-4</v>
      </c>
      <c r="DA55" s="1881"/>
      <c r="DB55" s="1902">
        <f>CH55/'2024_gada_plāns'!CH55</f>
        <v>-5.1055929449981229E-4</v>
      </c>
      <c r="DC55" s="1911"/>
      <c r="DD55" s="1881" t="s">
        <v>38</v>
      </c>
      <c r="DE55" s="1882"/>
      <c r="DF55" s="1883">
        <f>CL55/'2024_gada_plāns'!CL55</f>
        <v>8.0060528786201679E-2</v>
      </c>
      <c r="DG55" s="1884"/>
      <c r="DH55" s="1885" t="s">
        <v>38</v>
      </c>
      <c r="DI55" s="1882"/>
      <c r="DJ55" s="1883">
        <f>CP55/'2024_gada_plāns'!CP55</f>
        <v>8.0060528786201679E-2</v>
      </c>
      <c r="DK55" s="1885"/>
      <c r="DL55" s="1881" t="s">
        <v>38</v>
      </c>
      <c r="DM55" s="1882"/>
      <c r="DN55" s="1888" t="s">
        <v>38</v>
      </c>
      <c r="DO55" s="1885"/>
      <c r="DP55" s="1881" t="s">
        <v>38</v>
      </c>
      <c r="DQ55" s="1882"/>
      <c r="DR55" s="1883">
        <f>CX55/'2024_gada_plāns'!CX55</f>
        <v>8.0612245411846847E-2</v>
      </c>
      <c r="DS55" s="1906"/>
    </row>
    <row r="56" spans="1:123" s="993" customFormat="1" ht="15.75" customHeight="1" x14ac:dyDescent="0.25">
      <c r="A56" s="2242"/>
      <c r="B56" s="995" t="s">
        <v>52</v>
      </c>
      <c r="C56" s="996"/>
      <c r="D56" s="287">
        <v>4716.8</v>
      </c>
      <c r="E56" s="288"/>
      <c r="F56" s="289">
        <v>0.42892087770189785</v>
      </c>
      <c r="G56" s="288"/>
      <c r="H56" s="290" t="s">
        <v>38</v>
      </c>
      <c r="I56" s="291" t="s">
        <v>38</v>
      </c>
      <c r="J56" s="292">
        <v>94414</v>
      </c>
      <c r="K56" s="525"/>
      <c r="L56" s="407" t="s">
        <v>38</v>
      </c>
      <c r="M56" s="526" t="s">
        <v>38</v>
      </c>
      <c r="N56" s="527">
        <v>94414</v>
      </c>
      <c r="O56" s="528"/>
      <c r="P56" s="290" t="s">
        <v>38</v>
      </c>
      <c r="Q56" s="291" t="s">
        <v>38</v>
      </c>
      <c r="R56" s="527">
        <v>0</v>
      </c>
      <c r="S56" s="528"/>
      <c r="T56" s="290" t="s">
        <v>38</v>
      </c>
      <c r="U56" s="291" t="s">
        <v>38</v>
      </c>
      <c r="V56" s="529">
        <v>20.016536635006783</v>
      </c>
      <c r="W56" s="529"/>
      <c r="X56" s="287">
        <v>4630.8999999999996</v>
      </c>
      <c r="Y56" s="288"/>
      <c r="Z56" s="289">
        <v>0.4209182050373117</v>
      </c>
      <c r="AA56" s="288"/>
      <c r="AB56" s="290" t="s">
        <v>38</v>
      </c>
      <c r="AC56" s="291" t="s">
        <v>38</v>
      </c>
      <c r="AD56" s="292">
        <v>101596</v>
      </c>
      <c r="AE56" s="525"/>
      <c r="AF56" s="407" t="s">
        <v>38</v>
      </c>
      <c r="AG56" s="526" t="s">
        <v>38</v>
      </c>
      <c r="AH56" s="527">
        <v>101596</v>
      </c>
      <c r="AI56" s="528"/>
      <c r="AJ56" s="290" t="s">
        <v>38</v>
      </c>
      <c r="AK56" s="291" t="s">
        <v>38</v>
      </c>
      <c r="AL56" s="527">
        <v>0</v>
      </c>
      <c r="AM56" s="528"/>
      <c r="AN56" s="290" t="s">
        <v>38</v>
      </c>
      <c r="AO56" s="291" t="s">
        <v>38</v>
      </c>
      <c r="AP56" s="529">
        <v>21.938716016325124</v>
      </c>
      <c r="AQ56" s="529"/>
      <c r="AR56" s="1451">
        <f>'2024_ar_grozījumiem'!AR56-'2024_gada_plāns'!AR56</f>
        <v>21.5</v>
      </c>
      <c r="AS56" s="1452"/>
      <c r="AT56" s="1453">
        <f>'2024_ar_grozījumiem'!AT56-'2024_gada_plāns'!AT56</f>
        <v>1.9357336430507188E-3</v>
      </c>
      <c r="AU56" s="1452"/>
      <c r="AV56" s="1100" t="s">
        <v>38</v>
      </c>
      <c r="AW56" s="1454"/>
      <c r="AX56" s="1100">
        <f>'2024_ar_grozījumiem'!AX56-'2024_gada_plāns'!AX56</f>
        <v>-22635</v>
      </c>
      <c r="AY56" s="1460"/>
      <c r="AZ56" s="1103" t="s">
        <v>38</v>
      </c>
      <c r="BA56" s="1457"/>
      <c r="BB56" s="1458">
        <f>'2024_ar_grozījumiem'!BB56-'2024_gada_plāns'!BB56</f>
        <v>-22635</v>
      </c>
      <c r="BC56" s="1461"/>
      <c r="BD56" s="1100" t="s">
        <v>38</v>
      </c>
      <c r="BE56" s="1454"/>
      <c r="BF56" s="1458">
        <f>'2024_ar_grozījumiem'!BF56-'2024_gada_plāns'!BF56</f>
        <v>0</v>
      </c>
      <c r="BG56" s="1461"/>
      <c r="BH56" s="1100" t="s">
        <v>38</v>
      </c>
      <c r="BI56" s="1454"/>
      <c r="BJ56" s="1112">
        <f>'2024_ar_grozījumiem'!BJ56-'2024_gada_plāns'!BJ56</f>
        <v>-5.289695942601778</v>
      </c>
      <c r="BK56" s="1112"/>
      <c r="BL56" s="1286">
        <f>'2024_ar_grozījumiem'!BL56-'2024_gada_plāns'!BL56</f>
        <v>26.699999999999818</v>
      </c>
      <c r="BM56" s="1098"/>
      <c r="BN56" s="1098">
        <f>'2024_ar_grozījumiem'!BN56-'2024_gada_plāns'!BN56</f>
        <v>2.4060773729600027E-3</v>
      </c>
      <c r="BO56" s="1098"/>
      <c r="BP56" s="1287" t="s">
        <v>38</v>
      </c>
      <c r="BQ56" s="1101"/>
      <c r="BR56" s="1287">
        <f>'2024_ar_grozījumiem'!BR56-'2024_gada_plāns'!BR56</f>
        <v>-20370</v>
      </c>
      <c r="BS56" s="1102"/>
      <c r="BT56" s="1288" t="s">
        <v>38</v>
      </c>
      <c r="BU56" s="1104"/>
      <c r="BV56" s="1289">
        <f>'2024_ar_grozījumiem'!BV56-'2024_gada_plāns'!BV56</f>
        <v>-20370</v>
      </c>
      <c r="BW56" s="1105"/>
      <c r="BX56" s="1287" t="s">
        <v>38</v>
      </c>
      <c r="BY56" s="1101"/>
      <c r="BZ56" s="1289">
        <f>'2024_ar_grozījumiem'!BZ56-'2024_gada_plāns'!BZ56</f>
        <v>0</v>
      </c>
      <c r="CA56" s="1105"/>
      <c r="CB56" s="1287" t="s">
        <v>38</v>
      </c>
      <c r="CC56" s="1101"/>
      <c r="CD56" s="1106">
        <f>'2024_ar_grozījumiem'!CD56-'2024_gada_plāns'!CD56</f>
        <v>-4.3821096630574701</v>
      </c>
      <c r="CE56" s="1106"/>
      <c r="CF56" s="1353">
        <f>'2024_ar_grozījumiem'!CF56-'2024_gada_plāns'!CF56</f>
        <v>48.200000000000728</v>
      </c>
      <c r="CG56" s="1106"/>
      <c r="CH56" s="1099">
        <f>'2024_ar_grozījumiem'!CH56-'2024_gada_plāns'!CH56</f>
        <v>1.0904335944039723E-3</v>
      </c>
      <c r="CI56" s="1354"/>
      <c r="CJ56" s="1288" t="s">
        <v>38</v>
      </c>
      <c r="CK56" s="1104"/>
      <c r="CL56" s="1289">
        <f>'2024_ar_grozījumiem'!CL56-'2024_gada_plāns'!CL56</f>
        <v>-43005</v>
      </c>
      <c r="CM56" s="1355"/>
      <c r="CN56" s="1102" t="s">
        <v>38</v>
      </c>
      <c r="CO56" s="1104"/>
      <c r="CP56" s="1289">
        <f>'2024_ar_grozījumiem'!CP56-'2024_gada_plāns'!CP56</f>
        <v>-43005</v>
      </c>
      <c r="CQ56" s="1105"/>
      <c r="CR56" s="1288" t="s">
        <v>38</v>
      </c>
      <c r="CS56" s="1104"/>
      <c r="CT56" s="1289">
        <f>'2024_ar_grozījumiem'!CT56-'2024_gada_plāns'!CT56</f>
        <v>0</v>
      </c>
      <c r="CU56" s="1105"/>
      <c r="CV56" s="1288" t="s">
        <v>38</v>
      </c>
      <c r="CW56" s="1104"/>
      <c r="CX56" s="1289">
        <f>'2024_ar_grozījumiem'!CX56-'2024_gada_plāns'!CX56</f>
        <v>-2.3809025519095677</v>
      </c>
      <c r="CY56" s="1358"/>
      <c r="CZ56" s="1890">
        <f>CF56/'2024_gada_plāns'!CF56</f>
        <v>2.6129618084731916E-3</v>
      </c>
      <c r="DA56" s="1891"/>
      <c r="DB56" s="1892">
        <f>CH56/'2024_gada_plāns'!CH56</f>
        <v>2.6129618084732077E-3</v>
      </c>
      <c r="DC56" s="1893"/>
      <c r="DD56" s="1894" t="s">
        <v>38</v>
      </c>
      <c r="DE56" s="1895"/>
      <c r="DF56" s="1896">
        <f>CL56/'2024_gada_plāns'!CL56</f>
        <v>-0.10919519800119847</v>
      </c>
      <c r="DG56" s="1897"/>
      <c r="DH56" s="1898" t="s">
        <v>38</v>
      </c>
      <c r="DI56" s="1895"/>
      <c r="DJ56" s="1896">
        <f>CP56/'2024_gada_plāns'!CP56</f>
        <v>-0.10919519800119847</v>
      </c>
      <c r="DK56" s="1899"/>
      <c r="DL56" s="1894" t="s">
        <v>38</v>
      </c>
      <c r="DM56" s="1895"/>
      <c r="DN56" s="1900" t="s">
        <v>38</v>
      </c>
      <c r="DO56" s="1899"/>
      <c r="DP56" s="1894" t="s">
        <v>38</v>
      </c>
      <c r="DQ56" s="1895"/>
      <c r="DR56" s="1896">
        <f>CX56/'2024_gada_plāns'!CX56</f>
        <v>-0.11151677074670634</v>
      </c>
      <c r="DS56" s="1907"/>
    </row>
    <row r="57" spans="1:123" s="990" customFormat="1" ht="15.75" customHeight="1" x14ac:dyDescent="0.25">
      <c r="A57" s="2242"/>
      <c r="B57" s="987"/>
      <c r="C57" s="988" t="s">
        <v>39</v>
      </c>
      <c r="D57" s="234">
        <v>228.20000000000002</v>
      </c>
      <c r="E57" s="228"/>
      <c r="F57" s="246">
        <v>0.10453504351809437</v>
      </c>
      <c r="G57" s="228"/>
      <c r="H57" s="296" t="s">
        <v>38</v>
      </c>
      <c r="I57" s="297" t="s">
        <v>38</v>
      </c>
      <c r="J57" s="298">
        <v>6524</v>
      </c>
      <c r="K57" s="507"/>
      <c r="L57" s="409" t="s">
        <v>38</v>
      </c>
      <c r="M57" s="559" t="s">
        <v>38</v>
      </c>
      <c r="N57" s="556">
        <v>6524</v>
      </c>
      <c r="O57" s="507"/>
      <c r="P57" s="296" t="s">
        <v>38</v>
      </c>
      <c r="Q57" s="297" t="s">
        <v>38</v>
      </c>
      <c r="R57" s="556">
        <v>0</v>
      </c>
      <c r="S57" s="507"/>
      <c r="T57" s="296" t="s">
        <v>38</v>
      </c>
      <c r="U57" s="297" t="s">
        <v>38</v>
      </c>
      <c r="V57" s="231">
        <v>28.588957055214721</v>
      </c>
      <c r="W57" s="231"/>
      <c r="X57" s="234">
        <v>238.3</v>
      </c>
      <c r="Y57" s="228"/>
      <c r="Z57" s="246">
        <v>0.10911172161172161</v>
      </c>
      <c r="AA57" s="228"/>
      <c r="AB57" s="296" t="s">
        <v>38</v>
      </c>
      <c r="AC57" s="297" t="s">
        <v>38</v>
      </c>
      <c r="AD57" s="298">
        <v>6314</v>
      </c>
      <c r="AE57" s="507"/>
      <c r="AF57" s="409" t="s">
        <v>38</v>
      </c>
      <c r="AG57" s="559" t="s">
        <v>38</v>
      </c>
      <c r="AH57" s="556">
        <v>6314</v>
      </c>
      <c r="AI57" s="507"/>
      <c r="AJ57" s="296" t="s">
        <v>38</v>
      </c>
      <c r="AK57" s="297" t="s">
        <v>38</v>
      </c>
      <c r="AL57" s="556">
        <v>0</v>
      </c>
      <c r="AM57" s="507"/>
      <c r="AN57" s="296" t="s">
        <v>38</v>
      </c>
      <c r="AO57" s="297" t="s">
        <v>38</v>
      </c>
      <c r="AP57" s="231">
        <v>26.49601342845153</v>
      </c>
      <c r="AQ57" s="231"/>
      <c r="AR57" s="1440">
        <f>'2024_ar_grozījumiem'!AR57-'2024_gada_plāns'!AR57</f>
        <v>-0.5</v>
      </c>
      <c r="AS57" s="1441"/>
      <c r="AT57" s="1442">
        <f>'2024_ar_grozījumiem'!AT57-'2024_gada_plāns'!AT57</f>
        <v>-2.2644927536231985E-4</v>
      </c>
      <c r="AU57" s="1441"/>
      <c r="AV57" s="1115" t="s">
        <v>38</v>
      </c>
      <c r="AW57" s="1658"/>
      <c r="AX57" s="1115">
        <f>'2024_ar_grozījumiem'!AX57-'2024_gada_plāns'!AX57</f>
        <v>-1239</v>
      </c>
      <c r="AY57" s="1469"/>
      <c r="AZ57" s="1117" t="s">
        <v>38</v>
      </c>
      <c r="BA57" s="1468"/>
      <c r="BB57" s="1657">
        <f>'2024_ar_grozījumiem'!BB57-'2024_gada_plāns'!BB57</f>
        <v>-1239</v>
      </c>
      <c r="BC57" s="1469"/>
      <c r="BD57" s="1115" t="s">
        <v>38</v>
      </c>
      <c r="BE57" s="1658"/>
      <c r="BF57" s="1657">
        <f>'2024_ar_grozījumiem'!BF57-'2024_gada_plāns'!BF57</f>
        <v>0</v>
      </c>
      <c r="BG57" s="1469"/>
      <c r="BH57" s="1115" t="s">
        <v>38</v>
      </c>
      <c r="BI57" s="1658"/>
      <c r="BJ57" s="1092">
        <f>'2024_ar_grozījumiem'!BJ57-'2024_gada_plāns'!BJ57</f>
        <v>-5.4415865976841573</v>
      </c>
      <c r="BK57" s="1092"/>
      <c r="BL57" s="1283">
        <f>'2024_ar_grozījumiem'!BL57-'2024_gada_plāns'!BL57</f>
        <v>-7.8999999999999773</v>
      </c>
      <c r="BM57" s="1087"/>
      <c r="BN57" s="1087">
        <f>'2024_ar_grozījumiem'!BN57-'2024_gada_plāns'!BN57</f>
        <v>-3.5762788592123146E-3</v>
      </c>
      <c r="BO57" s="1087"/>
      <c r="BP57" s="1292" t="s">
        <v>38</v>
      </c>
      <c r="BQ57" s="1116"/>
      <c r="BR57" s="1292">
        <f>'2024_ar_grozījumiem'!BR57-'2024_gada_plāns'!BR57</f>
        <v>-660</v>
      </c>
      <c r="BS57" s="1094"/>
      <c r="BT57" s="1293" t="s">
        <v>38</v>
      </c>
      <c r="BU57" s="1118"/>
      <c r="BV57" s="1291">
        <f>'2024_ar_grozījumiem'!BV57-'2024_gada_plāns'!BV57</f>
        <v>-660</v>
      </c>
      <c r="BW57" s="1094"/>
      <c r="BX57" s="1292" t="s">
        <v>38</v>
      </c>
      <c r="BY57" s="1116"/>
      <c r="BZ57" s="1291">
        <f>'2024_ar_grozījumiem'!BZ57-'2024_gada_plāns'!BZ57</f>
        <v>0</v>
      </c>
      <c r="CA57" s="1094"/>
      <c r="CB57" s="1292" t="s">
        <v>38</v>
      </c>
      <c r="CC57" s="1116"/>
      <c r="CD57" s="1095">
        <f>'2024_ar_grozījumiem'!CD57-'2024_gada_plāns'!CD57</f>
        <v>-1.9491793515740561</v>
      </c>
      <c r="CE57" s="1095"/>
      <c r="CF57" s="1309">
        <f>'2024_ar_grozījumiem'!CF57-'2024_gada_plāns'!CF57</f>
        <v>-8.3999999999999773</v>
      </c>
      <c r="CG57" s="1095"/>
      <c r="CH57" s="1088">
        <f>'2024_ar_grozījumiem'!CH57-'2024_gada_plāns'!CH57</f>
        <v>-9.5890410958904271E-4</v>
      </c>
      <c r="CI57" s="1359"/>
      <c r="CJ57" s="1293" t="s">
        <v>38</v>
      </c>
      <c r="CK57" s="1118"/>
      <c r="CL57" s="1176">
        <f>'2024_ar_grozījumiem'!CL57-'2024_gada_plāns'!CL57</f>
        <v>-1899</v>
      </c>
      <c r="CM57" s="1169"/>
      <c r="CN57" s="1094" t="s">
        <v>38</v>
      </c>
      <c r="CO57" s="1118"/>
      <c r="CP57" s="1176">
        <f>'2024_ar_grozījumiem'!CP57-'2024_gada_plāns'!CP57</f>
        <v>-1899</v>
      </c>
      <c r="CQ57" s="1091"/>
      <c r="CR57" s="1293" t="s">
        <v>38</v>
      </c>
      <c r="CS57" s="1118"/>
      <c r="CT57" s="1176">
        <f>'2024_ar_grozījumiem'!CT57-'2024_gada_plāns'!CT57</f>
        <v>0</v>
      </c>
      <c r="CU57" s="1091"/>
      <c r="CV57" s="1293" t="s">
        <v>38</v>
      </c>
      <c r="CW57" s="1118"/>
      <c r="CX57" s="1176">
        <f>'2024_ar_grozījumiem'!CX57-'2024_gada_plāns'!CX57</f>
        <v>-1.7964907561785992</v>
      </c>
      <c r="CY57" s="1357"/>
      <c r="CZ57" s="1877">
        <f>CF57/'2024_gada_plāns'!CF57</f>
        <v>-8.9533148582391572E-3</v>
      </c>
      <c r="DA57" s="1881"/>
      <c r="DB57" s="1902">
        <f>CH57/'2024_gada_plāns'!CH57</f>
        <v>-8.9533148582391954E-3</v>
      </c>
      <c r="DC57" s="1911"/>
      <c r="DD57" s="1914" t="s">
        <v>38</v>
      </c>
      <c r="DE57" s="1915"/>
      <c r="DF57" s="1883">
        <f>CL57/'2024_gada_plāns'!CL57</f>
        <v>-7.436851380458194E-2</v>
      </c>
      <c r="DG57" s="1884"/>
      <c r="DH57" s="1916" t="s">
        <v>38</v>
      </c>
      <c r="DI57" s="1915"/>
      <c r="DJ57" s="1883">
        <f>CP57/'2024_gada_plāns'!CP57</f>
        <v>-7.436851380458194E-2</v>
      </c>
      <c r="DK57" s="1885"/>
      <c r="DL57" s="1914" t="s">
        <v>38</v>
      </c>
      <c r="DM57" s="1915"/>
      <c r="DN57" s="1888" t="s">
        <v>38</v>
      </c>
      <c r="DO57" s="1885"/>
      <c r="DP57" s="1914" t="s">
        <v>38</v>
      </c>
      <c r="DQ57" s="1915"/>
      <c r="DR57" s="1883">
        <f>CX57/'2024_gada_plāns'!CX57</f>
        <v>-6.6006172995761184E-2</v>
      </c>
      <c r="DS57" s="1906"/>
    </row>
    <row r="58" spans="1:123" s="940" customFormat="1" ht="15.75" customHeight="1" x14ac:dyDescent="0.25">
      <c r="A58" s="2242"/>
      <c r="B58" s="23"/>
      <c r="C58" s="997" t="s">
        <v>40</v>
      </c>
      <c r="D58" s="234">
        <v>1232.5999999999999</v>
      </c>
      <c r="E58" s="228"/>
      <c r="F58" s="246">
        <v>0.56463582226294085</v>
      </c>
      <c r="G58" s="228"/>
      <c r="H58" s="296" t="s">
        <v>38</v>
      </c>
      <c r="I58" s="297" t="s">
        <v>38</v>
      </c>
      <c r="J58" s="298">
        <v>21849</v>
      </c>
      <c r="K58" s="507"/>
      <c r="L58" s="409" t="s">
        <v>38</v>
      </c>
      <c r="M58" s="559" t="s">
        <v>38</v>
      </c>
      <c r="N58" s="506">
        <v>21849</v>
      </c>
      <c r="O58" s="208"/>
      <c r="P58" s="296" t="s">
        <v>38</v>
      </c>
      <c r="Q58" s="297" t="s">
        <v>38</v>
      </c>
      <c r="R58" s="506">
        <v>0</v>
      </c>
      <c r="S58" s="208"/>
      <c r="T58" s="296" t="s">
        <v>38</v>
      </c>
      <c r="U58" s="297" t="s">
        <v>38</v>
      </c>
      <c r="V58" s="231">
        <v>17.725945156579588</v>
      </c>
      <c r="W58" s="231"/>
      <c r="X58" s="234">
        <v>1230.5999999999999</v>
      </c>
      <c r="Y58" s="228"/>
      <c r="Z58" s="246">
        <v>0.56346153846153846</v>
      </c>
      <c r="AA58" s="228"/>
      <c r="AB58" s="296" t="s">
        <v>38</v>
      </c>
      <c r="AC58" s="297" t="s">
        <v>38</v>
      </c>
      <c r="AD58" s="298">
        <v>24923</v>
      </c>
      <c r="AE58" s="507"/>
      <c r="AF58" s="409" t="s">
        <v>38</v>
      </c>
      <c r="AG58" s="559" t="s">
        <v>38</v>
      </c>
      <c r="AH58" s="506">
        <v>24923</v>
      </c>
      <c r="AI58" s="208"/>
      <c r="AJ58" s="296" t="s">
        <v>38</v>
      </c>
      <c r="AK58" s="297" t="s">
        <v>38</v>
      </c>
      <c r="AL58" s="506">
        <v>0</v>
      </c>
      <c r="AM58" s="208"/>
      <c r="AN58" s="296" t="s">
        <v>38</v>
      </c>
      <c r="AO58" s="297" t="s">
        <v>38</v>
      </c>
      <c r="AP58" s="231">
        <v>20.252722249309283</v>
      </c>
      <c r="AQ58" s="231"/>
      <c r="AR58" s="1440">
        <f>'2024_ar_grozījumiem'!AR58-'2024_gada_plāns'!AR58</f>
        <v>0</v>
      </c>
      <c r="AS58" s="1441"/>
      <c r="AT58" s="1442">
        <f>'2024_ar_grozījumiem'!AT58-'2024_gada_plāns'!AT58</f>
        <v>0</v>
      </c>
      <c r="AU58" s="1441"/>
      <c r="AV58" s="1115" t="s">
        <v>38</v>
      </c>
      <c r="AW58" s="1658"/>
      <c r="AX58" s="1115">
        <f>'2024_ar_grozījumiem'!AX58-'2024_gada_plāns'!AX58</f>
        <v>-6635</v>
      </c>
      <c r="AY58" s="1469"/>
      <c r="AZ58" s="1117" t="s">
        <v>38</v>
      </c>
      <c r="BA58" s="1468"/>
      <c r="BB58" s="1173">
        <f>'2024_ar_grozījumiem'!BB58-'2024_gada_plāns'!BB58</f>
        <v>-6635</v>
      </c>
      <c r="BC58" s="1175"/>
      <c r="BD58" s="1115" t="s">
        <v>38</v>
      </c>
      <c r="BE58" s="1658"/>
      <c r="BF58" s="1173">
        <f>'2024_ar_grozījumiem'!BF58-'2024_gada_plāns'!BF58</f>
        <v>0</v>
      </c>
      <c r="BG58" s="1175"/>
      <c r="BH58" s="1115" t="s">
        <v>38</v>
      </c>
      <c r="BI58" s="1658"/>
      <c r="BJ58" s="1092">
        <f>'2024_ar_grozījumiem'!BJ58-'2024_gada_plāns'!BJ58</f>
        <v>-5.3456332581372852</v>
      </c>
      <c r="BK58" s="1092"/>
      <c r="BL58" s="1283">
        <f>'2024_ar_grozījumiem'!BL58-'2024_gada_plāns'!BL58</f>
        <v>-8.3999999999998636</v>
      </c>
      <c r="BM58" s="1087"/>
      <c r="BN58" s="1087">
        <f>'2024_ar_grozījumiem'!BN58-'2024_gada_plāns'!BN58</f>
        <v>-3.8026256224534816E-3</v>
      </c>
      <c r="BO58" s="1087"/>
      <c r="BP58" s="1292" t="s">
        <v>38</v>
      </c>
      <c r="BQ58" s="1116"/>
      <c r="BR58" s="1292">
        <f>'2024_ar_grozījumiem'!BR58-'2024_gada_plāns'!BR58</f>
        <v>-6681</v>
      </c>
      <c r="BS58" s="1094"/>
      <c r="BT58" s="1293" t="s">
        <v>38</v>
      </c>
      <c r="BU58" s="1118"/>
      <c r="BV58" s="1176">
        <f>'2024_ar_grozījumiem'!BV58-'2024_gada_plāns'!BV58</f>
        <v>-6681</v>
      </c>
      <c r="BW58" s="1091"/>
      <c r="BX58" s="1292" t="s">
        <v>38</v>
      </c>
      <c r="BY58" s="1116"/>
      <c r="BZ58" s="1176">
        <f>'2024_ar_grozījumiem'!BZ58-'2024_gada_plāns'!BZ58</f>
        <v>0</v>
      </c>
      <c r="CA58" s="1091"/>
      <c r="CB58" s="1292" t="s">
        <v>38</v>
      </c>
      <c r="CC58" s="1116"/>
      <c r="CD58" s="1095">
        <f>'2024_ar_grozījumiem'!CD58-'2024_gada_plāns'!CD58</f>
        <v>-5.2555950356579491</v>
      </c>
      <c r="CE58" s="1095"/>
      <c r="CF58" s="1309">
        <f>'2024_ar_grozījumiem'!CF58-'2024_gada_plāns'!CF58</f>
        <v>-8.3999999999996362</v>
      </c>
      <c r="CG58" s="1095"/>
      <c r="CH58" s="1088">
        <f>'2024_ar_grozījumiem'!CH58-'2024_gada_plāns'!CH58</f>
        <v>-9.5890410958909822E-4</v>
      </c>
      <c r="CI58" s="1359"/>
      <c r="CJ58" s="1293" t="s">
        <v>38</v>
      </c>
      <c r="CK58" s="1118"/>
      <c r="CL58" s="1176">
        <f>'2024_ar_grozījumiem'!CL58-'2024_gada_plāns'!CL58</f>
        <v>-13316</v>
      </c>
      <c r="CM58" s="1169"/>
      <c r="CN58" s="1094" t="s">
        <v>38</v>
      </c>
      <c r="CO58" s="1118"/>
      <c r="CP58" s="1176">
        <f>'2024_ar_grozījumiem'!CP58-'2024_gada_plāns'!CP58</f>
        <v>-13316</v>
      </c>
      <c r="CQ58" s="1091"/>
      <c r="CR58" s="1293" t="s">
        <v>38</v>
      </c>
      <c r="CS58" s="1118"/>
      <c r="CT58" s="1176">
        <f>'2024_ar_grozījumiem'!CT58-'2024_gada_plāns'!CT58</f>
        <v>0</v>
      </c>
      <c r="CU58" s="1091"/>
      <c r="CV58" s="1293" t="s">
        <v>38</v>
      </c>
      <c r="CW58" s="1118"/>
      <c r="CX58" s="1176">
        <f>'2024_ar_grozījumiem'!CX58-'2024_gada_plāns'!CX58</f>
        <v>-2.6603823111806904</v>
      </c>
      <c r="CY58" s="1357"/>
      <c r="CZ58" s="1877">
        <f>CF58/'2024_gada_plāns'!CF58</f>
        <v>-1.695599515542922E-3</v>
      </c>
      <c r="DA58" s="1881"/>
      <c r="DB58" s="1902">
        <f>CH58/'2024_gada_plāns'!CH58</f>
        <v>-1.6955995155430964E-3</v>
      </c>
      <c r="DC58" s="1911"/>
      <c r="DD58" s="1914" t="s">
        <v>38</v>
      </c>
      <c r="DE58" s="1915"/>
      <c r="DF58" s="1883">
        <f>CL58/'2024_gada_plāns'!CL58</f>
        <v>-0.14217078430953856</v>
      </c>
      <c r="DG58" s="1884"/>
      <c r="DH58" s="1916" t="s">
        <v>38</v>
      </c>
      <c r="DI58" s="1915"/>
      <c r="DJ58" s="1883">
        <f>CP58/'2024_gada_plāns'!CP58</f>
        <v>-0.14217078430953856</v>
      </c>
      <c r="DK58" s="1885"/>
      <c r="DL58" s="1914" t="s">
        <v>38</v>
      </c>
      <c r="DM58" s="1915"/>
      <c r="DN58" s="1888" t="s">
        <v>38</v>
      </c>
      <c r="DO58" s="1885"/>
      <c r="DP58" s="1914" t="s">
        <v>38</v>
      </c>
      <c r="DQ58" s="1915"/>
      <c r="DR58" s="1883">
        <f>CX58/'2024_gada_plāns'!CX58</f>
        <v>-0.1407137790095144</v>
      </c>
      <c r="DS58" s="1906"/>
    </row>
    <row r="59" spans="1:123" ht="15.75" customHeight="1" x14ac:dyDescent="0.25">
      <c r="A59" s="2242"/>
      <c r="B59" s="20"/>
      <c r="C59" s="988" t="s">
        <v>41</v>
      </c>
      <c r="D59" s="234">
        <v>1018.1</v>
      </c>
      <c r="E59" s="228"/>
      <c r="F59" s="246">
        <v>0.46637654603756301</v>
      </c>
      <c r="G59" s="228"/>
      <c r="H59" s="293" t="s">
        <v>38</v>
      </c>
      <c r="I59" s="230" t="s">
        <v>38</v>
      </c>
      <c r="J59" s="285">
        <v>28894</v>
      </c>
      <c r="K59" s="208"/>
      <c r="L59" s="406" t="s">
        <v>38</v>
      </c>
      <c r="M59" s="505" t="s">
        <v>38</v>
      </c>
      <c r="N59" s="506">
        <v>28894</v>
      </c>
      <c r="O59" s="208"/>
      <c r="P59" s="293" t="s">
        <v>38</v>
      </c>
      <c r="Q59" s="230" t="s">
        <v>38</v>
      </c>
      <c r="R59" s="506">
        <v>0</v>
      </c>
      <c r="S59" s="208"/>
      <c r="T59" s="293" t="s">
        <v>38</v>
      </c>
      <c r="U59" s="230" t="s">
        <v>38</v>
      </c>
      <c r="V59" s="231">
        <v>28.380316275414987</v>
      </c>
      <c r="W59" s="231"/>
      <c r="X59" s="234">
        <v>892.2</v>
      </c>
      <c r="Y59" s="228"/>
      <c r="Z59" s="246">
        <v>0.40851648351648356</v>
      </c>
      <c r="AA59" s="228"/>
      <c r="AB59" s="293" t="s">
        <v>38</v>
      </c>
      <c r="AC59" s="230" t="s">
        <v>38</v>
      </c>
      <c r="AD59" s="285">
        <v>32212</v>
      </c>
      <c r="AE59" s="208"/>
      <c r="AF59" s="406" t="s">
        <v>38</v>
      </c>
      <c r="AG59" s="505" t="s">
        <v>38</v>
      </c>
      <c r="AH59" s="506">
        <v>32212</v>
      </c>
      <c r="AI59" s="208"/>
      <c r="AJ59" s="293" t="s">
        <v>38</v>
      </c>
      <c r="AK59" s="230" t="s">
        <v>38</v>
      </c>
      <c r="AL59" s="506">
        <v>0</v>
      </c>
      <c r="AM59" s="208"/>
      <c r="AN59" s="293" t="s">
        <v>38</v>
      </c>
      <c r="AO59" s="230" t="s">
        <v>38</v>
      </c>
      <c r="AP59" s="231">
        <v>36.10401255323918</v>
      </c>
      <c r="AQ59" s="231"/>
      <c r="AR59" s="1440">
        <f>'2024_ar_grozījumiem'!AR59-'2024_gada_plāns'!AR59</f>
        <v>-27.300000000000068</v>
      </c>
      <c r="AS59" s="1441"/>
      <c r="AT59" s="1442">
        <f>'2024_ar_grozījumiem'!AT59-'2024_gada_plāns'!AT59</f>
        <v>-1.2364130434782628E-2</v>
      </c>
      <c r="AU59" s="1441"/>
      <c r="AV59" s="1115" t="s">
        <v>38</v>
      </c>
      <c r="AW59" s="1658"/>
      <c r="AX59" s="1115">
        <f>'2024_ar_grozījumiem'!AX59-'2024_gada_plāns'!AX59</f>
        <v>-9191</v>
      </c>
      <c r="AY59" s="1469"/>
      <c r="AZ59" s="1117" t="s">
        <v>38</v>
      </c>
      <c r="BA59" s="1468"/>
      <c r="BB59" s="1173">
        <f>'2024_ar_grozījumiem'!BB59-'2024_gada_plāns'!BB59</f>
        <v>-9191</v>
      </c>
      <c r="BC59" s="1656"/>
      <c r="BD59" s="1115" t="s">
        <v>38</v>
      </c>
      <c r="BE59" s="1658"/>
      <c r="BF59" s="1173">
        <f>'2024_ar_grozījumiem'!BF59-'2024_gada_plāns'!BF59</f>
        <v>0</v>
      </c>
      <c r="BG59" s="1175"/>
      <c r="BH59" s="1115" t="s">
        <v>38</v>
      </c>
      <c r="BI59" s="1658"/>
      <c r="BJ59" s="1092">
        <f>'2024_ar_grozījumiem'!BJ59-'2024_gada_plāns'!BJ59</f>
        <v>-12.655670316687825</v>
      </c>
      <c r="BK59" s="1092"/>
      <c r="BL59" s="1283">
        <f>'2024_ar_grozījumiem'!BL59-'2024_gada_plāns'!BL59</f>
        <v>-2.3999999999998636</v>
      </c>
      <c r="BM59" s="1087"/>
      <c r="BN59" s="1087">
        <f>'2024_ar_grozījumiem'!BN59-'2024_gada_plāns'!BN59</f>
        <v>-1.08646446355809E-3</v>
      </c>
      <c r="BO59" s="1087"/>
      <c r="BP59" s="1292" t="s">
        <v>38</v>
      </c>
      <c r="BQ59" s="1116"/>
      <c r="BR59" s="1292">
        <f>'2024_ar_grozījumiem'!BR59-'2024_gada_plāns'!BR59</f>
        <v>-7805</v>
      </c>
      <c r="BS59" s="1094"/>
      <c r="BT59" s="1293" t="s">
        <v>38</v>
      </c>
      <c r="BU59" s="1118"/>
      <c r="BV59" s="1176">
        <f>'2024_ar_grozījumiem'!BV59-'2024_gada_plāns'!BV59</f>
        <v>-7805</v>
      </c>
      <c r="BW59" s="1097"/>
      <c r="BX59" s="1292" t="s">
        <v>38</v>
      </c>
      <c r="BY59" s="1116"/>
      <c r="BZ59" s="1176">
        <f>'2024_ar_grozījumiem'!BZ59-'2024_gada_plāns'!BZ59</f>
        <v>0</v>
      </c>
      <c r="CA59" s="1091"/>
      <c r="CB59" s="1292" t="s">
        <v>38</v>
      </c>
      <c r="CC59" s="1116"/>
      <c r="CD59" s="1095">
        <f>'2024_ar_grozījumiem'!CD59-'2024_gada_plāns'!CD59</f>
        <v>-7.3364648566384396</v>
      </c>
      <c r="CE59" s="1095"/>
      <c r="CF59" s="1309">
        <f>'2024_ar_grozījumiem'!CF59-'2024_gada_plāns'!CF59</f>
        <v>-29.699999999999818</v>
      </c>
      <c r="CG59" s="1095"/>
      <c r="CH59" s="1088">
        <f>'2024_ar_grozījumiem'!CH59-'2024_gada_plāns'!CH59</f>
        <v>-3.3904109589040776E-3</v>
      </c>
      <c r="CI59" s="1108"/>
      <c r="CJ59" s="1293" t="s">
        <v>38</v>
      </c>
      <c r="CK59" s="1118"/>
      <c r="CL59" s="1176">
        <f>'2024_ar_grozījumiem'!CL59-'2024_gada_plāns'!CL59</f>
        <v>-16996</v>
      </c>
      <c r="CM59" s="1169"/>
      <c r="CN59" s="1094" t="s">
        <v>38</v>
      </c>
      <c r="CO59" s="1118"/>
      <c r="CP59" s="1176">
        <f>'2024_ar_grozījumiem'!CP59-'2024_gada_plāns'!CP59</f>
        <v>-16996</v>
      </c>
      <c r="CQ59" s="1091"/>
      <c r="CR59" s="1293" t="s">
        <v>38</v>
      </c>
      <c r="CS59" s="1118"/>
      <c r="CT59" s="1176">
        <f>'2024_ar_grozījumiem'!CT59-'2024_gada_plāns'!CT59</f>
        <v>0</v>
      </c>
      <c r="CU59" s="1091"/>
      <c r="CV59" s="1293" t="s">
        <v>38</v>
      </c>
      <c r="CW59" s="1118"/>
      <c r="CX59" s="1176">
        <f>'2024_ar_grozījumiem'!CX59-'2024_gada_plāns'!CX59</f>
        <v>-4.4517424432664825</v>
      </c>
      <c r="CY59" s="1357"/>
      <c r="CZ59" s="1877">
        <f>CF59/'2024_gada_plāns'!CF59</f>
        <v>-8.2057799635298165E-3</v>
      </c>
      <c r="DA59" s="1881"/>
      <c r="DB59" s="1902">
        <f>CH59/'2024_gada_plāns'!CH59</f>
        <v>-8.2057799635297888E-3</v>
      </c>
      <c r="DC59" s="1887"/>
      <c r="DD59" s="1914" t="s">
        <v>38</v>
      </c>
      <c r="DE59" s="1915"/>
      <c r="DF59" s="1883">
        <f>CL59/'2024_gada_plāns'!CL59</f>
        <v>-0.1373258782844769</v>
      </c>
      <c r="DG59" s="1884"/>
      <c r="DH59" s="1916" t="s">
        <v>38</v>
      </c>
      <c r="DI59" s="1915"/>
      <c r="DJ59" s="1883">
        <f>CP59/'2024_gada_plāns'!CP59</f>
        <v>-0.1373258782844769</v>
      </c>
      <c r="DK59" s="1885"/>
      <c r="DL59" s="1914" t="s">
        <v>38</v>
      </c>
      <c r="DM59" s="1915"/>
      <c r="DN59" s="1888" t="s">
        <v>38</v>
      </c>
      <c r="DO59" s="1885"/>
      <c r="DP59" s="1914" t="s">
        <v>38</v>
      </c>
      <c r="DQ59" s="1915"/>
      <c r="DR59" s="1883">
        <f>CX59/'2024_gada_plāns'!CX59</f>
        <v>-0.13018839564945142</v>
      </c>
      <c r="DS59" s="1906"/>
    </row>
    <row r="60" spans="1:123" ht="15.75" customHeight="1" x14ac:dyDescent="0.25">
      <c r="A60" s="2242"/>
      <c r="B60" s="20"/>
      <c r="C60" s="988" t="s">
        <v>42</v>
      </c>
      <c r="D60" s="234">
        <v>968.9</v>
      </c>
      <c r="E60" s="228"/>
      <c r="F60" s="246">
        <v>0.44383875400824552</v>
      </c>
      <c r="G60" s="228"/>
      <c r="H60" s="296" t="s">
        <v>38</v>
      </c>
      <c r="I60" s="297" t="s">
        <v>38</v>
      </c>
      <c r="J60" s="298">
        <v>18257</v>
      </c>
      <c r="K60" s="507"/>
      <c r="L60" s="409" t="s">
        <v>38</v>
      </c>
      <c r="M60" s="559" t="s">
        <v>38</v>
      </c>
      <c r="N60" s="506">
        <v>18257</v>
      </c>
      <c r="O60" s="522"/>
      <c r="P60" s="296" t="s">
        <v>38</v>
      </c>
      <c r="Q60" s="297" t="s">
        <v>38</v>
      </c>
      <c r="R60" s="506">
        <v>0</v>
      </c>
      <c r="S60" s="208"/>
      <c r="T60" s="296" t="s">
        <v>38</v>
      </c>
      <c r="U60" s="297" t="s">
        <v>38</v>
      </c>
      <c r="V60" s="231">
        <v>18.843017855299824</v>
      </c>
      <c r="W60" s="231"/>
      <c r="X60" s="234">
        <v>970.4</v>
      </c>
      <c r="Y60" s="228"/>
      <c r="Z60" s="246">
        <v>0.4443223443223443</v>
      </c>
      <c r="AA60" s="228"/>
      <c r="AB60" s="296" t="s">
        <v>38</v>
      </c>
      <c r="AC60" s="297" t="s">
        <v>38</v>
      </c>
      <c r="AD60" s="298">
        <v>20080</v>
      </c>
      <c r="AE60" s="507"/>
      <c r="AF60" s="409" t="s">
        <v>38</v>
      </c>
      <c r="AG60" s="559" t="s">
        <v>38</v>
      </c>
      <c r="AH60" s="506">
        <v>20080</v>
      </c>
      <c r="AI60" s="522"/>
      <c r="AJ60" s="296" t="s">
        <v>38</v>
      </c>
      <c r="AK60" s="297" t="s">
        <v>38</v>
      </c>
      <c r="AL60" s="506">
        <v>0</v>
      </c>
      <c r="AM60" s="208"/>
      <c r="AN60" s="296" t="s">
        <v>38</v>
      </c>
      <c r="AO60" s="297" t="s">
        <v>38</v>
      </c>
      <c r="AP60" s="231">
        <v>20.692497938994229</v>
      </c>
      <c r="AQ60" s="231"/>
      <c r="AR60" s="1440">
        <f>'2024_ar_grozījumiem'!AR60-'2024_gada_plāns'!AR60</f>
        <v>-2.2000000000000455</v>
      </c>
      <c r="AS60" s="1441"/>
      <c r="AT60" s="1442">
        <f>'2024_ar_grozījumiem'!AT60-'2024_gada_plāns'!AT60</f>
        <v>-9.9637681159420177E-4</v>
      </c>
      <c r="AU60" s="1441"/>
      <c r="AV60" s="1115" t="s">
        <v>38</v>
      </c>
      <c r="AW60" s="1658"/>
      <c r="AX60" s="1115">
        <f>'2024_ar_grozījumiem'!AX60-'2024_gada_plāns'!AX60</f>
        <v>-4592</v>
      </c>
      <c r="AY60" s="1469"/>
      <c r="AZ60" s="1117" t="s">
        <v>38</v>
      </c>
      <c r="BA60" s="1468"/>
      <c r="BB60" s="1173">
        <f>'2024_ar_grozījumiem'!BB60-'2024_gada_plāns'!BB60</f>
        <v>-4592</v>
      </c>
      <c r="BC60" s="1656"/>
      <c r="BD60" s="1115" t="s">
        <v>38</v>
      </c>
      <c r="BE60" s="1658"/>
      <c r="BF60" s="1173">
        <f>'2024_ar_grozījumiem'!BF60-'2024_gada_plāns'!BF60</f>
        <v>0</v>
      </c>
      <c r="BG60" s="1175"/>
      <c r="BH60" s="1115" t="s">
        <v>38</v>
      </c>
      <c r="BI60" s="1658"/>
      <c r="BJ60" s="1092">
        <f>'2024_ar_grozījumiem'!BJ60-'2024_gada_plāns'!BJ60</f>
        <v>-4.6484463377732919</v>
      </c>
      <c r="BK60" s="1092"/>
      <c r="BL60" s="1283">
        <f>'2024_ar_grozījumiem'!BL60-'2024_gada_plāns'!BL60</f>
        <v>-2.1000000000000227</v>
      </c>
      <c r="BM60" s="1087"/>
      <c r="BN60" s="1087">
        <f>'2024_ar_grozījumiem'!BN60-'2024_gada_plāns'!BN60</f>
        <v>-9.506564056134259E-4</v>
      </c>
      <c r="BO60" s="1087"/>
      <c r="BP60" s="1292" t="s">
        <v>38</v>
      </c>
      <c r="BQ60" s="1116"/>
      <c r="BR60" s="1292">
        <f>'2024_ar_grozījumiem'!BR60-'2024_gada_plāns'!BR60</f>
        <v>-4536</v>
      </c>
      <c r="BS60" s="1094"/>
      <c r="BT60" s="1293" t="s">
        <v>38</v>
      </c>
      <c r="BU60" s="1118"/>
      <c r="BV60" s="1176">
        <f>'2024_ar_grozījumiem'!BV60-'2024_gada_plāns'!BV60</f>
        <v>-4536</v>
      </c>
      <c r="BW60" s="1097"/>
      <c r="BX60" s="1292" t="s">
        <v>38</v>
      </c>
      <c r="BY60" s="1116"/>
      <c r="BZ60" s="1176">
        <f>'2024_ar_grozījumiem'!BZ60-'2024_gada_plāns'!BZ60</f>
        <v>0</v>
      </c>
      <c r="CA60" s="1091"/>
      <c r="CB60" s="1292" t="s">
        <v>38</v>
      </c>
      <c r="CC60" s="1116"/>
      <c r="CD60" s="1095">
        <f>'2024_ar_grozījumiem'!CD60-'2024_gada_plāns'!CD60</f>
        <v>-4.5914883553686128</v>
      </c>
      <c r="CE60" s="1095"/>
      <c r="CF60" s="1309">
        <f>'2024_ar_grozījumiem'!CF60-'2024_gada_plāns'!CF60</f>
        <v>-4.2999999999997272</v>
      </c>
      <c r="CG60" s="1095"/>
      <c r="CH60" s="1088">
        <f>'2024_ar_grozījumiem'!CH60-'2024_gada_plāns'!CH60</f>
        <v>-4.9086757990862706E-4</v>
      </c>
      <c r="CI60" s="1359"/>
      <c r="CJ60" s="1293" t="s">
        <v>38</v>
      </c>
      <c r="CK60" s="1118"/>
      <c r="CL60" s="1176">
        <f>'2024_ar_grozījumiem'!CL60-'2024_gada_plāns'!CL60</f>
        <v>-9128</v>
      </c>
      <c r="CM60" s="1169"/>
      <c r="CN60" s="1094" t="s">
        <v>38</v>
      </c>
      <c r="CO60" s="1118"/>
      <c r="CP60" s="1176">
        <f>'2024_ar_grozījumiem'!CP60-'2024_gada_plāns'!CP60</f>
        <v>-9128</v>
      </c>
      <c r="CQ60" s="1091"/>
      <c r="CR60" s="1293" t="s">
        <v>38</v>
      </c>
      <c r="CS60" s="1118"/>
      <c r="CT60" s="1176">
        <f>'2024_ar_grozījumiem'!CT60-'2024_gada_plāns'!CT60</f>
        <v>0</v>
      </c>
      <c r="CU60" s="1091"/>
      <c r="CV60" s="1293" t="s">
        <v>38</v>
      </c>
      <c r="CW60" s="1118"/>
      <c r="CX60" s="1176">
        <f>'2024_ar_grozījumiem'!CX60-'2024_gada_plāns'!CX60</f>
        <v>-2.3206959698320908</v>
      </c>
      <c r="CY60" s="1357"/>
      <c r="CZ60" s="1877">
        <f>CF60/'2024_gada_plāns'!CF60</f>
        <v>-1.1022814662906247E-3</v>
      </c>
      <c r="DA60" s="1881"/>
      <c r="DB60" s="1902">
        <f>CH60/'2024_gada_plāns'!CH60</f>
        <v>-1.1022814662905852E-3</v>
      </c>
      <c r="DC60" s="1911"/>
      <c r="DD60" s="1914" t="s">
        <v>38</v>
      </c>
      <c r="DE60" s="1915"/>
      <c r="DF60" s="1883">
        <f>CL60/'2024_gada_plāns'!CL60</f>
        <v>-0.11845007915704238</v>
      </c>
      <c r="DG60" s="1884"/>
      <c r="DH60" s="1916" t="s">
        <v>38</v>
      </c>
      <c r="DI60" s="1915"/>
      <c r="DJ60" s="1883">
        <f>CP60/'2024_gada_plāns'!CP60</f>
        <v>-0.11845007915704238</v>
      </c>
      <c r="DK60" s="1885"/>
      <c r="DL60" s="1914" t="s">
        <v>38</v>
      </c>
      <c r="DM60" s="1915"/>
      <c r="DN60" s="1888" t="s">
        <v>38</v>
      </c>
      <c r="DO60" s="1885"/>
      <c r="DP60" s="1914" t="s">
        <v>38</v>
      </c>
      <c r="DQ60" s="1915"/>
      <c r="DR60" s="1883">
        <f>CX60/'2024_gada_plāns'!CX60</f>
        <v>-0.11747729073103458</v>
      </c>
      <c r="DS60" s="1906"/>
    </row>
    <row r="61" spans="1:123" ht="15.75" customHeight="1" x14ac:dyDescent="0.25">
      <c r="A61" s="2242"/>
      <c r="B61" s="22"/>
      <c r="C61" s="988" t="s">
        <v>43</v>
      </c>
      <c r="D61" s="234">
        <v>1269</v>
      </c>
      <c r="E61" s="228"/>
      <c r="F61" s="246">
        <v>0.58131012368300505</v>
      </c>
      <c r="G61" s="228"/>
      <c r="H61" s="296" t="s">
        <v>38</v>
      </c>
      <c r="I61" s="297" t="s">
        <v>38</v>
      </c>
      <c r="J61" s="298">
        <v>18890</v>
      </c>
      <c r="K61" s="507"/>
      <c r="L61" s="409" t="s">
        <v>38</v>
      </c>
      <c r="M61" s="559" t="s">
        <v>38</v>
      </c>
      <c r="N61" s="506">
        <v>18890</v>
      </c>
      <c r="O61" s="522"/>
      <c r="P61" s="296" t="s">
        <v>38</v>
      </c>
      <c r="Q61" s="297" t="s">
        <v>38</v>
      </c>
      <c r="R61" s="506">
        <v>0</v>
      </c>
      <c r="S61" s="208"/>
      <c r="T61" s="296" t="s">
        <v>38</v>
      </c>
      <c r="U61" s="297" t="s">
        <v>38</v>
      </c>
      <c r="V61" s="231">
        <v>14.885736800630418</v>
      </c>
      <c r="W61" s="231"/>
      <c r="X61" s="234">
        <v>1299.4000000000001</v>
      </c>
      <c r="Y61" s="228"/>
      <c r="Z61" s="246">
        <v>0.59496336996336996</v>
      </c>
      <c r="AA61" s="228"/>
      <c r="AB61" s="296" t="s">
        <v>38</v>
      </c>
      <c r="AC61" s="297" t="s">
        <v>38</v>
      </c>
      <c r="AD61" s="298">
        <v>18067</v>
      </c>
      <c r="AE61" s="507"/>
      <c r="AF61" s="409" t="s">
        <v>38</v>
      </c>
      <c r="AG61" s="559" t="s">
        <v>38</v>
      </c>
      <c r="AH61" s="506">
        <v>18067</v>
      </c>
      <c r="AI61" s="522"/>
      <c r="AJ61" s="296" t="s">
        <v>38</v>
      </c>
      <c r="AK61" s="297" t="s">
        <v>38</v>
      </c>
      <c r="AL61" s="506">
        <v>0</v>
      </c>
      <c r="AM61" s="208"/>
      <c r="AN61" s="296" t="s">
        <v>38</v>
      </c>
      <c r="AO61" s="297" t="s">
        <v>38</v>
      </c>
      <c r="AP61" s="231">
        <v>13.904109589041095</v>
      </c>
      <c r="AQ61" s="231"/>
      <c r="AR61" s="1440">
        <f>'2024_ar_grozījumiem'!AR61-'2024_gada_plāns'!AR61</f>
        <v>51.5</v>
      </c>
      <c r="AS61" s="1441"/>
      <c r="AT61" s="1442">
        <f>'2024_ar_grozījumiem'!AT61-'2024_gada_plāns'!AT61</f>
        <v>2.3324275362318847E-2</v>
      </c>
      <c r="AU61" s="1441"/>
      <c r="AV61" s="1115" t="s">
        <v>38</v>
      </c>
      <c r="AW61" s="1658"/>
      <c r="AX61" s="1115">
        <f>'2024_ar_grozījumiem'!AX61-'2024_gada_plāns'!AX61</f>
        <v>-978</v>
      </c>
      <c r="AY61" s="1469"/>
      <c r="AZ61" s="1117" t="s">
        <v>38</v>
      </c>
      <c r="BA61" s="1468"/>
      <c r="BB61" s="1173">
        <f>'2024_ar_grozījumiem'!BB61-'2024_gada_plāns'!BB61</f>
        <v>-978</v>
      </c>
      <c r="BC61" s="1656"/>
      <c r="BD61" s="1115" t="s">
        <v>38</v>
      </c>
      <c r="BE61" s="1658"/>
      <c r="BF61" s="1173">
        <f>'2024_ar_grozījumiem'!BF61-'2024_gada_plāns'!BF61</f>
        <v>0</v>
      </c>
      <c r="BG61" s="1175"/>
      <c r="BH61" s="1115" t="s">
        <v>38</v>
      </c>
      <c r="BI61" s="1658"/>
      <c r="BJ61" s="1092">
        <f>'2024_ar_grozījumiem'!BJ61-'2024_gada_plāns'!BJ61</f>
        <v>-1.3405371929590846</v>
      </c>
      <c r="BK61" s="1092"/>
      <c r="BL61" s="1283">
        <f>'2024_ar_grozījumiem'!BL61-'2024_gada_plāns'!BL61</f>
        <v>47.5</v>
      </c>
      <c r="BM61" s="1087"/>
      <c r="BN61" s="1087">
        <f>'2024_ar_grozījumiem'!BN61-'2024_gada_plāns'!BN61</f>
        <v>2.1502942507922174E-2</v>
      </c>
      <c r="BO61" s="1087"/>
      <c r="BP61" s="1292" t="s">
        <v>38</v>
      </c>
      <c r="BQ61" s="1116"/>
      <c r="BR61" s="1292">
        <f>'2024_ar_grozījumiem'!BR61-'2024_gada_plāns'!BR61</f>
        <v>-688</v>
      </c>
      <c r="BS61" s="1094"/>
      <c r="BT61" s="1293" t="s">
        <v>38</v>
      </c>
      <c r="BU61" s="1118"/>
      <c r="BV61" s="1176">
        <f>'2024_ar_grozījumiem'!BV61-'2024_gada_plāns'!BV61</f>
        <v>-688</v>
      </c>
      <c r="BW61" s="1097"/>
      <c r="BX61" s="1292" t="s">
        <v>38</v>
      </c>
      <c r="BY61" s="1116"/>
      <c r="BZ61" s="1176">
        <f>'2024_ar_grozījumiem'!BZ61-'2024_gada_plāns'!BZ61</f>
        <v>0</v>
      </c>
      <c r="CA61" s="1091"/>
      <c r="CB61" s="1292" t="s">
        <v>38</v>
      </c>
      <c r="CC61" s="1116"/>
      <c r="CD61" s="1095">
        <f>'2024_ar_grozījumiem'!CD61-'2024_gada_plāns'!CD61</f>
        <v>-1.109376769661468</v>
      </c>
      <c r="CE61" s="1095"/>
      <c r="CF61" s="1309">
        <f>'2024_ar_grozījumiem'!CF61-'2024_gada_plāns'!CF61</f>
        <v>99</v>
      </c>
      <c r="CG61" s="1095"/>
      <c r="CH61" s="1088">
        <f>'2024_ar_grozījumiem'!CH61-'2024_gada_plāns'!CH61</f>
        <v>1.1301369863013777E-2</v>
      </c>
      <c r="CI61" s="1108"/>
      <c r="CJ61" s="1293" t="s">
        <v>38</v>
      </c>
      <c r="CK61" s="1118"/>
      <c r="CL61" s="1176">
        <f>'2024_ar_grozījumiem'!CL61-'2024_gada_plāns'!CL61</f>
        <v>-1666</v>
      </c>
      <c r="CM61" s="1169"/>
      <c r="CN61" s="1094" t="s">
        <v>38</v>
      </c>
      <c r="CO61" s="1118"/>
      <c r="CP61" s="1176">
        <f>'2024_ar_grozījumiem'!CP61-'2024_gada_plāns'!CP61</f>
        <v>-1666</v>
      </c>
      <c r="CQ61" s="1091"/>
      <c r="CR61" s="1293" t="s">
        <v>38</v>
      </c>
      <c r="CS61" s="1118"/>
      <c r="CT61" s="1176">
        <f>'2024_ar_grozījumiem'!CT61-'2024_gada_plāns'!CT61</f>
        <v>0</v>
      </c>
      <c r="CU61" s="1091"/>
      <c r="CV61" s="1293" t="s">
        <v>38</v>
      </c>
      <c r="CW61" s="1118"/>
      <c r="CX61" s="1176">
        <f>'2024_ar_grozījumiem'!CX61-'2024_gada_plāns'!CX61</f>
        <v>-0.60738669716804949</v>
      </c>
      <c r="CY61" s="1357"/>
      <c r="CZ61" s="1877">
        <f>CF61/'2024_gada_plāns'!CF61</f>
        <v>1.9666660044895611E-2</v>
      </c>
      <c r="DA61" s="1881"/>
      <c r="DB61" s="1902">
        <f>CH61/'2024_gada_plāns'!CH61</f>
        <v>1.9666660044895746E-2</v>
      </c>
      <c r="DC61" s="1887"/>
      <c r="DD61" s="1914" t="s">
        <v>38</v>
      </c>
      <c r="DE61" s="1915"/>
      <c r="DF61" s="1883">
        <f>CL61/'2024_gada_plāns'!CL61</f>
        <v>-2.2570549903133594E-2</v>
      </c>
      <c r="DG61" s="1884"/>
      <c r="DH61" s="1916" t="s">
        <v>38</v>
      </c>
      <c r="DI61" s="1915"/>
      <c r="DJ61" s="1883">
        <f>CP61/'2024_gada_plāns'!CP61</f>
        <v>-2.2570549903133594E-2</v>
      </c>
      <c r="DK61" s="1885"/>
      <c r="DL61" s="1914" t="s">
        <v>38</v>
      </c>
      <c r="DM61" s="1915"/>
      <c r="DN61" s="1888" t="s">
        <v>38</v>
      </c>
      <c r="DO61" s="1885"/>
      <c r="DP61" s="1914" t="s">
        <v>38</v>
      </c>
      <c r="DQ61" s="1915"/>
      <c r="DR61" s="1883">
        <f>CX61/'2024_gada_plāns'!CX61</f>
        <v>-4.1422566416135967E-2</v>
      </c>
      <c r="DS61" s="1906"/>
    </row>
    <row r="62" spans="1:123" s="1001" customFormat="1" ht="15.75" customHeight="1" thickBot="1" x14ac:dyDescent="0.25">
      <c r="A62" s="2245"/>
      <c r="B62" s="999" t="s">
        <v>53</v>
      </c>
      <c r="C62" s="1000"/>
      <c r="D62" s="299">
        <v>10218.300000000001</v>
      </c>
      <c r="E62" s="27"/>
      <c r="F62" s="182">
        <v>0.9291982285916941</v>
      </c>
      <c r="G62" s="33"/>
      <c r="H62" s="28" t="s">
        <v>38</v>
      </c>
      <c r="I62" s="29" t="s">
        <v>38</v>
      </c>
      <c r="J62" s="300">
        <v>1373744.7955981733</v>
      </c>
      <c r="K62" s="34"/>
      <c r="L62" s="410" t="s">
        <v>38</v>
      </c>
      <c r="M62" s="30" t="s">
        <v>38</v>
      </c>
      <c r="N62" s="31">
        <v>1355613.7825981732</v>
      </c>
      <c r="O62" s="35"/>
      <c r="P62" s="28" t="s">
        <v>38</v>
      </c>
      <c r="Q62" s="29" t="s">
        <v>38</v>
      </c>
      <c r="R62" s="31">
        <v>18131.012999999999</v>
      </c>
      <c r="S62" s="35">
        <v>0</v>
      </c>
      <c r="T62" s="28" t="s">
        <v>38</v>
      </c>
      <c r="U62" s="32" t="s">
        <v>38</v>
      </c>
      <c r="V62" s="31">
        <v>134.43966174394694</v>
      </c>
      <c r="W62" s="36"/>
      <c r="X62" s="299">
        <v>10012.499999999998</v>
      </c>
      <c r="Y62" s="27"/>
      <c r="Z62" s="182">
        <v>0.91007007880457003</v>
      </c>
      <c r="AA62" s="33"/>
      <c r="AB62" s="28" t="s">
        <v>38</v>
      </c>
      <c r="AC62" s="29" t="s">
        <v>38</v>
      </c>
      <c r="AD62" s="300">
        <v>1326683.7571291032</v>
      </c>
      <c r="AE62" s="34"/>
      <c r="AF62" s="410" t="s">
        <v>38</v>
      </c>
      <c r="AG62" s="30" t="s">
        <v>38</v>
      </c>
      <c r="AH62" s="31">
        <v>1308552.7571291032</v>
      </c>
      <c r="AI62" s="35"/>
      <c r="AJ62" s="28" t="s">
        <v>38</v>
      </c>
      <c r="AK62" s="29" t="s">
        <v>38</v>
      </c>
      <c r="AL62" s="31">
        <v>18131</v>
      </c>
      <c r="AM62" s="35">
        <v>0</v>
      </c>
      <c r="AN62" s="28" t="s">
        <v>38</v>
      </c>
      <c r="AO62" s="32" t="s">
        <v>38</v>
      </c>
      <c r="AP62" s="31">
        <v>132.50274727881182</v>
      </c>
      <c r="AQ62" s="36"/>
      <c r="AR62" s="1294">
        <f>'2024_ar_grozījumiem'!AR62-'2024_gada_plāns'!AR62</f>
        <v>-46.399999999999636</v>
      </c>
      <c r="AS62" s="1119"/>
      <c r="AT62" s="1120">
        <f>'2024_ar_grozījumiem'!AT62-'2024_gada_plāns'!AT62</f>
        <v>-4.1775833040722521E-3</v>
      </c>
      <c r="AU62" s="1121"/>
      <c r="AV62" s="1122" t="s">
        <v>38</v>
      </c>
      <c r="AW62" s="1119"/>
      <c r="AX62" s="1295">
        <f>'2024_ar_grozījumiem'!AX62-'2024_gada_plāns'!AX62</f>
        <v>-79965.074706583517</v>
      </c>
      <c r="AY62" s="1123"/>
      <c r="AZ62" s="1124" t="s">
        <v>38</v>
      </c>
      <c r="BA62" s="1125"/>
      <c r="BB62" s="1127">
        <f>'2024_ar_grozījumiem'!BB62-'2024_gada_plāns'!BB62</f>
        <v>-79761.074706583517</v>
      </c>
      <c r="BC62" s="1126"/>
      <c r="BD62" s="1122" t="s">
        <v>38</v>
      </c>
      <c r="BE62" s="1119"/>
      <c r="BF62" s="1127">
        <f>'2024_ar_grozījumiem'!BF62-'2024_gada_plāns'!BF62</f>
        <v>-204</v>
      </c>
      <c r="BG62" s="1126"/>
      <c r="BH62" s="1122" t="s">
        <v>38</v>
      </c>
      <c r="BI62" s="1121"/>
      <c r="BJ62" s="1127">
        <f>'2024_ar_grozījumiem'!BJ62-'2024_gada_plāns'!BJ62</f>
        <v>-7.5948425790032985</v>
      </c>
      <c r="BK62" s="1128"/>
      <c r="BL62" s="1294">
        <f>'2024_ar_grozījumiem'!BL62-'2024_gada_plāns'!BL62</f>
        <v>-18.600000000000364</v>
      </c>
      <c r="BM62" s="1119"/>
      <c r="BN62" s="1119">
        <f>'2024_ar_grozījumiem'!BN62-'2024_gada_plāns'!BN62</f>
        <v>-1.6761437879048158E-3</v>
      </c>
      <c r="BO62" s="1121"/>
      <c r="BP62" s="1122" t="s">
        <v>38</v>
      </c>
      <c r="BQ62" s="1119"/>
      <c r="BR62" s="1295">
        <f>'2024_ar_grozījumiem'!BR62-'2024_gada_plāns'!BR62</f>
        <v>-87356.570328259375</v>
      </c>
      <c r="BS62" s="1123"/>
      <c r="BT62" s="1124" t="s">
        <v>38</v>
      </c>
      <c r="BU62" s="1125"/>
      <c r="BV62" s="1127">
        <f>'2024_ar_grozījumiem'!BV62-'2024_gada_plāns'!BV62</f>
        <v>-87560.570328259375</v>
      </c>
      <c r="BW62" s="1126"/>
      <c r="BX62" s="1122" t="s">
        <v>38</v>
      </c>
      <c r="BY62" s="1119"/>
      <c r="BZ62" s="1127">
        <f>'2024_ar_grozījumiem'!BZ62-'2024_gada_plāns'!BZ62</f>
        <v>204</v>
      </c>
      <c r="CA62" s="1126"/>
      <c r="CB62" s="1122" t="s">
        <v>38</v>
      </c>
      <c r="CC62" s="1121"/>
      <c r="CD62" s="1127">
        <f>'2024_ar_grozījumiem'!CD62-'2024_gada_plāns'!CD62</f>
        <v>-8.2523523487891168</v>
      </c>
      <c r="CE62" s="1128"/>
      <c r="CF62" s="1361">
        <f>'2024_ar_grozījumiem'!CF62-'2024_gada_plāns'!CF62</f>
        <v>-65</v>
      </c>
      <c r="CG62" s="1123"/>
      <c r="CH62" s="1120">
        <f>'2024_ar_grozījumiem'!CH62-'2024_gada_plāns'!CH62</f>
        <v>-1.4705017351920313E-3</v>
      </c>
      <c r="CI62" s="1362"/>
      <c r="CJ62" s="1124" t="s">
        <v>38</v>
      </c>
      <c r="CK62" s="1125"/>
      <c r="CL62" s="1363">
        <f>'2024_ar_grozījumiem'!CL62-'2024_gada_plāns'!CL62</f>
        <v>-167321.64503484312</v>
      </c>
      <c r="CM62" s="1364"/>
      <c r="CN62" s="1123" t="s">
        <v>38</v>
      </c>
      <c r="CO62" s="1125"/>
      <c r="CP62" s="1363">
        <f>'2024_ar_grozījumiem'!CP62-'2024_gada_plāns'!CP62</f>
        <v>-167321.64503484312</v>
      </c>
      <c r="CQ62" s="1123"/>
      <c r="CR62" s="1124" t="s">
        <v>38</v>
      </c>
      <c r="CS62" s="1125"/>
      <c r="CT62" s="1363">
        <f>'2024_ar_grozījumiem'!CT62-'2024_gada_plāns'!CT62</f>
        <v>0</v>
      </c>
      <c r="CU62" s="1123"/>
      <c r="CV62" s="1124" t="s">
        <v>38</v>
      </c>
      <c r="CW62" s="1125"/>
      <c r="CX62" s="1363">
        <f>'2024_ar_grozījumiem'!CX62-'2024_gada_plāns'!CX62</f>
        <v>-3.9434800179197396</v>
      </c>
      <c r="CY62" s="1365"/>
      <c r="CZ62" s="1917">
        <f>CF62/'2024_gada_plāns'!CF62</f>
        <v>-1.6117274246579417E-3</v>
      </c>
      <c r="DA62" s="1918"/>
      <c r="DB62" s="1919">
        <f>CH62/'2024_gada_plāns'!CH62</f>
        <v>-1.6117274246579241E-3</v>
      </c>
      <c r="DC62" s="1920"/>
      <c r="DD62" s="1921" t="s">
        <v>38</v>
      </c>
      <c r="DE62" s="1922"/>
      <c r="DF62" s="1923">
        <f>CL62/'2024_gada_plāns'!CL62</f>
        <v>-3.1578872646983093E-2</v>
      </c>
      <c r="DG62" s="1924"/>
      <c r="DH62" s="1918" t="s">
        <v>38</v>
      </c>
      <c r="DI62" s="1922"/>
      <c r="DJ62" s="1923">
        <f>CP62/'2024_gada_plāns'!CP62</f>
        <v>-3.2068414748093223E-2</v>
      </c>
      <c r="DK62" s="1918"/>
      <c r="DL62" s="1921" t="s">
        <v>38</v>
      </c>
      <c r="DM62" s="1922"/>
      <c r="DN62" s="1925">
        <f>CT62/'2024_gada_plāns'!CT62</f>
        <v>0</v>
      </c>
      <c r="DO62" s="1918"/>
      <c r="DP62" s="1921" t="s">
        <v>38</v>
      </c>
      <c r="DQ62" s="1922"/>
      <c r="DR62" s="1923">
        <f>CX62/'2024_gada_plāns'!CX62</f>
        <v>-3.0015522062398461E-2</v>
      </c>
      <c r="DS62" s="1926"/>
    </row>
    <row r="63" spans="1:123" s="1004" customFormat="1" ht="17.25" customHeight="1" x14ac:dyDescent="0.25">
      <c r="A63" s="2242" t="s">
        <v>54</v>
      </c>
      <c r="B63" s="1002" t="s">
        <v>55</v>
      </c>
      <c r="C63" s="1003"/>
      <c r="D63" s="301" t="s">
        <v>38</v>
      </c>
      <c r="E63" s="302"/>
      <c r="F63" s="302" t="s">
        <v>38</v>
      </c>
      <c r="G63" s="302"/>
      <c r="H63" s="303" t="s">
        <v>38</v>
      </c>
      <c r="I63" s="304" t="s">
        <v>38</v>
      </c>
      <c r="J63" s="303" t="s">
        <v>38</v>
      </c>
      <c r="K63" s="567"/>
      <c r="L63" s="411" t="s">
        <v>38</v>
      </c>
      <c r="M63" s="568" t="s">
        <v>38</v>
      </c>
      <c r="N63" s="569" t="s">
        <v>38</v>
      </c>
      <c r="O63" s="411"/>
      <c r="P63" s="303" t="s">
        <v>38</v>
      </c>
      <c r="Q63" s="304" t="s">
        <v>38</v>
      </c>
      <c r="R63" s="411" t="s">
        <v>38</v>
      </c>
      <c r="S63" s="411"/>
      <c r="T63" s="303" t="s">
        <v>38</v>
      </c>
      <c r="U63" s="304" t="s">
        <v>38</v>
      </c>
      <c r="V63" s="569" t="s">
        <v>38</v>
      </c>
      <c r="W63" s="570"/>
      <c r="X63" s="301" t="s">
        <v>38</v>
      </c>
      <c r="Y63" s="302"/>
      <c r="Z63" s="302" t="s">
        <v>38</v>
      </c>
      <c r="AA63" s="302"/>
      <c r="AB63" s="303" t="s">
        <v>38</v>
      </c>
      <c r="AC63" s="304" t="s">
        <v>38</v>
      </c>
      <c r="AD63" s="303" t="s">
        <v>38</v>
      </c>
      <c r="AE63" s="567"/>
      <c r="AF63" s="411" t="s">
        <v>38</v>
      </c>
      <c r="AG63" s="568" t="s">
        <v>38</v>
      </c>
      <c r="AH63" s="569" t="s">
        <v>38</v>
      </c>
      <c r="AI63" s="411"/>
      <c r="AJ63" s="303" t="s">
        <v>38</v>
      </c>
      <c r="AK63" s="304" t="s">
        <v>38</v>
      </c>
      <c r="AL63" s="411" t="s">
        <v>38</v>
      </c>
      <c r="AM63" s="411"/>
      <c r="AN63" s="303" t="s">
        <v>38</v>
      </c>
      <c r="AO63" s="304" t="s">
        <v>38</v>
      </c>
      <c r="AP63" s="569" t="s">
        <v>38</v>
      </c>
      <c r="AQ63" s="570"/>
      <c r="AR63" s="1585" t="s">
        <v>38</v>
      </c>
      <c r="AS63" s="1497"/>
      <c r="AT63" s="1497" t="s">
        <v>38</v>
      </c>
      <c r="AU63" s="1497"/>
      <c r="AV63" s="1130" t="s">
        <v>38</v>
      </c>
      <c r="AW63" s="1499"/>
      <c r="AX63" s="1130" t="s">
        <v>38</v>
      </c>
      <c r="AY63" s="1664"/>
      <c r="AZ63" s="1133" t="s">
        <v>38</v>
      </c>
      <c r="BA63" s="1696"/>
      <c r="BB63" s="1663" t="s">
        <v>38</v>
      </c>
      <c r="BC63" s="1133"/>
      <c r="BD63" s="1130" t="s">
        <v>38</v>
      </c>
      <c r="BE63" s="1499"/>
      <c r="BF63" s="1133" t="s">
        <v>38</v>
      </c>
      <c r="BG63" s="1133"/>
      <c r="BH63" s="1130" t="s">
        <v>38</v>
      </c>
      <c r="BI63" s="1499"/>
      <c r="BJ63" s="1663" t="s">
        <v>38</v>
      </c>
      <c r="BK63" s="1689"/>
      <c r="BL63" s="1296" t="s">
        <v>38</v>
      </c>
      <c r="BM63" s="1129" t="s">
        <v>38</v>
      </c>
      <c r="BN63" s="1129" t="s">
        <v>38</v>
      </c>
      <c r="BO63" s="1129"/>
      <c r="BP63" s="1297" t="s">
        <v>38</v>
      </c>
      <c r="BQ63" s="1131"/>
      <c r="BR63" s="1297" t="s">
        <v>38</v>
      </c>
      <c r="BS63" s="1132" t="s">
        <v>38</v>
      </c>
      <c r="BT63" s="1135" t="s">
        <v>38</v>
      </c>
      <c r="BU63" s="1134"/>
      <c r="BV63" s="1136" t="s">
        <v>38</v>
      </c>
      <c r="BW63" s="1135"/>
      <c r="BX63" s="1297" t="s">
        <v>38</v>
      </c>
      <c r="BY63" s="1131"/>
      <c r="BZ63" s="1135" t="s">
        <v>38</v>
      </c>
      <c r="CA63" s="1135"/>
      <c r="CB63" s="1297" t="s">
        <v>38</v>
      </c>
      <c r="CC63" s="1131"/>
      <c r="CD63" s="1136" t="s">
        <v>38</v>
      </c>
      <c r="CE63" s="1137"/>
      <c r="CF63" s="1296" t="s">
        <v>38</v>
      </c>
      <c r="CG63" s="1366"/>
      <c r="CH63" s="1129" t="s">
        <v>38</v>
      </c>
      <c r="CI63" s="1129"/>
      <c r="CJ63" s="1135" t="s">
        <v>38</v>
      </c>
      <c r="CK63" s="1134"/>
      <c r="CL63" s="1297" t="s">
        <v>38</v>
      </c>
      <c r="CM63" s="1367"/>
      <c r="CN63" s="1132" t="s">
        <v>38</v>
      </c>
      <c r="CO63" s="1134"/>
      <c r="CP63" s="1136" t="s">
        <v>38</v>
      </c>
      <c r="CQ63" s="1135"/>
      <c r="CR63" s="1135" t="s">
        <v>38</v>
      </c>
      <c r="CS63" s="1134"/>
      <c r="CT63" s="1135" t="s">
        <v>38</v>
      </c>
      <c r="CU63" s="1135"/>
      <c r="CV63" s="1135" t="s">
        <v>38</v>
      </c>
      <c r="CW63" s="1134"/>
      <c r="CX63" s="1297" t="s">
        <v>38</v>
      </c>
      <c r="CY63" s="1368"/>
      <c r="CZ63" s="1927" t="s">
        <v>38</v>
      </c>
      <c r="DA63" s="1928"/>
      <c r="DB63" s="1929" t="s">
        <v>38</v>
      </c>
      <c r="DC63" s="1929"/>
      <c r="DD63" s="1930" t="s">
        <v>38</v>
      </c>
      <c r="DE63" s="1931"/>
      <c r="DF63" s="1932" t="s">
        <v>38</v>
      </c>
      <c r="DG63" s="1933"/>
      <c r="DH63" s="1934" t="s">
        <v>38</v>
      </c>
      <c r="DI63" s="1931"/>
      <c r="DJ63" s="1935" t="s">
        <v>38</v>
      </c>
      <c r="DK63" s="1930"/>
      <c r="DL63" s="1930" t="s">
        <v>38</v>
      </c>
      <c r="DM63" s="1931"/>
      <c r="DN63" s="1930" t="s">
        <v>38</v>
      </c>
      <c r="DO63" s="1930"/>
      <c r="DP63" s="1930" t="s">
        <v>38</v>
      </c>
      <c r="DQ63" s="1931"/>
      <c r="DR63" s="1932" t="s">
        <v>38</v>
      </c>
      <c r="DS63" s="1936"/>
    </row>
    <row r="64" spans="1:123" s="1007" customFormat="1" ht="15.75" customHeight="1" thickBot="1" x14ac:dyDescent="0.3">
      <c r="A64" s="2242"/>
      <c r="B64" s="1005" t="s">
        <v>107</v>
      </c>
      <c r="C64" s="1006" t="s">
        <v>56</v>
      </c>
      <c r="D64" s="305">
        <v>70</v>
      </c>
      <c r="E64" s="306"/>
      <c r="F64" s="307">
        <v>3.2065964269354097E-2</v>
      </c>
      <c r="G64" s="306"/>
      <c r="H64" s="308" t="s">
        <v>38</v>
      </c>
      <c r="I64" s="309" t="s">
        <v>38</v>
      </c>
      <c r="J64" s="310">
        <v>90</v>
      </c>
      <c r="K64" s="587"/>
      <c r="L64" s="412" t="s">
        <v>38</v>
      </c>
      <c r="M64" s="588" t="s">
        <v>38</v>
      </c>
      <c r="N64" s="589">
        <v>90</v>
      </c>
      <c r="O64" s="590"/>
      <c r="P64" s="308" t="s">
        <v>38</v>
      </c>
      <c r="Q64" s="309" t="s">
        <v>38</v>
      </c>
      <c r="R64" s="591">
        <v>0</v>
      </c>
      <c r="S64" s="590"/>
      <c r="T64" s="308" t="s">
        <v>38</v>
      </c>
      <c r="U64" s="309" t="s">
        <v>38</v>
      </c>
      <c r="V64" s="591">
        <v>1.2857142857142858</v>
      </c>
      <c r="W64" s="591"/>
      <c r="X64" s="305">
        <v>70</v>
      </c>
      <c r="Y64" s="306"/>
      <c r="Z64" s="307">
        <v>3.2051282051282048E-2</v>
      </c>
      <c r="AA64" s="306"/>
      <c r="AB64" s="308" t="s">
        <v>38</v>
      </c>
      <c r="AC64" s="309" t="s">
        <v>38</v>
      </c>
      <c r="AD64" s="310">
        <v>90</v>
      </c>
      <c r="AE64" s="587"/>
      <c r="AF64" s="412" t="s">
        <v>38</v>
      </c>
      <c r="AG64" s="588" t="s">
        <v>38</v>
      </c>
      <c r="AH64" s="589">
        <v>90</v>
      </c>
      <c r="AI64" s="590"/>
      <c r="AJ64" s="308" t="s">
        <v>38</v>
      </c>
      <c r="AK64" s="309" t="s">
        <v>38</v>
      </c>
      <c r="AL64" s="591">
        <v>0</v>
      </c>
      <c r="AM64" s="590"/>
      <c r="AN64" s="308" t="s">
        <v>38</v>
      </c>
      <c r="AO64" s="309" t="s">
        <v>38</v>
      </c>
      <c r="AP64" s="591">
        <v>1.2857142857142858</v>
      </c>
      <c r="AQ64" s="591"/>
      <c r="AR64" s="1496">
        <f>'2024_ar_grozījumiem'!AR64-'2024_gada_plāns'!AR64</f>
        <v>0</v>
      </c>
      <c r="AS64" s="1497"/>
      <c r="AT64" s="1497">
        <f>'2024_ar_grozījumiem'!AT64-'2024_gada_plāns'!AT64</f>
        <v>0</v>
      </c>
      <c r="AU64" s="1497"/>
      <c r="AV64" s="1138" t="s">
        <v>38</v>
      </c>
      <c r="AW64" s="1503"/>
      <c r="AX64" s="1697">
        <f>'2024_ar_grozījumiem'!AX64-'2024_gada_plāns'!AX64</f>
        <v>0</v>
      </c>
      <c r="AY64" s="1141"/>
      <c r="AZ64" s="1141" t="s">
        <v>38</v>
      </c>
      <c r="BA64" s="1504"/>
      <c r="BB64" s="1698">
        <f>'2024_ar_grozījumiem'!BB64-'2024_gada_plāns'!BB64</f>
        <v>0</v>
      </c>
      <c r="BC64" s="1664"/>
      <c r="BD64" s="1138" t="s">
        <v>38</v>
      </c>
      <c r="BE64" s="1503"/>
      <c r="BF64" s="1699">
        <f>'2024_ar_grozījumiem'!BF64-'2024_gada_plāns'!BF64</f>
        <v>0</v>
      </c>
      <c r="BG64" s="1700"/>
      <c r="BH64" s="1138" t="s">
        <v>38</v>
      </c>
      <c r="BI64" s="1503"/>
      <c r="BJ64" s="1133">
        <f>'2024_ar_grozījumiem'!BJ64-'2024_gada_plāns'!BJ64</f>
        <v>0</v>
      </c>
      <c r="BK64" s="1133"/>
      <c r="BL64" s="1298">
        <f>'2024_ar_grozījumiem'!BL64-'2024_gada_plāns'!BL64</f>
        <v>0</v>
      </c>
      <c r="BM64" s="1129"/>
      <c r="BN64" s="1129">
        <f>'2024_ar_grozījumiem'!BN64-'2024_gada_plāns'!BN64</f>
        <v>0</v>
      </c>
      <c r="BO64" s="1129"/>
      <c r="BP64" s="1299" t="s">
        <v>38</v>
      </c>
      <c r="BQ64" s="1139"/>
      <c r="BR64" s="1300">
        <f>'2024_ar_grozījumiem'!BR64-'2024_gada_plāns'!BR64</f>
        <v>0</v>
      </c>
      <c r="BS64" s="1140"/>
      <c r="BT64" s="1140" t="s">
        <v>38</v>
      </c>
      <c r="BU64" s="1142"/>
      <c r="BV64" s="1301">
        <f>'2024_ar_grozījumiem'!BV64-'2024_gada_plāns'!BV64</f>
        <v>0</v>
      </c>
      <c r="BW64" s="1132"/>
      <c r="BX64" s="1299" t="s">
        <v>38</v>
      </c>
      <c r="BY64" s="1139"/>
      <c r="BZ64" s="1302">
        <f>'2024_ar_grozījumiem'!BZ64-'2024_gada_plāns'!BZ64</f>
        <v>0</v>
      </c>
      <c r="CA64" s="1143"/>
      <c r="CB64" s="1299" t="s">
        <v>38</v>
      </c>
      <c r="CC64" s="1139"/>
      <c r="CD64" s="1135">
        <f>'2024_ar_grozījumiem'!CD64-'2024_gada_plāns'!CD64</f>
        <v>0</v>
      </c>
      <c r="CE64" s="1135"/>
      <c r="CF64" s="1369">
        <f>'2024_ar_grozījumiem'!CF64-'2024_gada_plāns'!CF64</f>
        <v>0</v>
      </c>
      <c r="CG64" s="1135"/>
      <c r="CH64" s="1370">
        <f>'2024_ar_grozījumiem'!CH64-'2024_gada_plāns'!CH64</f>
        <v>0</v>
      </c>
      <c r="CI64" s="1139"/>
      <c r="CJ64" s="1140" t="s">
        <v>38</v>
      </c>
      <c r="CK64" s="1142"/>
      <c r="CL64" s="1371">
        <f>'2024_ar_grozījumiem'!CL64-'2024_gada_plāns'!CL64</f>
        <v>0</v>
      </c>
      <c r="CM64" s="1372"/>
      <c r="CN64" s="1140" t="s">
        <v>38</v>
      </c>
      <c r="CO64" s="1142"/>
      <c r="CP64" s="1371">
        <f>'2024_ar_grozījumiem'!CP64-'2024_gada_plāns'!CP64</f>
        <v>0</v>
      </c>
      <c r="CQ64" s="1373"/>
      <c r="CR64" s="1140" t="s">
        <v>38</v>
      </c>
      <c r="CS64" s="1142"/>
      <c r="CT64" s="1371">
        <f>'2024_ar_grozījumiem'!CT64-'2024_gada_plāns'!CT64</f>
        <v>0</v>
      </c>
      <c r="CU64" s="1373"/>
      <c r="CV64" s="1140" t="s">
        <v>38</v>
      </c>
      <c r="CW64" s="1142"/>
      <c r="CX64" s="1371">
        <f>'2024_ar_grozījumiem'!CX64-'2024_gada_plāns'!CX64</f>
        <v>0</v>
      </c>
      <c r="CY64" s="1374"/>
      <c r="CZ64" s="1937">
        <f>CF64/'2024_gada_plāns'!CF64</f>
        <v>0</v>
      </c>
      <c r="DA64" s="1930"/>
      <c r="DB64" s="1938">
        <f>CH64/'2024_gada_plāns'!CH64</f>
        <v>0</v>
      </c>
      <c r="DC64" s="1939"/>
      <c r="DD64" s="1940" t="s">
        <v>38</v>
      </c>
      <c r="DE64" s="1941"/>
      <c r="DF64" s="1942">
        <f>CL64/'2024_gada_plāns'!CL64</f>
        <v>0</v>
      </c>
      <c r="DG64" s="1943"/>
      <c r="DH64" s="1940" t="s">
        <v>38</v>
      </c>
      <c r="DI64" s="1941"/>
      <c r="DJ64" s="1942">
        <f>CP64/'2024_gada_plāns'!CP64</f>
        <v>0</v>
      </c>
      <c r="DK64" s="1944"/>
      <c r="DL64" s="1940" t="s">
        <v>38</v>
      </c>
      <c r="DM64" s="1941"/>
      <c r="DN64" s="1945" t="s">
        <v>38</v>
      </c>
      <c r="DO64" s="1944"/>
      <c r="DP64" s="1940" t="s">
        <v>38</v>
      </c>
      <c r="DQ64" s="1941"/>
      <c r="DR64" s="1942">
        <f>CX64/'2024_gada_plāns'!CX64</f>
        <v>0</v>
      </c>
      <c r="DS64" s="1946"/>
    </row>
    <row r="65" spans="1:123" s="1008" customFormat="1" ht="15.75" customHeight="1" thickBot="1" x14ac:dyDescent="0.25">
      <c r="A65" s="2243"/>
      <c r="B65" s="50" t="s">
        <v>57</v>
      </c>
      <c r="C65" s="51"/>
      <c r="D65" s="311">
        <v>10288.300000000001</v>
      </c>
      <c r="E65" s="58"/>
      <c r="F65" s="214">
        <v>0.93556365884931225</v>
      </c>
      <c r="G65" s="52"/>
      <c r="H65" s="53" t="s">
        <v>38</v>
      </c>
      <c r="I65" s="54" t="s">
        <v>38</v>
      </c>
      <c r="J65" s="55">
        <v>1373834.7955981733</v>
      </c>
      <c r="K65" s="59"/>
      <c r="L65" s="413" t="s">
        <v>38</v>
      </c>
      <c r="M65" s="54" t="s">
        <v>38</v>
      </c>
      <c r="N65" s="55">
        <v>1355703.7825981732</v>
      </c>
      <c r="O65" s="60"/>
      <c r="P65" s="53" t="s">
        <v>38</v>
      </c>
      <c r="Q65" s="54" t="s">
        <v>38</v>
      </c>
      <c r="R65" s="55">
        <v>18131.012999999999</v>
      </c>
      <c r="S65" s="60"/>
      <c r="T65" s="53" t="s">
        <v>38</v>
      </c>
      <c r="U65" s="54" t="s">
        <v>38</v>
      </c>
      <c r="V65" s="57">
        <v>135.72537602966122</v>
      </c>
      <c r="W65" s="61"/>
      <c r="X65" s="311">
        <v>10082.499999999998</v>
      </c>
      <c r="Y65" s="58"/>
      <c r="Z65" s="214">
        <v>0.91643261618447713</v>
      </c>
      <c r="AA65" s="52"/>
      <c r="AB65" s="53" t="s">
        <v>38</v>
      </c>
      <c r="AC65" s="54" t="s">
        <v>38</v>
      </c>
      <c r="AD65" s="55">
        <v>1326773.7571291032</v>
      </c>
      <c r="AE65" s="59"/>
      <c r="AF65" s="413" t="s">
        <v>38</v>
      </c>
      <c r="AG65" s="54" t="s">
        <v>38</v>
      </c>
      <c r="AH65" s="55">
        <v>1308642.7571291032</v>
      </c>
      <c r="AI65" s="60"/>
      <c r="AJ65" s="53" t="s">
        <v>38</v>
      </c>
      <c r="AK65" s="54" t="s">
        <v>38</v>
      </c>
      <c r="AL65" s="55">
        <v>18131</v>
      </c>
      <c r="AM65" s="60"/>
      <c r="AN65" s="53" t="s">
        <v>38</v>
      </c>
      <c r="AO65" s="54" t="s">
        <v>38</v>
      </c>
      <c r="AP65" s="57">
        <v>133.7884615645261</v>
      </c>
      <c r="AQ65" s="61"/>
      <c r="AR65" s="1303">
        <f>'2024_ar_grozījumiem'!AR65-'2024_gada_plāns'!AR65</f>
        <v>-46.399999999999636</v>
      </c>
      <c r="AS65" s="1144"/>
      <c r="AT65" s="1508">
        <f>'2024_ar_grozījumiem'!AT65-'2024_gada_plāns'!AT65</f>
        <v>-4.1775833040721411E-3</v>
      </c>
      <c r="AU65" s="1145"/>
      <c r="AV65" s="1146" t="s">
        <v>38</v>
      </c>
      <c r="AW65" s="1147"/>
      <c r="AX65" s="1146">
        <f>'2024_ar_grozījumiem'!AX65-'2024_gada_plāns'!AX65</f>
        <v>-79965.074706583517</v>
      </c>
      <c r="AY65" s="1148"/>
      <c r="AZ65" s="1148" t="s">
        <v>38</v>
      </c>
      <c r="BA65" s="1147"/>
      <c r="BB65" s="1146">
        <f>'2024_ar_grozījumiem'!BB65-'2024_gada_plāns'!BB65</f>
        <v>-79761.074706583517</v>
      </c>
      <c r="BC65" s="1147"/>
      <c r="BD65" s="1146" t="s">
        <v>38</v>
      </c>
      <c r="BE65" s="1147"/>
      <c r="BF65" s="1146">
        <f>'2024_ar_grozījumiem'!BF65-'2024_gada_plāns'!BF65</f>
        <v>-204</v>
      </c>
      <c r="BG65" s="1147"/>
      <c r="BH65" s="1146" t="s">
        <v>38</v>
      </c>
      <c r="BI65" s="1147"/>
      <c r="BJ65" s="1149">
        <f>'2024_ar_grozījumiem'!BJ65-'2024_gada_plāns'!BJ65</f>
        <v>-7.5948425790033127</v>
      </c>
      <c r="BK65" s="1150"/>
      <c r="BL65" s="1303">
        <f>'2024_ar_grozījumiem'!BL65-'2024_gada_plāns'!BL65</f>
        <v>-18.600000000000364</v>
      </c>
      <c r="BM65" s="1144"/>
      <c r="BN65" s="1145">
        <f>'2024_ar_grozījumiem'!BN65-'2024_gada_plāns'!BN65</f>
        <v>-1.6761437879048158E-3</v>
      </c>
      <c r="BO65" s="1145"/>
      <c r="BP65" s="1146" t="s">
        <v>38</v>
      </c>
      <c r="BQ65" s="1147"/>
      <c r="BR65" s="1146">
        <f>'2024_ar_grozījumiem'!BR65-'2024_gada_plāns'!BR65</f>
        <v>-87356.570328259375</v>
      </c>
      <c r="BS65" s="1148"/>
      <c r="BT65" s="1148" t="s">
        <v>38</v>
      </c>
      <c r="BU65" s="1147"/>
      <c r="BV65" s="1146">
        <f>'2024_ar_grozījumiem'!BV65-'2024_gada_plāns'!BV65</f>
        <v>-87560.570328259375</v>
      </c>
      <c r="BW65" s="1147"/>
      <c r="BX65" s="1146" t="s">
        <v>38</v>
      </c>
      <c r="BY65" s="1147"/>
      <c r="BZ65" s="1146">
        <f>'2024_ar_grozījumiem'!BZ65-'2024_gada_plāns'!BZ65</f>
        <v>204</v>
      </c>
      <c r="CA65" s="1147"/>
      <c r="CB65" s="1146" t="s">
        <v>38</v>
      </c>
      <c r="CC65" s="1147"/>
      <c r="CD65" s="1149">
        <f>'2024_ar_grozījumiem'!CD65-'2024_gada_plāns'!CD65</f>
        <v>-8.2523523487891168</v>
      </c>
      <c r="CE65" s="1150"/>
      <c r="CF65" s="1375">
        <f>'2024_ar_grozījumiem'!CF65-'2024_gada_plāns'!CF65</f>
        <v>-65</v>
      </c>
      <c r="CG65" s="1148"/>
      <c r="CH65" s="1376">
        <f>'2024_ar_grozījumiem'!CH65-'2024_gada_plāns'!CH65</f>
        <v>-1.4705017351920313E-3</v>
      </c>
      <c r="CI65" s="1377"/>
      <c r="CJ65" s="1148" t="s">
        <v>38</v>
      </c>
      <c r="CK65" s="1147"/>
      <c r="CL65" s="1378">
        <f>'2024_ar_grozījumiem'!CL65-'2024_gada_plāns'!CL65</f>
        <v>-167321.64503484312</v>
      </c>
      <c r="CM65" s="1147"/>
      <c r="CN65" s="1148" t="s">
        <v>38</v>
      </c>
      <c r="CO65" s="1147"/>
      <c r="CP65" s="1146">
        <f>'2024_ar_grozījumiem'!CP65-'2024_gada_plāns'!CP65</f>
        <v>-167321.64503484312</v>
      </c>
      <c r="CQ65" s="1148"/>
      <c r="CR65" s="1148" t="s">
        <v>38</v>
      </c>
      <c r="CS65" s="1147"/>
      <c r="CT65" s="1378">
        <f>'2024_ar_grozījumiem'!CT65-'2024_gada_plāns'!CT65</f>
        <v>0</v>
      </c>
      <c r="CU65" s="1148"/>
      <c r="CV65" s="1148" t="s">
        <v>38</v>
      </c>
      <c r="CW65" s="1147"/>
      <c r="CX65" s="1378">
        <f>'2024_ar_grozījumiem'!CX65-'2024_gada_plāns'!CX65</f>
        <v>-3.9218074664175759</v>
      </c>
      <c r="CY65" s="1379"/>
      <c r="CZ65" s="1947">
        <f>CF65/'2024_gada_plāns'!CF65</f>
        <v>-1.6023902732445199E-3</v>
      </c>
      <c r="DA65" s="1948"/>
      <c r="DB65" s="1949">
        <f>CH65/'2024_gada_plāns'!CH65</f>
        <v>-1.6023902732445021E-3</v>
      </c>
      <c r="DC65" s="1950"/>
      <c r="DD65" s="1948" t="s">
        <v>38</v>
      </c>
      <c r="DE65" s="1951"/>
      <c r="DF65" s="1952">
        <f>CL65/'2024_gada_plāns'!CL65</f>
        <v>-3.1577084769380731E-2</v>
      </c>
      <c r="DG65" s="1951"/>
      <c r="DH65" s="1948" t="s">
        <v>38</v>
      </c>
      <c r="DI65" s="1951"/>
      <c r="DJ65" s="1953">
        <f>CP65/'2024_gada_plāns'!CP65</f>
        <v>-3.2066571010365516E-2</v>
      </c>
      <c r="DK65" s="1948"/>
      <c r="DL65" s="1948" t="s">
        <v>38</v>
      </c>
      <c r="DM65" s="1951"/>
      <c r="DN65" s="1954">
        <f>CT65/'2024_gada_plāns'!CT65</f>
        <v>0</v>
      </c>
      <c r="DO65" s="1948"/>
      <c r="DP65" s="1948" t="s">
        <v>38</v>
      </c>
      <c r="DQ65" s="1951"/>
      <c r="DR65" s="1952">
        <f>CX65/'2024_gada_plāns'!CX65</f>
        <v>-3.0022802743227456E-2</v>
      </c>
      <c r="DS65" s="1955"/>
    </row>
    <row r="66" spans="1:123" s="1010" customFormat="1" ht="15.75" customHeight="1" x14ac:dyDescent="0.25">
      <c r="A66" s="71" t="s">
        <v>58</v>
      </c>
      <c r="B66" s="72" t="s">
        <v>59</v>
      </c>
      <c r="C66" s="1009"/>
      <c r="D66" s="312">
        <v>560.80000000000007</v>
      </c>
      <c r="E66" s="313"/>
      <c r="F66" s="253">
        <v>5.0996189835317236E-2</v>
      </c>
      <c r="G66" s="314"/>
      <c r="H66" s="315" t="s">
        <v>38</v>
      </c>
      <c r="I66" s="316" t="s">
        <v>38</v>
      </c>
      <c r="J66" s="317">
        <v>45768.100000000006</v>
      </c>
      <c r="K66" s="619"/>
      <c r="L66" s="414" t="s">
        <v>38</v>
      </c>
      <c r="M66" s="620" t="s">
        <v>38</v>
      </c>
      <c r="N66" s="621">
        <v>45768.100000000006</v>
      </c>
      <c r="O66" s="414"/>
      <c r="P66" s="315" t="s">
        <v>38</v>
      </c>
      <c r="Q66" s="316" t="s">
        <v>38</v>
      </c>
      <c r="R66" s="622">
        <v>0</v>
      </c>
      <c r="S66" s="414"/>
      <c r="T66" s="315" t="s">
        <v>38</v>
      </c>
      <c r="U66" s="316" t="s">
        <v>38</v>
      </c>
      <c r="V66" s="622">
        <v>81.612161198288163</v>
      </c>
      <c r="W66" s="414"/>
      <c r="X66" s="312">
        <v>761.59999999999991</v>
      </c>
      <c r="Y66" s="313"/>
      <c r="Z66" s="253">
        <v>6.922440669338932E-2</v>
      </c>
      <c r="AA66" s="314"/>
      <c r="AB66" s="315" t="s">
        <v>38</v>
      </c>
      <c r="AC66" s="316" t="s">
        <v>38</v>
      </c>
      <c r="AD66" s="317">
        <v>54797.5</v>
      </c>
      <c r="AE66" s="619"/>
      <c r="AF66" s="414" t="s">
        <v>38</v>
      </c>
      <c r="AG66" s="620" t="s">
        <v>38</v>
      </c>
      <c r="AH66" s="621">
        <v>54797.5</v>
      </c>
      <c r="AI66" s="414"/>
      <c r="AJ66" s="315" t="s">
        <v>38</v>
      </c>
      <c r="AK66" s="316" t="s">
        <v>38</v>
      </c>
      <c r="AL66" s="622">
        <v>0</v>
      </c>
      <c r="AM66" s="414"/>
      <c r="AN66" s="315" t="s">
        <v>38</v>
      </c>
      <c r="AO66" s="316" t="s">
        <v>38</v>
      </c>
      <c r="AP66" s="622">
        <v>71.950498949579838</v>
      </c>
      <c r="AQ66" s="414"/>
      <c r="AR66" s="1510">
        <f>'2024_ar_grozījumiem'!AR66-'2024_gada_plāns'!AR66</f>
        <v>46.799999999999955</v>
      </c>
      <c r="AS66" s="1511"/>
      <c r="AT66" s="2167">
        <f>'2024_ar_grozījumiem'!AT66-'2024_gada_plāns'!AT66</f>
        <v>4.2135969532452744E-3</v>
      </c>
      <c r="AU66" s="1513"/>
      <c r="AV66" s="1153" t="s">
        <v>38</v>
      </c>
      <c r="AW66" s="1514"/>
      <c r="AX66" s="1153">
        <f>'2024_ar_grozījumiem'!AX66-'2024_gada_plāns'!AX66</f>
        <v>3678.6999999999971</v>
      </c>
      <c r="AY66" s="1520"/>
      <c r="AZ66" s="1156" t="s">
        <v>38</v>
      </c>
      <c r="BA66" s="1518"/>
      <c r="BB66" s="1521">
        <f>'2024_ar_grozījumiem'!BB66-'2024_gada_plāns'!BB66</f>
        <v>3678.6999999999971</v>
      </c>
      <c r="BC66" s="1156"/>
      <c r="BD66" s="1153" t="s">
        <v>38</v>
      </c>
      <c r="BE66" s="1514"/>
      <c r="BF66" s="1156">
        <f>'2024_ar_grozījumiem'!BF66-'2024_gada_plāns'!BF66</f>
        <v>0</v>
      </c>
      <c r="BG66" s="1156"/>
      <c r="BH66" s="1153" t="s">
        <v>38</v>
      </c>
      <c r="BI66" s="1514"/>
      <c r="BJ66" s="1156">
        <f>'2024_ar_grozījumiem'!BJ66-'2024_gada_plāns'!BJ66</f>
        <v>0.67241644511305054</v>
      </c>
      <c r="BK66" s="1156"/>
      <c r="BL66" s="1304">
        <f>'2024_ar_grozījumiem'!BL66-'2024_gada_plāns'!BL66</f>
        <v>18.400000000000091</v>
      </c>
      <c r="BM66" s="1151"/>
      <c r="BN66" s="1151">
        <f>'2024_ar_grozījumiem'!BN66-'2024_gada_plāns'!BN66</f>
        <v>1.6581207364218947E-3</v>
      </c>
      <c r="BO66" s="1152"/>
      <c r="BP66" s="1305" t="s">
        <v>38</v>
      </c>
      <c r="BQ66" s="1154"/>
      <c r="BR66" s="1305">
        <f>'2024_ar_grozījumiem'!BR66-'2024_gada_plāns'!BR66</f>
        <v>828.39999999999418</v>
      </c>
      <c r="BS66" s="1155"/>
      <c r="BT66" s="1158" t="s">
        <v>38</v>
      </c>
      <c r="BU66" s="1157"/>
      <c r="BV66" s="1306">
        <f>'2024_ar_grozījumiem'!BV66-'2024_gada_plāns'!BV66</f>
        <v>828.39999999999418</v>
      </c>
      <c r="BW66" s="1158"/>
      <c r="BX66" s="1305" t="s">
        <v>38</v>
      </c>
      <c r="BY66" s="1154"/>
      <c r="BZ66" s="1158">
        <f>'2024_ar_grozījumiem'!BZ66-'2024_gada_plāns'!BZ66</f>
        <v>0</v>
      </c>
      <c r="CA66" s="1158"/>
      <c r="CB66" s="1305" t="s">
        <v>38</v>
      </c>
      <c r="CC66" s="1154"/>
      <c r="CD66" s="1158">
        <f>'2024_ar_grozījumiem'!CD66-'2024_gada_plāns'!CD66</f>
        <v>-1.2448490315793492</v>
      </c>
      <c r="CE66" s="1158"/>
      <c r="CF66" s="1304">
        <f>'2024_ar_grozījumiem'!CF66-'2024_gada_plāns'!CF66</f>
        <v>65.199999999999818</v>
      </c>
      <c r="CG66" s="1380"/>
      <c r="CH66" s="1381">
        <f>'2024_ar_grozījumiem'!CH66-'2024_gada_plāns'!CH66</f>
        <v>1.475026355915704E-3</v>
      </c>
      <c r="CI66" s="1382"/>
      <c r="CJ66" s="1158" t="s">
        <v>38</v>
      </c>
      <c r="CK66" s="1157"/>
      <c r="CL66" s="1305">
        <f>'2024_ar_grozījumiem'!CL66-'2024_gada_plāns'!CL66</f>
        <v>4507.0999999999767</v>
      </c>
      <c r="CM66" s="1383"/>
      <c r="CN66" s="1155" t="s">
        <v>38</v>
      </c>
      <c r="CO66" s="1157"/>
      <c r="CP66" s="1306">
        <f>'2024_ar_grozījumiem'!CP66-'2024_gada_plāns'!CP66</f>
        <v>4507.0999999999767</v>
      </c>
      <c r="CQ66" s="1158"/>
      <c r="CR66" s="1158" t="s">
        <v>38</v>
      </c>
      <c r="CS66" s="1157"/>
      <c r="CT66" s="1158">
        <f>'2024_ar_grozījumiem'!CT66-'2024_gada_plāns'!CT66</f>
        <v>0</v>
      </c>
      <c r="CU66" s="1158"/>
      <c r="CV66" s="1158" t="s">
        <v>38</v>
      </c>
      <c r="CW66" s="1157"/>
      <c r="CX66" s="1306">
        <f>'2024_ar_grozījumiem'!CX66-'2024_gada_plāns'!CX66</f>
        <v>-7.7775725397017936E-2</v>
      </c>
      <c r="CY66" s="1384"/>
      <c r="CZ66" s="1956">
        <f>CF66/'2024_gada_plāns'!CF66</f>
        <v>2.1549444738233677E-2</v>
      </c>
      <c r="DA66" s="1957"/>
      <c r="DB66" s="1958">
        <f>CH66/'2024_gada_plāns'!CH66</f>
        <v>2.1549444738233569E-2</v>
      </c>
      <c r="DC66" s="1959"/>
      <c r="DD66" s="1960" t="s">
        <v>38</v>
      </c>
      <c r="DE66" s="1961"/>
      <c r="DF66" s="1962">
        <f>CL66/'2024_gada_plāns'!CL66</f>
        <v>2.0458288169044152E-2</v>
      </c>
      <c r="DG66" s="1963"/>
      <c r="DH66" s="1964" t="s">
        <v>38</v>
      </c>
      <c r="DI66" s="1961"/>
      <c r="DJ66" s="1965">
        <f>CP66/'2024_gada_plāns'!CP66</f>
        <v>2.0458288169044152E-2</v>
      </c>
      <c r="DK66" s="1960"/>
      <c r="DL66" s="1960" t="s">
        <v>38</v>
      </c>
      <c r="DM66" s="1961"/>
      <c r="DN66" s="1960" t="s">
        <v>38</v>
      </c>
      <c r="DO66" s="1960"/>
      <c r="DP66" s="1960" t="s">
        <v>38</v>
      </c>
      <c r="DQ66" s="1961"/>
      <c r="DR66" s="1965">
        <f>CX66/'2024_gada_plāns'!CX66</f>
        <v>-1.0681387717547414E-3</v>
      </c>
      <c r="DS66" s="1966"/>
    </row>
    <row r="67" spans="1:123" s="1014" customFormat="1" ht="15.75" customHeight="1" outlineLevel="1" x14ac:dyDescent="0.25">
      <c r="A67" s="1011"/>
      <c r="B67" s="1012"/>
      <c r="C67" s="1013" t="s">
        <v>39</v>
      </c>
      <c r="D67" s="318">
        <v>220.8</v>
      </c>
      <c r="E67" s="319"/>
      <c r="F67" s="320">
        <v>0.10114521300961979</v>
      </c>
      <c r="G67" s="321"/>
      <c r="H67" s="322" t="s">
        <v>38</v>
      </c>
      <c r="I67" s="323" t="s">
        <v>38</v>
      </c>
      <c r="J67" s="324">
        <v>33340.800000000003</v>
      </c>
      <c r="K67" s="650"/>
      <c r="L67" s="415" t="s">
        <v>38</v>
      </c>
      <c r="M67" s="323" t="s">
        <v>38</v>
      </c>
      <c r="N67" s="651">
        <v>33340.800000000003</v>
      </c>
      <c r="O67" s="323"/>
      <c r="P67" s="322" t="s">
        <v>38</v>
      </c>
      <c r="Q67" s="323" t="s">
        <v>38</v>
      </c>
      <c r="R67" s="651">
        <v>0</v>
      </c>
      <c r="S67" s="323"/>
      <c r="T67" s="322" t="s">
        <v>38</v>
      </c>
      <c r="U67" s="323" t="s">
        <v>38</v>
      </c>
      <c r="V67" s="651">
        <v>151</v>
      </c>
      <c r="W67" s="650"/>
      <c r="X67" s="318">
        <v>239.7</v>
      </c>
      <c r="Y67" s="319"/>
      <c r="Z67" s="320">
        <v>0.10975274725274725</v>
      </c>
      <c r="AA67" s="321"/>
      <c r="AB67" s="322" t="s">
        <v>38</v>
      </c>
      <c r="AC67" s="323" t="s">
        <v>38</v>
      </c>
      <c r="AD67" s="324">
        <v>36194.699999999997</v>
      </c>
      <c r="AE67" s="650"/>
      <c r="AF67" s="415" t="s">
        <v>38</v>
      </c>
      <c r="AG67" s="323" t="s">
        <v>38</v>
      </c>
      <c r="AH67" s="651">
        <v>36194.699999999997</v>
      </c>
      <c r="AI67" s="323"/>
      <c r="AJ67" s="322" t="s">
        <v>38</v>
      </c>
      <c r="AK67" s="323" t="s">
        <v>38</v>
      </c>
      <c r="AL67" s="651">
        <v>0</v>
      </c>
      <c r="AM67" s="323"/>
      <c r="AN67" s="322" t="s">
        <v>38</v>
      </c>
      <c r="AO67" s="323" t="s">
        <v>38</v>
      </c>
      <c r="AP67" s="651">
        <v>151</v>
      </c>
      <c r="AQ67" s="650"/>
      <c r="AR67" s="1701">
        <f>'2024_ar_grozījumiem'!AR67-'2024_gada_plāns'!AR67</f>
        <v>9.3999999999999773</v>
      </c>
      <c r="AS67" s="1702"/>
      <c r="AT67" s="2168">
        <f>'2024_ar_grozījumiem'!AT67-'2024_gada_plāns'!AT67</f>
        <v>4.3060009161703938E-3</v>
      </c>
      <c r="AU67" s="1703"/>
      <c r="AV67" s="1161" t="s">
        <v>38</v>
      </c>
      <c r="AW67" s="1704"/>
      <c r="AX67" s="1705">
        <f>'2024_ar_grozījumiem'!AX67-'2024_gada_plāns'!AX67</f>
        <v>1419.3999999999942</v>
      </c>
      <c r="AY67" s="1706"/>
      <c r="AZ67" s="1164" t="s">
        <v>38</v>
      </c>
      <c r="BA67" s="1704"/>
      <c r="BB67" s="1161">
        <f>'2024_ar_grozījumiem'!BB67-'2024_gada_plāns'!BB67</f>
        <v>1419.3999999999942</v>
      </c>
      <c r="BC67" s="1704"/>
      <c r="BD67" s="1161" t="s">
        <v>38</v>
      </c>
      <c r="BE67" s="1704"/>
      <c r="BF67" s="1161">
        <f>'2024_ar_grozījumiem'!BF67-'2024_gada_plāns'!BF67</f>
        <v>0</v>
      </c>
      <c r="BG67" s="1704"/>
      <c r="BH67" s="1161" t="s">
        <v>38</v>
      </c>
      <c r="BI67" s="1704"/>
      <c r="BJ67" s="1161">
        <f>'2024_ar_grozījumiem'!BJ67-'2024_gada_plāns'!BJ67</f>
        <v>0</v>
      </c>
      <c r="BK67" s="1706"/>
      <c r="BL67" s="1307">
        <f>'2024_ar_grozījumiem'!BL67-'2024_gada_plāns'!BL67</f>
        <v>-7.5999999999999943</v>
      </c>
      <c r="BM67" s="1159"/>
      <c r="BN67" s="1159">
        <f>'2024_ar_grozījumiem'!BN67-'2024_gada_plāns'!BN67</f>
        <v>-3.4404708012675395E-3</v>
      </c>
      <c r="BO67" s="1160"/>
      <c r="BP67" s="1165" t="s">
        <v>38</v>
      </c>
      <c r="BQ67" s="1162"/>
      <c r="BR67" s="1308">
        <f>'2024_ar_grozījumiem'!BR67-'2024_gada_plāns'!BR67</f>
        <v>-1147.5999999999985</v>
      </c>
      <c r="BS67" s="1224"/>
      <c r="BT67" s="1224" t="s">
        <v>38</v>
      </c>
      <c r="BU67" s="1162"/>
      <c r="BV67" s="1165">
        <f>'2024_ar_grozījumiem'!BV67-'2024_gada_plāns'!BV67</f>
        <v>-1147.5999999999985</v>
      </c>
      <c r="BW67" s="1162"/>
      <c r="BX67" s="1224" t="s">
        <v>38</v>
      </c>
      <c r="BY67" s="1162"/>
      <c r="BZ67" s="1165">
        <f>'2024_ar_grozījumiem'!BZ67-'2024_gada_plāns'!BZ67</f>
        <v>0</v>
      </c>
      <c r="CA67" s="1162"/>
      <c r="CB67" s="1224" t="s">
        <v>38</v>
      </c>
      <c r="CC67" s="1162"/>
      <c r="CD67" s="1165">
        <f>'2024_ar_grozījumiem'!CD67-'2024_gada_plāns'!CD67</f>
        <v>0</v>
      </c>
      <c r="CE67" s="1163"/>
      <c r="CF67" s="1307">
        <f>'2024_ar_grozījumiem'!CF67-'2024_gada_plāns'!CF67</f>
        <v>1.7999999999999545</v>
      </c>
      <c r="CG67" s="1385"/>
      <c r="CH67" s="1386">
        <f>'2024_ar_grozījumiem'!CH67-'2024_gada_plāns'!CH67</f>
        <v>2.054794520547909E-4</v>
      </c>
      <c r="CI67" s="1387"/>
      <c r="CJ67" s="1165" t="s">
        <v>38</v>
      </c>
      <c r="CK67" s="1162"/>
      <c r="CL67" s="1308">
        <f>'2024_ar_grozījumiem'!CL67-'2024_gada_plāns'!CL67</f>
        <v>271.80000000001746</v>
      </c>
      <c r="CM67" s="1224"/>
      <c r="CN67" s="1224" t="s">
        <v>38</v>
      </c>
      <c r="CO67" s="1162"/>
      <c r="CP67" s="1165">
        <f>'2024_ar_grozījumiem'!CP67-'2024_gada_plāns'!CP67</f>
        <v>271.80000000001746</v>
      </c>
      <c r="CQ67" s="1224"/>
      <c r="CR67" s="1224" t="s">
        <v>38</v>
      </c>
      <c r="CS67" s="1162"/>
      <c r="CT67" s="1308">
        <f>'2024_ar_grozījumiem'!CT67-'2024_gada_plāns'!CT67</f>
        <v>0</v>
      </c>
      <c r="CU67" s="1224"/>
      <c r="CV67" s="1224" t="s">
        <v>38</v>
      </c>
      <c r="CW67" s="1162"/>
      <c r="CX67" s="1165">
        <f>'2024_ar_grozījumiem'!CX67-'2024_gada_plāns'!CX67</f>
        <v>0</v>
      </c>
      <c r="CY67" s="1388"/>
      <c r="CZ67" s="1967">
        <f>CF67/'2024_gada_plāns'!CF67</f>
        <v>1.8213093190326364E-3</v>
      </c>
      <c r="DA67" s="1968"/>
      <c r="DB67" s="1969">
        <f>CH67/'2024_gada_plāns'!CH67</f>
        <v>1.8213093190326505E-3</v>
      </c>
      <c r="DC67" s="1970"/>
      <c r="DD67" s="1971" t="s">
        <v>38</v>
      </c>
      <c r="DE67" s="1972"/>
      <c r="DF67" s="1973">
        <f>CL67/'2024_gada_plāns'!CL67</f>
        <v>1.8213093190327994E-3</v>
      </c>
      <c r="DG67" s="1974"/>
      <c r="DH67" s="1974" t="s">
        <v>38</v>
      </c>
      <c r="DI67" s="1972"/>
      <c r="DJ67" s="1975">
        <f>CP67/'2024_gada_plāns'!CP67</f>
        <v>1.8213093190327994E-3</v>
      </c>
      <c r="DK67" s="1974"/>
      <c r="DL67" s="1974" t="s">
        <v>38</v>
      </c>
      <c r="DM67" s="1972"/>
      <c r="DN67" s="1976" t="s">
        <v>38</v>
      </c>
      <c r="DO67" s="1974"/>
      <c r="DP67" s="1974" t="s">
        <v>38</v>
      </c>
      <c r="DQ67" s="1972"/>
      <c r="DR67" s="1975">
        <f>CX67/'2024_gada_plāns'!CX67</f>
        <v>0</v>
      </c>
      <c r="DS67" s="1977"/>
    </row>
    <row r="68" spans="1:123" s="1018" customFormat="1" ht="15.75" customHeight="1" outlineLevel="1" x14ac:dyDescent="0.25">
      <c r="A68" s="1015"/>
      <c r="B68" s="1016"/>
      <c r="C68" s="1017" t="s">
        <v>45</v>
      </c>
      <c r="D68" s="325">
        <v>0</v>
      </c>
      <c r="E68" s="326"/>
      <c r="F68" s="327">
        <v>0</v>
      </c>
      <c r="G68" s="328"/>
      <c r="H68" s="329" t="s">
        <v>38</v>
      </c>
      <c r="I68" s="330" t="s">
        <v>38</v>
      </c>
      <c r="J68" s="331">
        <v>0</v>
      </c>
      <c r="K68" s="668"/>
      <c r="L68" s="416" t="s">
        <v>38</v>
      </c>
      <c r="M68" s="330" t="s">
        <v>38</v>
      </c>
      <c r="N68" s="669">
        <v>0</v>
      </c>
      <c r="O68" s="330"/>
      <c r="P68" s="329" t="s">
        <v>38</v>
      </c>
      <c r="Q68" s="330" t="s">
        <v>38</v>
      </c>
      <c r="R68" s="669">
        <v>0</v>
      </c>
      <c r="S68" s="330"/>
      <c r="T68" s="329" t="s">
        <v>38</v>
      </c>
      <c r="U68" s="330" t="s">
        <v>38</v>
      </c>
      <c r="V68" s="669">
        <v>0</v>
      </c>
      <c r="W68" s="670"/>
      <c r="X68" s="325">
        <v>0</v>
      </c>
      <c r="Y68" s="326"/>
      <c r="Z68" s="327">
        <v>0</v>
      </c>
      <c r="AA68" s="328"/>
      <c r="AB68" s="329" t="s">
        <v>38</v>
      </c>
      <c r="AC68" s="330" t="s">
        <v>38</v>
      </c>
      <c r="AD68" s="331">
        <v>0</v>
      </c>
      <c r="AE68" s="668"/>
      <c r="AF68" s="416" t="s">
        <v>38</v>
      </c>
      <c r="AG68" s="330" t="s">
        <v>38</v>
      </c>
      <c r="AH68" s="669">
        <v>0</v>
      </c>
      <c r="AI68" s="330"/>
      <c r="AJ68" s="329" t="s">
        <v>38</v>
      </c>
      <c r="AK68" s="330" t="s">
        <v>38</v>
      </c>
      <c r="AL68" s="669">
        <v>0</v>
      </c>
      <c r="AM68" s="330"/>
      <c r="AN68" s="329" t="s">
        <v>38</v>
      </c>
      <c r="AO68" s="330" t="s">
        <v>38</v>
      </c>
      <c r="AP68" s="669">
        <v>0</v>
      </c>
      <c r="AQ68" s="670"/>
      <c r="AR68" s="1444">
        <f>'2024_ar_grozījumiem'!AR68-'2024_gada_plāns'!AR68</f>
        <v>0</v>
      </c>
      <c r="AS68" s="1707"/>
      <c r="AT68" s="2169" t="s">
        <v>38</v>
      </c>
      <c r="AU68" s="1692"/>
      <c r="AV68" s="1168" t="s">
        <v>38</v>
      </c>
      <c r="AW68" s="1443"/>
      <c r="AX68" s="1110">
        <f>'2024_ar_grozījumiem'!AX68-'2024_gada_plāns'!AX68</f>
        <v>0</v>
      </c>
      <c r="AY68" s="1447"/>
      <c r="AZ68" s="1170" t="s">
        <v>38</v>
      </c>
      <c r="BA68" s="1443"/>
      <c r="BB68" s="1168">
        <f>'2024_ar_grozījumiem'!BB68-'2024_gada_plāns'!BB68</f>
        <v>0</v>
      </c>
      <c r="BC68" s="1443"/>
      <c r="BD68" s="1168" t="s">
        <v>38</v>
      </c>
      <c r="BE68" s="1443"/>
      <c r="BF68" s="1168">
        <f>'2024_ar_grozījumiem'!BF68-'2024_gada_plāns'!BF68</f>
        <v>0</v>
      </c>
      <c r="BG68" s="1443"/>
      <c r="BH68" s="1168" t="s">
        <v>38</v>
      </c>
      <c r="BI68" s="1443"/>
      <c r="BJ68" s="1168" t="s">
        <v>38</v>
      </c>
      <c r="BK68" s="1447"/>
      <c r="BL68" s="1309">
        <f>'2024_ar_grozījumiem'!BL68-'2024_gada_plāns'!BL68</f>
        <v>0</v>
      </c>
      <c r="BM68" s="1166"/>
      <c r="BN68" s="1166">
        <f>'2024_ar_grozījumiem'!BN68-'2024_gada_plāns'!BN68</f>
        <v>0</v>
      </c>
      <c r="BO68" s="1167"/>
      <c r="BP68" s="1171" t="s">
        <v>38</v>
      </c>
      <c r="BQ68" s="1090"/>
      <c r="BR68" s="1095">
        <f>'2024_ar_grozījumiem'!BR68-'2024_gada_plāns'!BR68</f>
        <v>0</v>
      </c>
      <c r="BS68" s="1096"/>
      <c r="BT68" s="1096" t="s">
        <v>38</v>
      </c>
      <c r="BU68" s="1090"/>
      <c r="BV68" s="1171">
        <f>'2024_ar_grozījumiem'!BV68-'2024_gada_plāns'!BV68</f>
        <v>0</v>
      </c>
      <c r="BW68" s="1090"/>
      <c r="BX68" s="1096" t="s">
        <v>38</v>
      </c>
      <c r="BY68" s="1090"/>
      <c r="BZ68" s="1171">
        <f>'2024_ar_grozījumiem'!BZ68-'2024_gada_plāns'!BZ68</f>
        <v>0</v>
      </c>
      <c r="CA68" s="1090"/>
      <c r="CB68" s="1096" t="s">
        <v>38</v>
      </c>
      <c r="CC68" s="1090"/>
      <c r="CD68" s="1171" t="s">
        <v>38</v>
      </c>
      <c r="CE68" s="1169"/>
      <c r="CF68" s="1309">
        <f>'2024_ar_grozījumiem'!CF68-'2024_gada_plāns'!CF68</f>
        <v>0</v>
      </c>
      <c r="CG68" s="1209"/>
      <c r="CH68" s="1349">
        <v>0</v>
      </c>
      <c r="CI68" s="1389"/>
      <c r="CJ68" s="1171" t="s">
        <v>38</v>
      </c>
      <c r="CK68" s="1090"/>
      <c r="CL68" s="1191">
        <f>'2024_ar_grozījumiem'!CL68-'2024_gada_plāns'!CL68</f>
        <v>0</v>
      </c>
      <c r="CM68" s="1096"/>
      <c r="CN68" s="1096" t="s">
        <v>38</v>
      </c>
      <c r="CO68" s="1090"/>
      <c r="CP68" s="1171">
        <f>'2024_ar_grozījumiem'!CP68-'2024_gada_plāns'!CP68</f>
        <v>0</v>
      </c>
      <c r="CQ68" s="1096"/>
      <c r="CR68" s="1096" t="s">
        <v>38</v>
      </c>
      <c r="CS68" s="1090"/>
      <c r="CT68" s="1191">
        <f>'2024_ar_grozījumiem'!CT68-'2024_gada_plāns'!CT68</f>
        <v>0</v>
      </c>
      <c r="CU68" s="1096"/>
      <c r="CV68" s="1096" t="s">
        <v>38</v>
      </c>
      <c r="CW68" s="1090"/>
      <c r="CX68" s="1171">
        <f>'2024_ar_grozījumiem'!CX68-'2024_gada_plāns'!CX68</f>
        <v>0</v>
      </c>
      <c r="CY68" s="1390"/>
      <c r="CZ68" s="1877" t="s">
        <v>38</v>
      </c>
      <c r="DA68" s="1978"/>
      <c r="DB68" s="1879" t="s">
        <v>38</v>
      </c>
      <c r="DC68" s="1979"/>
      <c r="DD68" s="1980" t="s">
        <v>38</v>
      </c>
      <c r="DE68" s="1880"/>
      <c r="DF68" s="1981" t="s">
        <v>38</v>
      </c>
      <c r="DG68" s="1904"/>
      <c r="DH68" s="1904" t="s">
        <v>38</v>
      </c>
      <c r="DI68" s="1880"/>
      <c r="DJ68" s="1982" t="s">
        <v>38</v>
      </c>
      <c r="DK68" s="1904"/>
      <c r="DL68" s="1904" t="s">
        <v>38</v>
      </c>
      <c r="DM68" s="1880"/>
      <c r="DN68" s="1878" t="s">
        <v>38</v>
      </c>
      <c r="DO68" s="1904"/>
      <c r="DP68" s="1904" t="s">
        <v>38</v>
      </c>
      <c r="DQ68" s="1880"/>
      <c r="DR68" s="1980" t="s">
        <v>38</v>
      </c>
      <c r="DS68" s="1983"/>
    </row>
    <row r="69" spans="1:123" s="1021" customFormat="1" ht="15.75" customHeight="1" outlineLevel="1" x14ac:dyDescent="0.25">
      <c r="A69" s="1019"/>
      <c r="B69" s="1020"/>
      <c r="C69" s="997" t="s">
        <v>41</v>
      </c>
      <c r="D69" s="332">
        <v>292.3</v>
      </c>
      <c r="E69" s="333"/>
      <c r="F69" s="334">
        <v>0.13389830508474576</v>
      </c>
      <c r="G69" s="335"/>
      <c r="H69" s="336" t="s">
        <v>38</v>
      </c>
      <c r="I69" s="337" t="s">
        <v>38</v>
      </c>
      <c r="J69" s="331">
        <v>7892.1</v>
      </c>
      <c r="K69" s="688"/>
      <c r="L69" s="417" t="s">
        <v>38</v>
      </c>
      <c r="M69" s="337" t="s">
        <v>38</v>
      </c>
      <c r="N69" s="673">
        <v>7892.1</v>
      </c>
      <c r="O69" s="337"/>
      <c r="P69" s="336" t="s">
        <v>38</v>
      </c>
      <c r="Q69" s="337" t="s">
        <v>38</v>
      </c>
      <c r="R69" s="673">
        <v>0</v>
      </c>
      <c r="S69" s="337"/>
      <c r="T69" s="336" t="s">
        <v>38</v>
      </c>
      <c r="U69" s="337" t="s">
        <v>38</v>
      </c>
      <c r="V69" s="673">
        <v>27</v>
      </c>
      <c r="W69" s="688"/>
      <c r="X69" s="332">
        <v>448.4</v>
      </c>
      <c r="Y69" s="333"/>
      <c r="Z69" s="334">
        <v>0.2053113553113553</v>
      </c>
      <c r="AA69" s="335"/>
      <c r="AB69" s="336" t="s">
        <v>38</v>
      </c>
      <c r="AC69" s="337" t="s">
        <v>38</v>
      </c>
      <c r="AD69" s="331">
        <v>12106.8</v>
      </c>
      <c r="AE69" s="688"/>
      <c r="AF69" s="417" t="s">
        <v>38</v>
      </c>
      <c r="AG69" s="337" t="s">
        <v>38</v>
      </c>
      <c r="AH69" s="669">
        <v>12106.8</v>
      </c>
      <c r="AI69" s="337"/>
      <c r="AJ69" s="336" t="s">
        <v>38</v>
      </c>
      <c r="AK69" s="337" t="s">
        <v>38</v>
      </c>
      <c r="AL69" s="673">
        <v>0</v>
      </c>
      <c r="AM69" s="337"/>
      <c r="AN69" s="336" t="s">
        <v>38</v>
      </c>
      <c r="AO69" s="337" t="s">
        <v>38</v>
      </c>
      <c r="AP69" s="673">
        <v>27</v>
      </c>
      <c r="AQ69" s="688"/>
      <c r="AR69" s="1655">
        <f>'2024_ar_grozījumiem'!AR69-'2024_gada_plāns'!AR69</f>
        <v>11.899999999999977</v>
      </c>
      <c r="AS69" s="1441"/>
      <c r="AT69" s="2170">
        <f>'2024_ar_grozījumiem'!AT69-'2024_gada_plāns'!AT69</f>
        <v>5.4512139257901771E-3</v>
      </c>
      <c r="AU69" s="1708"/>
      <c r="AV69" s="1173" t="s">
        <v>38</v>
      </c>
      <c r="AW69" s="1449"/>
      <c r="AX69" s="1110">
        <f>'2024_ar_grozījumiem'!AX69-'2024_gada_plāns'!AX69</f>
        <v>321.29999999999927</v>
      </c>
      <c r="AY69" s="1109"/>
      <c r="AZ69" s="1175" t="s">
        <v>38</v>
      </c>
      <c r="BA69" s="1449"/>
      <c r="BB69" s="1173">
        <f>'2024_ar_grozījumiem'!BB69-'2024_gada_plāns'!BB69</f>
        <v>321.29999999999927</v>
      </c>
      <c r="BC69" s="1449"/>
      <c r="BD69" s="1173" t="s">
        <v>38</v>
      </c>
      <c r="BE69" s="1449"/>
      <c r="BF69" s="1173">
        <f>'2024_ar_grozījumiem'!BF69-'2024_gada_plāns'!BF69</f>
        <v>0</v>
      </c>
      <c r="BG69" s="1449"/>
      <c r="BH69" s="1173" t="s">
        <v>38</v>
      </c>
      <c r="BI69" s="1449"/>
      <c r="BJ69" s="1173">
        <f>'2024_ar_grozījumiem'!BJ69-'2024_gada_plāns'!BJ69</f>
        <v>0</v>
      </c>
      <c r="BK69" s="1109"/>
      <c r="BL69" s="1310">
        <f>'2024_ar_grozījumiem'!BL69-'2024_gada_plāns'!BL69</f>
        <v>0</v>
      </c>
      <c r="BM69" s="1087"/>
      <c r="BN69" s="1087">
        <f>'2024_ar_grozījumiem'!BN69-'2024_gada_plāns'!BN69</f>
        <v>0</v>
      </c>
      <c r="BO69" s="1172"/>
      <c r="BP69" s="1176" t="s">
        <v>38</v>
      </c>
      <c r="BQ69" s="1108"/>
      <c r="BR69" s="1095">
        <f>'2024_ar_grozījumiem'!BR69-'2024_gada_plāns'!BR69</f>
        <v>0</v>
      </c>
      <c r="BS69" s="1091"/>
      <c r="BT69" s="1091" t="s">
        <v>38</v>
      </c>
      <c r="BU69" s="1108"/>
      <c r="BV69" s="1176">
        <f>'2024_ar_grozījumiem'!BV69-'2024_gada_plāns'!BV69</f>
        <v>0</v>
      </c>
      <c r="BW69" s="1108"/>
      <c r="BX69" s="1091" t="s">
        <v>38</v>
      </c>
      <c r="BY69" s="1108"/>
      <c r="BZ69" s="1176">
        <f>'2024_ar_grozījumiem'!BZ69-'2024_gada_plāns'!BZ69</f>
        <v>0</v>
      </c>
      <c r="CA69" s="1108"/>
      <c r="CB69" s="1091" t="s">
        <v>38</v>
      </c>
      <c r="CC69" s="1108"/>
      <c r="CD69" s="1176">
        <f>'2024_ar_grozījumiem'!CD69-'2024_gada_plāns'!CD69</f>
        <v>0</v>
      </c>
      <c r="CE69" s="1174"/>
      <c r="CF69" s="1310">
        <f>'2024_ar_grozījumiem'!CF69-'2024_gada_plāns'!CF69</f>
        <v>11.900000000000091</v>
      </c>
      <c r="CG69" s="1250"/>
      <c r="CH69" s="1088">
        <f>'2024_ar_grozījumiem'!CH69-'2024_gada_plāns'!CH69</f>
        <v>1.3584474885844633E-3</v>
      </c>
      <c r="CI69" s="1391"/>
      <c r="CJ69" s="1176" t="s">
        <v>38</v>
      </c>
      <c r="CK69" s="1108"/>
      <c r="CL69" s="1095">
        <f>'2024_ar_grozījumiem'!CL69-'2024_gada_plāns'!CL69</f>
        <v>321.29999999999563</v>
      </c>
      <c r="CM69" s="1091"/>
      <c r="CN69" s="1091" t="s">
        <v>38</v>
      </c>
      <c r="CO69" s="1108"/>
      <c r="CP69" s="1176">
        <f>'2024_ar_grozījumiem'!CP69-'2024_gada_plāns'!CP69</f>
        <v>321.29999999999563</v>
      </c>
      <c r="CQ69" s="1091"/>
      <c r="CR69" s="1091" t="s">
        <v>38</v>
      </c>
      <c r="CS69" s="1108"/>
      <c r="CT69" s="1095">
        <f>'2024_ar_grozījumiem'!CT69-'2024_gada_plāns'!CT69</f>
        <v>0</v>
      </c>
      <c r="CU69" s="1091"/>
      <c r="CV69" s="1091" t="s">
        <v>38</v>
      </c>
      <c r="CW69" s="1108"/>
      <c r="CX69" s="1176">
        <f>'2024_ar_grozījumiem'!CX69-'2024_gada_plāns'!CX69</f>
        <v>0</v>
      </c>
      <c r="CY69" s="1392"/>
      <c r="CZ69" s="1984">
        <f>CF69/'2024_gada_plāns'!CF69</f>
        <v>6.6715254807423281E-3</v>
      </c>
      <c r="DA69" s="1985"/>
      <c r="DB69" s="1902">
        <f>CH69/'2024_gada_plāns'!CH69</f>
        <v>6.6715254807422197E-3</v>
      </c>
      <c r="DC69" s="1986"/>
      <c r="DD69" s="1888" t="s">
        <v>38</v>
      </c>
      <c r="DE69" s="1887"/>
      <c r="DF69" s="1987">
        <f>CL69/'2024_gada_plāns'!CL69</f>
        <v>6.6715254807421867E-3</v>
      </c>
      <c r="DG69" s="1885"/>
      <c r="DH69" s="1885" t="s">
        <v>38</v>
      </c>
      <c r="DI69" s="1887"/>
      <c r="DJ69" s="1883">
        <f>CP69/'2024_gada_plāns'!CP69</f>
        <v>6.6715254807421867E-3</v>
      </c>
      <c r="DK69" s="1885"/>
      <c r="DL69" s="1885" t="s">
        <v>38</v>
      </c>
      <c r="DM69" s="1887"/>
      <c r="DN69" s="1881" t="s">
        <v>38</v>
      </c>
      <c r="DO69" s="1885"/>
      <c r="DP69" s="1885" t="s">
        <v>38</v>
      </c>
      <c r="DQ69" s="1887"/>
      <c r="DR69" s="1883">
        <f>CX69/'2024_gada_plāns'!CX69</f>
        <v>0</v>
      </c>
      <c r="DS69" s="1988"/>
    </row>
    <row r="70" spans="1:123" s="1025" customFormat="1" ht="15.75" customHeight="1" outlineLevel="1" x14ac:dyDescent="0.25">
      <c r="A70" s="1022"/>
      <c r="B70" s="1023"/>
      <c r="C70" s="1024" t="s">
        <v>42</v>
      </c>
      <c r="D70" s="338">
        <v>47.7</v>
      </c>
      <c r="E70" s="339"/>
      <c r="F70" s="340">
        <v>2.185066422354558E-2</v>
      </c>
      <c r="G70" s="341"/>
      <c r="H70" s="342" t="s">
        <v>38</v>
      </c>
      <c r="I70" s="343" t="s">
        <v>38</v>
      </c>
      <c r="J70" s="344">
        <v>4535.2000000000007</v>
      </c>
      <c r="K70" s="692"/>
      <c r="L70" s="418" t="s">
        <v>38</v>
      </c>
      <c r="M70" s="343" t="s">
        <v>38</v>
      </c>
      <c r="N70" s="693">
        <v>4535.2000000000007</v>
      </c>
      <c r="O70" s="343"/>
      <c r="P70" s="342" t="s">
        <v>38</v>
      </c>
      <c r="Q70" s="343" t="s">
        <v>38</v>
      </c>
      <c r="R70" s="693">
        <v>0</v>
      </c>
      <c r="S70" s="343"/>
      <c r="T70" s="342" t="s">
        <v>38</v>
      </c>
      <c r="U70" s="343" t="s">
        <v>38</v>
      </c>
      <c r="V70" s="693">
        <v>95.077568134171912</v>
      </c>
      <c r="W70" s="692"/>
      <c r="X70" s="338">
        <v>73.5</v>
      </c>
      <c r="Y70" s="339"/>
      <c r="Z70" s="340">
        <v>3.3653846153846152E-2</v>
      </c>
      <c r="AA70" s="341"/>
      <c r="AB70" s="342" t="s">
        <v>38</v>
      </c>
      <c r="AC70" s="343" t="s">
        <v>38</v>
      </c>
      <c r="AD70" s="344">
        <v>6496</v>
      </c>
      <c r="AE70" s="692"/>
      <c r="AF70" s="418" t="s">
        <v>38</v>
      </c>
      <c r="AG70" s="343" t="s">
        <v>38</v>
      </c>
      <c r="AH70" s="693">
        <v>6496</v>
      </c>
      <c r="AI70" s="343"/>
      <c r="AJ70" s="342" t="s">
        <v>38</v>
      </c>
      <c r="AK70" s="343" t="s">
        <v>38</v>
      </c>
      <c r="AL70" s="693">
        <v>0</v>
      </c>
      <c r="AM70" s="343"/>
      <c r="AN70" s="342" t="s">
        <v>38</v>
      </c>
      <c r="AO70" s="343" t="s">
        <v>38</v>
      </c>
      <c r="AP70" s="693">
        <v>88.38095238095238</v>
      </c>
      <c r="AQ70" s="692"/>
      <c r="AR70" s="1644">
        <f>'2024_ar_grozījumiem'!AR70-'2024_gada_plāns'!AR70</f>
        <v>25.5</v>
      </c>
      <c r="AS70" s="1580"/>
      <c r="AT70" s="2171">
        <f>'2024_ar_grozījumiem'!AT70-'2024_gada_plāns'!AT70</f>
        <v>1.1681172698121849E-2</v>
      </c>
      <c r="AU70" s="1709"/>
      <c r="AV70" s="1179" t="s">
        <v>38</v>
      </c>
      <c r="AW70" s="1582"/>
      <c r="AX70" s="1583">
        <f>'2024_ar_grozījumiem'!AX70-'2024_gada_plāns'!AX70</f>
        <v>1938.0000000000009</v>
      </c>
      <c r="AY70" s="1695"/>
      <c r="AZ70" s="1182" t="s">
        <v>38</v>
      </c>
      <c r="BA70" s="1582"/>
      <c r="BB70" s="1179">
        <f>'2024_ar_grozījumiem'!BB70-'2024_gada_plāns'!BB70</f>
        <v>1938.0000000000009</v>
      </c>
      <c r="BC70" s="1582"/>
      <c r="BD70" s="1179" t="s">
        <v>38</v>
      </c>
      <c r="BE70" s="1582"/>
      <c r="BF70" s="1179">
        <f>'2024_ar_grozījumiem'!BF70-'2024_gada_plāns'!BF70</f>
        <v>0</v>
      </c>
      <c r="BG70" s="1582"/>
      <c r="BH70" s="1179" t="s">
        <v>38</v>
      </c>
      <c r="BI70" s="1582"/>
      <c r="BJ70" s="1179">
        <f>'2024_ar_grozījumiem'!BJ70-'2024_gada_plāns'!BJ70</f>
        <v>-3.1367687969569005</v>
      </c>
      <c r="BK70" s="1695"/>
      <c r="BL70" s="1311">
        <f>'2024_ar_grozījumiem'!BL70-'2024_gada_plāns'!BL70</f>
        <v>26</v>
      </c>
      <c r="BM70" s="1177"/>
      <c r="BN70" s="1177">
        <f>'2024_ar_grozījumiem'!BN70-'2024_gada_plāns'!BN70</f>
        <v>1.1770031688546855E-2</v>
      </c>
      <c r="BO70" s="1178"/>
      <c r="BP70" s="1183" t="s">
        <v>38</v>
      </c>
      <c r="BQ70" s="1180"/>
      <c r="BR70" s="1312">
        <f>'2024_ar_grozījumiem'!BR70-'2024_gada_plāns'!BR70</f>
        <v>1976</v>
      </c>
      <c r="BS70" s="1197"/>
      <c r="BT70" s="1197" t="s">
        <v>38</v>
      </c>
      <c r="BU70" s="1180"/>
      <c r="BV70" s="1183">
        <f>'2024_ar_grozījumiem'!BV70-'2024_gada_plāns'!BV70</f>
        <v>1976</v>
      </c>
      <c r="BW70" s="1180"/>
      <c r="BX70" s="1197" t="s">
        <v>38</v>
      </c>
      <c r="BY70" s="1180"/>
      <c r="BZ70" s="1183">
        <f>'2024_ar_grozījumiem'!BZ70-'2024_gada_plāns'!BZ70</f>
        <v>0</v>
      </c>
      <c r="CA70" s="1180"/>
      <c r="CB70" s="1197" t="s">
        <v>38</v>
      </c>
      <c r="CC70" s="1180"/>
      <c r="CD70" s="1183">
        <f>'2024_ar_grozījumiem'!CD70-'2024_gada_plāns'!CD70</f>
        <v>-4.8281378814963603</v>
      </c>
      <c r="CE70" s="1181"/>
      <c r="CF70" s="1311">
        <f>'2024_ar_grozījumiem'!CF70-'2024_gada_plāns'!CF70</f>
        <v>51.499999999999943</v>
      </c>
      <c r="CG70" s="1228"/>
      <c r="CH70" s="1393">
        <f>'2024_ar_grozījumiem'!CH70-'2024_gada_plāns'!CH70</f>
        <v>5.8789954337899498E-3</v>
      </c>
      <c r="CI70" s="1394"/>
      <c r="CJ70" s="1183" t="s">
        <v>38</v>
      </c>
      <c r="CK70" s="1180"/>
      <c r="CL70" s="1312">
        <f>'2024_ar_grozījumiem'!CL70-'2024_gada_plāns'!CL70</f>
        <v>3914</v>
      </c>
      <c r="CM70" s="1197"/>
      <c r="CN70" s="1197" t="s">
        <v>38</v>
      </c>
      <c r="CO70" s="1180"/>
      <c r="CP70" s="1183">
        <f>'2024_ar_grozījumiem'!CP70-'2024_gada_plāns'!CP70</f>
        <v>3914</v>
      </c>
      <c r="CQ70" s="1197"/>
      <c r="CR70" s="1197" t="s">
        <v>38</v>
      </c>
      <c r="CS70" s="1180"/>
      <c r="CT70" s="1312">
        <f>'2024_ar_grozījumiem'!CT70-'2024_gada_plāns'!CT70</f>
        <v>0</v>
      </c>
      <c r="CU70" s="1197"/>
      <c r="CV70" s="1197" t="s">
        <v>38</v>
      </c>
      <c r="CW70" s="1180"/>
      <c r="CX70" s="1183">
        <f>'2024_ar_grozījumiem'!CX70-'2024_gada_plāns'!CX70</f>
        <v>-2.4227977174572572</v>
      </c>
      <c r="CY70" s="1395"/>
      <c r="CZ70" s="1989">
        <f>CF70/'2024_gada_plāns'!CF70</f>
        <v>0.20307570977917958</v>
      </c>
      <c r="DA70" s="1990"/>
      <c r="DB70" s="1991">
        <f>CH70/'2024_gada_plāns'!CH70</f>
        <v>0.20307570977917966</v>
      </c>
      <c r="DC70" s="1992"/>
      <c r="DD70" s="1993" t="s">
        <v>38</v>
      </c>
      <c r="DE70" s="1994"/>
      <c r="DF70" s="1995">
        <f>CL70/'2024_gada_plāns'!CL70</f>
        <v>0.17081558550380557</v>
      </c>
      <c r="DG70" s="1996"/>
      <c r="DH70" s="1996" t="s">
        <v>38</v>
      </c>
      <c r="DI70" s="1997"/>
      <c r="DJ70" s="1998">
        <f>CP70/'2024_gada_plāns'!CP70</f>
        <v>0.17081558550380557</v>
      </c>
      <c r="DK70" s="1999"/>
      <c r="DL70" s="1999" t="s">
        <v>38</v>
      </c>
      <c r="DM70" s="1994"/>
      <c r="DN70" s="2000" t="s">
        <v>38</v>
      </c>
      <c r="DO70" s="1999"/>
      <c r="DP70" s="1999" t="s">
        <v>38</v>
      </c>
      <c r="DQ70" s="1994"/>
      <c r="DR70" s="2001">
        <f>CX70/'2024_gada_plāns'!CX70</f>
        <v>-2.68147083455747E-2</v>
      </c>
      <c r="DS70" s="2002"/>
    </row>
    <row r="71" spans="1:123" s="1027" customFormat="1" ht="15.75" customHeight="1" x14ac:dyDescent="0.25">
      <c r="A71" s="80" t="s">
        <v>60</v>
      </c>
      <c r="B71" s="81" t="s">
        <v>61</v>
      </c>
      <c r="C71" s="1026"/>
      <c r="D71" s="345">
        <v>98.300000000000011</v>
      </c>
      <c r="E71" s="346"/>
      <c r="F71" s="251">
        <v>8.9961471231547845E-3</v>
      </c>
      <c r="G71" s="346"/>
      <c r="H71" s="347" t="s">
        <v>38</v>
      </c>
      <c r="I71" s="348" t="s">
        <v>38</v>
      </c>
      <c r="J71" s="349">
        <v>9289</v>
      </c>
      <c r="K71" s="709"/>
      <c r="L71" s="419" t="s">
        <v>38</v>
      </c>
      <c r="M71" s="710" t="s">
        <v>38</v>
      </c>
      <c r="N71" s="711">
        <v>9289</v>
      </c>
      <c r="O71" s="709"/>
      <c r="P71" s="347" t="s">
        <v>38</v>
      </c>
      <c r="Q71" s="348" t="s">
        <v>38</v>
      </c>
      <c r="R71" s="712">
        <v>0</v>
      </c>
      <c r="S71" s="709"/>
      <c r="T71" s="347" t="s">
        <v>38</v>
      </c>
      <c r="U71" s="348" t="s">
        <v>38</v>
      </c>
      <c r="V71" s="713">
        <v>94.496439471007108</v>
      </c>
      <c r="W71" s="713"/>
      <c r="X71" s="345">
        <v>102.2</v>
      </c>
      <c r="Y71" s="346"/>
      <c r="Z71" s="251">
        <v>9.2893045746643768E-3</v>
      </c>
      <c r="AA71" s="346"/>
      <c r="AB71" s="347" t="s">
        <v>38</v>
      </c>
      <c r="AC71" s="348" t="s">
        <v>38</v>
      </c>
      <c r="AD71" s="349">
        <v>9368</v>
      </c>
      <c r="AE71" s="709"/>
      <c r="AF71" s="419" t="s">
        <v>38</v>
      </c>
      <c r="AG71" s="710" t="s">
        <v>38</v>
      </c>
      <c r="AH71" s="711">
        <v>9368</v>
      </c>
      <c r="AI71" s="709"/>
      <c r="AJ71" s="347" t="s">
        <v>38</v>
      </c>
      <c r="AK71" s="348" t="s">
        <v>38</v>
      </c>
      <c r="AL71" s="712">
        <v>0</v>
      </c>
      <c r="AM71" s="709"/>
      <c r="AN71" s="347" t="s">
        <v>38</v>
      </c>
      <c r="AO71" s="348" t="s">
        <v>38</v>
      </c>
      <c r="AP71" s="713">
        <v>91.663405088062618</v>
      </c>
      <c r="AQ71" s="713"/>
      <c r="AR71" s="1567">
        <f>'2024_ar_grozījumiem'!AR71-'2024_gada_plāns'!AR71</f>
        <v>-0.5</v>
      </c>
      <c r="AS71" s="1568"/>
      <c r="AT71" s="2172">
        <f>'2024_ar_grozījumiem'!AT71-'2024_gada_plāns'!AT71</f>
        <v>-4.5017061466296956E-5</v>
      </c>
      <c r="AU71" s="1568"/>
      <c r="AV71" s="1185" t="s">
        <v>38</v>
      </c>
      <c r="AW71" s="1570"/>
      <c r="AX71" s="1185">
        <f>'2024_ar_grozījumiem'!AX71-'2024_gada_plāns'!AX71</f>
        <v>-840</v>
      </c>
      <c r="AY71" s="1571"/>
      <c r="AZ71" s="1188" t="s">
        <v>38</v>
      </c>
      <c r="BA71" s="1575"/>
      <c r="BB71" s="1574">
        <f>'2024_ar_grozījumiem'!BB71-'2024_gada_plāns'!BB71</f>
        <v>-840</v>
      </c>
      <c r="BC71" s="1571"/>
      <c r="BD71" s="1185" t="s">
        <v>38</v>
      </c>
      <c r="BE71" s="1570"/>
      <c r="BF71" s="1574">
        <f>'2024_ar_grozījumiem'!BF71-'2024_gada_plāns'!BF71</f>
        <v>0</v>
      </c>
      <c r="BG71" s="1571"/>
      <c r="BH71" s="1185" t="s">
        <v>38</v>
      </c>
      <c r="BI71" s="1570"/>
      <c r="BJ71" s="1188">
        <f>'2024_ar_grozījumiem'!BJ71-'2024_gada_plāns'!BJ71</f>
        <v>-7.7909134385461556</v>
      </c>
      <c r="BK71" s="1188"/>
      <c r="BL71" s="1313">
        <f>'2024_ar_grozījumiem'!BL71-'2024_gada_plāns'!BL71</f>
        <v>-0.10000000000000853</v>
      </c>
      <c r="BM71" s="1184"/>
      <c r="BN71" s="1184">
        <f>'2024_ar_grozījumiem'!BN71-'2024_gada_plāns'!BN71</f>
        <v>-9.0115257414240951E-6</v>
      </c>
      <c r="BO71" s="1184"/>
      <c r="BP71" s="1314" t="s">
        <v>38</v>
      </c>
      <c r="BQ71" s="1186"/>
      <c r="BR71" s="1314">
        <f>'2024_ar_grozījumiem'!BR71-'2024_gada_plāns'!BR71</f>
        <v>-878</v>
      </c>
      <c r="BS71" s="1187"/>
      <c r="BT71" s="1190" t="s">
        <v>38</v>
      </c>
      <c r="BU71" s="1189"/>
      <c r="BV71" s="1315">
        <f>'2024_ar_grozījumiem'!BV71-'2024_gada_plāns'!BV71</f>
        <v>-878</v>
      </c>
      <c r="BW71" s="1187"/>
      <c r="BX71" s="1314" t="s">
        <v>38</v>
      </c>
      <c r="BY71" s="1186"/>
      <c r="BZ71" s="1315">
        <f>'2024_ar_grozījumiem'!BZ71-'2024_gada_plāns'!BZ71</f>
        <v>0</v>
      </c>
      <c r="CA71" s="1187"/>
      <c r="CB71" s="1314" t="s">
        <v>38</v>
      </c>
      <c r="CC71" s="1186"/>
      <c r="CD71" s="1190">
        <f>'2024_ar_grozījumiem'!CD71-'2024_gada_plāns'!CD71</f>
        <v>-8.3878912663869301</v>
      </c>
      <c r="CE71" s="1190"/>
      <c r="CF71" s="1313">
        <f>'2024_ar_grozījumiem'!CF71-'2024_gada_plāns'!CF71</f>
        <v>-0.59999999999996589</v>
      </c>
      <c r="CG71" s="1187"/>
      <c r="CH71" s="1396">
        <f>'2024_ar_grozījumiem'!CH71-'2024_gada_plāns'!CH71</f>
        <v>-1.3573862171002357E-5</v>
      </c>
      <c r="CI71" s="1397"/>
      <c r="CJ71" s="1315" t="s">
        <v>38</v>
      </c>
      <c r="CK71" s="1189"/>
      <c r="CL71" s="1315">
        <f>'2024_ar_grozījumiem'!CL71-'2024_gada_plāns'!CL71</f>
        <v>-1718</v>
      </c>
      <c r="CM71" s="1398"/>
      <c r="CN71" s="1187" t="s">
        <v>38</v>
      </c>
      <c r="CO71" s="1189"/>
      <c r="CP71" s="1190">
        <f>'2024_ar_grozījumiem'!CP71-'2024_gada_plāns'!CP71</f>
        <v>-1718</v>
      </c>
      <c r="CQ71" s="1187"/>
      <c r="CR71" s="1190" t="s">
        <v>38</v>
      </c>
      <c r="CS71" s="1189"/>
      <c r="CT71" s="1315">
        <f>'2024_ar_grozījumiem'!CT71-'2024_gada_plāns'!CT71</f>
        <v>0</v>
      </c>
      <c r="CU71" s="1187"/>
      <c r="CV71" s="1190" t="s">
        <v>38</v>
      </c>
      <c r="CW71" s="1189"/>
      <c r="CX71" s="1315">
        <f>'2024_ar_grozījumiem'!CX71-'2024_gada_plāns'!CX71</f>
        <v>-4.0949917495590853</v>
      </c>
      <c r="CY71" s="1399"/>
      <c r="CZ71" s="2003">
        <f>CF71/'2024_gada_plāns'!CF71</f>
        <v>-1.4752889107449371E-3</v>
      </c>
      <c r="DA71" s="2004"/>
      <c r="DB71" s="2005">
        <f>CH71/'2024_gada_plāns'!CH71</f>
        <v>-1.475288910744895E-3</v>
      </c>
      <c r="DC71" s="2006"/>
      <c r="DD71" s="2007" t="s">
        <v>38</v>
      </c>
      <c r="DE71" s="2008"/>
      <c r="DF71" s="2009">
        <f>CL71/'2024_gada_plāns'!CL71</f>
        <v>-4.6062686006917444E-2</v>
      </c>
      <c r="DG71" s="2010"/>
      <c r="DH71" s="2004" t="s">
        <v>38</v>
      </c>
      <c r="DI71" s="2008"/>
      <c r="DJ71" s="2011">
        <f>CP71/'2024_gada_plāns'!CP71</f>
        <v>-4.6062686006917444E-2</v>
      </c>
      <c r="DK71" s="2004"/>
      <c r="DL71" s="2012" t="s">
        <v>38</v>
      </c>
      <c r="DM71" s="2008"/>
      <c r="DN71" s="2007" t="s">
        <v>38</v>
      </c>
      <c r="DO71" s="2004"/>
      <c r="DP71" s="2012" t="s">
        <v>38</v>
      </c>
      <c r="DQ71" s="2008"/>
      <c r="DR71" s="2009">
        <f>CX71/'2024_gada_plāns'!CX71</f>
        <v>-4.4653273575506879E-2</v>
      </c>
      <c r="DS71" s="2013"/>
    </row>
    <row r="72" spans="1:123" s="940" customFormat="1" ht="15.75" customHeight="1" x14ac:dyDescent="0.25">
      <c r="A72" s="83"/>
      <c r="B72" s="23"/>
      <c r="C72" s="988" t="s">
        <v>39</v>
      </c>
      <c r="D72" s="234">
        <v>27.4</v>
      </c>
      <c r="E72" s="228"/>
      <c r="F72" s="246">
        <v>1.2551534585432889E-2</v>
      </c>
      <c r="G72" s="228"/>
      <c r="H72" s="293" t="s">
        <v>38</v>
      </c>
      <c r="I72" s="230" t="s">
        <v>38</v>
      </c>
      <c r="J72" s="298">
        <v>6550</v>
      </c>
      <c r="K72" s="507"/>
      <c r="L72" s="409" t="s">
        <v>38</v>
      </c>
      <c r="M72" s="559" t="s">
        <v>38</v>
      </c>
      <c r="N72" s="556">
        <v>6550</v>
      </c>
      <c r="O72" s="208"/>
      <c r="P72" s="293" t="s">
        <v>38</v>
      </c>
      <c r="Q72" s="230" t="s">
        <v>38</v>
      </c>
      <c r="R72" s="556">
        <v>0</v>
      </c>
      <c r="S72" s="507"/>
      <c r="T72" s="293" t="s">
        <v>38</v>
      </c>
      <c r="U72" s="230" t="s">
        <v>38</v>
      </c>
      <c r="V72" s="509">
        <v>239.05109489051097</v>
      </c>
      <c r="W72" s="509"/>
      <c r="X72" s="234">
        <v>27.4</v>
      </c>
      <c r="Y72" s="228"/>
      <c r="Z72" s="246">
        <v>1.2545787545787545E-2</v>
      </c>
      <c r="AA72" s="228"/>
      <c r="AB72" s="293" t="s">
        <v>38</v>
      </c>
      <c r="AC72" s="230" t="s">
        <v>38</v>
      </c>
      <c r="AD72" s="298">
        <v>6461</v>
      </c>
      <c r="AE72" s="507"/>
      <c r="AF72" s="409" t="s">
        <v>38</v>
      </c>
      <c r="AG72" s="559" t="s">
        <v>38</v>
      </c>
      <c r="AH72" s="556">
        <v>6461</v>
      </c>
      <c r="AI72" s="208"/>
      <c r="AJ72" s="293" t="s">
        <v>38</v>
      </c>
      <c r="AK72" s="230" t="s">
        <v>38</v>
      </c>
      <c r="AL72" s="556">
        <v>0</v>
      </c>
      <c r="AM72" s="507"/>
      <c r="AN72" s="293" t="s">
        <v>38</v>
      </c>
      <c r="AO72" s="230" t="s">
        <v>38</v>
      </c>
      <c r="AP72" s="509">
        <v>235.80291970802921</v>
      </c>
      <c r="AQ72" s="509"/>
      <c r="AR72" s="1440">
        <f>'2024_ar_grozījumiem'!AR72-'2024_gada_plāns'!AR72</f>
        <v>0</v>
      </c>
      <c r="AS72" s="1441"/>
      <c r="AT72" s="2170">
        <f>'2024_ar_grozījumiem'!AT72-'2024_gada_plāns'!AT72</f>
        <v>0</v>
      </c>
      <c r="AU72" s="1441"/>
      <c r="AV72" s="1107" t="s">
        <v>38</v>
      </c>
      <c r="AW72" s="1449"/>
      <c r="AX72" s="1115">
        <f>'2024_ar_grozījumiem'!AX72-'2024_gada_plāns'!AX72</f>
        <v>-450</v>
      </c>
      <c r="AY72" s="1469"/>
      <c r="AZ72" s="1117" t="s">
        <v>38</v>
      </c>
      <c r="BA72" s="1468"/>
      <c r="BB72" s="1657">
        <f>'2024_ar_grozījumiem'!BB72-'2024_gada_plāns'!BB72</f>
        <v>-450</v>
      </c>
      <c r="BC72" s="1175"/>
      <c r="BD72" s="1107" t="s">
        <v>38</v>
      </c>
      <c r="BE72" s="1449"/>
      <c r="BF72" s="1657">
        <f>'2024_ar_grozījumiem'!BF72-'2024_gada_plāns'!BF72</f>
        <v>0</v>
      </c>
      <c r="BG72" s="1469"/>
      <c r="BH72" s="1107" t="s">
        <v>38</v>
      </c>
      <c r="BI72" s="1449"/>
      <c r="BJ72" s="1110">
        <f>'2024_ar_grozījumiem'!BJ72-'2024_gada_plāns'!BJ72</f>
        <v>-16.014234875444828</v>
      </c>
      <c r="BK72" s="1110"/>
      <c r="BL72" s="1283">
        <f>'2024_ar_grozījumiem'!BL72-'2024_gada_plāns'!BL72</f>
        <v>0.5</v>
      </c>
      <c r="BM72" s="1087"/>
      <c r="BN72" s="1087">
        <f>'2024_ar_grozījumiem'!BN72-'2024_gada_plāns'!BN72</f>
        <v>2.2634676324128494E-4</v>
      </c>
      <c r="BO72" s="1087"/>
      <c r="BP72" s="1285" t="s">
        <v>38</v>
      </c>
      <c r="BQ72" s="1108"/>
      <c r="BR72" s="1292">
        <f>'2024_ar_grozījumiem'!BR72-'2024_gada_plāns'!BR72</f>
        <v>-531</v>
      </c>
      <c r="BS72" s="1094"/>
      <c r="BT72" s="1293" t="s">
        <v>38</v>
      </c>
      <c r="BU72" s="1118"/>
      <c r="BV72" s="1291">
        <f>'2024_ar_grozījumiem'!BV72-'2024_gada_plāns'!BV72</f>
        <v>-531</v>
      </c>
      <c r="BW72" s="1091"/>
      <c r="BX72" s="1285" t="s">
        <v>38</v>
      </c>
      <c r="BY72" s="1108"/>
      <c r="BZ72" s="1291">
        <f>'2024_ar_grozījumiem'!BZ72-'2024_gada_plāns'!BZ72</f>
        <v>0</v>
      </c>
      <c r="CA72" s="1094"/>
      <c r="CB72" s="1285" t="s">
        <v>38</v>
      </c>
      <c r="CC72" s="1108"/>
      <c r="CD72" s="1191">
        <f>'2024_ar_grozījumiem'!CD72-'2024_gada_plāns'!CD72</f>
        <v>-23.864605543710013</v>
      </c>
      <c r="CE72" s="1191"/>
      <c r="CF72" s="1330">
        <f>'2024_ar_grozījumiem'!CF72-'2024_gada_plāns'!CF72</f>
        <v>0.5</v>
      </c>
      <c r="CG72" s="1091"/>
      <c r="CH72" s="1088">
        <f>'2024_ar_grozījumiem'!CH72-'2024_gada_plāns'!CH72</f>
        <v>5.7077625570776599E-5</v>
      </c>
      <c r="CI72" s="1359"/>
      <c r="CJ72" s="1293" t="s">
        <v>38</v>
      </c>
      <c r="CK72" s="1118"/>
      <c r="CL72" s="1176">
        <f>'2024_ar_grozījumiem'!CL72-'2024_gada_plāns'!CL72</f>
        <v>-981</v>
      </c>
      <c r="CM72" s="1169"/>
      <c r="CN72" s="1094" t="s">
        <v>38</v>
      </c>
      <c r="CO72" s="1118"/>
      <c r="CP72" s="1095">
        <f>'2024_ar_grozījumiem'!CP72-'2024_gada_plāns'!CP72</f>
        <v>-981</v>
      </c>
      <c r="CQ72" s="1091"/>
      <c r="CR72" s="1293" t="s">
        <v>38</v>
      </c>
      <c r="CS72" s="1118"/>
      <c r="CT72" s="1176">
        <f>'2024_ar_grozījumiem'!CT72-'2024_gada_plāns'!CT72</f>
        <v>0</v>
      </c>
      <c r="CU72" s="1091"/>
      <c r="CV72" s="1293" t="s">
        <v>38</v>
      </c>
      <c r="CW72" s="1118"/>
      <c r="CX72" s="1176">
        <f>'2024_ar_grozījumiem'!CX72-'2024_gada_plāns'!CX72</f>
        <v>-9.9713622534316357</v>
      </c>
      <c r="CY72" s="1357"/>
      <c r="CZ72" s="2014">
        <f>CF72/'2024_gada_plāns'!CF72</f>
        <v>4.5578851412944391E-3</v>
      </c>
      <c r="DA72" s="1885"/>
      <c r="DB72" s="1902">
        <f>CH72/'2024_gada_plāns'!CH72</f>
        <v>4.5578851412944659E-3</v>
      </c>
      <c r="DC72" s="1911"/>
      <c r="DD72" s="1914" t="s">
        <v>38</v>
      </c>
      <c r="DE72" s="1915"/>
      <c r="DF72" s="1883">
        <f>CL72/'2024_gada_plāns'!CL72</f>
        <v>-3.7942370914716687E-2</v>
      </c>
      <c r="DG72" s="1884"/>
      <c r="DH72" s="1916" t="s">
        <v>38</v>
      </c>
      <c r="DI72" s="1915"/>
      <c r="DJ72" s="1987">
        <f>CP72/'2024_gada_plāns'!CP72</f>
        <v>-3.7942370914716687E-2</v>
      </c>
      <c r="DK72" s="1885"/>
      <c r="DL72" s="1914" t="s">
        <v>38</v>
      </c>
      <c r="DM72" s="1915"/>
      <c r="DN72" s="1888" t="s">
        <v>38</v>
      </c>
      <c r="DO72" s="1885"/>
      <c r="DP72" s="1914" t="s">
        <v>38</v>
      </c>
      <c r="DQ72" s="1915"/>
      <c r="DR72" s="1883">
        <f>CX72/'2024_gada_plāns'!CX72</f>
        <v>-4.2307423678261485E-2</v>
      </c>
      <c r="DS72" s="1906"/>
    </row>
    <row r="73" spans="1:123" s="990" customFormat="1" ht="15.75" customHeight="1" x14ac:dyDescent="0.25">
      <c r="A73" s="83"/>
      <c r="B73" s="987"/>
      <c r="C73" s="988" t="s">
        <v>40</v>
      </c>
      <c r="D73" s="234">
        <v>27.5</v>
      </c>
      <c r="E73" s="228"/>
      <c r="F73" s="246">
        <v>1.2597343105817681E-2</v>
      </c>
      <c r="G73" s="228"/>
      <c r="H73" s="293" t="s">
        <v>38</v>
      </c>
      <c r="I73" s="230" t="s">
        <v>38</v>
      </c>
      <c r="J73" s="298">
        <v>384</v>
      </c>
      <c r="K73" s="507"/>
      <c r="L73" s="409" t="s">
        <v>38</v>
      </c>
      <c r="M73" s="559" t="s">
        <v>38</v>
      </c>
      <c r="N73" s="506">
        <v>384</v>
      </c>
      <c r="O73" s="507"/>
      <c r="P73" s="293" t="s">
        <v>38</v>
      </c>
      <c r="Q73" s="230" t="s">
        <v>38</v>
      </c>
      <c r="R73" s="506">
        <v>0</v>
      </c>
      <c r="S73" s="208"/>
      <c r="T73" s="293" t="s">
        <v>38</v>
      </c>
      <c r="U73" s="230" t="s">
        <v>38</v>
      </c>
      <c r="V73" s="509">
        <v>13.963636363636363</v>
      </c>
      <c r="W73" s="509"/>
      <c r="X73" s="234">
        <v>30.8</v>
      </c>
      <c r="Y73" s="228"/>
      <c r="Z73" s="246">
        <v>1.4102564102564103E-2</v>
      </c>
      <c r="AA73" s="228"/>
      <c r="AB73" s="293" t="s">
        <v>38</v>
      </c>
      <c r="AC73" s="230" t="s">
        <v>38</v>
      </c>
      <c r="AD73" s="298">
        <v>470</v>
      </c>
      <c r="AE73" s="507"/>
      <c r="AF73" s="409" t="s">
        <v>38</v>
      </c>
      <c r="AG73" s="559" t="s">
        <v>38</v>
      </c>
      <c r="AH73" s="506">
        <v>470</v>
      </c>
      <c r="AI73" s="507"/>
      <c r="AJ73" s="293" t="s">
        <v>38</v>
      </c>
      <c r="AK73" s="230" t="s">
        <v>38</v>
      </c>
      <c r="AL73" s="506">
        <v>0</v>
      </c>
      <c r="AM73" s="208"/>
      <c r="AN73" s="293" t="s">
        <v>38</v>
      </c>
      <c r="AO73" s="230" t="s">
        <v>38</v>
      </c>
      <c r="AP73" s="509">
        <v>15.25974025974026</v>
      </c>
      <c r="AQ73" s="509"/>
      <c r="AR73" s="1440">
        <f>'2024_ar_grozījumiem'!AR73-'2024_gada_plāns'!AR73</f>
        <v>-0.29999999999999716</v>
      </c>
      <c r="AS73" s="1441"/>
      <c r="AT73" s="2170">
        <f>'2024_ar_grozījumiem'!AT73-'2024_gada_plāns'!AT73</f>
        <v>-1.3742556115437475E-4</v>
      </c>
      <c r="AU73" s="1441"/>
      <c r="AV73" s="1107" t="s">
        <v>38</v>
      </c>
      <c r="AW73" s="1449"/>
      <c r="AX73" s="1115">
        <f>'2024_ar_grozījumiem'!AX73-'2024_gada_plāns'!AX73</f>
        <v>-99</v>
      </c>
      <c r="AY73" s="1469"/>
      <c r="AZ73" s="1117" t="s">
        <v>38</v>
      </c>
      <c r="BA73" s="1468"/>
      <c r="BB73" s="1173">
        <f>'2024_ar_grozījumiem'!BB73-'2024_gada_plāns'!BB73</f>
        <v>-99</v>
      </c>
      <c r="BC73" s="1469"/>
      <c r="BD73" s="1107" t="s">
        <v>38</v>
      </c>
      <c r="BE73" s="1449"/>
      <c r="BF73" s="1173">
        <f>'2024_ar_grozījumiem'!BF73-'2024_gada_plāns'!BF73</f>
        <v>0</v>
      </c>
      <c r="BG73" s="1175"/>
      <c r="BH73" s="1107" t="s">
        <v>38</v>
      </c>
      <c r="BI73" s="1449"/>
      <c r="BJ73" s="1110">
        <f>'2024_ar_grozījumiem'!BJ73-'2024_gada_plāns'!BJ73</f>
        <v>-3.0453437647203394</v>
      </c>
      <c r="BK73" s="1110"/>
      <c r="BL73" s="1283">
        <f>'2024_ar_grozījumiem'!BL73-'2024_gada_plāns'!BL73</f>
        <v>-0.19999999999999929</v>
      </c>
      <c r="BM73" s="1087"/>
      <c r="BN73" s="1087">
        <f>'2024_ar_grozījumiem'!BN73-'2024_gada_plāns'!BN73</f>
        <v>-9.0538705296515018E-5</v>
      </c>
      <c r="BO73" s="1087"/>
      <c r="BP73" s="1285" t="s">
        <v>38</v>
      </c>
      <c r="BQ73" s="1108"/>
      <c r="BR73" s="1292">
        <f>'2024_ar_grozījumiem'!BR73-'2024_gada_plāns'!BR73</f>
        <v>-95</v>
      </c>
      <c r="BS73" s="1094"/>
      <c r="BT73" s="1293" t="s">
        <v>38</v>
      </c>
      <c r="BU73" s="1118"/>
      <c r="BV73" s="1176">
        <f>'2024_ar_grozījumiem'!BV73-'2024_gada_plāns'!BV73</f>
        <v>-95</v>
      </c>
      <c r="BW73" s="1094"/>
      <c r="BX73" s="1285" t="s">
        <v>38</v>
      </c>
      <c r="BY73" s="1108"/>
      <c r="BZ73" s="1176">
        <f>'2024_ar_grozījumiem'!BZ73-'2024_gada_plāns'!BZ73</f>
        <v>0</v>
      </c>
      <c r="CA73" s="1091"/>
      <c r="CB73" s="1285" t="s">
        <v>38</v>
      </c>
      <c r="CC73" s="1108"/>
      <c r="CD73" s="1191">
        <f>'2024_ar_grozījumiem'!CD73-'2024_gada_plāns'!CD73</f>
        <v>-2.9724979321753509</v>
      </c>
      <c r="CE73" s="1191"/>
      <c r="CF73" s="1330">
        <f>'2024_ar_grozījumiem'!CF73-'2024_gada_plāns'!CF73</f>
        <v>-0.49999999999998579</v>
      </c>
      <c r="CG73" s="1091"/>
      <c r="CH73" s="1088">
        <f>'2024_ar_grozījumiem'!CH73-'2024_gada_plāns'!CH73</f>
        <v>-5.7077625570774865E-5</v>
      </c>
      <c r="CI73" s="1359"/>
      <c r="CJ73" s="1293" t="s">
        <v>38</v>
      </c>
      <c r="CK73" s="1118"/>
      <c r="CL73" s="1176">
        <f>'2024_ar_grozījumiem'!CL73-'2024_gada_plāns'!CL73</f>
        <v>-194</v>
      </c>
      <c r="CM73" s="1169"/>
      <c r="CN73" s="1094" t="s">
        <v>38</v>
      </c>
      <c r="CO73" s="1118"/>
      <c r="CP73" s="1095">
        <f>'2024_ar_grozījumiem'!CP73-'2024_gada_plāns'!CP73</f>
        <v>-194</v>
      </c>
      <c r="CQ73" s="1091"/>
      <c r="CR73" s="1293" t="s">
        <v>38</v>
      </c>
      <c r="CS73" s="1118"/>
      <c r="CT73" s="1176">
        <f>'2024_ar_grozījumiem'!CT73-'2024_gada_plāns'!CT73</f>
        <v>0</v>
      </c>
      <c r="CU73" s="1091"/>
      <c r="CV73" s="1293" t="s">
        <v>38</v>
      </c>
      <c r="CW73" s="1118"/>
      <c r="CX73" s="1176">
        <f>'2024_ar_grozījumiem'!CX73-'2024_gada_plāns'!CX73</f>
        <v>-1.551253197914864</v>
      </c>
      <c r="CY73" s="1357"/>
      <c r="CZ73" s="2014">
        <f>CF73/'2024_gada_plāns'!CF73</f>
        <v>-4.1356492969395024E-3</v>
      </c>
      <c r="DA73" s="1885"/>
      <c r="DB73" s="1902">
        <f>CH73/'2024_gada_plāns'!CH73</f>
        <v>-4.1356492969395189E-3</v>
      </c>
      <c r="DC73" s="1911"/>
      <c r="DD73" s="1914" t="s">
        <v>38</v>
      </c>
      <c r="DE73" s="1915"/>
      <c r="DF73" s="1883">
        <f>CL73/'2024_gada_plāns'!CL73</f>
        <v>-0.11098398169336385</v>
      </c>
      <c r="DG73" s="1884"/>
      <c r="DH73" s="1885" t="s">
        <v>38</v>
      </c>
      <c r="DI73" s="1882"/>
      <c r="DJ73" s="1987">
        <f>CP73/'2024_gada_plāns'!CP73</f>
        <v>-0.11098398169336385</v>
      </c>
      <c r="DK73" s="1885"/>
      <c r="DL73" s="1914" t="s">
        <v>38</v>
      </c>
      <c r="DM73" s="1915"/>
      <c r="DN73" s="1888" t="s">
        <v>38</v>
      </c>
      <c r="DO73" s="1885"/>
      <c r="DP73" s="1914" t="s">
        <v>38</v>
      </c>
      <c r="DQ73" s="1915"/>
      <c r="DR73" s="1883">
        <f>CX73/'2024_gada_plāns'!CX73</f>
        <v>-0.10729205470704065</v>
      </c>
      <c r="DS73" s="1906"/>
    </row>
    <row r="74" spans="1:123" s="990" customFormat="1" ht="15.75" customHeight="1" x14ac:dyDescent="0.25">
      <c r="A74" s="83"/>
      <c r="B74" s="987"/>
      <c r="C74" s="988" t="s">
        <v>41</v>
      </c>
      <c r="D74" s="234">
        <v>16.3</v>
      </c>
      <c r="E74" s="228"/>
      <c r="F74" s="246">
        <v>7.4667888227210261E-3</v>
      </c>
      <c r="G74" s="228"/>
      <c r="H74" s="293" t="s">
        <v>38</v>
      </c>
      <c r="I74" s="230" t="s">
        <v>38</v>
      </c>
      <c r="J74" s="298">
        <v>1123</v>
      </c>
      <c r="K74" s="507"/>
      <c r="L74" s="409" t="s">
        <v>38</v>
      </c>
      <c r="M74" s="559" t="s">
        <v>38</v>
      </c>
      <c r="N74" s="506">
        <v>1123</v>
      </c>
      <c r="O74" s="507"/>
      <c r="P74" s="293" t="s">
        <v>38</v>
      </c>
      <c r="Q74" s="230" t="s">
        <v>38</v>
      </c>
      <c r="R74" s="506">
        <v>0</v>
      </c>
      <c r="S74" s="208"/>
      <c r="T74" s="293" t="s">
        <v>38</v>
      </c>
      <c r="U74" s="230" t="s">
        <v>38</v>
      </c>
      <c r="V74" s="509">
        <v>68.895705521472394</v>
      </c>
      <c r="W74" s="509"/>
      <c r="X74" s="234">
        <v>16.8</v>
      </c>
      <c r="Y74" s="228"/>
      <c r="Z74" s="246">
        <v>7.6923076923076927E-3</v>
      </c>
      <c r="AA74" s="228"/>
      <c r="AB74" s="293" t="s">
        <v>38</v>
      </c>
      <c r="AC74" s="230" t="s">
        <v>38</v>
      </c>
      <c r="AD74" s="298">
        <v>1179</v>
      </c>
      <c r="AE74" s="507"/>
      <c r="AF74" s="409" t="s">
        <v>38</v>
      </c>
      <c r="AG74" s="559" t="s">
        <v>38</v>
      </c>
      <c r="AH74" s="506">
        <v>1179</v>
      </c>
      <c r="AI74" s="507"/>
      <c r="AJ74" s="293" t="s">
        <v>38</v>
      </c>
      <c r="AK74" s="230" t="s">
        <v>38</v>
      </c>
      <c r="AL74" s="506">
        <v>0</v>
      </c>
      <c r="AM74" s="208"/>
      <c r="AN74" s="293" t="s">
        <v>38</v>
      </c>
      <c r="AO74" s="230" t="s">
        <v>38</v>
      </c>
      <c r="AP74" s="509">
        <v>70.178571428571431</v>
      </c>
      <c r="AQ74" s="509"/>
      <c r="AR74" s="1440">
        <f>'2024_ar_grozījumiem'!AR74-'2024_gada_plāns'!AR74</f>
        <v>-9.9999999999999645E-2</v>
      </c>
      <c r="AS74" s="1441"/>
      <c r="AT74" s="2170">
        <f>'2024_ar_grozījumiem'!AT74-'2024_gada_plāns'!AT74</f>
        <v>-4.5808520384791294E-5</v>
      </c>
      <c r="AU74" s="1441"/>
      <c r="AV74" s="1107" t="s">
        <v>38</v>
      </c>
      <c r="AW74" s="1449"/>
      <c r="AX74" s="1115">
        <f>'2024_ar_grozījumiem'!AX74-'2024_gada_plāns'!AX74</f>
        <v>-223</v>
      </c>
      <c r="AY74" s="1469"/>
      <c r="AZ74" s="1117" t="s">
        <v>38</v>
      </c>
      <c r="BA74" s="1468"/>
      <c r="BB74" s="1173">
        <f>'2024_ar_grozījumiem'!BB74-'2024_gada_plāns'!BB74</f>
        <v>-223</v>
      </c>
      <c r="BC74" s="1469"/>
      <c r="BD74" s="1107" t="s">
        <v>38</v>
      </c>
      <c r="BE74" s="1449"/>
      <c r="BF74" s="1173">
        <f>'2024_ar_grozījumiem'!BF74-'2024_gada_plāns'!BF74</f>
        <v>0</v>
      </c>
      <c r="BG74" s="1175"/>
      <c r="BH74" s="1107" t="s">
        <v>38</v>
      </c>
      <c r="BI74" s="1449"/>
      <c r="BJ74" s="1110">
        <f>'2024_ar_grozījumiem'!BJ74-'2024_gada_plāns'!BJ74</f>
        <v>-14.062473474238189</v>
      </c>
      <c r="BK74" s="1110"/>
      <c r="BL74" s="1283">
        <f>'2024_ar_grozījumiem'!BL74-'2024_gada_plāns'!BL74</f>
        <v>-0.19999999999999929</v>
      </c>
      <c r="BM74" s="1087"/>
      <c r="BN74" s="1087">
        <f>'2024_ar_grozījumiem'!BN74-'2024_gada_plāns'!BN74</f>
        <v>-9.0538705296513283E-5</v>
      </c>
      <c r="BO74" s="1087"/>
      <c r="BP74" s="1285" t="s">
        <v>38</v>
      </c>
      <c r="BQ74" s="1108"/>
      <c r="BR74" s="1292">
        <f>'2024_ar_grozījumiem'!BR74-'2024_gada_plāns'!BR74</f>
        <v>-185</v>
      </c>
      <c r="BS74" s="1094"/>
      <c r="BT74" s="1293" t="s">
        <v>38</v>
      </c>
      <c r="BU74" s="1118"/>
      <c r="BV74" s="1176">
        <f>'2024_ar_grozījumiem'!BV74-'2024_gada_plāns'!BV74</f>
        <v>-185</v>
      </c>
      <c r="BW74" s="1094"/>
      <c r="BX74" s="1285" t="s">
        <v>38</v>
      </c>
      <c r="BY74" s="1108"/>
      <c r="BZ74" s="1176">
        <f>'2024_ar_grozījumiem'!BZ74-'2024_gada_plāns'!BZ74</f>
        <v>0</v>
      </c>
      <c r="CA74" s="1091"/>
      <c r="CB74" s="1285" t="s">
        <v>38</v>
      </c>
      <c r="CC74" s="1108"/>
      <c r="CD74" s="1191">
        <f>'2024_ar_grozījumiem'!CD74-'2024_gada_plāns'!CD74</f>
        <v>-9.5476190476190581</v>
      </c>
      <c r="CE74" s="1191"/>
      <c r="CF74" s="1330">
        <f>'2024_ar_grozījumiem'!CF74-'2024_gada_plāns'!CF74</f>
        <v>-0.30000000000001137</v>
      </c>
      <c r="CG74" s="1091"/>
      <c r="CH74" s="1088">
        <f>'2024_ar_grozījumiem'!CH74-'2024_gada_plāns'!CH74</f>
        <v>-3.4246575342467174E-5</v>
      </c>
      <c r="CI74" s="1359"/>
      <c r="CJ74" s="1293" t="s">
        <v>38</v>
      </c>
      <c r="CK74" s="1118"/>
      <c r="CL74" s="1176">
        <f>'2024_ar_grozījumiem'!CL74-'2024_gada_plāns'!CL74</f>
        <v>-408</v>
      </c>
      <c r="CM74" s="1169"/>
      <c r="CN74" s="1094" t="s">
        <v>38</v>
      </c>
      <c r="CO74" s="1118"/>
      <c r="CP74" s="1095">
        <f>'2024_ar_grozījumiem'!CP74-'2024_gada_plāns'!CP74</f>
        <v>-408</v>
      </c>
      <c r="CQ74" s="1091"/>
      <c r="CR74" s="1293" t="s">
        <v>38</v>
      </c>
      <c r="CS74" s="1118"/>
      <c r="CT74" s="1176">
        <f>'2024_ar_grozījumiem'!CT74-'2024_gada_plāns'!CT74</f>
        <v>0</v>
      </c>
      <c r="CU74" s="1091"/>
      <c r="CV74" s="1293" t="s">
        <v>38</v>
      </c>
      <c r="CW74" s="1118"/>
      <c r="CX74" s="1176">
        <f>'2024_ar_grozījumiem'!CX74-'2024_gada_plāns'!CX74</f>
        <v>-5.8258069760300515</v>
      </c>
      <c r="CY74" s="1357"/>
      <c r="CZ74" s="2014">
        <f>CF74/'2024_gada_plāns'!CF74</f>
        <v>-4.4977511244379516E-3</v>
      </c>
      <c r="DA74" s="1885"/>
      <c r="DB74" s="1902">
        <f>CH74/'2024_gada_plāns'!CH74</f>
        <v>-4.4977511244379672E-3</v>
      </c>
      <c r="DC74" s="1911"/>
      <c r="DD74" s="1914" t="s">
        <v>38</v>
      </c>
      <c r="DE74" s="1915"/>
      <c r="DF74" s="1883">
        <f>CL74/'2024_gada_plāns'!CL74</f>
        <v>-8.6697832554186144E-2</v>
      </c>
      <c r="DG74" s="1884"/>
      <c r="DH74" s="1916" t="s">
        <v>38</v>
      </c>
      <c r="DI74" s="1915"/>
      <c r="DJ74" s="1987">
        <f>CP74/'2024_gada_plāns'!CP74</f>
        <v>-8.6697832554186144E-2</v>
      </c>
      <c r="DK74" s="1885"/>
      <c r="DL74" s="1914" t="s">
        <v>38</v>
      </c>
      <c r="DM74" s="1915"/>
      <c r="DN74" s="1888" t="s">
        <v>38</v>
      </c>
      <c r="DO74" s="1885"/>
      <c r="DP74" s="1914" t="s">
        <v>38</v>
      </c>
      <c r="DQ74" s="1915"/>
      <c r="DR74" s="1883">
        <f>CX74/'2024_gada_plāns'!CX74</f>
        <v>-8.2571467339822444E-2</v>
      </c>
      <c r="DS74" s="1906"/>
    </row>
    <row r="75" spans="1:123" ht="15.75" customHeight="1" x14ac:dyDescent="0.25">
      <c r="A75" s="83"/>
      <c r="B75" s="20"/>
      <c r="C75" s="988" t="s">
        <v>42</v>
      </c>
      <c r="D75" s="234">
        <v>14.4</v>
      </c>
      <c r="E75" s="228"/>
      <c r="F75" s="246">
        <v>6.5964269354099863E-3</v>
      </c>
      <c r="G75" s="228"/>
      <c r="H75" s="293" t="s">
        <v>38</v>
      </c>
      <c r="I75" s="230" t="s">
        <v>38</v>
      </c>
      <c r="J75" s="298">
        <v>1232</v>
      </c>
      <c r="K75" s="507"/>
      <c r="L75" s="409" t="s">
        <v>38</v>
      </c>
      <c r="M75" s="559" t="s">
        <v>38</v>
      </c>
      <c r="N75" s="506">
        <v>1232</v>
      </c>
      <c r="O75" s="522"/>
      <c r="P75" s="293" t="s">
        <v>38</v>
      </c>
      <c r="Q75" s="230" t="s">
        <v>38</v>
      </c>
      <c r="R75" s="506">
        <v>0</v>
      </c>
      <c r="S75" s="208"/>
      <c r="T75" s="293" t="s">
        <v>38</v>
      </c>
      <c r="U75" s="230" t="s">
        <v>38</v>
      </c>
      <c r="V75" s="509">
        <v>85.555555555555557</v>
      </c>
      <c r="W75" s="509"/>
      <c r="X75" s="234">
        <v>14.4</v>
      </c>
      <c r="Y75" s="228"/>
      <c r="Z75" s="246">
        <v>6.5934065934065934E-3</v>
      </c>
      <c r="AA75" s="228"/>
      <c r="AB75" s="293" t="s">
        <v>38</v>
      </c>
      <c r="AC75" s="230" t="s">
        <v>38</v>
      </c>
      <c r="AD75" s="298">
        <v>1258</v>
      </c>
      <c r="AE75" s="507"/>
      <c r="AF75" s="409" t="s">
        <v>38</v>
      </c>
      <c r="AG75" s="559" t="s">
        <v>38</v>
      </c>
      <c r="AH75" s="506">
        <v>1258</v>
      </c>
      <c r="AI75" s="522"/>
      <c r="AJ75" s="293" t="s">
        <v>38</v>
      </c>
      <c r="AK75" s="230" t="s">
        <v>38</v>
      </c>
      <c r="AL75" s="506">
        <v>0</v>
      </c>
      <c r="AM75" s="208"/>
      <c r="AN75" s="293" t="s">
        <v>38</v>
      </c>
      <c r="AO75" s="230" t="s">
        <v>38</v>
      </c>
      <c r="AP75" s="509">
        <v>87.361111111111114</v>
      </c>
      <c r="AQ75" s="509"/>
      <c r="AR75" s="1440">
        <f>'2024_ar_grozījumiem'!AR75-'2024_gada_plāns'!AR75</f>
        <v>-0.10000000000000142</v>
      </c>
      <c r="AS75" s="1441"/>
      <c r="AT75" s="2170">
        <f>'2024_ar_grozījumiem'!AT75-'2024_gada_plāns'!AT75</f>
        <v>-4.5808520384792162E-5</v>
      </c>
      <c r="AU75" s="1441"/>
      <c r="AV75" s="1107" t="s">
        <v>38</v>
      </c>
      <c r="AW75" s="1449"/>
      <c r="AX75" s="1115">
        <f>'2024_ar_grozījumiem'!AX75-'2024_gada_plāns'!AX75</f>
        <v>-68</v>
      </c>
      <c r="AY75" s="1469"/>
      <c r="AZ75" s="1117" t="s">
        <v>38</v>
      </c>
      <c r="BA75" s="1468"/>
      <c r="BB75" s="1173">
        <f>'2024_ar_grozījumiem'!BB75-'2024_gada_plāns'!BB75</f>
        <v>-68</v>
      </c>
      <c r="BC75" s="1656"/>
      <c r="BD75" s="1107" t="s">
        <v>38</v>
      </c>
      <c r="BE75" s="1449"/>
      <c r="BF75" s="1173">
        <f>'2024_ar_grozījumiem'!BF75-'2024_gada_plāns'!BF75</f>
        <v>0</v>
      </c>
      <c r="BG75" s="1175"/>
      <c r="BH75" s="1107" t="s">
        <v>38</v>
      </c>
      <c r="BI75" s="1449"/>
      <c r="BJ75" s="1110">
        <f>'2024_ar_grozījumiem'!BJ75-'2024_gada_plāns'!BJ75</f>
        <v>-4.0512961941533234</v>
      </c>
      <c r="BK75" s="1110"/>
      <c r="BL75" s="1283">
        <f>'2024_ar_grozījumiem'!BL75-'2024_gada_plāns'!BL75</f>
        <v>0</v>
      </c>
      <c r="BM75" s="1087"/>
      <c r="BN75" s="1087">
        <f>'2024_ar_grozījumiem'!BN75-'2024_gada_plāns'!BN75</f>
        <v>0</v>
      </c>
      <c r="BO75" s="1087"/>
      <c r="BP75" s="1285" t="s">
        <v>38</v>
      </c>
      <c r="BQ75" s="1108"/>
      <c r="BR75" s="1292">
        <f>'2024_ar_grozījumiem'!BR75-'2024_gada_plāns'!BR75</f>
        <v>-67</v>
      </c>
      <c r="BS75" s="1094"/>
      <c r="BT75" s="1293" t="s">
        <v>38</v>
      </c>
      <c r="BU75" s="1118"/>
      <c r="BV75" s="1176">
        <f>'2024_ar_grozījumiem'!BV75-'2024_gada_plāns'!BV75</f>
        <v>-67</v>
      </c>
      <c r="BW75" s="1097"/>
      <c r="BX75" s="1285" t="s">
        <v>38</v>
      </c>
      <c r="BY75" s="1108"/>
      <c r="BZ75" s="1176">
        <f>'2024_ar_grozījumiem'!BZ75-'2024_gada_plāns'!BZ75</f>
        <v>0</v>
      </c>
      <c r="CA75" s="1091"/>
      <c r="CB75" s="1285" t="s">
        <v>38</v>
      </c>
      <c r="CC75" s="1108"/>
      <c r="CD75" s="1191">
        <f>'2024_ar_grozījumiem'!CD75-'2024_gada_plāns'!CD75</f>
        <v>-4.5890410958904084</v>
      </c>
      <c r="CE75" s="1191"/>
      <c r="CF75" s="1330">
        <f>'2024_ar_grozījumiem'!CF75-'2024_gada_plāns'!CF75</f>
        <v>-0.10000000000000142</v>
      </c>
      <c r="CG75" s="1091"/>
      <c r="CH75" s="1088">
        <f>'2024_ar_grozījumiem'!CH75-'2024_gada_plāns'!CH75</f>
        <v>-1.1415525114156014E-5</v>
      </c>
      <c r="CI75" s="1359"/>
      <c r="CJ75" s="1293" t="s">
        <v>38</v>
      </c>
      <c r="CK75" s="1118"/>
      <c r="CL75" s="1176">
        <f>'2024_ar_grozījumiem'!CL75-'2024_gada_plāns'!CL75</f>
        <v>-135</v>
      </c>
      <c r="CM75" s="1169"/>
      <c r="CN75" s="1094" t="s">
        <v>38</v>
      </c>
      <c r="CO75" s="1118"/>
      <c r="CP75" s="1095">
        <f>'2024_ar_grozījumiem'!CP75-'2024_gada_plāns'!CP75</f>
        <v>-135</v>
      </c>
      <c r="CQ75" s="1091"/>
      <c r="CR75" s="1293" t="s">
        <v>38</v>
      </c>
      <c r="CS75" s="1118"/>
      <c r="CT75" s="1176">
        <f>'2024_ar_grozījumiem'!CT75-'2024_gada_plāns'!CT75</f>
        <v>0</v>
      </c>
      <c r="CU75" s="1091"/>
      <c r="CV75" s="1293" t="s">
        <v>38</v>
      </c>
      <c r="CW75" s="1118"/>
      <c r="CX75" s="1176">
        <f>'2024_ar_grozījumiem'!CX75-'2024_gada_plāns'!CX75</f>
        <v>-2.1760680424200416</v>
      </c>
      <c r="CY75" s="1357"/>
      <c r="CZ75" s="2014">
        <f>CF75/'2024_gada_plāns'!CF75</f>
        <v>-1.7182130584192685E-3</v>
      </c>
      <c r="DA75" s="1885"/>
      <c r="DB75" s="1902">
        <f>CH75/'2024_gada_plāns'!CH75</f>
        <v>-1.7182130584193589E-3</v>
      </c>
      <c r="DC75" s="1911"/>
      <c r="DD75" s="1914" t="s">
        <v>38</v>
      </c>
      <c r="DE75" s="1915"/>
      <c r="DF75" s="1883">
        <f>CL75/'2024_gada_plāns'!CL75</f>
        <v>-2.706495589414595E-2</v>
      </c>
      <c r="DG75" s="1884"/>
      <c r="DH75" s="1916" t="s">
        <v>38</v>
      </c>
      <c r="DI75" s="1915"/>
      <c r="DJ75" s="1987">
        <f>CP75/'2024_gada_plāns'!CP75</f>
        <v>-2.706495589414595E-2</v>
      </c>
      <c r="DK75" s="1885"/>
      <c r="DL75" s="1914" t="s">
        <v>38</v>
      </c>
      <c r="DM75" s="1915"/>
      <c r="DN75" s="1888" t="s">
        <v>38</v>
      </c>
      <c r="DO75" s="1885"/>
      <c r="DP75" s="1914" t="s">
        <v>38</v>
      </c>
      <c r="DQ75" s="1915"/>
      <c r="DR75" s="1883">
        <f>CX75/'2024_gada_plāns'!CX75</f>
        <v>-2.5390368899127186E-2</v>
      </c>
      <c r="DS75" s="1906"/>
    </row>
    <row r="76" spans="1:123" s="1029" customFormat="1" ht="15.75" customHeight="1" x14ac:dyDescent="0.25">
      <c r="A76" s="84"/>
      <c r="B76" s="85"/>
      <c r="C76" s="1028" t="s">
        <v>43</v>
      </c>
      <c r="D76" s="350">
        <v>12.7</v>
      </c>
      <c r="E76" s="351"/>
      <c r="F76" s="352">
        <v>5.8176820888685291E-3</v>
      </c>
      <c r="G76" s="351"/>
      <c r="H76" s="353" t="s">
        <v>38</v>
      </c>
      <c r="I76" s="354" t="s">
        <v>38</v>
      </c>
      <c r="J76" s="355">
        <v>0</v>
      </c>
      <c r="K76" s="734"/>
      <c r="L76" s="420" t="s">
        <v>38</v>
      </c>
      <c r="M76" s="735" t="s">
        <v>38</v>
      </c>
      <c r="N76" s="736">
        <v>0</v>
      </c>
      <c r="O76" s="737"/>
      <c r="P76" s="353" t="s">
        <v>38</v>
      </c>
      <c r="Q76" s="354" t="s">
        <v>38</v>
      </c>
      <c r="R76" s="736">
        <v>0</v>
      </c>
      <c r="S76" s="738"/>
      <c r="T76" s="353" t="s">
        <v>38</v>
      </c>
      <c r="U76" s="354" t="s">
        <v>38</v>
      </c>
      <c r="V76" s="736">
        <v>0</v>
      </c>
      <c r="W76" s="739"/>
      <c r="X76" s="350">
        <v>12.8</v>
      </c>
      <c r="Y76" s="351"/>
      <c r="Z76" s="740">
        <v>5.8608058608058608E-3</v>
      </c>
      <c r="AA76" s="351"/>
      <c r="AB76" s="353" t="s">
        <v>38</v>
      </c>
      <c r="AC76" s="354" t="s">
        <v>38</v>
      </c>
      <c r="AD76" s="355">
        <v>0</v>
      </c>
      <c r="AE76" s="734"/>
      <c r="AF76" s="420" t="s">
        <v>38</v>
      </c>
      <c r="AG76" s="735" t="s">
        <v>38</v>
      </c>
      <c r="AH76" s="736">
        <v>0</v>
      </c>
      <c r="AI76" s="737"/>
      <c r="AJ76" s="353" t="s">
        <v>38</v>
      </c>
      <c r="AK76" s="354" t="s">
        <v>38</v>
      </c>
      <c r="AL76" s="736">
        <v>0</v>
      </c>
      <c r="AM76" s="738"/>
      <c r="AN76" s="353" t="s">
        <v>38</v>
      </c>
      <c r="AO76" s="354" t="s">
        <v>38</v>
      </c>
      <c r="AP76" s="736">
        <v>0</v>
      </c>
      <c r="AQ76" s="739"/>
      <c r="AR76" s="1579">
        <f>'2024_ar_grozījumiem'!AR76-'2024_gada_plāns'!AR76</f>
        <v>0</v>
      </c>
      <c r="AS76" s="1580"/>
      <c r="AT76" s="2171">
        <f>'2024_ar_grozījumiem'!AT76-'2024_gada_plāns'!AT76</f>
        <v>0</v>
      </c>
      <c r="AU76" s="1580"/>
      <c r="AV76" s="1192" t="s">
        <v>38</v>
      </c>
      <c r="AW76" s="1582"/>
      <c r="AX76" s="1584">
        <f>'2024_ar_grozījumiem'!AX76-'2024_gada_plāns'!AX76</f>
        <v>0</v>
      </c>
      <c r="AY76" s="1589"/>
      <c r="AZ76" s="1194" t="s">
        <v>38</v>
      </c>
      <c r="BA76" s="1587"/>
      <c r="BB76" s="1179">
        <f>'2024_ar_grozījumiem'!BB76-'2024_gada_plāns'!BB76</f>
        <v>0</v>
      </c>
      <c r="BC76" s="1674"/>
      <c r="BD76" s="1192" t="s">
        <v>38</v>
      </c>
      <c r="BE76" s="1582"/>
      <c r="BF76" s="1179">
        <f>'2024_ar_grozījumiem'!BF76-'2024_gada_plāns'!BF76</f>
        <v>0</v>
      </c>
      <c r="BG76" s="1182"/>
      <c r="BH76" s="1192" t="s">
        <v>38</v>
      </c>
      <c r="BI76" s="1582"/>
      <c r="BJ76" s="1179">
        <f>'2024_ar_grozījumiem'!BJ76-'2024_gada_plāns'!BJ76</f>
        <v>0</v>
      </c>
      <c r="BK76" s="1675"/>
      <c r="BL76" s="1316">
        <f>'2024_ar_grozījumiem'!BL76-'2024_gada_plāns'!BL76</f>
        <v>-0.20000000000000107</v>
      </c>
      <c r="BM76" s="1177"/>
      <c r="BN76" s="1177">
        <f>'2024_ar_grozījumiem'!BN76-'2024_gada_plāns'!BN76</f>
        <v>-9.0538705296515018E-5</v>
      </c>
      <c r="BO76" s="1177"/>
      <c r="BP76" s="1317" t="s">
        <v>38</v>
      </c>
      <c r="BQ76" s="1180"/>
      <c r="BR76" s="1318">
        <f>'2024_ar_grozījumiem'!BR76-'2024_gada_plāns'!BR76</f>
        <v>0</v>
      </c>
      <c r="BS76" s="1193"/>
      <c r="BT76" s="1319" t="s">
        <v>38</v>
      </c>
      <c r="BU76" s="1195"/>
      <c r="BV76" s="1183">
        <f>'2024_ar_grozījumiem'!BV76-'2024_gada_plāns'!BV76</f>
        <v>0</v>
      </c>
      <c r="BW76" s="1196"/>
      <c r="BX76" s="1317" t="s">
        <v>38</v>
      </c>
      <c r="BY76" s="1180"/>
      <c r="BZ76" s="1183">
        <f>'2024_ar_grozījumiem'!BZ76-'2024_gada_plāns'!BZ76</f>
        <v>0</v>
      </c>
      <c r="CA76" s="1197"/>
      <c r="CB76" s="1317" t="s">
        <v>38</v>
      </c>
      <c r="CC76" s="1180"/>
      <c r="CD76" s="1183">
        <f>'2024_ar_grozījumiem'!CD76-'2024_gada_plāns'!CD76</f>
        <v>0</v>
      </c>
      <c r="CE76" s="1198"/>
      <c r="CF76" s="1296">
        <f>'2024_ar_grozījumiem'!CF76-'2024_gada_plāns'!CF76</f>
        <v>-0.20000000000000284</v>
      </c>
      <c r="CG76" s="1197"/>
      <c r="CH76" s="1393">
        <f>'2024_ar_grozījumiem'!CH76-'2024_gada_plāns'!CH76</f>
        <v>-2.2831050228310293E-5</v>
      </c>
      <c r="CI76" s="1400"/>
      <c r="CJ76" s="1319" t="s">
        <v>38</v>
      </c>
      <c r="CK76" s="1195"/>
      <c r="CL76" s="1183">
        <f>'2024_ar_grozījumiem'!CL76-'2024_gada_plāns'!CL76</f>
        <v>0</v>
      </c>
      <c r="CM76" s="1367"/>
      <c r="CN76" s="1193" t="s">
        <v>38</v>
      </c>
      <c r="CO76" s="1195"/>
      <c r="CP76" s="1312">
        <f>'2024_ar_grozījumiem'!CP76-'2024_gada_plāns'!CP76</f>
        <v>0</v>
      </c>
      <c r="CQ76" s="1197"/>
      <c r="CR76" s="1319" t="s">
        <v>38</v>
      </c>
      <c r="CS76" s="1195"/>
      <c r="CT76" s="1183">
        <f>'2024_ar_grozījumiem'!CT76-'2024_gada_plāns'!CT76</f>
        <v>0</v>
      </c>
      <c r="CU76" s="1197"/>
      <c r="CV76" s="1319" t="s">
        <v>38</v>
      </c>
      <c r="CW76" s="1195"/>
      <c r="CX76" s="1183">
        <f>'2024_ar_grozījumiem'!CX76-'2024_gada_plāns'!CX76</f>
        <v>0</v>
      </c>
      <c r="CY76" s="1401"/>
      <c r="CZ76" s="1927">
        <f>CF76/'2024_gada_plāns'!CF76</f>
        <v>-3.9062500000000555E-3</v>
      </c>
      <c r="DA76" s="1999"/>
      <c r="DB76" s="2015">
        <f>CH76/'2024_gada_plāns'!CH76</f>
        <v>-3.906249999999964E-3</v>
      </c>
      <c r="DC76" s="2016"/>
      <c r="DD76" s="2017" t="s">
        <v>38</v>
      </c>
      <c r="DE76" s="2018"/>
      <c r="DF76" s="2001" t="s">
        <v>38</v>
      </c>
      <c r="DG76" s="1933"/>
      <c r="DH76" s="2019" t="s">
        <v>38</v>
      </c>
      <c r="DI76" s="2018"/>
      <c r="DJ76" s="2020" t="s">
        <v>38</v>
      </c>
      <c r="DK76" s="1999"/>
      <c r="DL76" s="2017" t="s">
        <v>38</v>
      </c>
      <c r="DM76" s="2018"/>
      <c r="DN76" s="1993" t="s">
        <v>38</v>
      </c>
      <c r="DO76" s="1999"/>
      <c r="DP76" s="2017" t="s">
        <v>38</v>
      </c>
      <c r="DQ76" s="2018"/>
      <c r="DR76" s="1993" t="s">
        <v>38</v>
      </c>
      <c r="DS76" s="2021"/>
    </row>
    <row r="77" spans="1:123" s="1027" customFormat="1" ht="16.5" customHeight="1" x14ac:dyDescent="0.25">
      <c r="A77" s="2244" t="s">
        <v>62</v>
      </c>
      <c r="B77" s="81" t="s">
        <v>63</v>
      </c>
      <c r="C77" s="1026"/>
      <c r="D77" s="345">
        <v>24.8</v>
      </c>
      <c r="E77" s="346"/>
      <c r="F77" s="216">
        <v>2.2551810055561113E-3</v>
      </c>
      <c r="G77" s="346"/>
      <c r="H77" s="347" t="s">
        <v>38</v>
      </c>
      <c r="I77" s="348" t="s">
        <v>38</v>
      </c>
      <c r="J77" s="349">
        <v>327</v>
      </c>
      <c r="K77" s="709"/>
      <c r="L77" s="419" t="s">
        <v>38</v>
      </c>
      <c r="M77" s="756" t="s">
        <v>38</v>
      </c>
      <c r="N77" s="757">
        <v>327</v>
      </c>
      <c r="O77" s="758"/>
      <c r="P77" s="347" t="s">
        <v>38</v>
      </c>
      <c r="Q77" s="348" t="s">
        <v>38</v>
      </c>
      <c r="R77" s="759">
        <v>0</v>
      </c>
      <c r="S77" s="758"/>
      <c r="T77" s="347" t="s">
        <v>38</v>
      </c>
      <c r="U77" s="348" t="s">
        <v>38</v>
      </c>
      <c r="V77" s="713">
        <v>13.185483870967742</v>
      </c>
      <c r="W77" s="713"/>
      <c r="X77" s="345">
        <v>27.9</v>
      </c>
      <c r="Y77" s="346"/>
      <c r="Z77" s="252">
        <v>2.5359256128486898E-3</v>
      </c>
      <c r="AA77" s="346"/>
      <c r="AB77" s="347" t="s">
        <v>38</v>
      </c>
      <c r="AC77" s="348" t="s">
        <v>38</v>
      </c>
      <c r="AD77" s="349">
        <v>420</v>
      </c>
      <c r="AE77" s="709"/>
      <c r="AF77" s="419" t="s">
        <v>38</v>
      </c>
      <c r="AG77" s="756" t="s">
        <v>38</v>
      </c>
      <c r="AH77" s="757">
        <v>420</v>
      </c>
      <c r="AI77" s="758"/>
      <c r="AJ77" s="347" t="s">
        <v>38</v>
      </c>
      <c r="AK77" s="348" t="s">
        <v>38</v>
      </c>
      <c r="AL77" s="759">
        <v>0</v>
      </c>
      <c r="AM77" s="758"/>
      <c r="AN77" s="347" t="s">
        <v>38</v>
      </c>
      <c r="AO77" s="348" t="s">
        <v>38</v>
      </c>
      <c r="AP77" s="713">
        <v>15.053763440860216</v>
      </c>
      <c r="AQ77" s="713"/>
      <c r="AR77" s="1567">
        <f>'2024_ar_grozījumiem'!AR77-'2024_gada_plāns'!AR77</f>
        <v>0.10000000000000142</v>
      </c>
      <c r="AS77" s="1568"/>
      <c r="AT77" s="2172">
        <f>'2024_ar_grozījumiem'!AT77-'2024_gada_plāns'!AT77</f>
        <v>9.003412293259478E-6</v>
      </c>
      <c r="AU77" s="1568"/>
      <c r="AV77" s="1185" t="s">
        <v>38</v>
      </c>
      <c r="AW77" s="1570"/>
      <c r="AX77" s="1185">
        <f>'2024_ar_grozījumiem'!AX77-'2024_gada_plāns'!AX77</f>
        <v>-80</v>
      </c>
      <c r="AY77" s="1571"/>
      <c r="AZ77" s="1188" t="s">
        <v>38</v>
      </c>
      <c r="BA77" s="1575"/>
      <c r="BB77" s="1679">
        <f>'2024_ar_grozījumiem'!BB77-'2024_gada_plāns'!BB77</f>
        <v>-80</v>
      </c>
      <c r="BC77" s="1678"/>
      <c r="BD77" s="1185" t="s">
        <v>38</v>
      </c>
      <c r="BE77" s="1570"/>
      <c r="BF77" s="1679">
        <f>'2024_ar_grozījumiem'!BF77-'2024_gada_plāns'!BF77</f>
        <v>0</v>
      </c>
      <c r="BG77" s="1678"/>
      <c r="BH77" s="1185" t="s">
        <v>38</v>
      </c>
      <c r="BI77" s="1570"/>
      <c r="BJ77" s="1188">
        <f>'2024_ar_grozījumiem'!BJ77-'2024_gada_plāns'!BJ77</f>
        <v>-3.2835967088938229</v>
      </c>
      <c r="BK77" s="1188"/>
      <c r="BL77" s="1313">
        <f>'2024_ar_grozījumiem'!BL77-'2024_gada_plāns'!BL77</f>
        <v>0.20000000000000284</v>
      </c>
      <c r="BM77" s="1184"/>
      <c r="BN77" s="1184">
        <f>'2024_ar_grozījumiem'!BN77-'2024_gada_plāns'!BN77</f>
        <v>1.8023051482846889E-5</v>
      </c>
      <c r="BO77" s="1184"/>
      <c r="BP77" s="1314" t="s">
        <v>38</v>
      </c>
      <c r="BQ77" s="1186"/>
      <c r="BR77" s="1314">
        <f>'2024_ar_grozījumiem'!BR77-'2024_gada_plāns'!BR77</f>
        <v>-43</v>
      </c>
      <c r="BS77" s="1187"/>
      <c r="BT77" s="1190" t="s">
        <v>38</v>
      </c>
      <c r="BU77" s="1189"/>
      <c r="BV77" s="1320">
        <f>'2024_ar_grozījumiem'!BV77-'2024_gada_plāns'!BV77</f>
        <v>-43</v>
      </c>
      <c r="BW77" s="1199"/>
      <c r="BX77" s="1314" t="s">
        <v>38</v>
      </c>
      <c r="BY77" s="1186"/>
      <c r="BZ77" s="1320">
        <f>'2024_ar_grozījumiem'!BZ77-'2024_gada_plāns'!BZ77</f>
        <v>0</v>
      </c>
      <c r="CA77" s="1199"/>
      <c r="CB77" s="1314" t="s">
        <v>38</v>
      </c>
      <c r="CC77" s="1186"/>
      <c r="CD77" s="1190">
        <f>'2024_ar_grozījumiem'!CD77-'2024_gada_plāns'!CD77</f>
        <v>-1.7830167086289777</v>
      </c>
      <c r="CE77" s="1190"/>
      <c r="CF77" s="1313">
        <f>'2024_ar_grozījumiem'!CF77-'2024_gada_plāns'!CF77</f>
        <v>0.30000000000001137</v>
      </c>
      <c r="CG77" s="1187"/>
      <c r="CH77" s="1396">
        <f>'2024_ar_grozījumiem'!CH77-'2024_gada_plāns'!CH77</f>
        <v>6.7869310855020459E-6</v>
      </c>
      <c r="CI77" s="1402"/>
      <c r="CJ77" s="1190" t="s">
        <v>38</v>
      </c>
      <c r="CK77" s="1189"/>
      <c r="CL77" s="1315">
        <f>'2024_ar_grozījumiem'!CL77-'2024_gada_plāns'!CL77</f>
        <v>-123</v>
      </c>
      <c r="CM77" s="1398"/>
      <c r="CN77" s="1187" t="s">
        <v>38</v>
      </c>
      <c r="CO77" s="1189"/>
      <c r="CP77" s="1190">
        <f>'2024_ar_grozījumiem'!CP77-'2024_gada_plāns'!CP77</f>
        <v>-123</v>
      </c>
      <c r="CQ77" s="1187"/>
      <c r="CR77" s="1190" t="s">
        <v>38</v>
      </c>
      <c r="CS77" s="1189"/>
      <c r="CT77" s="1315">
        <f>'2024_ar_grozījumiem'!CT77-'2024_gada_plāns'!CT77</f>
        <v>0</v>
      </c>
      <c r="CU77" s="1187"/>
      <c r="CV77" s="1190" t="s">
        <v>38</v>
      </c>
      <c r="CW77" s="1189"/>
      <c r="CX77" s="1315">
        <f>'2024_ar_grozījumiem'!CX77-'2024_gada_plāns'!CX77</f>
        <v>-1.2331344497932086</v>
      </c>
      <c r="CY77" s="1399"/>
      <c r="CZ77" s="2003">
        <f>CF77/'2024_gada_plāns'!CF77</f>
        <v>2.9154518950438423E-3</v>
      </c>
      <c r="DA77" s="2004"/>
      <c r="DB77" s="2005">
        <f>CH77/'2024_gada_plāns'!CH77</f>
        <v>2.9154518950438558E-3</v>
      </c>
      <c r="DC77" s="2022"/>
      <c r="DD77" s="2012" t="s">
        <v>38</v>
      </c>
      <c r="DE77" s="2008"/>
      <c r="DF77" s="2009">
        <f>CL77/'2024_gada_plāns'!CL77</f>
        <v>-8.4188911704312114E-2</v>
      </c>
      <c r="DG77" s="2010"/>
      <c r="DH77" s="2004" t="s">
        <v>38</v>
      </c>
      <c r="DI77" s="2008"/>
      <c r="DJ77" s="2011">
        <f>CP77/'2024_gada_plāns'!CP77</f>
        <v>-8.4188911704312114E-2</v>
      </c>
      <c r="DK77" s="2004"/>
      <c r="DL77" s="2012" t="s">
        <v>38</v>
      </c>
      <c r="DM77" s="2008"/>
      <c r="DN77" s="2007" t="s">
        <v>38</v>
      </c>
      <c r="DO77" s="2004"/>
      <c r="DP77" s="2012" t="s">
        <v>38</v>
      </c>
      <c r="DQ77" s="2008"/>
      <c r="DR77" s="2009">
        <f>CX77/'2024_gada_plāns'!CX77</f>
        <v>-8.6851153240055545E-2</v>
      </c>
      <c r="DS77" s="2013"/>
    </row>
    <row r="78" spans="1:123" s="940" customFormat="1" ht="15.75" customHeight="1" x14ac:dyDescent="0.25">
      <c r="A78" s="2242"/>
      <c r="B78" s="23"/>
      <c r="C78" s="988" t="s">
        <v>39</v>
      </c>
      <c r="D78" s="234">
        <v>7.2</v>
      </c>
      <c r="E78" s="228"/>
      <c r="F78" s="246">
        <v>3.2982134677049932E-3</v>
      </c>
      <c r="G78" s="228"/>
      <c r="H78" s="293" t="s">
        <v>38</v>
      </c>
      <c r="I78" s="230" t="s">
        <v>38</v>
      </c>
      <c r="J78" s="298">
        <v>97</v>
      </c>
      <c r="K78" s="507"/>
      <c r="L78" s="409" t="s">
        <v>38</v>
      </c>
      <c r="M78" s="559" t="s">
        <v>38</v>
      </c>
      <c r="N78" s="556">
        <v>97</v>
      </c>
      <c r="O78" s="208"/>
      <c r="P78" s="293" t="s">
        <v>38</v>
      </c>
      <c r="Q78" s="230" t="s">
        <v>38</v>
      </c>
      <c r="R78" s="556">
        <v>0</v>
      </c>
      <c r="S78" s="507"/>
      <c r="T78" s="293" t="s">
        <v>38</v>
      </c>
      <c r="U78" s="230" t="s">
        <v>38</v>
      </c>
      <c r="V78" s="509">
        <v>13.472222222222221</v>
      </c>
      <c r="W78" s="509"/>
      <c r="X78" s="234">
        <v>10.4</v>
      </c>
      <c r="Y78" s="228"/>
      <c r="Z78" s="246">
        <v>4.7619047619047623E-3</v>
      </c>
      <c r="AA78" s="228"/>
      <c r="AB78" s="293" t="s">
        <v>38</v>
      </c>
      <c r="AC78" s="230" t="s">
        <v>38</v>
      </c>
      <c r="AD78" s="298">
        <v>160</v>
      </c>
      <c r="AE78" s="507"/>
      <c r="AF78" s="409" t="s">
        <v>38</v>
      </c>
      <c r="AG78" s="559" t="s">
        <v>38</v>
      </c>
      <c r="AH78" s="556">
        <v>160</v>
      </c>
      <c r="AI78" s="208"/>
      <c r="AJ78" s="293" t="s">
        <v>38</v>
      </c>
      <c r="AK78" s="230" t="s">
        <v>38</v>
      </c>
      <c r="AL78" s="556">
        <v>0</v>
      </c>
      <c r="AM78" s="507"/>
      <c r="AN78" s="293" t="s">
        <v>38</v>
      </c>
      <c r="AO78" s="230" t="s">
        <v>38</v>
      </c>
      <c r="AP78" s="509">
        <v>15.384615384615383</v>
      </c>
      <c r="AQ78" s="509"/>
      <c r="AR78" s="1440">
        <f>'2024_ar_grozījumiem'!AR78-'2024_gada_plāns'!AR78</f>
        <v>0.20000000000000018</v>
      </c>
      <c r="AS78" s="1441"/>
      <c r="AT78" s="2170">
        <f>'2024_ar_grozījumiem'!AT78-'2024_gada_plāns'!AT78</f>
        <v>9.1617040769583023E-5</v>
      </c>
      <c r="AU78" s="1441"/>
      <c r="AV78" s="1107" t="s">
        <v>38</v>
      </c>
      <c r="AW78" s="1449"/>
      <c r="AX78" s="1115">
        <f>'2024_ar_grozījumiem'!AX78-'2024_gada_plāns'!AX78</f>
        <v>-34</v>
      </c>
      <c r="AY78" s="1469"/>
      <c r="AZ78" s="1117" t="s">
        <v>38</v>
      </c>
      <c r="BA78" s="1468"/>
      <c r="BB78" s="1657">
        <f>'2024_ar_grozījumiem'!BB78-'2024_gada_plāns'!BB78</f>
        <v>-34</v>
      </c>
      <c r="BC78" s="1175"/>
      <c r="BD78" s="1107" t="s">
        <v>38</v>
      </c>
      <c r="BE78" s="1449"/>
      <c r="BF78" s="1657">
        <f>'2024_ar_grozījumiem'!BF78-'2024_gada_plāns'!BF78</f>
        <v>0</v>
      </c>
      <c r="BG78" s="1469"/>
      <c r="BH78" s="1107" t="s">
        <v>38</v>
      </c>
      <c r="BI78" s="1449"/>
      <c r="BJ78" s="1110">
        <f>'2024_ar_grozījumiem'!BJ78-'2024_gada_plāns'!BJ78</f>
        <v>-5.1388888888888893</v>
      </c>
      <c r="BK78" s="1110"/>
      <c r="BL78" s="1283">
        <f>'2024_ar_grozījumiem'!BL78-'2024_gada_plāns'!BL78</f>
        <v>0.20000000000000018</v>
      </c>
      <c r="BM78" s="1087"/>
      <c r="BN78" s="1087">
        <f>'2024_ar_grozījumiem'!BN78-'2024_gada_plāns'!BN78</f>
        <v>9.0538705296514584E-5</v>
      </c>
      <c r="BO78" s="1087"/>
      <c r="BP78" s="1285" t="s">
        <v>38</v>
      </c>
      <c r="BQ78" s="1108"/>
      <c r="BR78" s="1292">
        <f>'2024_ar_grozījumiem'!BR78-'2024_gada_plāns'!BR78</f>
        <v>-25</v>
      </c>
      <c r="BS78" s="1094"/>
      <c r="BT78" s="1293" t="s">
        <v>38</v>
      </c>
      <c r="BU78" s="1118"/>
      <c r="BV78" s="1291">
        <f>'2024_ar_grozījumiem'!BV78-'2024_gada_plāns'!BV78</f>
        <v>-25</v>
      </c>
      <c r="BW78" s="1091"/>
      <c r="BX78" s="1285" t="s">
        <v>38</v>
      </c>
      <c r="BY78" s="1108"/>
      <c r="BZ78" s="1291">
        <f>'2024_ar_grozījumiem'!BZ78-'2024_gada_plāns'!BZ78</f>
        <v>0</v>
      </c>
      <c r="CA78" s="1094"/>
      <c r="CB78" s="1285" t="s">
        <v>38</v>
      </c>
      <c r="CC78" s="1108"/>
      <c r="CD78" s="1191">
        <f>'2024_ar_grozījumiem'!CD78-'2024_gada_plāns'!CD78</f>
        <v>-3.7725225225225216</v>
      </c>
      <c r="CE78" s="1191"/>
      <c r="CF78" s="1330">
        <f>'2024_ar_grozījumiem'!CF78-'2024_gada_plāns'!CF78</f>
        <v>0.40000000000000213</v>
      </c>
      <c r="CG78" s="1091"/>
      <c r="CH78" s="1088">
        <f>'2024_ar_grozījumiem'!CH78-'2024_gada_plāns'!CH78</f>
        <v>4.5662100456621019E-5</v>
      </c>
      <c r="CI78" s="1359"/>
      <c r="CJ78" s="1293" t="s">
        <v>38</v>
      </c>
      <c r="CK78" s="1118"/>
      <c r="CL78" s="1176">
        <f>'2024_ar_grozījumiem'!CL78-'2024_gada_plāns'!CL78</f>
        <v>-59</v>
      </c>
      <c r="CM78" s="1169"/>
      <c r="CN78" s="1094" t="s">
        <v>38</v>
      </c>
      <c r="CO78" s="1118"/>
      <c r="CP78" s="1095">
        <f>'2024_ar_grozījumiem'!CP78-'2024_gada_plāns'!CP78</f>
        <v>-59</v>
      </c>
      <c r="CQ78" s="1091"/>
      <c r="CR78" s="1293" t="s">
        <v>38</v>
      </c>
      <c r="CS78" s="1118"/>
      <c r="CT78" s="1176">
        <f>'2024_ar_grozījumiem'!CT78-'2024_gada_plāns'!CT78</f>
        <v>0</v>
      </c>
      <c r="CU78" s="1091"/>
      <c r="CV78" s="1293" t="s">
        <v>38</v>
      </c>
      <c r="CW78" s="1118"/>
      <c r="CX78" s="1176">
        <f>'2024_ar_grozījumiem'!CX78-'2024_gada_plāns'!CX78</f>
        <v>-2.0147271377788218</v>
      </c>
      <c r="CY78" s="1357"/>
      <c r="CZ78" s="2014">
        <f>CF78/'2024_gada_plāns'!CF78</f>
        <v>1.2578616352201324E-2</v>
      </c>
      <c r="DA78" s="1885"/>
      <c r="DB78" s="1902">
        <f>CH78/'2024_gada_plāns'!CH78</f>
        <v>1.2578616352201262E-2</v>
      </c>
      <c r="DC78" s="1911"/>
      <c r="DD78" s="1914" t="s">
        <v>38</v>
      </c>
      <c r="DE78" s="1915"/>
      <c r="DF78" s="1883">
        <f>CL78/'2024_gada_plāns'!CL78</f>
        <v>-0.12633832976445397</v>
      </c>
      <c r="DG78" s="1884"/>
      <c r="DH78" s="1916" t="s">
        <v>38</v>
      </c>
      <c r="DI78" s="1915"/>
      <c r="DJ78" s="1987">
        <f>CP78/'2024_gada_plāns'!CP78</f>
        <v>-0.12633832976445397</v>
      </c>
      <c r="DK78" s="1885"/>
      <c r="DL78" s="1914" t="s">
        <v>38</v>
      </c>
      <c r="DM78" s="1915"/>
      <c r="DN78" s="1888" t="s">
        <v>38</v>
      </c>
      <c r="DO78" s="1885"/>
      <c r="DP78" s="1914" t="s">
        <v>38</v>
      </c>
      <c r="DQ78" s="1915"/>
      <c r="DR78" s="1883">
        <f>CX78/'2024_gada_plāns'!CX78</f>
        <v>-0.13719126976738016</v>
      </c>
      <c r="DS78" s="1906"/>
    </row>
    <row r="79" spans="1:123" s="990" customFormat="1" ht="15.75" customHeight="1" x14ac:dyDescent="0.25">
      <c r="A79" s="2242"/>
      <c r="B79" s="987"/>
      <c r="C79" s="988" t="s">
        <v>40</v>
      </c>
      <c r="D79" s="234">
        <v>7</v>
      </c>
      <c r="E79" s="228"/>
      <c r="F79" s="246">
        <v>3.2065964269354101E-3</v>
      </c>
      <c r="G79" s="228"/>
      <c r="H79" s="293" t="s">
        <v>38</v>
      </c>
      <c r="I79" s="230" t="s">
        <v>38</v>
      </c>
      <c r="J79" s="298">
        <v>95</v>
      </c>
      <c r="K79" s="507"/>
      <c r="L79" s="409" t="s">
        <v>38</v>
      </c>
      <c r="M79" s="559" t="s">
        <v>38</v>
      </c>
      <c r="N79" s="506">
        <v>95</v>
      </c>
      <c r="O79" s="208"/>
      <c r="P79" s="293" t="s">
        <v>38</v>
      </c>
      <c r="Q79" s="230" t="s">
        <v>38</v>
      </c>
      <c r="R79" s="506">
        <v>0</v>
      </c>
      <c r="S79" s="507"/>
      <c r="T79" s="293" t="s">
        <v>38</v>
      </c>
      <c r="U79" s="230" t="s">
        <v>38</v>
      </c>
      <c r="V79" s="509">
        <v>13.571428571428571</v>
      </c>
      <c r="W79" s="509"/>
      <c r="X79" s="234">
        <v>7</v>
      </c>
      <c r="Y79" s="228"/>
      <c r="Z79" s="246">
        <v>3.205128205128205E-3</v>
      </c>
      <c r="AA79" s="228"/>
      <c r="AB79" s="293" t="s">
        <v>38</v>
      </c>
      <c r="AC79" s="230" t="s">
        <v>38</v>
      </c>
      <c r="AD79" s="298">
        <v>108</v>
      </c>
      <c r="AE79" s="507"/>
      <c r="AF79" s="409" t="s">
        <v>38</v>
      </c>
      <c r="AG79" s="559" t="s">
        <v>38</v>
      </c>
      <c r="AH79" s="506">
        <v>108</v>
      </c>
      <c r="AI79" s="208"/>
      <c r="AJ79" s="293" t="s">
        <v>38</v>
      </c>
      <c r="AK79" s="230" t="s">
        <v>38</v>
      </c>
      <c r="AL79" s="506">
        <v>0</v>
      </c>
      <c r="AM79" s="507"/>
      <c r="AN79" s="293" t="s">
        <v>38</v>
      </c>
      <c r="AO79" s="230" t="s">
        <v>38</v>
      </c>
      <c r="AP79" s="509">
        <v>15.428571428571429</v>
      </c>
      <c r="AQ79" s="509"/>
      <c r="AR79" s="1440">
        <f>'2024_ar_grozījumiem'!AR79-'2024_gada_plāns'!AR79</f>
        <v>0</v>
      </c>
      <c r="AS79" s="1441"/>
      <c r="AT79" s="2170">
        <f>'2024_ar_grozījumiem'!AT79-'2024_gada_plāns'!AT79</f>
        <v>0</v>
      </c>
      <c r="AU79" s="1441"/>
      <c r="AV79" s="1107" t="s">
        <v>38</v>
      </c>
      <c r="AW79" s="1449"/>
      <c r="AX79" s="1115">
        <f>'2024_ar_grozījumiem'!AX79-'2024_gada_plāns'!AX79</f>
        <v>0</v>
      </c>
      <c r="AY79" s="1469"/>
      <c r="AZ79" s="1117" t="s">
        <v>38</v>
      </c>
      <c r="BA79" s="1468"/>
      <c r="BB79" s="1173">
        <f>'2024_ar_grozījumiem'!BB79-'2024_gada_plāns'!BB79</f>
        <v>0</v>
      </c>
      <c r="BC79" s="1175"/>
      <c r="BD79" s="1107" t="s">
        <v>38</v>
      </c>
      <c r="BE79" s="1449"/>
      <c r="BF79" s="1173">
        <f>'2024_ar_grozījumiem'!BF79-'2024_gada_plāns'!BF79</f>
        <v>0</v>
      </c>
      <c r="BG79" s="1469"/>
      <c r="BH79" s="1107" t="s">
        <v>38</v>
      </c>
      <c r="BI79" s="1449"/>
      <c r="BJ79" s="1110">
        <f>'2024_ar_grozījumiem'!BJ79-'2024_gada_plāns'!BJ79</f>
        <v>0</v>
      </c>
      <c r="BK79" s="1110"/>
      <c r="BL79" s="1283">
        <f>'2024_ar_grozījumiem'!BL79-'2024_gada_plāns'!BL79</f>
        <v>0</v>
      </c>
      <c r="BM79" s="1087"/>
      <c r="BN79" s="1087">
        <f>'2024_ar_grozījumiem'!BN79-'2024_gada_plāns'!BN79</f>
        <v>0</v>
      </c>
      <c r="BO79" s="1087"/>
      <c r="BP79" s="1285" t="s">
        <v>38</v>
      </c>
      <c r="BQ79" s="1108"/>
      <c r="BR79" s="1292">
        <f>'2024_ar_grozījumiem'!BR79-'2024_gada_plāns'!BR79</f>
        <v>-18</v>
      </c>
      <c r="BS79" s="1094"/>
      <c r="BT79" s="1293" t="s">
        <v>38</v>
      </c>
      <c r="BU79" s="1118"/>
      <c r="BV79" s="1176">
        <f>'2024_ar_grozījumiem'!BV79-'2024_gada_plāns'!BV79</f>
        <v>-18</v>
      </c>
      <c r="BW79" s="1091"/>
      <c r="BX79" s="1285" t="s">
        <v>38</v>
      </c>
      <c r="BY79" s="1108"/>
      <c r="BZ79" s="1176">
        <f>'2024_ar_grozījumiem'!BZ79-'2024_gada_plāns'!BZ79</f>
        <v>0</v>
      </c>
      <c r="CA79" s="1094"/>
      <c r="CB79" s="1285" t="s">
        <v>38</v>
      </c>
      <c r="CC79" s="1108"/>
      <c r="CD79" s="1191">
        <f>'2024_ar_grozījumiem'!CD79-'2024_gada_plāns'!CD79</f>
        <v>-2.5</v>
      </c>
      <c r="CE79" s="1191"/>
      <c r="CF79" s="1330">
        <f>'2024_ar_grozījumiem'!CF79-'2024_gada_plāns'!CF79</f>
        <v>0</v>
      </c>
      <c r="CG79" s="1091"/>
      <c r="CH79" s="1088">
        <f>'2024_ar_grozījumiem'!CH79-'2024_gada_plāns'!CH79</f>
        <v>0</v>
      </c>
      <c r="CI79" s="1359"/>
      <c r="CJ79" s="1293" t="s">
        <v>38</v>
      </c>
      <c r="CK79" s="1118"/>
      <c r="CL79" s="1176">
        <f>'2024_ar_grozījumiem'!CL79-'2024_gada_plāns'!CL79</f>
        <v>-18</v>
      </c>
      <c r="CM79" s="1169"/>
      <c r="CN79" s="1094" t="s">
        <v>38</v>
      </c>
      <c r="CO79" s="1118"/>
      <c r="CP79" s="1095">
        <f>'2024_ar_grozījumiem'!CP79-'2024_gada_plāns'!CP79</f>
        <v>-18</v>
      </c>
      <c r="CQ79" s="1091"/>
      <c r="CR79" s="1293" t="s">
        <v>38</v>
      </c>
      <c r="CS79" s="1118"/>
      <c r="CT79" s="1176">
        <f>'2024_ar_grozījumiem'!CT79-'2024_gada_plāns'!CT79</f>
        <v>0</v>
      </c>
      <c r="CU79" s="1091"/>
      <c r="CV79" s="1293" t="s">
        <v>38</v>
      </c>
      <c r="CW79" s="1118"/>
      <c r="CX79" s="1176">
        <f>'2024_ar_grozījumiem'!CX79-'2024_gada_plāns'!CX79</f>
        <v>-0.63604240282685431</v>
      </c>
      <c r="CY79" s="1357"/>
      <c r="CZ79" s="2014">
        <f>CF79/'2024_gada_plāns'!CF79</f>
        <v>0</v>
      </c>
      <c r="DA79" s="1885"/>
      <c r="DB79" s="1902">
        <f>CH79/'2024_gada_plāns'!CH79</f>
        <v>0</v>
      </c>
      <c r="DC79" s="1911"/>
      <c r="DD79" s="1914" t="s">
        <v>38</v>
      </c>
      <c r="DE79" s="1915"/>
      <c r="DF79" s="1883">
        <f>CL79/'2024_gada_plāns'!CL79</f>
        <v>-4.4009779951100246E-2</v>
      </c>
      <c r="DG79" s="1884"/>
      <c r="DH79" s="1916" t="s">
        <v>38</v>
      </c>
      <c r="DI79" s="1915"/>
      <c r="DJ79" s="1987">
        <f>CP79/'2024_gada_plāns'!CP79</f>
        <v>-4.4009779951100246E-2</v>
      </c>
      <c r="DK79" s="1885"/>
      <c r="DL79" s="1914" t="s">
        <v>38</v>
      </c>
      <c r="DM79" s="1915"/>
      <c r="DN79" s="1888" t="s">
        <v>38</v>
      </c>
      <c r="DO79" s="1885"/>
      <c r="DP79" s="1914" t="s">
        <v>38</v>
      </c>
      <c r="DQ79" s="1915"/>
      <c r="DR79" s="1883">
        <f>CX79/'2024_gada_plāns'!CX79</f>
        <v>-4.4009779951100191E-2</v>
      </c>
      <c r="DS79" s="1906"/>
    </row>
    <row r="80" spans="1:123" s="990" customFormat="1" ht="15.75" customHeight="1" x14ac:dyDescent="0.25">
      <c r="A80" s="2242"/>
      <c r="B80" s="987"/>
      <c r="C80" s="988" t="s">
        <v>41</v>
      </c>
      <c r="D80" s="234">
        <v>6.3</v>
      </c>
      <c r="E80" s="228"/>
      <c r="F80" s="246">
        <v>2.8859367842418689E-3</v>
      </c>
      <c r="G80" s="228"/>
      <c r="H80" s="293" t="s">
        <v>38</v>
      </c>
      <c r="I80" s="230" t="s">
        <v>38</v>
      </c>
      <c r="J80" s="298">
        <v>84</v>
      </c>
      <c r="K80" s="507"/>
      <c r="L80" s="409" t="s">
        <v>38</v>
      </c>
      <c r="M80" s="559" t="s">
        <v>38</v>
      </c>
      <c r="N80" s="506">
        <v>84</v>
      </c>
      <c r="O80" s="208"/>
      <c r="P80" s="293" t="s">
        <v>38</v>
      </c>
      <c r="Q80" s="230" t="s">
        <v>38</v>
      </c>
      <c r="R80" s="506">
        <v>0</v>
      </c>
      <c r="S80" s="208"/>
      <c r="T80" s="293" t="s">
        <v>38</v>
      </c>
      <c r="U80" s="230" t="s">
        <v>38</v>
      </c>
      <c r="V80" s="509">
        <v>13.333333333333334</v>
      </c>
      <c r="W80" s="509"/>
      <c r="X80" s="234">
        <v>6.2</v>
      </c>
      <c r="Y80" s="228"/>
      <c r="Z80" s="246">
        <v>2.8388278388278387E-3</v>
      </c>
      <c r="AA80" s="228"/>
      <c r="AB80" s="293" t="s">
        <v>38</v>
      </c>
      <c r="AC80" s="230" t="s">
        <v>38</v>
      </c>
      <c r="AD80" s="298">
        <v>95</v>
      </c>
      <c r="AE80" s="507"/>
      <c r="AF80" s="409" t="s">
        <v>38</v>
      </c>
      <c r="AG80" s="559" t="s">
        <v>38</v>
      </c>
      <c r="AH80" s="506">
        <v>95</v>
      </c>
      <c r="AI80" s="208"/>
      <c r="AJ80" s="293" t="s">
        <v>38</v>
      </c>
      <c r="AK80" s="230" t="s">
        <v>38</v>
      </c>
      <c r="AL80" s="506">
        <v>0</v>
      </c>
      <c r="AM80" s="208"/>
      <c r="AN80" s="293" t="s">
        <v>38</v>
      </c>
      <c r="AO80" s="230" t="s">
        <v>38</v>
      </c>
      <c r="AP80" s="509">
        <v>15.32258064516129</v>
      </c>
      <c r="AQ80" s="509"/>
      <c r="AR80" s="1440">
        <f>'2024_ar_grozījumiem'!AR80-'2024_gada_plāns'!AR80</f>
        <v>0</v>
      </c>
      <c r="AS80" s="1441"/>
      <c r="AT80" s="2170">
        <f>'2024_ar_grozījumiem'!AT80-'2024_gada_plāns'!AT80</f>
        <v>0</v>
      </c>
      <c r="AU80" s="1441"/>
      <c r="AV80" s="1107" t="s">
        <v>38</v>
      </c>
      <c r="AW80" s="1449"/>
      <c r="AX80" s="1115">
        <f>'2024_ar_grozījumiem'!AX80-'2024_gada_plāns'!AX80</f>
        <v>-28</v>
      </c>
      <c r="AY80" s="1469"/>
      <c r="AZ80" s="1117" t="s">
        <v>38</v>
      </c>
      <c r="BA80" s="1468"/>
      <c r="BB80" s="1173">
        <f>'2024_ar_grozījumiem'!BB80-'2024_gada_plāns'!BB80</f>
        <v>-28</v>
      </c>
      <c r="BC80" s="1175"/>
      <c r="BD80" s="1107" t="s">
        <v>38</v>
      </c>
      <c r="BE80" s="1449"/>
      <c r="BF80" s="1173">
        <f>'2024_ar_grozījumiem'!BF80-'2024_gada_plāns'!BF80</f>
        <v>0</v>
      </c>
      <c r="BG80" s="1175"/>
      <c r="BH80" s="1107" t="s">
        <v>38</v>
      </c>
      <c r="BI80" s="1449"/>
      <c r="BJ80" s="1110">
        <f>'2024_ar_grozījumiem'!BJ80-'2024_gada_plāns'!BJ80</f>
        <v>-4.4444444444444446</v>
      </c>
      <c r="BK80" s="1110"/>
      <c r="BL80" s="1283">
        <f>'2024_ar_grozījumiem'!BL80-'2024_gada_plāns'!BL80</f>
        <v>0</v>
      </c>
      <c r="BM80" s="1087"/>
      <c r="BN80" s="1087">
        <f>'2024_ar_grozījumiem'!BN80-'2024_gada_plāns'!BN80</f>
        <v>0</v>
      </c>
      <c r="BO80" s="1087"/>
      <c r="BP80" s="1285" t="s">
        <v>38</v>
      </c>
      <c r="BQ80" s="1108"/>
      <c r="BR80" s="1292">
        <f>'2024_ar_grozījumiem'!BR80-'2024_gada_plāns'!BR80</f>
        <v>0</v>
      </c>
      <c r="BS80" s="1094"/>
      <c r="BT80" s="1293" t="s">
        <v>38</v>
      </c>
      <c r="BU80" s="1118"/>
      <c r="BV80" s="1176">
        <f>'2024_ar_grozījumiem'!BV80-'2024_gada_plāns'!BV80</f>
        <v>0</v>
      </c>
      <c r="BW80" s="1091"/>
      <c r="BX80" s="1285" t="s">
        <v>38</v>
      </c>
      <c r="BY80" s="1108"/>
      <c r="BZ80" s="1176">
        <f>'2024_ar_grozījumiem'!BZ80-'2024_gada_plāns'!BZ80</f>
        <v>0</v>
      </c>
      <c r="CA80" s="1091"/>
      <c r="CB80" s="1285" t="s">
        <v>38</v>
      </c>
      <c r="CC80" s="1108"/>
      <c r="CD80" s="1191">
        <f>'2024_ar_grozījumiem'!CD80-'2024_gada_plāns'!CD80</f>
        <v>0</v>
      </c>
      <c r="CE80" s="1191"/>
      <c r="CF80" s="1330">
        <f>'2024_ar_grozījumiem'!CF80-'2024_gada_plāns'!CF80</f>
        <v>0</v>
      </c>
      <c r="CG80" s="1091"/>
      <c r="CH80" s="1088">
        <f>'2024_ar_grozījumiem'!CH80-'2024_gada_plāns'!CH80</f>
        <v>0</v>
      </c>
      <c r="CI80" s="1359"/>
      <c r="CJ80" s="1293" t="s">
        <v>38</v>
      </c>
      <c r="CK80" s="1118"/>
      <c r="CL80" s="1176">
        <f>'2024_ar_grozījumiem'!CL80-'2024_gada_plāns'!CL80</f>
        <v>-28</v>
      </c>
      <c r="CM80" s="1169"/>
      <c r="CN80" s="1094" t="s">
        <v>38</v>
      </c>
      <c r="CO80" s="1118"/>
      <c r="CP80" s="1095">
        <f>'2024_ar_grozījumiem'!CP80-'2024_gada_plāns'!CP80</f>
        <v>-28</v>
      </c>
      <c r="CQ80" s="1091"/>
      <c r="CR80" s="1293" t="s">
        <v>38</v>
      </c>
      <c r="CS80" s="1118"/>
      <c r="CT80" s="1176">
        <f>'2024_ar_grozījumiem'!CT80-'2024_gada_plāns'!CT80</f>
        <v>0</v>
      </c>
      <c r="CU80" s="1091"/>
      <c r="CV80" s="1293" t="s">
        <v>38</v>
      </c>
      <c r="CW80" s="1118"/>
      <c r="CX80" s="1176">
        <f>'2024_ar_grozījumiem'!CX80-'2024_gada_plāns'!CX80</f>
        <v>-1.09375</v>
      </c>
      <c r="CY80" s="1357"/>
      <c r="CZ80" s="2014">
        <f>CF80/'2024_gada_plāns'!CF80</f>
        <v>0</v>
      </c>
      <c r="DA80" s="1885"/>
      <c r="DB80" s="1902">
        <f>CH80/'2024_gada_plāns'!CH80</f>
        <v>0</v>
      </c>
      <c r="DC80" s="1911"/>
      <c r="DD80" s="1914" t="s">
        <v>38</v>
      </c>
      <c r="DE80" s="1915"/>
      <c r="DF80" s="1883">
        <f>CL80/'2024_gada_plāns'!CL80</f>
        <v>-7.6294277929155316E-2</v>
      </c>
      <c r="DG80" s="1884"/>
      <c r="DH80" s="1916" t="s">
        <v>38</v>
      </c>
      <c r="DI80" s="1915"/>
      <c r="DJ80" s="1987">
        <f>CP80/'2024_gada_plāns'!CP80</f>
        <v>-7.6294277929155316E-2</v>
      </c>
      <c r="DK80" s="1885"/>
      <c r="DL80" s="1914" t="s">
        <v>38</v>
      </c>
      <c r="DM80" s="1915"/>
      <c r="DN80" s="1888" t="s">
        <v>38</v>
      </c>
      <c r="DO80" s="1885"/>
      <c r="DP80" s="1914" t="s">
        <v>38</v>
      </c>
      <c r="DQ80" s="1915"/>
      <c r="DR80" s="1883">
        <f>CX80/'2024_gada_plāns'!CX80</f>
        <v>-7.6294277929155316E-2</v>
      </c>
      <c r="DS80" s="1906"/>
    </row>
    <row r="81" spans="1:123" ht="15.75" customHeight="1" x14ac:dyDescent="0.25">
      <c r="A81" s="2242"/>
      <c r="B81" s="20"/>
      <c r="C81" s="988" t="s">
        <v>42</v>
      </c>
      <c r="D81" s="234">
        <v>3.8</v>
      </c>
      <c r="E81" s="228"/>
      <c r="F81" s="246">
        <v>1.7407237746220796E-3</v>
      </c>
      <c r="G81" s="228"/>
      <c r="H81" s="293" t="s">
        <v>38</v>
      </c>
      <c r="I81" s="230" t="s">
        <v>38</v>
      </c>
      <c r="J81" s="298">
        <v>51</v>
      </c>
      <c r="K81" s="507"/>
      <c r="L81" s="409" t="s">
        <v>38</v>
      </c>
      <c r="M81" s="559" t="s">
        <v>38</v>
      </c>
      <c r="N81" s="506">
        <v>51</v>
      </c>
      <c r="O81" s="208"/>
      <c r="P81" s="293" t="s">
        <v>38</v>
      </c>
      <c r="Q81" s="230" t="s">
        <v>38</v>
      </c>
      <c r="R81" s="506">
        <v>0</v>
      </c>
      <c r="S81" s="208"/>
      <c r="T81" s="293" t="s">
        <v>38</v>
      </c>
      <c r="U81" s="230" t="s">
        <v>38</v>
      </c>
      <c r="V81" s="509">
        <v>13.421052631578949</v>
      </c>
      <c r="W81" s="509"/>
      <c r="X81" s="234">
        <v>3.8</v>
      </c>
      <c r="Y81" s="228"/>
      <c r="Z81" s="246">
        <v>1.7399267399267398E-3</v>
      </c>
      <c r="AA81" s="228"/>
      <c r="AB81" s="293" t="s">
        <v>38</v>
      </c>
      <c r="AC81" s="230" t="s">
        <v>38</v>
      </c>
      <c r="AD81" s="298">
        <v>57</v>
      </c>
      <c r="AE81" s="507"/>
      <c r="AF81" s="409" t="s">
        <v>38</v>
      </c>
      <c r="AG81" s="559" t="s">
        <v>38</v>
      </c>
      <c r="AH81" s="506">
        <v>57</v>
      </c>
      <c r="AI81" s="208"/>
      <c r="AJ81" s="293" t="s">
        <v>38</v>
      </c>
      <c r="AK81" s="230" t="s">
        <v>38</v>
      </c>
      <c r="AL81" s="506">
        <v>0</v>
      </c>
      <c r="AM81" s="208"/>
      <c r="AN81" s="293" t="s">
        <v>38</v>
      </c>
      <c r="AO81" s="230" t="s">
        <v>38</v>
      </c>
      <c r="AP81" s="509">
        <v>15</v>
      </c>
      <c r="AQ81" s="509"/>
      <c r="AR81" s="1440">
        <f>'2024_ar_grozījumiem'!AR81-'2024_gada_plāns'!AR81</f>
        <v>-9.9999999999999645E-2</v>
      </c>
      <c r="AS81" s="1441"/>
      <c r="AT81" s="2170">
        <f>'2024_ar_grozījumiem'!AT81-'2024_gada_plāns'!AT81</f>
        <v>-4.5808520384791294E-5</v>
      </c>
      <c r="AU81" s="1441"/>
      <c r="AV81" s="1107" t="s">
        <v>38</v>
      </c>
      <c r="AW81" s="1449"/>
      <c r="AX81" s="1115">
        <f>'2024_ar_grozījumiem'!AX81-'2024_gada_plāns'!AX81</f>
        <v>-18</v>
      </c>
      <c r="AY81" s="1469"/>
      <c r="AZ81" s="1117" t="s">
        <v>38</v>
      </c>
      <c r="BA81" s="1468"/>
      <c r="BB81" s="1173">
        <f>'2024_ar_grozījumiem'!BB81-'2024_gada_plāns'!BB81</f>
        <v>-18</v>
      </c>
      <c r="BC81" s="1175"/>
      <c r="BD81" s="1107" t="s">
        <v>38</v>
      </c>
      <c r="BE81" s="1449"/>
      <c r="BF81" s="1173">
        <f>'2024_ar_grozījumiem'!BF81-'2024_gada_plāns'!BF81</f>
        <v>0</v>
      </c>
      <c r="BG81" s="1175"/>
      <c r="BH81" s="1107" t="s">
        <v>38</v>
      </c>
      <c r="BI81" s="1449"/>
      <c r="BJ81" s="1110">
        <f>'2024_ar_grozījumiem'!BJ81-'2024_gada_plāns'!BJ81</f>
        <v>-4.4736842105263168</v>
      </c>
      <c r="BK81" s="1110"/>
      <c r="BL81" s="1283">
        <f>'2024_ar_grozījumiem'!BL81-'2024_gada_plāns'!BL81</f>
        <v>0</v>
      </c>
      <c r="BM81" s="1087"/>
      <c r="BN81" s="1087">
        <f>'2024_ar_grozījumiem'!BN81-'2024_gada_plāns'!BN81</f>
        <v>0</v>
      </c>
      <c r="BO81" s="1087"/>
      <c r="BP81" s="1285" t="s">
        <v>38</v>
      </c>
      <c r="BQ81" s="1108"/>
      <c r="BR81" s="1292">
        <f>'2024_ar_grozījumiem'!BR81-'2024_gada_plāns'!BR81</f>
        <v>0</v>
      </c>
      <c r="BS81" s="1094"/>
      <c r="BT81" s="1293" t="s">
        <v>38</v>
      </c>
      <c r="BU81" s="1118"/>
      <c r="BV81" s="1176">
        <f>'2024_ar_grozījumiem'!BV81-'2024_gada_plāns'!BV81</f>
        <v>0</v>
      </c>
      <c r="BW81" s="1091"/>
      <c r="BX81" s="1285" t="s">
        <v>38</v>
      </c>
      <c r="BY81" s="1108"/>
      <c r="BZ81" s="1176">
        <f>'2024_ar_grozījumiem'!BZ81-'2024_gada_plāns'!BZ81</f>
        <v>0</v>
      </c>
      <c r="CA81" s="1091"/>
      <c r="CB81" s="1285" t="s">
        <v>38</v>
      </c>
      <c r="CC81" s="1108"/>
      <c r="CD81" s="1191">
        <f>'2024_ar_grozījumiem'!CD81-'2024_gada_plāns'!CD81</f>
        <v>0</v>
      </c>
      <c r="CE81" s="1191"/>
      <c r="CF81" s="1330">
        <f>'2024_ar_grozījumiem'!CF81-'2024_gada_plāns'!CF81</f>
        <v>-9.9999999999997868E-2</v>
      </c>
      <c r="CG81" s="1091"/>
      <c r="CH81" s="1088">
        <f>'2024_ar_grozījumiem'!CH81-'2024_gada_plāns'!CH81</f>
        <v>-1.141552511415493E-5</v>
      </c>
      <c r="CI81" s="1359"/>
      <c r="CJ81" s="1293" t="s">
        <v>38</v>
      </c>
      <c r="CK81" s="1118"/>
      <c r="CL81" s="1176">
        <f>'2024_ar_grozījumiem'!CL81-'2024_gada_plāns'!CL81</f>
        <v>-18</v>
      </c>
      <c r="CM81" s="1169"/>
      <c r="CN81" s="1094" t="s">
        <v>38</v>
      </c>
      <c r="CO81" s="1118"/>
      <c r="CP81" s="1095">
        <f>'2024_ar_grozījumiem'!CP81-'2024_gada_plāns'!CP81</f>
        <v>-18</v>
      </c>
      <c r="CQ81" s="1091"/>
      <c r="CR81" s="1293" t="s">
        <v>38</v>
      </c>
      <c r="CS81" s="1118"/>
      <c r="CT81" s="1176">
        <f>'2024_ar_grozījumiem'!CT81-'2024_gada_plāns'!CT81</f>
        <v>0</v>
      </c>
      <c r="CU81" s="1091"/>
      <c r="CV81" s="1293" t="s">
        <v>38</v>
      </c>
      <c r="CW81" s="1118"/>
      <c r="CX81" s="1176">
        <f>'2024_ar_grozījumiem'!CX81-'2024_gada_plāns'!CX81</f>
        <v>-1.0970721505751158</v>
      </c>
      <c r="CY81" s="1357"/>
      <c r="CZ81" s="2014">
        <f>CF81/'2024_gada_plāns'!CF81</f>
        <v>-6.5789473684209126E-3</v>
      </c>
      <c r="DA81" s="1885"/>
      <c r="DB81" s="1902">
        <f>CH81/'2024_gada_plāns'!CH81</f>
        <v>-6.5789473684208675E-3</v>
      </c>
      <c r="DC81" s="1911"/>
      <c r="DD81" s="1914" t="s">
        <v>38</v>
      </c>
      <c r="DE81" s="1915"/>
      <c r="DF81" s="1883">
        <f>CL81/'2024_gada_plāns'!CL81</f>
        <v>-8.2568807339449546E-2</v>
      </c>
      <c r="DG81" s="1884"/>
      <c r="DH81" s="1916" t="s">
        <v>38</v>
      </c>
      <c r="DI81" s="1915"/>
      <c r="DJ81" s="1987">
        <f>CP81/'2024_gada_plāns'!CP81</f>
        <v>-8.2568807339449546E-2</v>
      </c>
      <c r="DK81" s="1885"/>
      <c r="DL81" s="1914" t="s">
        <v>38</v>
      </c>
      <c r="DM81" s="1915"/>
      <c r="DN81" s="1888" t="s">
        <v>38</v>
      </c>
      <c r="DO81" s="1885"/>
      <c r="DP81" s="1914" t="s">
        <v>38</v>
      </c>
      <c r="DQ81" s="1915"/>
      <c r="DR81" s="1883">
        <f>CX81/'2024_gada_plāns'!CX81</f>
        <v>-7.6493104076797061E-2</v>
      </c>
      <c r="DS81" s="1906"/>
    </row>
    <row r="82" spans="1:123" ht="15.75" customHeight="1" x14ac:dyDescent="0.25">
      <c r="A82" s="2242"/>
      <c r="B82" s="20"/>
      <c r="C82" s="988" t="s">
        <v>43</v>
      </c>
      <c r="D82" s="234">
        <v>0.5</v>
      </c>
      <c r="E82" s="228"/>
      <c r="F82" s="246">
        <v>2.2904260192395785E-4</v>
      </c>
      <c r="G82" s="228"/>
      <c r="H82" s="293" t="s">
        <v>38</v>
      </c>
      <c r="I82" s="230" t="s">
        <v>38</v>
      </c>
      <c r="J82" s="298">
        <v>0</v>
      </c>
      <c r="K82" s="507"/>
      <c r="L82" s="409" t="s">
        <v>38</v>
      </c>
      <c r="M82" s="559" t="s">
        <v>38</v>
      </c>
      <c r="N82" s="506"/>
      <c r="O82" s="208"/>
      <c r="P82" s="293" t="s">
        <v>38</v>
      </c>
      <c r="Q82" s="230" t="s">
        <v>38</v>
      </c>
      <c r="R82" s="506">
        <v>0</v>
      </c>
      <c r="S82" s="208"/>
      <c r="T82" s="293" t="s">
        <v>38</v>
      </c>
      <c r="U82" s="230" t="s">
        <v>38</v>
      </c>
      <c r="V82" s="509">
        <v>0</v>
      </c>
      <c r="W82" s="509"/>
      <c r="X82" s="234">
        <v>0.5</v>
      </c>
      <c r="Y82" s="228"/>
      <c r="Z82" s="246">
        <v>2.2893772893772894E-4</v>
      </c>
      <c r="AA82" s="228"/>
      <c r="AB82" s="293" t="s">
        <v>38</v>
      </c>
      <c r="AC82" s="230" t="s">
        <v>38</v>
      </c>
      <c r="AD82" s="298">
        <v>0</v>
      </c>
      <c r="AE82" s="507"/>
      <c r="AF82" s="409" t="s">
        <v>38</v>
      </c>
      <c r="AG82" s="559" t="s">
        <v>38</v>
      </c>
      <c r="AH82" s="506">
        <v>0</v>
      </c>
      <c r="AI82" s="208"/>
      <c r="AJ82" s="293" t="s">
        <v>38</v>
      </c>
      <c r="AK82" s="230" t="s">
        <v>38</v>
      </c>
      <c r="AL82" s="506">
        <v>0</v>
      </c>
      <c r="AM82" s="208"/>
      <c r="AN82" s="293" t="s">
        <v>38</v>
      </c>
      <c r="AO82" s="230" t="s">
        <v>38</v>
      </c>
      <c r="AP82" s="509">
        <v>0</v>
      </c>
      <c r="AQ82" s="509"/>
      <c r="AR82" s="1440">
        <f>'2024_ar_grozījumiem'!AR82-'2024_gada_plāns'!AR82</f>
        <v>0</v>
      </c>
      <c r="AS82" s="1441"/>
      <c r="AT82" s="2170">
        <f>'2024_ar_grozījumiem'!AT82-'2024_gada_plāns'!AT82</f>
        <v>0</v>
      </c>
      <c r="AU82" s="1441"/>
      <c r="AV82" s="1107" t="s">
        <v>38</v>
      </c>
      <c r="AW82" s="1449"/>
      <c r="AX82" s="1115">
        <f>'2024_ar_grozījumiem'!AX82-'2024_gada_plāns'!AX82</f>
        <v>0</v>
      </c>
      <c r="AY82" s="1469"/>
      <c r="AZ82" s="1117" t="s">
        <v>38</v>
      </c>
      <c r="BA82" s="1468"/>
      <c r="BB82" s="1173">
        <f>'2024_ar_grozījumiem'!BB82-'2024_gada_plāns'!BB82</f>
        <v>0</v>
      </c>
      <c r="BC82" s="1175"/>
      <c r="BD82" s="1107" t="s">
        <v>38</v>
      </c>
      <c r="BE82" s="1449"/>
      <c r="BF82" s="1173">
        <f>'2024_ar_grozījumiem'!BF82-'2024_gada_plāns'!BF82</f>
        <v>0</v>
      </c>
      <c r="BG82" s="1175"/>
      <c r="BH82" s="1107" t="s">
        <v>38</v>
      </c>
      <c r="BI82" s="1449"/>
      <c r="BJ82" s="1110">
        <f>'2024_ar_grozījumiem'!BJ82-'2024_gada_plāns'!BJ82</f>
        <v>0</v>
      </c>
      <c r="BK82" s="1110"/>
      <c r="BL82" s="1283">
        <f>'2024_ar_grozījumiem'!BL82-'2024_gada_plāns'!BL82</f>
        <v>0</v>
      </c>
      <c r="BM82" s="1087"/>
      <c r="BN82" s="1087">
        <f>'2024_ar_grozījumiem'!BN82-'2024_gada_plāns'!BN82</f>
        <v>0</v>
      </c>
      <c r="BO82" s="1087"/>
      <c r="BP82" s="1285" t="s">
        <v>38</v>
      </c>
      <c r="BQ82" s="1108"/>
      <c r="BR82" s="1292">
        <f>'2024_ar_grozījumiem'!BR82-'2024_gada_plāns'!BR82</f>
        <v>0</v>
      </c>
      <c r="BS82" s="1094"/>
      <c r="BT82" s="1293" t="s">
        <v>38</v>
      </c>
      <c r="BU82" s="1118"/>
      <c r="BV82" s="1176">
        <f>'2024_ar_grozījumiem'!BV82-'2024_gada_plāns'!BV82</f>
        <v>0</v>
      </c>
      <c r="BW82" s="1091"/>
      <c r="BX82" s="1285" t="s">
        <v>38</v>
      </c>
      <c r="BY82" s="1108"/>
      <c r="BZ82" s="1176">
        <f>'2024_ar_grozījumiem'!BZ82-'2024_gada_plāns'!BZ82</f>
        <v>0</v>
      </c>
      <c r="CA82" s="1091"/>
      <c r="CB82" s="1285" t="s">
        <v>38</v>
      </c>
      <c r="CC82" s="1108"/>
      <c r="CD82" s="1191">
        <f>'2024_ar_grozījumiem'!CD82-'2024_gada_plāns'!CD82</f>
        <v>0</v>
      </c>
      <c r="CE82" s="1191"/>
      <c r="CF82" s="1330">
        <f>'2024_ar_grozījumiem'!CF82-'2024_gada_plāns'!CF82</f>
        <v>0</v>
      </c>
      <c r="CG82" s="1091"/>
      <c r="CH82" s="1088">
        <f>'2024_ar_grozījumiem'!CH82-'2024_gada_plāns'!CH82</f>
        <v>0</v>
      </c>
      <c r="CI82" s="1359"/>
      <c r="CJ82" s="1293" t="s">
        <v>38</v>
      </c>
      <c r="CK82" s="1118"/>
      <c r="CL82" s="1176">
        <f>'2024_ar_grozījumiem'!CL82-'2024_gada_plāns'!CL82</f>
        <v>0</v>
      </c>
      <c r="CM82" s="1169"/>
      <c r="CN82" s="1094" t="s">
        <v>38</v>
      </c>
      <c r="CO82" s="1118"/>
      <c r="CP82" s="1095">
        <f>'2024_ar_grozījumiem'!CP82-'2024_gada_plāns'!CP82</f>
        <v>0</v>
      </c>
      <c r="CQ82" s="1091"/>
      <c r="CR82" s="1293" t="s">
        <v>38</v>
      </c>
      <c r="CS82" s="1118"/>
      <c r="CT82" s="1176">
        <f>'2024_ar_grozījumiem'!CT82-'2024_gada_plāns'!CT82</f>
        <v>0</v>
      </c>
      <c r="CU82" s="1091"/>
      <c r="CV82" s="1293" t="s">
        <v>38</v>
      </c>
      <c r="CW82" s="1118"/>
      <c r="CX82" s="1176">
        <f>'2024_ar_grozījumiem'!CX82-'2024_gada_plāns'!CX82</f>
        <v>0</v>
      </c>
      <c r="CY82" s="1357"/>
      <c r="CZ82" s="2014">
        <f>CF82/'2024_gada_plāns'!CF82</f>
        <v>0</v>
      </c>
      <c r="DA82" s="1885"/>
      <c r="DB82" s="1902">
        <f>CH82/'2024_gada_plāns'!CH82</f>
        <v>0</v>
      </c>
      <c r="DC82" s="1911"/>
      <c r="DD82" s="1914" t="s">
        <v>38</v>
      </c>
      <c r="DE82" s="1915"/>
      <c r="DF82" s="1883" t="s">
        <v>38</v>
      </c>
      <c r="DG82" s="1884"/>
      <c r="DH82" s="1916" t="s">
        <v>38</v>
      </c>
      <c r="DI82" s="1915"/>
      <c r="DJ82" s="1987" t="s">
        <v>38</v>
      </c>
      <c r="DK82" s="1885"/>
      <c r="DL82" s="1914" t="s">
        <v>38</v>
      </c>
      <c r="DM82" s="1915"/>
      <c r="DN82" s="1888" t="s">
        <v>38</v>
      </c>
      <c r="DO82" s="1885"/>
      <c r="DP82" s="1914" t="s">
        <v>38</v>
      </c>
      <c r="DQ82" s="1915"/>
      <c r="DR82" s="1888" t="s">
        <v>38</v>
      </c>
      <c r="DS82" s="1906"/>
    </row>
    <row r="83" spans="1:123" s="1027" customFormat="1" ht="15.75" customHeight="1" x14ac:dyDescent="0.25">
      <c r="A83" s="2242"/>
      <c r="B83" s="81" t="s">
        <v>64</v>
      </c>
      <c r="C83" s="1026"/>
      <c r="D83" s="345">
        <v>24.7</v>
      </c>
      <c r="E83" s="346"/>
      <c r="F83" s="356">
        <v>2.2460875337595139E-3</v>
      </c>
      <c r="G83" s="346"/>
      <c r="H83" s="347" t="s">
        <v>38</v>
      </c>
      <c r="I83" s="348" t="s">
        <v>38</v>
      </c>
      <c r="J83" s="349">
        <v>327</v>
      </c>
      <c r="K83" s="709"/>
      <c r="L83" s="419" t="s">
        <v>38</v>
      </c>
      <c r="M83" s="767" t="s">
        <v>38</v>
      </c>
      <c r="N83" s="757">
        <v>327</v>
      </c>
      <c r="O83" s="768"/>
      <c r="P83" s="347" t="s">
        <v>38</v>
      </c>
      <c r="Q83" s="348" t="s">
        <v>38</v>
      </c>
      <c r="R83" s="769">
        <v>0</v>
      </c>
      <c r="S83" s="768"/>
      <c r="T83" s="347" t="s">
        <v>38</v>
      </c>
      <c r="U83" s="348" t="s">
        <v>38</v>
      </c>
      <c r="V83" s="713">
        <v>13.238866396761134</v>
      </c>
      <c r="W83" s="713"/>
      <c r="X83" s="345">
        <v>27.700000000000003</v>
      </c>
      <c r="Y83" s="346"/>
      <c r="Z83" s="356">
        <v>2.5177469346203841E-3</v>
      </c>
      <c r="AA83" s="346"/>
      <c r="AB83" s="347" t="s">
        <v>38</v>
      </c>
      <c r="AC83" s="348" t="s">
        <v>38</v>
      </c>
      <c r="AD83" s="349">
        <v>420</v>
      </c>
      <c r="AE83" s="709"/>
      <c r="AF83" s="419" t="s">
        <v>38</v>
      </c>
      <c r="AG83" s="767" t="s">
        <v>38</v>
      </c>
      <c r="AH83" s="757">
        <v>420</v>
      </c>
      <c r="AI83" s="768"/>
      <c r="AJ83" s="347" t="s">
        <v>38</v>
      </c>
      <c r="AK83" s="348" t="s">
        <v>38</v>
      </c>
      <c r="AL83" s="769">
        <v>0</v>
      </c>
      <c r="AM83" s="768"/>
      <c r="AN83" s="347" t="s">
        <v>38</v>
      </c>
      <c r="AO83" s="348" t="s">
        <v>38</v>
      </c>
      <c r="AP83" s="713">
        <v>15.162454873646208</v>
      </c>
      <c r="AQ83" s="713"/>
      <c r="AR83" s="1567">
        <f>'2024_ar_grozījumiem'!AR83-'2024_gada_plāns'!AR83</f>
        <v>0</v>
      </c>
      <c r="AS83" s="1568"/>
      <c r="AT83" s="2172">
        <f>'2024_ar_grozījumiem'!AT83-'2024_gada_plāns'!AT83</f>
        <v>0</v>
      </c>
      <c r="AU83" s="1568"/>
      <c r="AV83" s="1185" t="s">
        <v>38</v>
      </c>
      <c r="AW83" s="1570"/>
      <c r="AX83" s="1185">
        <f>'2024_ar_grozījumiem'!AX83-'2024_gada_plāns'!AX83</f>
        <v>-76</v>
      </c>
      <c r="AY83" s="1571"/>
      <c r="AZ83" s="1188" t="s">
        <v>38</v>
      </c>
      <c r="BA83" s="1575"/>
      <c r="BB83" s="1596">
        <f>'2024_ar_grozījumiem'!BB83-'2024_gada_plāns'!BB83</f>
        <v>-76</v>
      </c>
      <c r="BC83" s="1593"/>
      <c r="BD83" s="1185" t="s">
        <v>38</v>
      </c>
      <c r="BE83" s="1570"/>
      <c r="BF83" s="1596">
        <f>'2024_ar_grozījumiem'!BF83-'2024_gada_plāns'!BF83</f>
        <v>0</v>
      </c>
      <c r="BG83" s="1593"/>
      <c r="BH83" s="1185" t="s">
        <v>38</v>
      </c>
      <c r="BI83" s="1570"/>
      <c r="BJ83" s="1188">
        <f>'2024_ar_grozījumiem'!BJ83-'2024_gada_plāns'!BJ83</f>
        <v>-3.0400000000000009</v>
      </c>
      <c r="BK83" s="1188"/>
      <c r="BL83" s="1313">
        <f>'2024_ar_grozījumiem'!BL83-'2024_gada_plāns'!BL83</f>
        <v>0.10000000000000142</v>
      </c>
      <c r="BM83" s="1184"/>
      <c r="BN83" s="1184">
        <f>'2024_ar_grozījumiem'!BN83-'2024_gada_plāns'!BN83</f>
        <v>9.0115257414232278E-6</v>
      </c>
      <c r="BO83" s="1184"/>
      <c r="BP83" s="1314" t="s">
        <v>38</v>
      </c>
      <c r="BQ83" s="1186"/>
      <c r="BR83" s="1314">
        <f>'2024_ar_grozījumiem'!BR83-'2024_gada_plāns'!BR83</f>
        <v>-56</v>
      </c>
      <c r="BS83" s="1187"/>
      <c r="BT83" s="1190" t="s">
        <v>38</v>
      </c>
      <c r="BU83" s="1189"/>
      <c r="BV83" s="1321">
        <f>'2024_ar_grozījumiem'!BV83-'2024_gada_plāns'!BV83</f>
        <v>-56</v>
      </c>
      <c r="BW83" s="1200"/>
      <c r="BX83" s="1314" t="s">
        <v>38</v>
      </c>
      <c r="BY83" s="1186"/>
      <c r="BZ83" s="1321">
        <f>'2024_ar_grozījumiem'!BZ83-'2024_gada_plāns'!BZ83</f>
        <v>0</v>
      </c>
      <c r="CA83" s="1200"/>
      <c r="CB83" s="1314" t="s">
        <v>38</v>
      </c>
      <c r="CC83" s="1186"/>
      <c r="CD83" s="1190">
        <f>'2024_ar_grozījumiem'!CD83-'2024_gada_plāns'!CD83</f>
        <v>-2.2340102140077835</v>
      </c>
      <c r="CE83" s="1190"/>
      <c r="CF83" s="1403">
        <f>'2024_ar_grozījumiem'!CF83-'2024_gada_plāns'!CF83</f>
        <v>0.10000000000000853</v>
      </c>
      <c r="CG83" s="1200"/>
      <c r="CH83" s="1404">
        <f>'2024_ar_grozījumiem'!CH83-'2024_gada_plāns'!CH83</f>
        <v>2.2623103618341599E-6</v>
      </c>
      <c r="CI83" s="1405"/>
      <c r="CJ83" s="1190" t="s">
        <v>38</v>
      </c>
      <c r="CK83" s="1189"/>
      <c r="CL83" s="1321">
        <f>'2024_ar_grozījumiem'!CL83-'2024_gada_plāns'!CL83</f>
        <v>-132</v>
      </c>
      <c r="CM83" s="1406"/>
      <c r="CN83" s="1187" t="s">
        <v>38</v>
      </c>
      <c r="CO83" s="1189"/>
      <c r="CP83" s="1407">
        <f>'2024_ar_grozījumiem'!CP83-'2024_gada_plāns'!CP83</f>
        <v>-132</v>
      </c>
      <c r="CQ83" s="1200"/>
      <c r="CR83" s="1190" t="s">
        <v>38</v>
      </c>
      <c r="CS83" s="1189"/>
      <c r="CT83" s="1321">
        <f>'2024_ar_grozījumiem'!CT83-'2024_gada_plāns'!CT83</f>
        <v>0</v>
      </c>
      <c r="CU83" s="1200"/>
      <c r="CV83" s="1190" t="s">
        <v>38</v>
      </c>
      <c r="CW83" s="1189"/>
      <c r="CX83" s="1321">
        <f>'2024_ar_grozījumiem'!CX83-'2024_gada_plāns'!CX83</f>
        <v>-1.2940871808876295</v>
      </c>
      <c r="CY83" s="1408"/>
      <c r="CZ83" s="2023">
        <f>CF83/'2024_gada_plāns'!CF83</f>
        <v>9.7087378640784978E-4</v>
      </c>
      <c r="DA83" s="2024"/>
      <c r="DB83" s="2025">
        <f>CH83/'2024_gada_plāns'!CH83</f>
        <v>9.7087378640787017E-4</v>
      </c>
      <c r="DC83" s="2026"/>
      <c r="DD83" s="2012" t="s">
        <v>38</v>
      </c>
      <c r="DE83" s="2008"/>
      <c r="DF83" s="2027">
        <f>CL83/'2024_gada_plāns'!CL83</f>
        <v>-9.0225563909774431E-2</v>
      </c>
      <c r="DG83" s="2028"/>
      <c r="DH83" s="2004" t="s">
        <v>38</v>
      </c>
      <c r="DI83" s="2008"/>
      <c r="DJ83" s="2029">
        <f>CP83/'2024_gada_plāns'!CP83</f>
        <v>-9.0225563909774431E-2</v>
      </c>
      <c r="DK83" s="2024"/>
      <c r="DL83" s="2012" t="s">
        <v>38</v>
      </c>
      <c r="DM83" s="2008"/>
      <c r="DN83" s="2030" t="s">
        <v>38</v>
      </c>
      <c r="DO83" s="2024"/>
      <c r="DP83" s="2012" t="s">
        <v>38</v>
      </c>
      <c r="DQ83" s="2008"/>
      <c r="DR83" s="2027">
        <f>CX83/'2024_gada_plāns'!CX83</f>
        <v>-9.1107983343421628E-2</v>
      </c>
      <c r="DS83" s="2031"/>
    </row>
    <row r="84" spans="1:123" s="940" customFormat="1" ht="15.75" customHeight="1" x14ac:dyDescent="0.25">
      <c r="A84" s="2242"/>
      <c r="B84" s="23"/>
      <c r="C84" s="988" t="s">
        <v>39</v>
      </c>
      <c r="D84" s="234">
        <v>7.2</v>
      </c>
      <c r="E84" s="228"/>
      <c r="F84" s="246">
        <v>3.2982134677049932E-3</v>
      </c>
      <c r="G84" s="228"/>
      <c r="H84" s="293" t="s">
        <v>38</v>
      </c>
      <c r="I84" s="230" t="s">
        <v>38</v>
      </c>
      <c r="J84" s="298">
        <v>97</v>
      </c>
      <c r="K84" s="507"/>
      <c r="L84" s="409" t="s">
        <v>38</v>
      </c>
      <c r="M84" s="559" t="s">
        <v>38</v>
      </c>
      <c r="N84" s="556">
        <v>97</v>
      </c>
      <c r="O84" s="208"/>
      <c r="P84" s="293" t="s">
        <v>38</v>
      </c>
      <c r="Q84" s="230" t="s">
        <v>38</v>
      </c>
      <c r="R84" s="556">
        <v>0</v>
      </c>
      <c r="S84" s="507"/>
      <c r="T84" s="293" t="s">
        <v>38</v>
      </c>
      <c r="U84" s="230" t="s">
        <v>38</v>
      </c>
      <c r="V84" s="509">
        <v>13.472222222222221</v>
      </c>
      <c r="W84" s="509"/>
      <c r="X84" s="234">
        <v>10.4</v>
      </c>
      <c r="Y84" s="228"/>
      <c r="Z84" s="246">
        <v>4.7619047619047623E-3</v>
      </c>
      <c r="AA84" s="228"/>
      <c r="AB84" s="293" t="s">
        <v>38</v>
      </c>
      <c r="AC84" s="230" t="s">
        <v>38</v>
      </c>
      <c r="AD84" s="298">
        <v>160</v>
      </c>
      <c r="AE84" s="507"/>
      <c r="AF84" s="409" t="s">
        <v>38</v>
      </c>
      <c r="AG84" s="559" t="s">
        <v>38</v>
      </c>
      <c r="AH84" s="556">
        <v>160</v>
      </c>
      <c r="AI84" s="208"/>
      <c r="AJ84" s="293" t="s">
        <v>38</v>
      </c>
      <c r="AK84" s="230" t="s">
        <v>38</v>
      </c>
      <c r="AL84" s="556">
        <v>0</v>
      </c>
      <c r="AM84" s="507"/>
      <c r="AN84" s="293" t="s">
        <v>38</v>
      </c>
      <c r="AO84" s="230" t="s">
        <v>38</v>
      </c>
      <c r="AP84" s="509">
        <v>15.384615384615383</v>
      </c>
      <c r="AQ84" s="509"/>
      <c r="AR84" s="1440">
        <f>'2024_ar_grozījumiem'!AR84-'2024_gada_plāns'!AR84</f>
        <v>0</v>
      </c>
      <c r="AS84" s="1441"/>
      <c r="AT84" s="2170">
        <f>'2024_ar_grozījumiem'!AT84-'2024_gada_plāns'!AT84</f>
        <v>0</v>
      </c>
      <c r="AU84" s="1441"/>
      <c r="AV84" s="1107" t="s">
        <v>38</v>
      </c>
      <c r="AW84" s="1449"/>
      <c r="AX84" s="1115">
        <f>'2024_ar_grozījumiem'!AX84-'2024_gada_plāns'!AX84</f>
        <v>-28</v>
      </c>
      <c r="AY84" s="1469"/>
      <c r="AZ84" s="1117" t="s">
        <v>38</v>
      </c>
      <c r="BA84" s="1468"/>
      <c r="BB84" s="1657">
        <f>'2024_ar_grozījumiem'!BB84-'2024_gada_plāns'!BB84</f>
        <v>-28</v>
      </c>
      <c r="BC84" s="1175"/>
      <c r="BD84" s="1107" t="s">
        <v>38</v>
      </c>
      <c r="BE84" s="1449"/>
      <c r="BF84" s="1657">
        <f>'2024_ar_grozījumiem'!BF84-'2024_gada_plāns'!BF84</f>
        <v>0</v>
      </c>
      <c r="BG84" s="1469"/>
      <c r="BH84" s="1107" t="s">
        <v>38</v>
      </c>
      <c r="BI84" s="1449"/>
      <c r="BJ84" s="1110">
        <f>'2024_ar_grozījumiem'!BJ84-'2024_gada_plāns'!BJ84</f>
        <v>-3.8356164383561637</v>
      </c>
      <c r="BK84" s="1110"/>
      <c r="BL84" s="1283">
        <f>'2024_ar_grozījumiem'!BL84-'2024_gada_plāns'!BL84</f>
        <v>0</v>
      </c>
      <c r="BM84" s="1087"/>
      <c r="BN84" s="1087">
        <f>'2024_ar_grozījumiem'!BN84-'2024_gada_plāns'!BN84</f>
        <v>0</v>
      </c>
      <c r="BO84" s="1087"/>
      <c r="BP84" s="1285" t="s">
        <v>38</v>
      </c>
      <c r="BQ84" s="1108"/>
      <c r="BR84" s="1292">
        <f>'2024_ar_grozījumiem'!BR84-'2024_gada_plāns'!BR84</f>
        <v>-29</v>
      </c>
      <c r="BS84" s="1094"/>
      <c r="BT84" s="1293" t="s">
        <v>38</v>
      </c>
      <c r="BU84" s="1118"/>
      <c r="BV84" s="1291">
        <f>'2024_ar_grozījumiem'!BV84-'2024_gada_plāns'!BV84</f>
        <v>-29</v>
      </c>
      <c r="BW84" s="1091"/>
      <c r="BX84" s="1285" t="s">
        <v>38</v>
      </c>
      <c r="BY84" s="1108"/>
      <c r="BZ84" s="1291">
        <f>'2024_ar_grozījumiem'!BZ84-'2024_gada_plāns'!BZ84</f>
        <v>0</v>
      </c>
      <c r="CA84" s="1094"/>
      <c r="CB84" s="1285" t="s">
        <v>38</v>
      </c>
      <c r="CC84" s="1108"/>
      <c r="CD84" s="1191">
        <f>'2024_ar_grozījumiem'!CD84-'2024_gada_plāns'!CD84</f>
        <v>-3.9726027397260282</v>
      </c>
      <c r="CE84" s="1191"/>
      <c r="CF84" s="1309">
        <f>'2024_ar_grozījumiem'!CF84-'2024_gada_plāns'!CF84</f>
        <v>0</v>
      </c>
      <c r="CG84" s="1095"/>
      <c r="CH84" s="1088">
        <f>'2024_ar_grozījumiem'!CH84-'2024_gada_plāns'!CH84</f>
        <v>0</v>
      </c>
      <c r="CI84" s="1359"/>
      <c r="CJ84" s="1293" t="s">
        <v>38</v>
      </c>
      <c r="CK84" s="1118"/>
      <c r="CL84" s="1176">
        <f>'2024_ar_grozījumiem'!CL84-'2024_gada_plāns'!CL84</f>
        <v>-57</v>
      </c>
      <c r="CM84" s="1169"/>
      <c r="CN84" s="1094" t="s">
        <v>38</v>
      </c>
      <c r="CO84" s="1118"/>
      <c r="CP84" s="1095">
        <f>'2024_ar_grozījumiem'!CP84-'2024_gada_plāns'!CP84</f>
        <v>-57</v>
      </c>
      <c r="CQ84" s="1091"/>
      <c r="CR84" s="1293" t="s">
        <v>38</v>
      </c>
      <c r="CS84" s="1118"/>
      <c r="CT84" s="1176">
        <f>'2024_ar_grozījumiem'!CT84-'2024_gada_plāns'!CT84</f>
        <v>0</v>
      </c>
      <c r="CU84" s="1091"/>
      <c r="CV84" s="1293" t="s">
        <v>38</v>
      </c>
      <c r="CW84" s="1118"/>
      <c r="CX84" s="1176">
        <f>'2024_ar_grozījumiem'!CX84-'2024_gada_plāns'!CX84</f>
        <v>-1.7701863354037268</v>
      </c>
      <c r="CY84" s="1357"/>
      <c r="CZ84" s="1877">
        <f>CF84/'2024_gada_plāns'!CF84</f>
        <v>0</v>
      </c>
      <c r="DA84" s="1881"/>
      <c r="DB84" s="1902">
        <f>CH84/'2024_gada_plāns'!CH84</f>
        <v>0</v>
      </c>
      <c r="DC84" s="1911"/>
      <c r="DD84" s="1914" t="s">
        <v>38</v>
      </c>
      <c r="DE84" s="1915"/>
      <c r="DF84" s="1883">
        <f>CL84/'2024_gada_plāns'!CL84</f>
        <v>-0.12179487179487179</v>
      </c>
      <c r="DG84" s="1884"/>
      <c r="DH84" s="1885" t="s">
        <v>38</v>
      </c>
      <c r="DI84" s="1882"/>
      <c r="DJ84" s="1987">
        <f>CP84/'2024_gada_plāns'!CP84</f>
        <v>-0.12179487179487179</v>
      </c>
      <c r="DK84" s="1885"/>
      <c r="DL84" s="1914" t="s">
        <v>38</v>
      </c>
      <c r="DM84" s="1915"/>
      <c r="DN84" s="1888" t="s">
        <v>38</v>
      </c>
      <c r="DO84" s="1885"/>
      <c r="DP84" s="1914" t="s">
        <v>38</v>
      </c>
      <c r="DQ84" s="1915"/>
      <c r="DR84" s="1883">
        <f>CX84/'2024_gada_plāns'!CX84</f>
        <v>-0.12179487179487182</v>
      </c>
      <c r="DS84" s="1906"/>
    </row>
    <row r="85" spans="1:123" s="990" customFormat="1" ht="15.75" customHeight="1" x14ac:dyDescent="0.25">
      <c r="A85" s="2242"/>
      <c r="B85" s="987"/>
      <c r="C85" s="988" t="s">
        <v>40</v>
      </c>
      <c r="D85" s="234">
        <v>7</v>
      </c>
      <c r="E85" s="228"/>
      <c r="F85" s="246">
        <v>3.2065964269354101E-3</v>
      </c>
      <c r="G85" s="228"/>
      <c r="H85" s="293" t="s">
        <v>38</v>
      </c>
      <c r="I85" s="230" t="s">
        <v>38</v>
      </c>
      <c r="J85" s="298">
        <v>95</v>
      </c>
      <c r="K85" s="507"/>
      <c r="L85" s="409" t="s">
        <v>38</v>
      </c>
      <c r="M85" s="559" t="s">
        <v>38</v>
      </c>
      <c r="N85" s="506">
        <v>95</v>
      </c>
      <c r="O85" s="208"/>
      <c r="P85" s="293" t="s">
        <v>38</v>
      </c>
      <c r="Q85" s="230" t="s">
        <v>38</v>
      </c>
      <c r="R85" s="506">
        <v>0</v>
      </c>
      <c r="S85" s="507"/>
      <c r="T85" s="293" t="s">
        <v>38</v>
      </c>
      <c r="U85" s="230" t="s">
        <v>38</v>
      </c>
      <c r="V85" s="509">
        <v>13.571428571428571</v>
      </c>
      <c r="W85" s="509"/>
      <c r="X85" s="234">
        <v>7.2</v>
      </c>
      <c r="Y85" s="228"/>
      <c r="Z85" s="246">
        <v>3.2967032967032967E-3</v>
      </c>
      <c r="AA85" s="228"/>
      <c r="AB85" s="293" t="s">
        <v>38</v>
      </c>
      <c r="AC85" s="230" t="s">
        <v>38</v>
      </c>
      <c r="AD85" s="298">
        <v>108</v>
      </c>
      <c r="AE85" s="507"/>
      <c r="AF85" s="409" t="s">
        <v>38</v>
      </c>
      <c r="AG85" s="559" t="s">
        <v>38</v>
      </c>
      <c r="AH85" s="506">
        <v>108</v>
      </c>
      <c r="AI85" s="208"/>
      <c r="AJ85" s="293" t="s">
        <v>38</v>
      </c>
      <c r="AK85" s="230" t="s">
        <v>38</v>
      </c>
      <c r="AL85" s="506">
        <v>0</v>
      </c>
      <c r="AM85" s="507"/>
      <c r="AN85" s="293" t="s">
        <v>38</v>
      </c>
      <c r="AO85" s="230" t="s">
        <v>38</v>
      </c>
      <c r="AP85" s="509">
        <v>15</v>
      </c>
      <c r="AQ85" s="509"/>
      <c r="AR85" s="1440">
        <f>'2024_ar_grozījumiem'!AR85-'2024_gada_plāns'!AR85</f>
        <v>0</v>
      </c>
      <c r="AS85" s="1441"/>
      <c r="AT85" s="2170">
        <f>'2024_ar_grozījumiem'!AT85-'2024_gada_plāns'!AT85</f>
        <v>0</v>
      </c>
      <c r="AU85" s="1441"/>
      <c r="AV85" s="1107" t="s">
        <v>38</v>
      </c>
      <c r="AW85" s="1449"/>
      <c r="AX85" s="1115">
        <f>'2024_ar_grozījumiem'!AX85-'2024_gada_plāns'!AX85</f>
        <v>0</v>
      </c>
      <c r="AY85" s="1469"/>
      <c r="AZ85" s="1117" t="s">
        <v>38</v>
      </c>
      <c r="BA85" s="1468"/>
      <c r="BB85" s="1173">
        <f>'2024_ar_grozījumiem'!BB85-'2024_gada_plāns'!BB85</f>
        <v>0</v>
      </c>
      <c r="BC85" s="1175"/>
      <c r="BD85" s="1107" t="s">
        <v>38</v>
      </c>
      <c r="BE85" s="1449"/>
      <c r="BF85" s="1173">
        <f>'2024_ar_grozījumiem'!BF85-'2024_gada_plāns'!BF85</f>
        <v>0</v>
      </c>
      <c r="BG85" s="1469"/>
      <c r="BH85" s="1107" t="s">
        <v>38</v>
      </c>
      <c r="BI85" s="1449"/>
      <c r="BJ85" s="1110">
        <f>'2024_ar_grozījumiem'!BJ85-'2024_gada_plāns'!BJ85</f>
        <v>0</v>
      </c>
      <c r="BK85" s="1110"/>
      <c r="BL85" s="1283">
        <f>'2024_ar_grozījumiem'!BL85-'2024_gada_plāns'!BL85</f>
        <v>0</v>
      </c>
      <c r="BM85" s="1087"/>
      <c r="BN85" s="1087">
        <f>'2024_ar_grozījumiem'!BN85-'2024_gada_plāns'!BN85</f>
        <v>0</v>
      </c>
      <c r="BO85" s="1087"/>
      <c r="BP85" s="1285" t="s">
        <v>38</v>
      </c>
      <c r="BQ85" s="1108"/>
      <c r="BR85" s="1292">
        <f>'2024_ar_grozījumiem'!BR85-'2024_gada_plāns'!BR85</f>
        <v>-27</v>
      </c>
      <c r="BS85" s="1094"/>
      <c r="BT85" s="1293" t="s">
        <v>38</v>
      </c>
      <c r="BU85" s="1118"/>
      <c r="BV85" s="1176">
        <f>'2024_ar_grozījumiem'!BV85-'2024_gada_plāns'!BV85</f>
        <v>-27</v>
      </c>
      <c r="BW85" s="1091"/>
      <c r="BX85" s="1285" t="s">
        <v>38</v>
      </c>
      <c r="BY85" s="1108"/>
      <c r="BZ85" s="1176">
        <f>'2024_ar_grozījumiem'!BZ85-'2024_gada_plāns'!BZ85</f>
        <v>0</v>
      </c>
      <c r="CA85" s="1094"/>
      <c r="CB85" s="1285" t="s">
        <v>38</v>
      </c>
      <c r="CC85" s="1108"/>
      <c r="CD85" s="1191">
        <f>'2024_ar_grozījumiem'!CD85-'2024_gada_plāns'!CD85</f>
        <v>-3.75</v>
      </c>
      <c r="CE85" s="1191"/>
      <c r="CF85" s="1309">
        <f>'2024_ar_grozījumiem'!CF85-'2024_gada_plāns'!CF85</f>
        <v>0</v>
      </c>
      <c r="CG85" s="1095"/>
      <c r="CH85" s="1088">
        <f>'2024_ar_grozījumiem'!CH85-'2024_gada_plāns'!CH85</f>
        <v>0</v>
      </c>
      <c r="CI85" s="1359"/>
      <c r="CJ85" s="1293" t="s">
        <v>38</v>
      </c>
      <c r="CK85" s="1118"/>
      <c r="CL85" s="1176">
        <f>'2024_ar_grozījumiem'!CL85-'2024_gada_plāns'!CL85</f>
        <v>-27</v>
      </c>
      <c r="CM85" s="1169"/>
      <c r="CN85" s="1094" t="s">
        <v>38</v>
      </c>
      <c r="CO85" s="1118"/>
      <c r="CP85" s="1095">
        <f>'2024_ar_grozījumiem'!CP85-'2024_gada_plāns'!CP85</f>
        <v>-27</v>
      </c>
      <c r="CQ85" s="1091"/>
      <c r="CR85" s="1293" t="s">
        <v>38</v>
      </c>
      <c r="CS85" s="1118"/>
      <c r="CT85" s="1176">
        <f>'2024_ar_grozījumiem'!CT85-'2024_gada_plāns'!CT85</f>
        <v>0</v>
      </c>
      <c r="CU85" s="1091"/>
      <c r="CV85" s="1293" t="s">
        <v>38</v>
      </c>
      <c r="CW85" s="1118"/>
      <c r="CX85" s="1176">
        <f>'2024_ar_grozījumiem'!CX85-'2024_gada_plāns'!CX85</f>
        <v>-0.94736842105263186</v>
      </c>
      <c r="CY85" s="1357"/>
      <c r="CZ85" s="1877">
        <f>CF85/'2024_gada_plāns'!CF85</f>
        <v>0</v>
      </c>
      <c r="DA85" s="1881"/>
      <c r="DB85" s="1902">
        <f>CH85/'2024_gada_plāns'!CH85</f>
        <v>0</v>
      </c>
      <c r="DC85" s="1911"/>
      <c r="DD85" s="1914" t="s">
        <v>38</v>
      </c>
      <c r="DE85" s="1915"/>
      <c r="DF85" s="1883">
        <f>CL85/'2024_gada_plāns'!CL85</f>
        <v>-6.5853658536585369E-2</v>
      </c>
      <c r="DG85" s="1884"/>
      <c r="DH85" s="1916" t="s">
        <v>38</v>
      </c>
      <c r="DI85" s="1915"/>
      <c r="DJ85" s="1987">
        <f>CP85/'2024_gada_plāns'!CP85</f>
        <v>-6.5853658536585369E-2</v>
      </c>
      <c r="DK85" s="1885"/>
      <c r="DL85" s="1914" t="s">
        <v>38</v>
      </c>
      <c r="DM85" s="1915"/>
      <c r="DN85" s="1888" t="s">
        <v>38</v>
      </c>
      <c r="DO85" s="1885"/>
      <c r="DP85" s="1914" t="s">
        <v>38</v>
      </c>
      <c r="DQ85" s="1915"/>
      <c r="DR85" s="1883">
        <f>CX85/'2024_gada_plāns'!CX85</f>
        <v>-6.5853658536585383E-2</v>
      </c>
      <c r="DS85" s="1906"/>
    </row>
    <row r="86" spans="1:123" s="990" customFormat="1" ht="15.75" customHeight="1" x14ac:dyDescent="0.25">
      <c r="A86" s="2242"/>
      <c r="B86" s="987"/>
      <c r="C86" s="988" t="s">
        <v>41</v>
      </c>
      <c r="D86" s="234">
        <v>6.2</v>
      </c>
      <c r="E86" s="228"/>
      <c r="F86" s="246">
        <v>2.8401282638570776E-3</v>
      </c>
      <c r="G86" s="228"/>
      <c r="H86" s="293" t="s">
        <v>38</v>
      </c>
      <c r="I86" s="230" t="s">
        <v>38</v>
      </c>
      <c r="J86" s="298">
        <v>84</v>
      </c>
      <c r="K86" s="507"/>
      <c r="L86" s="409" t="s">
        <v>38</v>
      </c>
      <c r="M86" s="559" t="s">
        <v>38</v>
      </c>
      <c r="N86" s="506">
        <v>84</v>
      </c>
      <c r="O86" s="208"/>
      <c r="P86" s="293" t="s">
        <v>38</v>
      </c>
      <c r="Q86" s="230" t="s">
        <v>38</v>
      </c>
      <c r="R86" s="506">
        <v>0</v>
      </c>
      <c r="S86" s="208"/>
      <c r="T86" s="293" t="s">
        <v>38</v>
      </c>
      <c r="U86" s="230" t="s">
        <v>38</v>
      </c>
      <c r="V86" s="509">
        <v>13.548387096774194</v>
      </c>
      <c r="W86" s="509"/>
      <c r="X86" s="234">
        <v>6</v>
      </c>
      <c r="Y86" s="228"/>
      <c r="Z86" s="246">
        <v>2.7472527472527475E-3</v>
      </c>
      <c r="AA86" s="228"/>
      <c r="AB86" s="293" t="s">
        <v>38</v>
      </c>
      <c r="AC86" s="230" t="s">
        <v>38</v>
      </c>
      <c r="AD86" s="298">
        <v>94</v>
      </c>
      <c r="AE86" s="507"/>
      <c r="AF86" s="409" t="s">
        <v>38</v>
      </c>
      <c r="AG86" s="559" t="s">
        <v>38</v>
      </c>
      <c r="AH86" s="506">
        <v>94</v>
      </c>
      <c r="AI86" s="208"/>
      <c r="AJ86" s="293" t="s">
        <v>38</v>
      </c>
      <c r="AK86" s="230" t="s">
        <v>38</v>
      </c>
      <c r="AL86" s="506">
        <v>0</v>
      </c>
      <c r="AM86" s="208"/>
      <c r="AN86" s="293" t="s">
        <v>38</v>
      </c>
      <c r="AO86" s="230" t="s">
        <v>38</v>
      </c>
      <c r="AP86" s="509">
        <v>15.666666666666666</v>
      </c>
      <c r="AQ86" s="509"/>
      <c r="AR86" s="1440">
        <f>'2024_ar_grozījumiem'!AR86-'2024_gada_plāns'!AR86</f>
        <v>0</v>
      </c>
      <c r="AS86" s="1441"/>
      <c r="AT86" s="2170">
        <f>'2024_ar_grozījumiem'!AT86-'2024_gada_plāns'!AT86</f>
        <v>0</v>
      </c>
      <c r="AU86" s="1441"/>
      <c r="AV86" s="1107" t="s">
        <v>38</v>
      </c>
      <c r="AW86" s="1449"/>
      <c r="AX86" s="1115">
        <f>'2024_ar_grozījumiem'!AX86-'2024_gada_plāns'!AX86</f>
        <v>-30</v>
      </c>
      <c r="AY86" s="1469"/>
      <c r="AZ86" s="1117" t="s">
        <v>38</v>
      </c>
      <c r="BA86" s="1468"/>
      <c r="BB86" s="1173">
        <f>'2024_ar_grozījumiem'!BB86-'2024_gada_plāns'!BB86</f>
        <v>-30</v>
      </c>
      <c r="BC86" s="1175"/>
      <c r="BD86" s="1107" t="s">
        <v>38</v>
      </c>
      <c r="BE86" s="1449"/>
      <c r="BF86" s="1173">
        <f>'2024_ar_grozījumiem'!BF86-'2024_gada_plāns'!BF86</f>
        <v>0</v>
      </c>
      <c r="BG86" s="1175"/>
      <c r="BH86" s="1107" t="s">
        <v>38</v>
      </c>
      <c r="BI86" s="1449"/>
      <c r="BJ86" s="1110">
        <f>'2024_ar_grozījumiem'!BJ86-'2024_gada_plāns'!BJ86</f>
        <v>-4.7619047619047628</v>
      </c>
      <c r="BK86" s="1110"/>
      <c r="BL86" s="1283">
        <f>'2024_ar_grozījumiem'!BL86-'2024_gada_plāns'!BL86</f>
        <v>9.9999999999999645E-2</v>
      </c>
      <c r="BM86" s="1087"/>
      <c r="BN86" s="1087">
        <f>'2024_ar_grozījumiem'!BN86-'2024_gada_plāns'!BN86</f>
        <v>4.5269352648256642E-5</v>
      </c>
      <c r="BO86" s="1087"/>
      <c r="BP86" s="1285" t="s">
        <v>38</v>
      </c>
      <c r="BQ86" s="1108"/>
      <c r="BR86" s="1292">
        <f>'2024_ar_grozījumiem'!BR86-'2024_gada_plāns'!BR86</f>
        <v>0</v>
      </c>
      <c r="BS86" s="1094"/>
      <c r="BT86" s="1293" t="s">
        <v>38</v>
      </c>
      <c r="BU86" s="1118"/>
      <c r="BV86" s="1176">
        <f>'2024_ar_grozījumiem'!BV86-'2024_gada_plāns'!BV86</f>
        <v>0</v>
      </c>
      <c r="BW86" s="1091"/>
      <c r="BX86" s="1285" t="s">
        <v>38</v>
      </c>
      <c r="BY86" s="1108"/>
      <c r="BZ86" s="1176">
        <f>'2024_ar_grozījumiem'!BZ86-'2024_gada_plāns'!BZ86</f>
        <v>0</v>
      </c>
      <c r="CA86" s="1091"/>
      <c r="CB86" s="1285" t="s">
        <v>38</v>
      </c>
      <c r="CC86" s="1108"/>
      <c r="CD86" s="1191">
        <f>'2024_ar_grozījumiem'!CD86-'2024_gada_plāns'!CD86</f>
        <v>-0.21510096575943827</v>
      </c>
      <c r="CE86" s="1191"/>
      <c r="CF86" s="1309">
        <f>'2024_ar_grozījumiem'!CF86-'2024_gada_plāns'!CF86</f>
        <v>0.10000000000000142</v>
      </c>
      <c r="CG86" s="1095"/>
      <c r="CH86" s="1088">
        <f>'2024_ar_grozījumiem'!CH86-'2024_gada_plāns'!CH86</f>
        <v>1.1415525114155146E-5</v>
      </c>
      <c r="CI86" s="1359"/>
      <c r="CJ86" s="1293" t="s">
        <v>38</v>
      </c>
      <c r="CK86" s="1118"/>
      <c r="CL86" s="1176">
        <f>'2024_ar_grozījumiem'!CL86-'2024_gada_plāns'!CL86</f>
        <v>-30</v>
      </c>
      <c r="CM86" s="1169"/>
      <c r="CN86" s="1094" t="s">
        <v>38</v>
      </c>
      <c r="CO86" s="1118"/>
      <c r="CP86" s="1095">
        <f>'2024_ar_grozījumiem'!CP86-'2024_gada_plāns'!CP86</f>
        <v>-30</v>
      </c>
      <c r="CQ86" s="1091"/>
      <c r="CR86" s="1293" t="s">
        <v>38</v>
      </c>
      <c r="CS86" s="1118"/>
      <c r="CT86" s="1176">
        <f>'2024_ar_grozījumiem'!CT86-'2024_gada_plāns'!CT86</f>
        <v>0</v>
      </c>
      <c r="CU86" s="1091"/>
      <c r="CV86" s="1293" t="s">
        <v>38</v>
      </c>
      <c r="CW86" s="1118"/>
      <c r="CX86" s="1176">
        <f>'2024_ar_grozījumiem'!CX86-'2024_gada_plāns'!CX86</f>
        <v>-1.2431771127423303</v>
      </c>
      <c r="CY86" s="1357"/>
      <c r="CZ86" s="1877">
        <f>CF86/'2024_gada_plāns'!CF86</f>
        <v>3.9682539682540244E-3</v>
      </c>
      <c r="DA86" s="1881"/>
      <c r="DB86" s="1902">
        <f>CH86/'2024_gada_plāns'!CH86</f>
        <v>3.9682539682539316E-3</v>
      </c>
      <c r="DC86" s="1911"/>
      <c r="DD86" s="1914" t="s">
        <v>38</v>
      </c>
      <c r="DE86" s="1915"/>
      <c r="DF86" s="1883">
        <f>CL86/'2024_gada_plāns'!CL86</f>
        <v>-8.1967213114754092E-2</v>
      </c>
      <c r="DG86" s="1884"/>
      <c r="DH86" s="1916" t="s">
        <v>38</v>
      </c>
      <c r="DI86" s="1915"/>
      <c r="DJ86" s="1987">
        <f>CP86/'2024_gada_plāns'!CP86</f>
        <v>-8.1967213114754092E-2</v>
      </c>
      <c r="DK86" s="1885"/>
      <c r="DL86" s="1914" t="s">
        <v>38</v>
      </c>
      <c r="DM86" s="1915"/>
      <c r="DN86" s="1888" t="s">
        <v>38</v>
      </c>
      <c r="DO86" s="1885"/>
      <c r="DP86" s="1914" t="s">
        <v>38</v>
      </c>
      <c r="DQ86" s="1915"/>
      <c r="DR86" s="1883">
        <f>CX86/'2024_gada_plāns'!CX86</f>
        <v>-8.5595801205209626E-2</v>
      </c>
      <c r="DS86" s="1906"/>
    </row>
    <row r="87" spans="1:123" ht="15.75" customHeight="1" x14ac:dyDescent="0.25">
      <c r="A87" s="2242"/>
      <c r="B87" s="20"/>
      <c r="C87" s="988" t="s">
        <v>42</v>
      </c>
      <c r="D87" s="234">
        <v>3.8</v>
      </c>
      <c r="E87" s="228"/>
      <c r="F87" s="246">
        <v>1.7407237746220796E-3</v>
      </c>
      <c r="G87" s="228"/>
      <c r="H87" s="293" t="s">
        <v>38</v>
      </c>
      <c r="I87" s="230" t="s">
        <v>38</v>
      </c>
      <c r="J87" s="298">
        <v>51</v>
      </c>
      <c r="K87" s="507"/>
      <c r="L87" s="409" t="s">
        <v>38</v>
      </c>
      <c r="M87" s="559" t="s">
        <v>38</v>
      </c>
      <c r="N87" s="506">
        <v>51</v>
      </c>
      <c r="O87" s="208"/>
      <c r="P87" s="293" t="s">
        <v>38</v>
      </c>
      <c r="Q87" s="230" t="s">
        <v>38</v>
      </c>
      <c r="R87" s="506">
        <v>0</v>
      </c>
      <c r="S87" s="208"/>
      <c r="T87" s="293" t="s">
        <v>38</v>
      </c>
      <c r="U87" s="230" t="s">
        <v>38</v>
      </c>
      <c r="V87" s="509">
        <v>13.421052631578949</v>
      </c>
      <c r="W87" s="509"/>
      <c r="X87" s="234">
        <v>3.6</v>
      </c>
      <c r="Y87" s="228"/>
      <c r="Z87" s="246">
        <v>1.6483516483516484E-3</v>
      </c>
      <c r="AA87" s="228"/>
      <c r="AB87" s="293" t="s">
        <v>38</v>
      </c>
      <c r="AC87" s="230" t="s">
        <v>38</v>
      </c>
      <c r="AD87" s="298">
        <v>58</v>
      </c>
      <c r="AE87" s="507"/>
      <c r="AF87" s="409" t="s">
        <v>38</v>
      </c>
      <c r="AG87" s="559" t="s">
        <v>38</v>
      </c>
      <c r="AH87" s="506">
        <v>58</v>
      </c>
      <c r="AI87" s="208"/>
      <c r="AJ87" s="293" t="s">
        <v>38</v>
      </c>
      <c r="AK87" s="230" t="s">
        <v>38</v>
      </c>
      <c r="AL87" s="506">
        <v>0</v>
      </c>
      <c r="AM87" s="208"/>
      <c r="AN87" s="293" t="s">
        <v>38</v>
      </c>
      <c r="AO87" s="230" t="s">
        <v>38</v>
      </c>
      <c r="AP87" s="509">
        <v>16.111111111111111</v>
      </c>
      <c r="AQ87" s="509"/>
      <c r="AR87" s="1440">
        <f>'2024_ar_grozījumiem'!AR87-'2024_gada_plāns'!AR87</f>
        <v>0</v>
      </c>
      <c r="AS87" s="1441"/>
      <c r="AT87" s="2170">
        <f>'2024_ar_grozījumiem'!AT87-'2024_gada_plāns'!AT87</f>
        <v>0</v>
      </c>
      <c r="AU87" s="1441"/>
      <c r="AV87" s="1107" t="s">
        <v>38</v>
      </c>
      <c r="AW87" s="1449"/>
      <c r="AX87" s="1115">
        <f>'2024_ar_grozījumiem'!AX87-'2024_gada_plāns'!AX87</f>
        <v>-18</v>
      </c>
      <c r="AY87" s="1469"/>
      <c r="AZ87" s="1117" t="s">
        <v>38</v>
      </c>
      <c r="BA87" s="1468"/>
      <c r="BB87" s="1173">
        <f>'2024_ar_grozījumiem'!BB87-'2024_gada_plāns'!BB87</f>
        <v>-18</v>
      </c>
      <c r="BC87" s="1175"/>
      <c r="BD87" s="1107" t="s">
        <v>38</v>
      </c>
      <c r="BE87" s="1449"/>
      <c r="BF87" s="1173">
        <f>'2024_ar_grozījumiem'!BF87-'2024_gada_plāns'!BF87</f>
        <v>0</v>
      </c>
      <c r="BG87" s="1175"/>
      <c r="BH87" s="1107" t="s">
        <v>38</v>
      </c>
      <c r="BI87" s="1449"/>
      <c r="BJ87" s="1110">
        <f>'2024_ar_grozījumiem'!BJ87-'2024_gada_plāns'!BJ87</f>
        <v>-4.7368421052631593</v>
      </c>
      <c r="BK87" s="1110"/>
      <c r="BL87" s="1283">
        <f>'2024_ar_grozījumiem'!BL87-'2024_gada_plāns'!BL87</f>
        <v>0</v>
      </c>
      <c r="BM87" s="1087"/>
      <c r="BN87" s="1087">
        <f>'2024_ar_grozījumiem'!BN87-'2024_gada_plāns'!BN87</f>
        <v>0</v>
      </c>
      <c r="BO87" s="1087"/>
      <c r="BP87" s="1285" t="s">
        <v>38</v>
      </c>
      <c r="BQ87" s="1108"/>
      <c r="BR87" s="1292">
        <f>'2024_ar_grozījumiem'!BR87-'2024_gada_plāns'!BR87</f>
        <v>0</v>
      </c>
      <c r="BS87" s="1094"/>
      <c r="BT87" s="1293" t="s">
        <v>38</v>
      </c>
      <c r="BU87" s="1118"/>
      <c r="BV87" s="1176">
        <f>'2024_ar_grozījumiem'!BV87-'2024_gada_plāns'!BV87</f>
        <v>0</v>
      </c>
      <c r="BW87" s="1091"/>
      <c r="BX87" s="1285" t="s">
        <v>38</v>
      </c>
      <c r="BY87" s="1108"/>
      <c r="BZ87" s="1176">
        <f>'2024_ar_grozījumiem'!BZ87-'2024_gada_plāns'!BZ87</f>
        <v>0</v>
      </c>
      <c r="CA87" s="1091"/>
      <c r="CB87" s="1285" t="s">
        <v>38</v>
      </c>
      <c r="CC87" s="1108"/>
      <c r="CD87" s="1191">
        <f>'2024_ar_grozījumiem'!CD87-'2024_gada_plāns'!CD87</f>
        <v>0</v>
      </c>
      <c r="CE87" s="1191"/>
      <c r="CF87" s="1309">
        <f>'2024_ar_grozījumiem'!CF87-'2024_gada_plāns'!CF87</f>
        <v>0</v>
      </c>
      <c r="CG87" s="1095"/>
      <c r="CH87" s="1088">
        <f>'2024_ar_grozījumiem'!CH87-'2024_gada_plāns'!CH87</f>
        <v>0</v>
      </c>
      <c r="CI87" s="1359"/>
      <c r="CJ87" s="1293" t="s">
        <v>38</v>
      </c>
      <c r="CK87" s="1118"/>
      <c r="CL87" s="1176">
        <f>'2024_ar_grozījumiem'!CL87-'2024_gada_plāns'!CL87</f>
        <v>-18</v>
      </c>
      <c r="CM87" s="1169"/>
      <c r="CN87" s="1094" t="s">
        <v>38</v>
      </c>
      <c r="CO87" s="1118"/>
      <c r="CP87" s="1095">
        <f>'2024_ar_grozījumiem'!CP87-'2024_gada_plāns'!CP87</f>
        <v>-18</v>
      </c>
      <c r="CQ87" s="1091"/>
      <c r="CR87" s="1293" t="s">
        <v>38</v>
      </c>
      <c r="CS87" s="1118"/>
      <c r="CT87" s="1176">
        <f>'2024_ar_grozījumiem'!CT87-'2024_gada_plāns'!CT87</f>
        <v>0</v>
      </c>
      <c r="CU87" s="1091"/>
      <c r="CV87" s="1293" t="s">
        <v>38</v>
      </c>
      <c r="CW87" s="1118"/>
      <c r="CX87" s="1176">
        <f>'2024_ar_grozījumiem'!CX87-'2024_gada_plāns'!CX87</f>
        <v>-1.1920529801324502</v>
      </c>
      <c r="CY87" s="1357"/>
      <c r="CZ87" s="1877">
        <f>CF87/'2024_gada_plāns'!CF87</f>
        <v>0</v>
      </c>
      <c r="DA87" s="1881"/>
      <c r="DB87" s="1902">
        <f>CH87/'2024_gada_plāns'!CH87</f>
        <v>0</v>
      </c>
      <c r="DC87" s="1911"/>
      <c r="DD87" s="1914" t="s">
        <v>38</v>
      </c>
      <c r="DE87" s="1915"/>
      <c r="DF87" s="1883">
        <f>CL87/'2024_gada_plāns'!CL87</f>
        <v>-8.2191780821917804E-2</v>
      </c>
      <c r="DG87" s="1884"/>
      <c r="DH87" s="1916" t="s">
        <v>38</v>
      </c>
      <c r="DI87" s="1915"/>
      <c r="DJ87" s="1987">
        <f>CP87/'2024_gada_plāns'!CP87</f>
        <v>-8.2191780821917804E-2</v>
      </c>
      <c r="DK87" s="1885"/>
      <c r="DL87" s="1914" t="s">
        <v>38</v>
      </c>
      <c r="DM87" s="1915"/>
      <c r="DN87" s="1888" t="s">
        <v>38</v>
      </c>
      <c r="DO87" s="1885"/>
      <c r="DP87" s="1914" t="s">
        <v>38</v>
      </c>
      <c r="DQ87" s="1915"/>
      <c r="DR87" s="1883">
        <f>CX87/'2024_gada_plāns'!CX87</f>
        <v>-8.219178082191779E-2</v>
      </c>
      <c r="DS87" s="1906"/>
    </row>
    <row r="88" spans="1:123" s="1029" customFormat="1" ht="15.75" customHeight="1" x14ac:dyDescent="0.25">
      <c r="A88" s="2245"/>
      <c r="B88" s="85"/>
      <c r="C88" s="1028" t="s">
        <v>43</v>
      </c>
      <c r="D88" s="350">
        <v>0.5</v>
      </c>
      <c r="E88" s="228"/>
      <c r="F88" s="352">
        <v>2.2904260192395785E-4</v>
      </c>
      <c r="G88" s="351"/>
      <c r="H88" s="353" t="s">
        <v>38</v>
      </c>
      <c r="I88" s="354" t="s">
        <v>38</v>
      </c>
      <c r="J88" s="355">
        <v>0</v>
      </c>
      <c r="K88" s="734"/>
      <c r="L88" s="409" t="s">
        <v>38</v>
      </c>
      <c r="M88" s="559" t="s">
        <v>38</v>
      </c>
      <c r="N88" s="736">
        <v>0</v>
      </c>
      <c r="O88" s="738"/>
      <c r="P88" s="353" t="s">
        <v>38</v>
      </c>
      <c r="Q88" s="354" t="s">
        <v>38</v>
      </c>
      <c r="R88" s="736">
        <v>0</v>
      </c>
      <c r="S88" s="738"/>
      <c r="T88" s="353" t="s">
        <v>38</v>
      </c>
      <c r="U88" s="354" t="s">
        <v>38</v>
      </c>
      <c r="V88" s="736">
        <v>0</v>
      </c>
      <c r="W88" s="739"/>
      <c r="X88" s="350">
        <v>0.5</v>
      </c>
      <c r="Y88" s="228"/>
      <c r="Z88" s="352">
        <v>2.2893772893772894E-4</v>
      </c>
      <c r="AA88" s="351"/>
      <c r="AB88" s="353" t="s">
        <v>38</v>
      </c>
      <c r="AC88" s="354" t="s">
        <v>38</v>
      </c>
      <c r="AD88" s="355">
        <v>0</v>
      </c>
      <c r="AE88" s="734"/>
      <c r="AF88" s="409" t="s">
        <v>38</v>
      </c>
      <c r="AG88" s="559" t="s">
        <v>38</v>
      </c>
      <c r="AH88" s="736">
        <v>0</v>
      </c>
      <c r="AI88" s="738"/>
      <c r="AJ88" s="353" t="s">
        <v>38</v>
      </c>
      <c r="AK88" s="354" t="s">
        <v>38</v>
      </c>
      <c r="AL88" s="736">
        <v>0</v>
      </c>
      <c r="AM88" s="738"/>
      <c r="AN88" s="353" t="s">
        <v>38</v>
      </c>
      <c r="AO88" s="354" t="s">
        <v>38</v>
      </c>
      <c r="AP88" s="736">
        <v>0</v>
      </c>
      <c r="AQ88" s="739"/>
      <c r="AR88" s="1579">
        <f>'2024_ar_grozījumiem'!AR88-'2024_gada_plāns'!AR88</f>
        <v>0</v>
      </c>
      <c r="AS88" s="1441"/>
      <c r="AT88" s="2171">
        <f>'2024_ar_grozījumiem'!AT88-'2024_gada_plāns'!AT88</f>
        <v>0</v>
      </c>
      <c r="AU88" s="1580"/>
      <c r="AV88" s="1192" t="s">
        <v>38</v>
      </c>
      <c r="AW88" s="1582"/>
      <c r="AX88" s="1584">
        <f>'2024_ar_grozījumiem'!AX88-'2024_gada_plāns'!AX88</f>
        <v>0</v>
      </c>
      <c r="AY88" s="1589"/>
      <c r="AZ88" s="1117" t="s">
        <v>38</v>
      </c>
      <c r="BA88" s="1468"/>
      <c r="BB88" s="1179">
        <f>'2024_ar_grozījumiem'!BB88-'2024_gada_plāns'!BB88</f>
        <v>0</v>
      </c>
      <c r="BC88" s="1182"/>
      <c r="BD88" s="1192" t="s">
        <v>38</v>
      </c>
      <c r="BE88" s="1582"/>
      <c r="BF88" s="1179">
        <f>'2024_ar_grozījumiem'!BF88-'2024_gada_plāns'!BF88</f>
        <v>0</v>
      </c>
      <c r="BG88" s="1182"/>
      <c r="BH88" s="1192" t="s">
        <v>38</v>
      </c>
      <c r="BI88" s="1582"/>
      <c r="BJ88" s="1179">
        <f>'2024_ar_grozījumiem'!BJ88-'2024_gada_plāns'!BJ88</f>
        <v>0</v>
      </c>
      <c r="BK88" s="1675"/>
      <c r="BL88" s="1316">
        <f>'2024_ar_grozījumiem'!BL88-'2024_gada_plāns'!BL88</f>
        <v>0</v>
      </c>
      <c r="BM88" s="1087"/>
      <c r="BN88" s="1177">
        <f>'2024_ar_grozījumiem'!BN88-'2024_gada_plāns'!BN88</f>
        <v>0</v>
      </c>
      <c r="BO88" s="1177"/>
      <c r="BP88" s="1317" t="s">
        <v>38</v>
      </c>
      <c r="BQ88" s="1180"/>
      <c r="BR88" s="1318">
        <f>'2024_ar_grozījumiem'!BR88-'2024_gada_plāns'!BR88</f>
        <v>0</v>
      </c>
      <c r="BS88" s="1193"/>
      <c r="BT88" s="1293" t="s">
        <v>38</v>
      </c>
      <c r="BU88" s="1118"/>
      <c r="BV88" s="1183">
        <f>'2024_ar_grozījumiem'!BV88-'2024_gada_plāns'!BV88</f>
        <v>0</v>
      </c>
      <c r="BW88" s="1197"/>
      <c r="BX88" s="1317" t="s">
        <v>38</v>
      </c>
      <c r="BY88" s="1180"/>
      <c r="BZ88" s="1183">
        <f>'2024_ar_grozījumiem'!BZ88-'2024_gada_plāns'!BZ88</f>
        <v>0</v>
      </c>
      <c r="CA88" s="1197"/>
      <c r="CB88" s="1317" t="s">
        <v>38</v>
      </c>
      <c r="CC88" s="1180"/>
      <c r="CD88" s="1183">
        <f>'2024_ar_grozījumiem'!CD88-'2024_gada_plāns'!CD88</f>
        <v>0</v>
      </c>
      <c r="CE88" s="1198"/>
      <c r="CF88" s="1369">
        <f>'2024_ar_grozījumiem'!CF88-'2024_gada_plāns'!CF88</f>
        <v>0</v>
      </c>
      <c r="CG88" s="1312"/>
      <c r="CH88" s="1393">
        <f>'2024_ar_grozījumiem'!CH88-'2024_gada_plāns'!CH88</f>
        <v>0</v>
      </c>
      <c r="CI88" s="1400"/>
      <c r="CJ88" s="1293" t="s">
        <v>38</v>
      </c>
      <c r="CK88" s="1118"/>
      <c r="CL88" s="1183">
        <f>'2024_ar_grozījumiem'!CL88-'2024_gada_plāns'!CL88</f>
        <v>0</v>
      </c>
      <c r="CM88" s="1367"/>
      <c r="CN88" s="1094" t="s">
        <v>38</v>
      </c>
      <c r="CO88" s="1118"/>
      <c r="CP88" s="1312">
        <f>'2024_ar_grozījumiem'!CP88-'2024_gada_plāns'!CP88</f>
        <v>0</v>
      </c>
      <c r="CQ88" s="1197"/>
      <c r="CR88" s="1293" t="s">
        <v>38</v>
      </c>
      <c r="CS88" s="1118"/>
      <c r="CT88" s="1183">
        <f>'2024_ar_grozījumiem'!CT88-'2024_gada_plāns'!CT88</f>
        <v>0</v>
      </c>
      <c r="CU88" s="1197"/>
      <c r="CV88" s="1293" t="s">
        <v>38</v>
      </c>
      <c r="CW88" s="1118"/>
      <c r="CX88" s="1183">
        <f>'2024_ar_grozījumiem'!CX88-'2024_gada_plāns'!CX88</f>
        <v>0</v>
      </c>
      <c r="CY88" s="1401"/>
      <c r="CZ88" s="1937">
        <f>CF88/'2024_gada_plāns'!CF88</f>
        <v>0</v>
      </c>
      <c r="DA88" s="2000"/>
      <c r="DB88" s="2015">
        <f>CH88/'2024_gada_plāns'!CH88</f>
        <v>0</v>
      </c>
      <c r="DC88" s="2016"/>
      <c r="DD88" s="1914" t="s">
        <v>38</v>
      </c>
      <c r="DE88" s="1915"/>
      <c r="DF88" s="2001" t="s">
        <v>38</v>
      </c>
      <c r="DG88" s="1933"/>
      <c r="DH88" s="1916" t="s">
        <v>38</v>
      </c>
      <c r="DI88" s="1915"/>
      <c r="DJ88" s="2020" t="s">
        <v>38</v>
      </c>
      <c r="DK88" s="1999"/>
      <c r="DL88" s="1914" t="s">
        <v>38</v>
      </c>
      <c r="DM88" s="1915"/>
      <c r="DN88" s="1993" t="s">
        <v>38</v>
      </c>
      <c r="DO88" s="1999"/>
      <c r="DP88" s="1914" t="s">
        <v>38</v>
      </c>
      <c r="DQ88" s="1915"/>
      <c r="DR88" s="1993" t="s">
        <v>38</v>
      </c>
      <c r="DS88" s="2021"/>
    </row>
    <row r="89" spans="1:123" s="1031" customFormat="1" ht="15.75" customHeight="1" thickBot="1" x14ac:dyDescent="0.3">
      <c r="A89" s="86" t="s">
        <v>65</v>
      </c>
      <c r="B89" s="87" t="s">
        <v>66</v>
      </c>
      <c r="C89" s="1030"/>
      <c r="D89" s="357" t="s">
        <v>38</v>
      </c>
      <c r="E89" s="358"/>
      <c r="F89" s="359" t="s">
        <v>38</v>
      </c>
      <c r="G89" s="360" t="s">
        <v>38</v>
      </c>
      <c r="H89" s="89" t="s">
        <v>38</v>
      </c>
      <c r="I89" s="90" t="s">
        <v>38</v>
      </c>
      <c r="J89" s="361">
        <v>510029</v>
      </c>
      <c r="K89" s="94"/>
      <c r="L89" s="91" t="s">
        <v>38</v>
      </c>
      <c r="M89" s="92" t="s">
        <v>38</v>
      </c>
      <c r="N89" s="789">
        <v>510029</v>
      </c>
      <c r="O89" s="93"/>
      <c r="P89" s="89" t="s">
        <v>38</v>
      </c>
      <c r="Q89" s="90" t="s">
        <v>38</v>
      </c>
      <c r="R89" s="790">
        <v>0</v>
      </c>
      <c r="S89" s="93"/>
      <c r="T89" s="89" t="s">
        <v>38</v>
      </c>
      <c r="U89" s="90" t="s">
        <v>38</v>
      </c>
      <c r="V89" s="791" t="s">
        <v>38</v>
      </c>
      <c r="W89" s="519"/>
      <c r="X89" s="357" t="s">
        <v>38</v>
      </c>
      <c r="Y89" s="358" t="s">
        <v>38</v>
      </c>
      <c r="Z89" s="359" t="s">
        <v>38</v>
      </c>
      <c r="AA89" s="360" t="s">
        <v>38</v>
      </c>
      <c r="AB89" s="89" t="s">
        <v>38</v>
      </c>
      <c r="AC89" s="90" t="s">
        <v>38</v>
      </c>
      <c r="AD89" s="361">
        <v>510029</v>
      </c>
      <c r="AE89" s="94"/>
      <c r="AF89" s="91" t="s">
        <v>38</v>
      </c>
      <c r="AG89" s="92" t="s">
        <v>38</v>
      </c>
      <c r="AH89" s="789">
        <v>510029</v>
      </c>
      <c r="AI89" s="93"/>
      <c r="AJ89" s="89" t="s">
        <v>38</v>
      </c>
      <c r="AK89" s="90" t="s">
        <v>38</v>
      </c>
      <c r="AL89" s="790">
        <v>0</v>
      </c>
      <c r="AM89" s="93"/>
      <c r="AN89" s="89" t="s">
        <v>38</v>
      </c>
      <c r="AO89" s="90" t="s">
        <v>38</v>
      </c>
      <c r="AP89" s="791" t="s">
        <v>38</v>
      </c>
      <c r="AQ89" s="519"/>
      <c r="AR89" s="1601" t="s">
        <v>38</v>
      </c>
      <c r="AS89" s="1602"/>
      <c r="AT89" s="1603" t="s">
        <v>38</v>
      </c>
      <c r="AU89" s="1604"/>
      <c r="AV89" s="1204" t="s">
        <v>38</v>
      </c>
      <c r="AW89" s="1205"/>
      <c r="AX89" s="1323">
        <f>'2024_ar_grozījumiem'!AX89-'2024_gada_plāns'!AX89</f>
        <v>24871</v>
      </c>
      <c r="AY89" s="1206"/>
      <c r="AZ89" s="1206" t="s">
        <v>38</v>
      </c>
      <c r="BA89" s="1207"/>
      <c r="BB89" s="1324">
        <f>'2024_ar_grozījumiem'!BB89-'2024_gada_plāns'!BB89</f>
        <v>24871</v>
      </c>
      <c r="BC89" s="1208"/>
      <c r="BD89" s="1204" t="s">
        <v>38</v>
      </c>
      <c r="BE89" s="1205"/>
      <c r="BF89" s="1325">
        <f>'2024_ar_grozījumiem'!BF89-'2024_gada_plāns'!BF89</f>
        <v>0</v>
      </c>
      <c r="BG89" s="1208"/>
      <c r="BH89" s="1204" t="s">
        <v>38</v>
      </c>
      <c r="BI89" s="1205"/>
      <c r="BJ89" s="1681" t="s">
        <v>38</v>
      </c>
      <c r="BK89" s="1682"/>
      <c r="BL89" s="1322" t="s">
        <v>38</v>
      </c>
      <c r="BM89" s="1201" t="s">
        <v>38</v>
      </c>
      <c r="BN89" s="1202" t="s">
        <v>38</v>
      </c>
      <c r="BO89" s="1203"/>
      <c r="BP89" s="1204" t="s">
        <v>38</v>
      </c>
      <c r="BQ89" s="1205"/>
      <c r="BR89" s="1323">
        <f>'2024_ar_grozījumiem'!BR89-'2024_gada_plāns'!BR89</f>
        <v>24871</v>
      </c>
      <c r="BS89" s="1206"/>
      <c r="BT89" s="1206" t="s">
        <v>38</v>
      </c>
      <c r="BU89" s="1207"/>
      <c r="BV89" s="1324">
        <f>'2024_ar_grozījumiem'!BV89-'2024_gada_plāns'!BV89</f>
        <v>24871</v>
      </c>
      <c r="BW89" s="1208"/>
      <c r="BX89" s="1204" t="s">
        <v>38</v>
      </c>
      <c r="BY89" s="1205"/>
      <c r="BZ89" s="1325">
        <f>'2024_ar_grozījumiem'!BZ89-'2024_gada_plāns'!BZ89</f>
        <v>0</v>
      </c>
      <c r="CA89" s="1208"/>
      <c r="CB89" s="1204" t="s">
        <v>38</v>
      </c>
      <c r="CC89" s="1205" t="s">
        <v>38</v>
      </c>
      <c r="CD89" s="1209" t="s">
        <v>38</v>
      </c>
      <c r="CE89" s="1210"/>
      <c r="CF89" s="1322" t="s">
        <v>38</v>
      </c>
      <c r="CG89" s="1202"/>
      <c r="CH89" s="1202" t="s">
        <v>38</v>
      </c>
      <c r="CI89" s="1203"/>
      <c r="CJ89" s="1206" t="s">
        <v>38</v>
      </c>
      <c r="CK89" s="1207"/>
      <c r="CL89" s="1409">
        <f>'2024_ar_grozījumiem'!CL89-'2024_gada_plāns'!CL89</f>
        <v>49742</v>
      </c>
      <c r="CM89" s="1410"/>
      <c r="CN89" s="1206" t="s">
        <v>38</v>
      </c>
      <c r="CO89" s="1207"/>
      <c r="CP89" s="1323">
        <f>'2024_ar_grozījumiem'!CP89-'2024_gada_plāns'!CP89</f>
        <v>49742</v>
      </c>
      <c r="CQ89" s="1208"/>
      <c r="CR89" s="1206" t="s">
        <v>38</v>
      </c>
      <c r="CS89" s="1207"/>
      <c r="CT89" s="1323">
        <f>'2024_ar_grozījumiem'!CT89-'2024_gada_plāns'!CT89</f>
        <v>0</v>
      </c>
      <c r="CU89" s="1208"/>
      <c r="CV89" s="1206" t="s">
        <v>38</v>
      </c>
      <c r="CW89" s="1207"/>
      <c r="CX89" s="1411" t="s">
        <v>38</v>
      </c>
      <c r="CY89" s="1332"/>
      <c r="CZ89" s="2032" t="s">
        <v>38</v>
      </c>
      <c r="DA89" s="2033"/>
      <c r="DB89" s="2033" t="s">
        <v>38</v>
      </c>
      <c r="DC89" s="2034"/>
      <c r="DD89" s="2035" t="s">
        <v>38</v>
      </c>
      <c r="DE89" s="2036"/>
      <c r="DF89" s="2037">
        <f>CL89/'2024_gada_plāns'!CL89</f>
        <v>2.4381946908901258E-2</v>
      </c>
      <c r="DG89" s="2038"/>
      <c r="DH89" s="2039" t="s">
        <v>38</v>
      </c>
      <c r="DI89" s="2036"/>
      <c r="DJ89" s="2040">
        <f>CP89/'2024_gada_plāns'!CP89</f>
        <v>2.4381946908901258E-2</v>
      </c>
      <c r="DK89" s="2041"/>
      <c r="DL89" s="2035" t="s">
        <v>38</v>
      </c>
      <c r="DM89" s="2036"/>
      <c r="DN89" s="2042" t="s">
        <v>38</v>
      </c>
      <c r="DO89" s="2041"/>
      <c r="DP89" s="2035" t="s">
        <v>38</v>
      </c>
      <c r="DQ89" s="2036"/>
      <c r="DR89" s="2043" t="s">
        <v>38</v>
      </c>
      <c r="DS89" s="2044"/>
    </row>
    <row r="90" spans="1:123" s="1033" customFormat="1" ht="15.75" customHeight="1" thickBot="1" x14ac:dyDescent="0.3">
      <c r="A90" s="96"/>
      <c r="B90" s="97" t="s">
        <v>67</v>
      </c>
      <c r="C90" s="1032"/>
      <c r="D90" s="362">
        <v>10996.900000000001</v>
      </c>
      <c r="E90" s="103"/>
      <c r="F90" s="217">
        <v>1.0000572643471</v>
      </c>
      <c r="G90" s="98"/>
      <c r="H90" s="99">
        <v>2965759.84820945</v>
      </c>
      <c r="I90" s="100"/>
      <c r="J90" s="99">
        <v>1939574.8955981734</v>
      </c>
      <c r="K90" s="98"/>
      <c r="L90" s="98">
        <v>1026184.9526112766</v>
      </c>
      <c r="M90" s="101"/>
      <c r="N90" s="99">
        <v>1921443.8825981733</v>
      </c>
      <c r="O90" s="98"/>
      <c r="P90" s="809">
        <v>1024423.6204160325</v>
      </c>
      <c r="Q90" s="808"/>
      <c r="R90" s="809">
        <v>18131.012999999999</v>
      </c>
      <c r="S90" s="810"/>
      <c r="T90" s="809">
        <v>1761.3321952442043</v>
      </c>
      <c r="U90" s="100"/>
      <c r="V90" s="99">
        <v>176.3746961050999</v>
      </c>
      <c r="W90" s="102"/>
      <c r="X90" s="362">
        <v>11001.899999999998</v>
      </c>
      <c r="Y90" s="103"/>
      <c r="Z90" s="217">
        <v>0.99999999999999989</v>
      </c>
      <c r="AA90" s="98"/>
      <c r="AB90" s="99">
        <v>3172253.7062740764</v>
      </c>
      <c r="AC90" s="100"/>
      <c r="AD90" s="99">
        <v>1901808.2571291032</v>
      </c>
      <c r="AE90" s="98"/>
      <c r="AF90" s="98">
        <v>1270445.4491449732</v>
      </c>
      <c r="AG90" s="101"/>
      <c r="AH90" s="99">
        <v>1883677.2571291032</v>
      </c>
      <c r="AI90" s="98"/>
      <c r="AJ90" s="809">
        <v>1252940.0581458306</v>
      </c>
      <c r="AK90" s="808"/>
      <c r="AL90" s="809">
        <v>18131</v>
      </c>
      <c r="AM90" s="810"/>
      <c r="AN90" s="809">
        <v>17505.390999142466</v>
      </c>
      <c r="AO90" s="100"/>
      <c r="AP90" s="99">
        <v>172.86180179142727</v>
      </c>
      <c r="AQ90" s="102"/>
      <c r="AR90" s="1326">
        <f>'2024_ar_grozījumiem'!AR90-'2024_gada_plāns'!AR90</f>
        <v>0</v>
      </c>
      <c r="AS90" s="1211"/>
      <c r="AT90" s="1212">
        <f>'2024_ar_grozījumiem'!AT90-'2024_gada_plāns'!AT90</f>
        <v>0</v>
      </c>
      <c r="AU90" s="1212"/>
      <c r="AV90" s="1213">
        <f>'2024_ar_grozījumiem'!AV90-'2024_gada_plāns'!AV90</f>
        <v>-9794.2117860941216</v>
      </c>
      <c r="AW90" s="1214"/>
      <c r="AX90" s="1213">
        <f>'2024_ar_grozījumiem'!AX90-'2024_gada_plāns'!AX90</f>
        <v>-52411.374706583563</v>
      </c>
      <c r="AY90" s="1212"/>
      <c r="AZ90" s="1212">
        <f>'2024_ar_grozījumiem'!AZ90-'2024_gada_plāns'!AZ90</f>
        <v>42617.162920489209</v>
      </c>
      <c r="BA90" s="1215"/>
      <c r="BB90" s="1213">
        <f>'2024_ar_grozījumiem'!BB90-'2024_gada_plāns'!BB90</f>
        <v>-52207.374706583563</v>
      </c>
      <c r="BC90" s="1212"/>
      <c r="BD90" s="1213">
        <f>'2024_ar_grozījumiem'!BD90-'2024_gada_plāns'!BD90</f>
        <v>42463.028735469095</v>
      </c>
      <c r="BE90" s="1214"/>
      <c r="BF90" s="1213">
        <f>'2024_ar_grozījumiem'!BF90-'2024_gada_plāns'!BF90</f>
        <v>-204</v>
      </c>
      <c r="BG90" s="1212"/>
      <c r="BH90" s="1213">
        <f>'2024_ar_grozījumiem'!BH90-'2024_gada_plāns'!BH90</f>
        <v>154.13418502017885</v>
      </c>
      <c r="BI90" s="1214"/>
      <c r="BJ90" s="1213">
        <f>'2024_ar_grozījumiem'!BJ90-'2024_gada_plāns'!BJ90</f>
        <v>-4.7188121533986589</v>
      </c>
      <c r="BK90" s="1216"/>
      <c r="BL90" s="1326">
        <f>'2024_ar_grozījumiem'!BL90-'2024_gada_plāns'!BL90</f>
        <v>0</v>
      </c>
      <c r="BM90" s="1211"/>
      <c r="BN90" s="1212">
        <f>'2024_ar_grozījumiem'!BN90-'2024_gada_plāns'!BN90</f>
        <v>0</v>
      </c>
      <c r="BO90" s="1212"/>
      <c r="BP90" s="1213">
        <f>'2024_ar_grozījumiem'!BP90-'2024_gada_plāns'!BP90</f>
        <v>-17855.292139500845</v>
      </c>
      <c r="BQ90" s="1214"/>
      <c r="BR90" s="1213">
        <f>'2024_ar_grozījumiem'!BR90-'2024_gada_plāns'!BR90</f>
        <v>-62634.170328259235</v>
      </c>
      <c r="BS90" s="1212"/>
      <c r="BT90" s="1212">
        <f>'2024_ar_grozījumiem'!BT90-'2024_gada_plāns'!BT90</f>
        <v>44778.878188758157</v>
      </c>
      <c r="BU90" s="1215"/>
      <c r="BV90" s="1213">
        <f>'2024_ar_grozījumiem'!BV90-'2024_gada_plāns'!BV90</f>
        <v>-62838.170328259235</v>
      </c>
      <c r="BW90" s="1212"/>
      <c r="BX90" s="1213">
        <f>'2024_ar_grozījumiem'!BX90-'2024_gada_plāns'!BX90</f>
        <v>44900.153352844995</v>
      </c>
      <c r="BY90" s="1214"/>
      <c r="BZ90" s="1213">
        <f>'2024_ar_grozījumiem'!BZ90-'2024_gada_plāns'!BZ90</f>
        <v>204</v>
      </c>
      <c r="CA90" s="1212"/>
      <c r="CB90" s="1213">
        <f>'2024_ar_grozījumiem'!CB90-'2024_gada_plāns'!CB90</f>
        <v>-121.27516408672454</v>
      </c>
      <c r="CC90" s="1214"/>
      <c r="CD90" s="1213">
        <f>'2024_ar_grozījumiem'!CD90-'2024_gada_plāns'!CD90</f>
        <v>-5.6442943820579785</v>
      </c>
      <c r="CE90" s="1216"/>
      <c r="CF90" s="1412">
        <f>'2024_ar_grozījumiem'!CF90-'2024_gada_plāns'!CF90</f>
        <v>0</v>
      </c>
      <c r="CG90" s="1212"/>
      <c r="CH90" s="1212">
        <f>'2024_ar_grozījumiem'!CH90-'2024_gada_plāns'!CH90</f>
        <v>0</v>
      </c>
      <c r="CI90" s="1215"/>
      <c r="CJ90" s="1212">
        <f>'2024_ar_grozījumiem'!CJ90-'2024_gada_plāns'!CJ90</f>
        <v>-27649.50392559357</v>
      </c>
      <c r="CK90" s="1215"/>
      <c r="CL90" s="1213">
        <f>'2024_ar_grozījumiem'!CL90-'2024_gada_plāns'!CL90</f>
        <v>-115045.5450348435</v>
      </c>
      <c r="CM90" s="1413"/>
      <c r="CN90" s="1212">
        <f>'2024_ar_grozījumiem'!CN90-'2024_gada_plāns'!CN90</f>
        <v>87396.041109247133</v>
      </c>
      <c r="CO90" s="1215"/>
      <c r="CP90" s="1213">
        <f>'2024_ar_grozījumiem'!CP90-'2024_gada_plāns'!CP90</f>
        <v>-115045.54503484257</v>
      </c>
      <c r="CQ90" s="1212"/>
      <c r="CR90" s="1212">
        <f>'2024_ar_grozījumiem'!CR90-'2024_gada_plāns'!CR90</f>
        <v>87363.182088313624</v>
      </c>
      <c r="CS90" s="1215"/>
      <c r="CT90" s="1213">
        <f>'2024_ar_grozījumiem'!CT90-'2024_gada_plāns'!CT90</f>
        <v>0</v>
      </c>
      <c r="CU90" s="1212"/>
      <c r="CV90" s="1212">
        <f>'2024_ar_grozījumiem'!CV90-'2024_gada_plāns'!CV90</f>
        <v>32.859020933450665</v>
      </c>
      <c r="CW90" s="1215"/>
      <c r="CX90" s="1213">
        <f>'2024_ar_grozījumiem'!CX90-'2024_gada_plāns'!CX90</f>
        <v>-2.6026872861515642</v>
      </c>
      <c r="CY90" s="1216"/>
      <c r="CZ90" s="2045">
        <f>CF90/'2024_gada_plāns'!CF90</f>
        <v>0</v>
      </c>
      <c r="DA90" s="2046"/>
      <c r="DB90" s="2047">
        <f>CH90/'2024_gada_plāns'!CH90</f>
        <v>0</v>
      </c>
      <c r="DC90" s="2048"/>
      <c r="DD90" s="2047">
        <f>CJ90/'2024_gada_plāns'!CJ90</f>
        <v>-2.123441926576557E-3</v>
      </c>
      <c r="DE90" s="2048"/>
      <c r="DF90" s="2049">
        <f>CL90/'2024_gada_plāns'!CL90</f>
        <v>-1.5138617282219571E-2</v>
      </c>
      <c r="DG90" s="2050"/>
      <c r="DH90" s="2047">
        <f>CN90/'2024_gada_plāns'!CN90</f>
        <v>1.6119962176432152E-2</v>
      </c>
      <c r="DI90" s="2048"/>
      <c r="DJ90" s="2049">
        <f>CP90/'2024_gada_plāns'!CP90</f>
        <v>-1.5301478568982167E-2</v>
      </c>
      <c r="DK90" s="2046"/>
      <c r="DL90" s="2047">
        <f>CR90/'2024_gada_plāns'!CR90</f>
        <v>1.6313459121128016E-2</v>
      </c>
      <c r="DM90" s="2048"/>
      <c r="DN90" s="2051">
        <f>CT90/'2024_gada_plāns'!CT90</f>
        <v>0</v>
      </c>
      <c r="DO90" s="2046"/>
      <c r="DP90" s="2047">
        <f>CV90/'2024_gada_plāns'!CV90</f>
        <v>4.9545525895911663E-4</v>
      </c>
      <c r="DQ90" s="2048"/>
      <c r="DR90" s="2049">
        <f>CX90/'2024_gada_plāns'!CX90</f>
        <v>-1.5138617282219522E-2</v>
      </c>
      <c r="DS90" s="2052"/>
    </row>
    <row r="91" spans="1:123" s="1031" customFormat="1" ht="15.75" customHeight="1" x14ac:dyDescent="0.25">
      <c r="A91" s="1034" t="s">
        <v>68</v>
      </c>
      <c r="B91" s="1002" t="s">
        <v>69</v>
      </c>
      <c r="C91" s="1035"/>
      <c r="D91" s="363" t="s">
        <v>38</v>
      </c>
      <c r="E91" s="364" t="s">
        <v>38</v>
      </c>
      <c r="F91" s="365" t="s">
        <v>38</v>
      </c>
      <c r="G91" s="366" t="s">
        <v>38</v>
      </c>
      <c r="H91" s="367">
        <v>328191.6534134972</v>
      </c>
      <c r="I91" s="368"/>
      <c r="J91" s="369">
        <v>261611.33333333334</v>
      </c>
      <c r="K91" s="812"/>
      <c r="L91" s="421">
        <v>66580.320080163845</v>
      </c>
      <c r="M91" s="813"/>
      <c r="N91" s="814">
        <v>94416</v>
      </c>
      <c r="O91" s="421"/>
      <c r="P91" s="822">
        <v>50338.176108694272</v>
      </c>
      <c r="Q91" s="813"/>
      <c r="R91" s="814">
        <v>167195.33333333334</v>
      </c>
      <c r="S91" s="421"/>
      <c r="T91" s="822">
        <v>16242.143971469575</v>
      </c>
      <c r="U91" s="368"/>
      <c r="V91" s="815" t="s">
        <v>38</v>
      </c>
      <c r="W91" s="816" t="s">
        <v>38</v>
      </c>
      <c r="X91" s="363" t="s">
        <v>38</v>
      </c>
      <c r="Y91" s="364" t="s">
        <v>38</v>
      </c>
      <c r="Z91" s="365" t="s">
        <v>38</v>
      </c>
      <c r="AA91" s="366" t="s">
        <v>38</v>
      </c>
      <c r="AB91" s="367">
        <v>158716.12921689384</v>
      </c>
      <c r="AC91" s="368"/>
      <c r="AD91" s="369">
        <v>94945.333333333328</v>
      </c>
      <c r="AE91" s="812"/>
      <c r="AF91" s="421">
        <v>63770.795883560502</v>
      </c>
      <c r="AG91" s="813"/>
      <c r="AH91" s="814">
        <v>92890</v>
      </c>
      <c r="AI91" s="421"/>
      <c r="AJ91" s="822">
        <v>61786.381696060045</v>
      </c>
      <c r="AK91" s="813"/>
      <c r="AL91" s="814">
        <v>2055.333333333333</v>
      </c>
      <c r="AM91" s="421"/>
      <c r="AN91" s="822">
        <v>1984.4141875004582</v>
      </c>
      <c r="AO91" s="368"/>
      <c r="AP91" s="815" t="s">
        <v>38</v>
      </c>
      <c r="AQ91" s="816" t="s">
        <v>38</v>
      </c>
      <c r="AR91" s="1585" t="s">
        <v>38</v>
      </c>
      <c r="AS91" s="1710"/>
      <c r="AT91" s="1711" t="s">
        <v>38</v>
      </c>
      <c r="AU91" s="1696"/>
      <c r="AV91" s="1130">
        <f>'2024_ar_grozījumiem'!AV91-'2024_gada_plāns'!AV91</f>
        <v>417.73919504407968</v>
      </c>
      <c r="AW91" s="1489"/>
      <c r="AX91" s="1494">
        <f>'2024_ar_grozījumiem'!AX91-'2024_gada_plāns'!AX91</f>
        <v>0</v>
      </c>
      <c r="AY91" s="1221"/>
      <c r="AZ91" s="1221">
        <f>'2024_ar_grozījumiem'!AZ91-'2024_gada_plāns'!AZ91</f>
        <v>417.73919504407968</v>
      </c>
      <c r="BA91" s="1489"/>
      <c r="BB91" s="1494">
        <f>'2024_ar_grozījumiem'!BB91-'2024_gada_plāns'!BB91</f>
        <v>0</v>
      </c>
      <c r="BC91" s="1221"/>
      <c r="BD91" s="1130">
        <f>'2024_ar_grozījumiem'!BD91-'2024_gada_plāns'!BD91</f>
        <v>391.39019176215243</v>
      </c>
      <c r="BE91" s="1489"/>
      <c r="BF91" s="1494">
        <f>'2024_ar_grozījumiem'!BF91-'2024_gada_plāns'!BF91</f>
        <v>0</v>
      </c>
      <c r="BG91" s="1221"/>
      <c r="BH91" s="1130">
        <f>'2024_ar_grozījumiem'!BH91-'2024_gada_plāns'!BH91</f>
        <v>26.349003281927025</v>
      </c>
      <c r="BI91" s="1489"/>
      <c r="BJ91" s="1712" t="s">
        <v>38</v>
      </c>
      <c r="BK91" s="1713"/>
      <c r="BL91" s="1296" t="s">
        <v>38</v>
      </c>
      <c r="BM91" s="1217" t="s">
        <v>38</v>
      </c>
      <c r="BN91" s="1218" t="s">
        <v>38</v>
      </c>
      <c r="BO91" s="1134"/>
      <c r="BP91" s="1297">
        <f>'2024_ar_grozījumiem'!BP91-'2024_gada_plāns'!BP91</f>
        <v>6864.4664126320276</v>
      </c>
      <c r="BQ91" s="1219"/>
      <c r="BR91" s="1327">
        <f>'2024_ar_grozījumiem'!BR91-'2024_gada_plāns'!BR91</f>
        <v>0</v>
      </c>
      <c r="BS91" s="1220"/>
      <c r="BT91" s="1220">
        <f>'2024_ar_grozījumiem'!BT91-'2024_gada_plāns'!BT91</f>
        <v>6864.4664126320422</v>
      </c>
      <c r="BU91" s="1219"/>
      <c r="BV91" s="1327">
        <f>'2024_ar_grozījumiem'!BV91-'2024_gada_plāns'!BV91</f>
        <v>0</v>
      </c>
      <c r="BW91" s="1328"/>
      <c r="BX91" s="1327">
        <f>'2024_ar_grozījumiem'!BX91-'2024_gada_plāns'!BX91</f>
        <v>6907.3766889866965</v>
      </c>
      <c r="BY91" s="1329"/>
      <c r="BZ91" s="1327">
        <f>'2024_ar_grozījumiem'!BZ91-'2024_gada_plāns'!BZ91</f>
        <v>0</v>
      </c>
      <c r="CA91" s="1220"/>
      <c r="CB91" s="1297">
        <f>'2024_ar_grozījumiem'!CB91-'2024_gada_plāns'!CB91</f>
        <v>-42.910276354654798</v>
      </c>
      <c r="CC91" s="1219"/>
      <c r="CD91" s="1222" t="s">
        <v>38</v>
      </c>
      <c r="CE91" s="1223"/>
      <c r="CF91" s="1296" t="s">
        <v>38</v>
      </c>
      <c r="CG91" s="1372"/>
      <c r="CH91" s="1218" t="s">
        <v>38</v>
      </c>
      <c r="CI91" s="1134"/>
      <c r="CJ91" s="2166">
        <f>'2024_ar_grozījumiem'!CJ91-'2024_gada_plāns'!CJ91</f>
        <v>7282.2056076761801</v>
      </c>
      <c r="CK91" s="1219"/>
      <c r="CL91" s="1327">
        <f>'2024_ar_grozījumiem'!CL91-'2024_gada_plāns'!CL91</f>
        <v>0</v>
      </c>
      <c r="CM91" s="1137"/>
      <c r="CN91" s="1220">
        <f>'2024_ar_grozījumiem'!CN91-'2024_gada_plāns'!CN91</f>
        <v>7282.2056076761219</v>
      </c>
      <c r="CO91" s="1219"/>
      <c r="CP91" s="1136">
        <f>'2024_ar_grozījumiem'!CP91-'2024_gada_plāns'!CP91</f>
        <v>0</v>
      </c>
      <c r="CQ91" s="1220"/>
      <c r="CR91" s="1220">
        <f>'2024_ar_grozījumiem'!CR91-'2024_gada_plāns'!CR91</f>
        <v>7298.7668807488517</v>
      </c>
      <c r="CS91" s="1219"/>
      <c r="CT91" s="1327">
        <f>'2024_ar_grozījumiem'!CT91-'2024_gada_plāns'!CT91</f>
        <v>0</v>
      </c>
      <c r="CU91" s="1135"/>
      <c r="CV91" s="1220">
        <f>'2024_ar_grozījumiem'!CV91-'2024_gada_plāns'!CV91</f>
        <v>-16.561273072726181</v>
      </c>
      <c r="CW91" s="1219"/>
      <c r="CX91" s="1222" t="s">
        <v>38</v>
      </c>
      <c r="CY91" s="1223"/>
      <c r="CZ91" s="1927" t="s">
        <v>38</v>
      </c>
      <c r="DA91" s="1943"/>
      <c r="DB91" s="2053" t="s">
        <v>38</v>
      </c>
      <c r="DC91" s="1931"/>
      <c r="DD91" s="2054">
        <f>CJ91/'2024_gada_plāns'!CJ91</f>
        <v>9.7531684603664234E-3</v>
      </c>
      <c r="DE91" s="2055"/>
      <c r="DF91" s="2056">
        <f>CL91/'2024_gada_plāns'!CL91</f>
        <v>0</v>
      </c>
      <c r="DG91" s="2057"/>
      <c r="DH91" s="2054">
        <f>CN91/'2024_gada_plāns'!CN91</f>
        <v>2.8885845059826436E-2</v>
      </c>
      <c r="DI91" s="2055"/>
      <c r="DJ91" s="1935">
        <f>CP91/'2024_gada_plāns'!CP91</f>
        <v>0</v>
      </c>
      <c r="DK91" s="2058"/>
      <c r="DL91" s="2054">
        <f>CR91/'2024_gada_plāns'!CR91</f>
        <v>3.1819156316599768E-2</v>
      </c>
      <c r="DM91" s="2055"/>
      <c r="DN91" s="2059">
        <f>CT91/'2024_gada_plāns'!CT91</f>
        <v>0</v>
      </c>
      <c r="DO91" s="1930"/>
      <c r="DP91" s="2054">
        <f>CV91/'2024_gada_plāns'!CV91</f>
        <v>-7.2892544083062337E-4</v>
      </c>
      <c r="DQ91" s="2055"/>
      <c r="DR91" s="2060" t="s">
        <v>38</v>
      </c>
      <c r="DS91" s="2061"/>
    </row>
    <row r="92" spans="1:123" s="940" customFormat="1" ht="28.5" customHeight="1" x14ac:dyDescent="0.25">
      <c r="A92" s="2244" t="s">
        <v>70</v>
      </c>
      <c r="B92" s="1036" t="s">
        <v>71</v>
      </c>
      <c r="C92" s="1037"/>
      <c r="D92" s="370" t="s">
        <v>38</v>
      </c>
      <c r="E92" s="371" t="s">
        <v>38</v>
      </c>
      <c r="F92" s="372" t="s">
        <v>38</v>
      </c>
      <c r="G92" s="372" t="s">
        <v>38</v>
      </c>
      <c r="H92" s="373" t="s">
        <v>38</v>
      </c>
      <c r="I92" s="374" t="s">
        <v>38</v>
      </c>
      <c r="J92" s="375">
        <v>157998.74727272731</v>
      </c>
      <c r="K92" s="832"/>
      <c r="L92" s="422" t="s">
        <v>38</v>
      </c>
      <c r="M92" s="374" t="s">
        <v>38</v>
      </c>
      <c r="N92" s="833">
        <v>156134.6563636364</v>
      </c>
      <c r="O92" s="834"/>
      <c r="P92" s="373" t="s">
        <v>38</v>
      </c>
      <c r="Q92" s="374" t="s">
        <v>38</v>
      </c>
      <c r="R92" s="833">
        <v>1864.090909090909</v>
      </c>
      <c r="S92" s="834"/>
      <c r="T92" s="373" t="s">
        <v>38</v>
      </c>
      <c r="U92" s="374" t="s">
        <v>38</v>
      </c>
      <c r="V92" s="835" t="s">
        <v>38</v>
      </c>
      <c r="W92" s="836" t="s">
        <v>38</v>
      </c>
      <c r="X92" s="370" t="s">
        <v>38</v>
      </c>
      <c r="Y92" s="371" t="s">
        <v>38</v>
      </c>
      <c r="Z92" s="372" t="s">
        <v>38</v>
      </c>
      <c r="AA92" s="372" t="s">
        <v>38</v>
      </c>
      <c r="AB92" s="373" t="s">
        <v>38</v>
      </c>
      <c r="AC92" s="374" t="s">
        <v>38</v>
      </c>
      <c r="AD92" s="375">
        <v>202269.46727272731</v>
      </c>
      <c r="AE92" s="832"/>
      <c r="AF92" s="422" t="s">
        <v>38</v>
      </c>
      <c r="AG92" s="374" t="s">
        <v>38</v>
      </c>
      <c r="AH92" s="833">
        <v>200405.3763636364</v>
      </c>
      <c r="AI92" s="834"/>
      <c r="AJ92" s="373" t="s">
        <v>38</v>
      </c>
      <c r="AK92" s="374" t="s">
        <v>38</v>
      </c>
      <c r="AL92" s="833">
        <v>1864.090909090909</v>
      </c>
      <c r="AM92" s="834"/>
      <c r="AN92" s="373" t="s">
        <v>38</v>
      </c>
      <c r="AO92" s="374" t="s">
        <v>38</v>
      </c>
      <c r="AP92" s="835" t="s">
        <v>38</v>
      </c>
      <c r="AQ92" s="836" t="s">
        <v>38</v>
      </c>
      <c r="AR92" s="1578" t="s">
        <v>38</v>
      </c>
      <c r="AS92" s="1702"/>
      <c r="AT92" s="1681" t="s">
        <v>38</v>
      </c>
      <c r="AU92" s="1681"/>
      <c r="AV92" s="1168" t="s">
        <v>38</v>
      </c>
      <c r="AW92" s="1443"/>
      <c r="AX92" s="1168">
        <f>'2024_ar_grozījumiem'!AX92-'2024_gada_plāns'!AX92</f>
        <v>0</v>
      </c>
      <c r="AY92" s="1170"/>
      <c r="AZ92" s="1170" t="s">
        <v>38</v>
      </c>
      <c r="BA92" s="1443"/>
      <c r="BB92" s="1161">
        <f>'2024_ar_grozījumiem'!BB92-'2024_gada_plāns'!BB92</f>
        <v>0</v>
      </c>
      <c r="BC92" s="1164"/>
      <c r="BD92" s="1168" t="s">
        <v>38</v>
      </c>
      <c r="BE92" s="1443"/>
      <c r="BF92" s="1161">
        <f>'2024_ar_grozījumiem'!BF92-'2024_gada_plāns'!BF92</f>
        <v>0</v>
      </c>
      <c r="BG92" s="1164"/>
      <c r="BH92" s="1173" t="s">
        <v>38</v>
      </c>
      <c r="BI92" s="1449"/>
      <c r="BJ92" s="1175" t="s">
        <v>38</v>
      </c>
      <c r="BK92" s="1175"/>
      <c r="BL92" s="1330" t="s">
        <v>38</v>
      </c>
      <c r="BM92" s="1159" t="s">
        <v>38</v>
      </c>
      <c r="BN92" s="1209" t="s">
        <v>38</v>
      </c>
      <c r="BO92" s="1209"/>
      <c r="BP92" s="1171" t="s">
        <v>38</v>
      </c>
      <c r="BQ92" s="1090"/>
      <c r="BR92" s="1171">
        <f>'2024_ar_grozījumiem'!BR92-'2024_gada_plāns'!BR92</f>
        <v>0</v>
      </c>
      <c r="BS92" s="1096"/>
      <c r="BT92" s="1096" t="s">
        <v>38</v>
      </c>
      <c r="BU92" s="1090"/>
      <c r="BV92" s="1165">
        <f>'2024_ar_grozījumiem'!BV92-'2024_gada_plāns'!BV92</f>
        <v>0</v>
      </c>
      <c r="BW92" s="1224"/>
      <c r="BX92" s="1171" t="s">
        <v>38</v>
      </c>
      <c r="BY92" s="1090"/>
      <c r="BZ92" s="1165">
        <f>'2024_ar_grozījumiem'!BZ92-'2024_gada_plāns'!BZ92</f>
        <v>0</v>
      </c>
      <c r="CA92" s="1224"/>
      <c r="CB92" s="1171" t="s">
        <v>38</v>
      </c>
      <c r="CC92" s="1090"/>
      <c r="CD92" s="1331" t="s">
        <v>38</v>
      </c>
      <c r="CE92" s="1332"/>
      <c r="CF92" s="1309" t="s">
        <v>38</v>
      </c>
      <c r="CG92" s="1209"/>
      <c r="CH92" s="1209" t="s">
        <v>38</v>
      </c>
      <c r="CI92" s="1210"/>
      <c r="CJ92" s="1096" t="s">
        <v>38</v>
      </c>
      <c r="CK92" s="1090"/>
      <c r="CL92" s="1171">
        <f>'2024_ar_grozījumiem'!CL92-'2024_gada_plāns'!CL92</f>
        <v>0</v>
      </c>
      <c r="CM92" s="1414"/>
      <c r="CN92" s="1096" t="s">
        <v>38</v>
      </c>
      <c r="CO92" s="1090"/>
      <c r="CP92" s="1171">
        <f>'2024_ar_grozījumiem'!CP92-'2024_gada_plāns'!CP92</f>
        <v>0</v>
      </c>
      <c r="CQ92" s="1096"/>
      <c r="CR92" s="1096" t="s">
        <v>38</v>
      </c>
      <c r="CS92" s="1090"/>
      <c r="CT92" s="1171">
        <f>'2024_ar_grozījumiem'!CT92-'2024_gada_plāns'!CT92</f>
        <v>0</v>
      </c>
      <c r="CU92" s="1191"/>
      <c r="CV92" s="1096" t="s">
        <v>38</v>
      </c>
      <c r="CW92" s="1090"/>
      <c r="CX92" s="1415" t="s">
        <v>38</v>
      </c>
      <c r="CY92" s="1332"/>
      <c r="CZ92" s="1877" t="s">
        <v>38</v>
      </c>
      <c r="DA92" s="1978"/>
      <c r="DB92" s="1978" t="s">
        <v>38</v>
      </c>
      <c r="DC92" s="2062"/>
      <c r="DD92" s="1904" t="s">
        <v>38</v>
      </c>
      <c r="DE92" s="1880"/>
      <c r="DF92" s="1982">
        <f>CL92/'2024_gada_plāns'!CL92</f>
        <v>0</v>
      </c>
      <c r="DG92" s="2063"/>
      <c r="DH92" s="1904" t="s">
        <v>38</v>
      </c>
      <c r="DI92" s="1880"/>
      <c r="DJ92" s="1982">
        <f>CP92/'2024_gada_plāns'!CP92</f>
        <v>0</v>
      </c>
      <c r="DK92" s="1904"/>
      <c r="DL92" s="1904" t="s">
        <v>38</v>
      </c>
      <c r="DM92" s="1880"/>
      <c r="DN92" s="1980">
        <f>CT92/'2024_gada_plāns'!CT92</f>
        <v>0</v>
      </c>
      <c r="DO92" s="1878"/>
      <c r="DP92" s="1904" t="s">
        <v>38</v>
      </c>
      <c r="DQ92" s="1880"/>
      <c r="DR92" s="2064" t="s">
        <v>38</v>
      </c>
      <c r="DS92" s="2044"/>
    </row>
    <row r="93" spans="1:123" s="940" customFormat="1" ht="15.75" customHeight="1" x14ac:dyDescent="0.25">
      <c r="A93" s="2242"/>
      <c r="B93" s="989" t="s">
        <v>72</v>
      </c>
      <c r="C93" s="1038"/>
      <c r="D93" s="376" t="s">
        <v>38</v>
      </c>
      <c r="E93" s="377" t="s">
        <v>38</v>
      </c>
      <c r="F93" s="378" t="s">
        <v>38</v>
      </c>
      <c r="G93" s="378" t="s">
        <v>38</v>
      </c>
      <c r="H93" s="379" t="s">
        <v>38</v>
      </c>
      <c r="I93" s="230" t="s">
        <v>38</v>
      </c>
      <c r="J93" s="209" t="s">
        <v>38</v>
      </c>
      <c r="K93" s="209" t="s">
        <v>38</v>
      </c>
      <c r="L93" s="209" t="s">
        <v>38</v>
      </c>
      <c r="M93" s="230" t="s">
        <v>38</v>
      </c>
      <c r="N93" s="209" t="s">
        <v>38</v>
      </c>
      <c r="O93" s="209" t="s">
        <v>38</v>
      </c>
      <c r="P93" s="379" t="s">
        <v>38</v>
      </c>
      <c r="Q93" s="230" t="s">
        <v>38</v>
      </c>
      <c r="R93" s="209" t="s">
        <v>38</v>
      </c>
      <c r="S93" s="209" t="s">
        <v>38</v>
      </c>
      <c r="T93" s="379" t="s">
        <v>38</v>
      </c>
      <c r="U93" s="230" t="s">
        <v>38</v>
      </c>
      <c r="V93" s="209" t="s">
        <v>38</v>
      </c>
      <c r="W93" s="209" t="s">
        <v>38</v>
      </c>
      <c r="X93" s="376" t="s">
        <v>38</v>
      </c>
      <c r="Y93" s="377" t="s">
        <v>38</v>
      </c>
      <c r="Z93" s="378" t="s">
        <v>38</v>
      </c>
      <c r="AA93" s="378" t="s">
        <v>38</v>
      </c>
      <c r="AB93" s="379" t="s">
        <v>38</v>
      </c>
      <c r="AC93" s="230" t="s">
        <v>38</v>
      </c>
      <c r="AD93" s="209" t="s">
        <v>38</v>
      </c>
      <c r="AE93" s="209" t="s">
        <v>38</v>
      </c>
      <c r="AF93" s="209" t="s">
        <v>38</v>
      </c>
      <c r="AG93" s="230" t="s">
        <v>38</v>
      </c>
      <c r="AH93" s="209" t="s">
        <v>38</v>
      </c>
      <c r="AI93" s="209" t="s">
        <v>38</v>
      </c>
      <c r="AJ93" s="379" t="s">
        <v>38</v>
      </c>
      <c r="AK93" s="230" t="s">
        <v>38</v>
      </c>
      <c r="AL93" s="209" t="s">
        <v>38</v>
      </c>
      <c r="AM93" s="209" t="s">
        <v>38</v>
      </c>
      <c r="AN93" s="379" t="s">
        <v>38</v>
      </c>
      <c r="AO93" s="230" t="s">
        <v>38</v>
      </c>
      <c r="AP93" s="209" t="s">
        <v>38</v>
      </c>
      <c r="AQ93" s="209" t="s">
        <v>38</v>
      </c>
      <c r="AR93" s="1634" t="s">
        <v>38</v>
      </c>
      <c r="AS93" s="1635"/>
      <c r="AT93" s="1636" t="s">
        <v>38</v>
      </c>
      <c r="AU93" s="1636"/>
      <c r="AV93" s="1173" t="s">
        <v>38</v>
      </c>
      <c r="AW93" s="1449"/>
      <c r="AX93" s="1175" t="s">
        <v>38</v>
      </c>
      <c r="AY93" s="1175"/>
      <c r="AZ93" s="1175" t="s">
        <v>38</v>
      </c>
      <c r="BA93" s="1449"/>
      <c r="BB93" s="1175" t="s">
        <v>38</v>
      </c>
      <c r="BC93" s="1175"/>
      <c r="BD93" s="1173" t="s">
        <v>38</v>
      </c>
      <c r="BE93" s="1449"/>
      <c r="BF93" s="1175" t="s">
        <v>38</v>
      </c>
      <c r="BG93" s="1175"/>
      <c r="BH93" s="1173" t="s">
        <v>38</v>
      </c>
      <c r="BI93" s="1449"/>
      <c r="BJ93" s="1175" t="s">
        <v>38</v>
      </c>
      <c r="BK93" s="1175"/>
      <c r="BL93" s="1290" t="s">
        <v>38</v>
      </c>
      <c r="BM93" s="1114" t="s">
        <v>38</v>
      </c>
      <c r="BN93" s="1225" t="s">
        <v>38</v>
      </c>
      <c r="BO93" s="1225"/>
      <c r="BP93" s="1176" t="s">
        <v>38</v>
      </c>
      <c r="BQ93" s="1108"/>
      <c r="BR93" s="1091" t="s">
        <v>38</v>
      </c>
      <c r="BS93" s="1091"/>
      <c r="BT93" s="1091" t="s">
        <v>38</v>
      </c>
      <c r="BU93" s="1108"/>
      <c r="BV93" s="1091" t="s">
        <v>38</v>
      </c>
      <c r="BW93" s="1091"/>
      <c r="BX93" s="1176" t="s">
        <v>38</v>
      </c>
      <c r="BY93" s="1108"/>
      <c r="BZ93" s="1091" t="s">
        <v>38</v>
      </c>
      <c r="CA93" s="1091"/>
      <c r="CB93" s="1176" t="s">
        <v>38</v>
      </c>
      <c r="CC93" s="1108"/>
      <c r="CD93" s="1091" t="s">
        <v>38</v>
      </c>
      <c r="CE93" s="1091"/>
      <c r="CF93" s="1416" t="s">
        <v>38</v>
      </c>
      <c r="CG93" s="1225"/>
      <c r="CH93" s="1225" t="s">
        <v>38</v>
      </c>
      <c r="CI93" s="1417"/>
      <c r="CJ93" s="1091" t="s">
        <v>38</v>
      </c>
      <c r="CK93" s="1108"/>
      <c r="CL93" s="1091" t="s">
        <v>38</v>
      </c>
      <c r="CM93" s="1091"/>
      <c r="CN93" s="1091" t="s">
        <v>38</v>
      </c>
      <c r="CO93" s="1108"/>
      <c r="CP93" s="1091" t="s">
        <v>38</v>
      </c>
      <c r="CQ93" s="1091"/>
      <c r="CR93" s="1091" t="s">
        <v>38</v>
      </c>
      <c r="CS93" s="1108"/>
      <c r="CT93" s="1091" t="s">
        <v>38</v>
      </c>
      <c r="CU93" s="1091"/>
      <c r="CV93" s="1091" t="s">
        <v>38</v>
      </c>
      <c r="CW93" s="1108"/>
      <c r="CX93" s="1091" t="s">
        <v>38</v>
      </c>
      <c r="CY93" s="1392"/>
      <c r="CZ93" s="2065" t="s">
        <v>38</v>
      </c>
      <c r="DA93" s="2066"/>
      <c r="DB93" s="2066" t="s">
        <v>38</v>
      </c>
      <c r="DC93" s="2067"/>
      <c r="DD93" s="1885" t="s">
        <v>38</v>
      </c>
      <c r="DE93" s="1887"/>
      <c r="DF93" s="1885" t="s">
        <v>38</v>
      </c>
      <c r="DG93" s="1885"/>
      <c r="DH93" s="1885" t="s">
        <v>38</v>
      </c>
      <c r="DI93" s="1887"/>
      <c r="DJ93" s="1885" t="s">
        <v>38</v>
      </c>
      <c r="DK93" s="1885"/>
      <c r="DL93" s="1885" t="s">
        <v>38</v>
      </c>
      <c r="DM93" s="1887"/>
      <c r="DN93" s="1885" t="s">
        <v>38</v>
      </c>
      <c r="DO93" s="1885"/>
      <c r="DP93" s="1885" t="s">
        <v>38</v>
      </c>
      <c r="DQ93" s="1887"/>
      <c r="DR93" s="1885" t="s">
        <v>38</v>
      </c>
      <c r="DS93" s="1988"/>
    </row>
    <row r="94" spans="1:123" s="940" customFormat="1" ht="15.75" customHeight="1" x14ac:dyDescent="0.25">
      <c r="A94" s="2242"/>
      <c r="B94" s="989" t="s">
        <v>73</v>
      </c>
      <c r="C94" s="1039"/>
      <c r="D94" s="376" t="s">
        <v>38</v>
      </c>
      <c r="E94" s="377" t="s">
        <v>38</v>
      </c>
      <c r="F94" s="378" t="s">
        <v>38</v>
      </c>
      <c r="G94" s="378" t="s">
        <v>38</v>
      </c>
      <c r="H94" s="380" t="s">
        <v>38</v>
      </c>
      <c r="I94" s="381" t="s">
        <v>38</v>
      </c>
      <c r="J94" s="209" t="s">
        <v>38</v>
      </c>
      <c r="K94" s="209" t="s">
        <v>38</v>
      </c>
      <c r="L94" s="209" t="s">
        <v>38</v>
      </c>
      <c r="M94" s="230" t="s">
        <v>38</v>
      </c>
      <c r="N94" s="209" t="s">
        <v>38</v>
      </c>
      <c r="O94" s="209" t="s">
        <v>38</v>
      </c>
      <c r="P94" s="380" t="s">
        <v>38</v>
      </c>
      <c r="Q94" s="381" t="s">
        <v>38</v>
      </c>
      <c r="R94" s="209" t="s">
        <v>38</v>
      </c>
      <c r="S94" s="209" t="s">
        <v>38</v>
      </c>
      <c r="T94" s="380" t="s">
        <v>38</v>
      </c>
      <c r="U94" s="381" t="s">
        <v>38</v>
      </c>
      <c r="V94" s="209" t="s">
        <v>38</v>
      </c>
      <c r="W94" s="209" t="s">
        <v>38</v>
      </c>
      <c r="X94" s="376" t="s">
        <v>38</v>
      </c>
      <c r="Y94" s="377" t="s">
        <v>38</v>
      </c>
      <c r="Z94" s="378" t="s">
        <v>38</v>
      </c>
      <c r="AA94" s="378" t="s">
        <v>38</v>
      </c>
      <c r="AB94" s="380" t="s">
        <v>38</v>
      </c>
      <c r="AC94" s="381" t="s">
        <v>38</v>
      </c>
      <c r="AD94" s="209" t="s">
        <v>38</v>
      </c>
      <c r="AE94" s="209" t="s">
        <v>38</v>
      </c>
      <c r="AF94" s="209" t="s">
        <v>38</v>
      </c>
      <c r="AG94" s="230" t="s">
        <v>38</v>
      </c>
      <c r="AH94" s="209" t="s">
        <v>38</v>
      </c>
      <c r="AI94" s="209" t="s">
        <v>38</v>
      </c>
      <c r="AJ94" s="380" t="s">
        <v>38</v>
      </c>
      <c r="AK94" s="381" t="s">
        <v>38</v>
      </c>
      <c r="AL94" s="209" t="s">
        <v>38</v>
      </c>
      <c r="AM94" s="209" t="s">
        <v>38</v>
      </c>
      <c r="AN94" s="380" t="s">
        <v>38</v>
      </c>
      <c r="AO94" s="381" t="s">
        <v>38</v>
      </c>
      <c r="AP94" s="209" t="s">
        <v>38</v>
      </c>
      <c r="AQ94" s="209" t="s">
        <v>38</v>
      </c>
      <c r="AR94" s="1634" t="s">
        <v>38</v>
      </c>
      <c r="AS94" s="1635"/>
      <c r="AT94" s="1636" t="s">
        <v>38</v>
      </c>
      <c r="AU94" s="1636"/>
      <c r="AV94" s="1226" t="s">
        <v>38</v>
      </c>
      <c r="AW94" s="1640"/>
      <c r="AX94" s="1175" t="s">
        <v>38</v>
      </c>
      <c r="AY94" s="1175"/>
      <c r="AZ94" s="1175" t="s">
        <v>38</v>
      </c>
      <c r="BA94" s="1449"/>
      <c r="BB94" s="1175" t="s">
        <v>38</v>
      </c>
      <c r="BC94" s="1175"/>
      <c r="BD94" s="1226" t="s">
        <v>38</v>
      </c>
      <c r="BE94" s="1640"/>
      <c r="BF94" s="1175" t="s">
        <v>38</v>
      </c>
      <c r="BG94" s="1175"/>
      <c r="BH94" s="1226" t="s">
        <v>38</v>
      </c>
      <c r="BI94" s="1640"/>
      <c r="BJ94" s="1175" t="s">
        <v>38</v>
      </c>
      <c r="BK94" s="1175"/>
      <c r="BL94" s="1290" t="s">
        <v>38</v>
      </c>
      <c r="BM94" s="1114" t="s">
        <v>38</v>
      </c>
      <c r="BN94" s="1225" t="s">
        <v>38</v>
      </c>
      <c r="BO94" s="1225"/>
      <c r="BP94" s="1333" t="s">
        <v>38</v>
      </c>
      <c r="BQ94" s="1227"/>
      <c r="BR94" s="1091" t="s">
        <v>38</v>
      </c>
      <c r="BS94" s="1091"/>
      <c r="BT94" s="1091" t="s">
        <v>38</v>
      </c>
      <c r="BU94" s="1108"/>
      <c r="BV94" s="1091" t="s">
        <v>38</v>
      </c>
      <c r="BW94" s="1091"/>
      <c r="BX94" s="1333" t="s">
        <v>38</v>
      </c>
      <c r="BY94" s="1227"/>
      <c r="BZ94" s="1091" t="s">
        <v>38</v>
      </c>
      <c r="CA94" s="1091"/>
      <c r="CB94" s="1333" t="s">
        <v>38</v>
      </c>
      <c r="CC94" s="1227"/>
      <c r="CD94" s="1091" t="s">
        <v>38</v>
      </c>
      <c r="CE94" s="1091"/>
      <c r="CF94" s="1418" t="s">
        <v>38</v>
      </c>
      <c r="CG94" s="1419"/>
      <c r="CH94" s="1419" t="s">
        <v>38</v>
      </c>
      <c r="CI94" s="1420"/>
      <c r="CJ94" s="1091" t="s">
        <v>38</v>
      </c>
      <c r="CK94" s="1108"/>
      <c r="CL94" s="1091" t="s">
        <v>38</v>
      </c>
      <c r="CM94" s="1091"/>
      <c r="CN94" s="1091" t="s">
        <v>38</v>
      </c>
      <c r="CO94" s="1108"/>
      <c r="CP94" s="1091" t="s">
        <v>38</v>
      </c>
      <c r="CQ94" s="1091"/>
      <c r="CR94" s="1091" t="s">
        <v>38</v>
      </c>
      <c r="CS94" s="1108"/>
      <c r="CT94" s="1091" t="s">
        <v>38</v>
      </c>
      <c r="CU94" s="1091"/>
      <c r="CV94" s="1091" t="s">
        <v>38</v>
      </c>
      <c r="CW94" s="1108"/>
      <c r="CX94" s="1091" t="s">
        <v>38</v>
      </c>
      <c r="CY94" s="1392"/>
      <c r="CZ94" s="2068" t="s">
        <v>38</v>
      </c>
      <c r="DA94" s="2069"/>
      <c r="DB94" s="2069" t="s">
        <v>38</v>
      </c>
      <c r="DC94" s="2070"/>
      <c r="DD94" s="1885" t="s">
        <v>38</v>
      </c>
      <c r="DE94" s="1887"/>
      <c r="DF94" s="1885" t="s">
        <v>38</v>
      </c>
      <c r="DG94" s="1885"/>
      <c r="DH94" s="1885" t="s">
        <v>38</v>
      </c>
      <c r="DI94" s="1887"/>
      <c r="DJ94" s="1885" t="s">
        <v>38</v>
      </c>
      <c r="DK94" s="1885"/>
      <c r="DL94" s="1885" t="s">
        <v>38</v>
      </c>
      <c r="DM94" s="1887"/>
      <c r="DN94" s="1885" t="s">
        <v>38</v>
      </c>
      <c r="DO94" s="1885"/>
      <c r="DP94" s="1885" t="s">
        <v>38</v>
      </c>
      <c r="DQ94" s="1887"/>
      <c r="DR94" s="1885" t="s">
        <v>38</v>
      </c>
      <c r="DS94" s="1988"/>
    </row>
    <row r="95" spans="1:123" s="940" customFormat="1" ht="15.75" customHeight="1" x14ac:dyDescent="0.25">
      <c r="A95" s="2242"/>
      <c r="B95" s="989" t="s">
        <v>74</v>
      </c>
      <c r="C95" s="1039"/>
      <c r="D95" s="376" t="s">
        <v>38</v>
      </c>
      <c r="E95" s="377" t="s">
        <v>38</v>
      </c>
      <c r="F95" s="378" t="s">
        <v>38</v>
      </c>
      <c r="G95" s="378" t="s">
        <v>38</v>
      </c>
      <c r="H95" s="380" t="s">
        <v>38</v>
      </c>
      <c r="I95" s="381" t="s">
        <v>38</v>
      </c>
      <c r="J95" s="209" t="s">
        <v>38</v>
      </c>
      <c r="K95" s="209" t="s">
        <v>38</v>
      </c>
      <c r="L95" s="209" t="s">
        <v>38</v>
      </c>
      <c r="M95" s="230" t="s">
        <v>38</v>
      </c>
      <c r="N95" s="209" t="s">
        <v>38</v>
      </c>
      <c r="O95" s="209" t="s">
        <v>38</v>
      </c>
      <c r="P95" s="380" t="s">
        <v>38</v>
      </c>
      <c r="Q95" s="381" t="s">
        <v>38</v>
      </c>
      <c r="R95" s="209" t="s">
        <v>38</v>
      </c>
      <c r="S95" s="209" t="s">
        <v>38</v>
      </c>
      <c r="T95" s="380" t="s">
        <v>38</v>
      </c>
      <c r="U95" s="381" t="s">
        <v>38</v>
      </c>
      <c r="V95" s="209" t="s">
        <v>38</v>
      </c>
      <c r="W95" s="209" t="s">
        <v>38</v>
      </c>
      <c r="X95" s="376" t="s">
        <v>38</v>
      </c>
      <c r="Y95" s="377" t="s">
        <v>38</v>
      </c>
      <c r="Z95" s="378" t="s">
        <v>38</v>
      </c>
      <c r="AA95" s="378" t="s">
        <v>38</v>
      </c>
      <c r="AB95" s="380" t="s">
        <v>38</v>
      </c>
      <c r="AC95" s="381" t="s">
        <v>38</v>
      </c>
      <c r="AD95" s="209" t="s">
        <v>38</v>
      </c>
      <c r="AE95" s="209" t="s">
        <v>38</v>
      </c>
      <c r="AF95" s="209" t="s">
        <v>38</v>
      </c>
      <c r="AG95" s="230" t="s">
        <v>38</v>
      </c>
      <c r="AH95" s="209" t="s">
        <v>38</v>
      </c>
      <c r="AI95" s="209" t="s">
        <v>38</v>
      </c>
      <c r="AJ95" s="380" t="s">
        <v>38</v>
      </c>
      <c r="AK95" s="381" t="s">
        <v>38</v>
      </c>
      <c r="AL95" s="209" t="s">
        <v>38</v>
      </c>
      <c r="AM95" s="209" t="s">
        <v>38</v>
      </c>
      <c r="AN95" s="380" t="s">
        <v>38</v>
      </c>
      <c r="AO95" s="381" t="s">
        <v>38</v>
      </c>
      <c r="AP95" s="209" t="s">
        <v>38</v>
      </c>
      <c r="AQ95" s="209" t="s">
        <v>38</v>
      </c>
      <c r="AR95" s="1634" t="s">
        <v>38</v>
      </c>
      <c r="AS95" s="1635"/>
      <c r="AT95" s="1636" t="s">
        <v>38</v>
      </c>
      <c r="AU95" s="1636"/>
      <c r="AV95" s="1226" t="s">
        <v>38</v>
      </c>
      <c r="AW95" s="1640"/>
      <c r="AX95" s="1175" t="s">
        <v>38</v>
      </c>
      <c r="AY95" s="1175"/>
      <c r="AZ95" s="1175" t="s">
        <v>38</v>
      </c>
      <c r="BA95" s="1449"/>
      <c r="BB95" s="1175" t="s">
        <v>38</v>
      </c>
      <c r="BC95" s="1175"/>
      <c r="BD95" s="1226" t="s">
        <v>38</v>
      </c>
      <c r="BE95" s="1640"/>
      <c r="BF95" s="1175" t="s">
        <v>38</v>
      </c>
      <c r="BG95" s="1175"/>
      <c r="BH95" s="1226" t="s">
        <v>38</v>
      </c>
      <c r="BI95" s="1640"/>
      <c r="BJ95" s="1175" t="s">
        <v>38</v>
      </c>
      <c r="BK95" s="1175"/>
      <c r="BL95" s="1290" t="s">
        <v>38</v>
      </c>
      <c r="BM95" s="1114" t="s">
        <v>38</v>
      </c>
      <c r="BN95" s="1225" t="s">
        <v>38</v>
      </c>
      <c r="BO95" s="1225"/>
      <c r="BP95" s="1333" t="s">
        <v>38</v>
      </c>
      <c r="BQ95" s="1227"/>
      <c r="BR95" s="1091" t="s">
        <v>38</v>
      </c>
      <c r="BS95" s="1091"/>
      <c r="BT95" s="1091" t="s">
        <v>38</v>
      </c>
      <c r="BU95" s="1108"/>
      <c r="BV95" s="1091" t="s">
        <v>38</v>
      </c>
      <c r="BW95" s="1091"/>
      <c r="BX95" s="1333" t="s">
        <v>38</v>
      </c>
      <c r="BY95" s="1227"/>
      <c r="BZ95" s="1091" t="s">
        <v>38</v>
      </c>
      <c r="CA95" s="1091"/>
      <c r="CB95" s="1333" t="s">
        <v>38</v>
      </c>
      <c r="CC95" s="1227"/>
      <c r="CD95" s="1091" t="s">
        <v>38</v>
      </c>
      <c r="CE95" s="1091"/>
      <c r="CF95" s="1418" t="s">
        <v>38</v>
      </c>
      <c r="CG95" s="1419"/>
      <c r="CH95" s="1419" t="s">
        <v>38</v>
      </c>
      <c r="CI95" s="1420"/>
      <c r="CJ95" s="1091" t="s">
        <v>38</v>
      </c>
      <c r="CK95" s="1108"/>
      <c r="CL95" s="1091" t="s">
        <v>38</v>
      </c>
      <c r="CM95" s="1091"/>
      <c r="CN95" s="1091" t="s">
        <v>38</v>
      </c>
      <c r="CO95" s="1108"/>
      <c r="CP95" s="1091" t="s">
        <v>38</v>
      </c>
      <c r="CQ95" s="1091"/>
      <c r="CR95" s="1091" t="s">
        <v>38</v>
      </c>
      <c r="CS95" s="1108"/>
      <c r="CT95" s="1091" t="s">
        <v>38</v>
      </c>
      <c r="CU95" s="1091"/>
      <c r="CV95" s="1091" t="s">
        <v>38</v>
      </c>
      <c r="CW95" s="1108"/>
      <c r="CX95" s="1091" t="s">
        <v>38</v>
      </c>
      <c r="CY95" s="1392"/>
      <c r="CZ95" s="2068" t="s">
        <v>38</v>
      </c>
      <c r="DA95" s="2069"/>
      <c r="DB95" s="2069" t="s">
        <v>38</v>
      </c>
      <c r="DC95" s="2070"/>
      <c r="DD95" s="1885" t="s">
        <v>38</v>
      </c>
      <c r="DE95" s="1887"/>
      <c r="DF95" s="1885" t="s">
        <v>38</v>
      </c>
      <c r="DG95" s="1885"/>
      <c r="DH95" s="1885" t="s">
        <v>38</v>
      </c>
      <c r="DI95" s="1887"/>
      <c r="DJ95" s="1885" t="s">
        <v>38</v>
      </c>
      <c r="DK95" s="1885"/>
      <c r="DL95" s="1885" t="s">
        <v>38</v>
      </c>
      <c r="DM95" s="1887"/>
      <c r="DN95" s="1885" t="s">
        <v>38</v>
      </c>
      <c r="DO95" s="1885"/>
      <c r="DP95" s="1885" t="s">
        <v>38</v>
      </c>
      <c r="DQ95" s="1887"/>
      <c r="DR95" s="1885" t="s">
        <v>38</v>
      </c>
      <c r="DS95" s="1988"/>
    </row>
    <row r="96" spans="1:123" s="940" customFormat="1" ht="15.75" customHeight="1" x14ac:dyDescent="0.25">
      <c r="A96" s="2242"/>
      <c r="B96" s="1040" t="s">
        <v>75</v>
      </c>
      <c r="C96" s="1041"/>
      <c r="D96" s="382" t="s">
        <v>38</v>
      </c>
      <c r="E96" s="383" t="s">
        <v>38</v>
      </c>
      <c r="F96" s="384" t="s">
        <v>38</v>
      </c>
      <c r="G96" s="385" t="s">
        <v>38</v>
      </c>
      <c r="H96" s="386" t="s">
        <v>38</v>
      </c>
      <c r="I96" s="354" t="s">
        <v>38</v>
      </c>
      <c r="J96" s="387" t="s">
        <v>38</v>
      </c>
      <c r="K96" s="387" t="s">
        <v>38</v>
      </c>
      <c r="L96" s="387" t="s">
        <v>38</v>
      </c>
      <c r="M96" s="354" t="s">
        <v>38</v>
      </c>
      <c r="N96" s="387" t="s">
        <v>38</v>
      </c>
      <c r="O96" s="387" t="s">
        <v>38</v>
      </c>
      <c r="P96" s="386" t="s">
        <v>38</v>
      </c>
      <c r="Q96" s="354" t="s">
        <v>38</v>
      </c>
      <c r="R96" s="387" t="s">
        <v>38</v>
      </c>
      <c r="S96" s="387" t="s">
        <v>38</v>
      </c>
      <c r="T96" s="386" t="s">
        <v>38</v>
      </c>
      <c r="U96" s="354" t="s">
        <v>38</v>
      </c>
      <c r="V96" s="387" t="s">
        <v>38</v>
      </c>
      <c r="W96" s="387" t="s">
        <v>38</v>
      </c>
      <c r="X96" s="382" t="s">
        <v>38</v>
      </c>
      <c r="Y96" s="383" t="s">
        <v>38</v>
      </c>
      <c r="Z96" s="384" t="s">
        <v>38</v>
      </c>
      <c r="AA96" s="385" t="s">
        <v>38</v>
      </c>
      <c r="AB96" s="386" t="s">
        <v>38</v>
      </c>
      <c r="AC96" s="354" t="s">
        <v>38</v>
      </c>
      <c r="AD96" s="387" t="s">
        <v>38</v>
      </c>
      <c r="AE96" s="387" t="s">
        <v>38</v>
      </c>
      <c r="AF96" s="387" t="s">
        <v>38</v>
      </c>
      <c r="AG96" s="354" t="s">
        <v>38</v>
      </c>
      <c r="AH96" s="387" t="s">
        <v>38</v>
      </c>
      <c r="AI96" s="387" t="s">
        <v>38</v>
      </c>
      <c r="AJ96" s="386" t="s">
        <v>38</v>
      </c>
      <c r="AK96" s="354" t="s">
        <v>38</v>
      </c>
      <c r="AL96" s="387" t="s">
        <v>38</v>
      </c>
      <c r="AM96" s="387" t="s">
        <v>38</v>
      </c>
      <c r="AN96" s="386" t="s">
        <v>38</v>
      </c>
      <c r="AO96" s="354" t="s">
        <v>38</v>
      </c>
      <c r="AP96" s="387" t="s">
        <v>38</v>
      </c>
      <c r="AQ96" s="387" t="s">
        <v>38</v>
      </c>
      <c r="AR96" s="1644" t="s">
        <v>38</v>
      </c>
      <c r="AS96" s="1580"/>
      <c r="AT96" s="1645" t="s">
        <v>38</v>
      </c>
      <c r="AU96" s="1646"/>
      <c r="AV96" s="1179" t="s">
        <v>38</v>
      </c>
      <c r="AW96" s="1582"/>
      <c r="AX96" s="1182" t="s">
        <v>38</v>
      </c>
      <c r="AY96" s="1182"/>
      <c r="AZ96" s="1182" t="s">
        <v>38</v>
      </c>
      <c r="BA96" s="1582"/>
      <c r="BB96" s="1182" t="s">
        <v>38</v>
      </c>
      <c r="BC96" s="1182"/>
      <c r="BD96" s="1179" t="s">
        <v>38</v>
      </c>
      <c r="BE96" s="1582"/>
      <c r="BF96" s="1182" t="s">
        <v>38</v>
      </c>
      <c r="BG96" s="1182"/>
      <c r="BH96" s="1179" t="s">
        <v>38</v>
      </c>
      <c r="BI96" s="1582"/>
      <c r="BJ96" s="1182" t="s">
        <v>38</v>
      </c>
      <c r="BK96" s="1182"/>
      <c r="BL96" s="1311" t="s">
        <v>38</v>
      </c>
      <c r="BM96" s="1177" t="s">
        <v>38</v>
      </c>
      <c r="BN96" s="1228" t="s">
        <v>38</v>
      </c>
      <c r="BO96" s="1229"/>
      <c r="BP96" s="1183" t="s">
        <v>38</v>
      </c>
      <c r="BQ96" s="1180"/>
      <c r="BR96" s="1197" t="s">
        <v>38</v>
      </c>
      <c r="BS96" s="1197"/>
      <c r="BT96" s="1197" t="s">
        <v>38</v>
      </c>
      <c r="BU96" s="1180"/>
      <c r="BV96" s="1197" t="s">
        <v>38</v>
      </c>
      <c r="BW96" s="1197"/>
      <c r="BX96" s="1183" t="s">
        <v>38</v>
      </c>
      <c r="BY96" s="1180"/>
      <c r="BZ96" s="1197" t="s">
        <v>38</v>
      </c>
      <c r="CA96" s="1197"/>
      <c r="CB96" s="1183" t="s">
        <v>38</v>
      </c>
      <c r="CC96" s="1180"/>
      <c r="CD96" s="1197" t="s">
        <v>38</v>
      </c>
      <c r="CE96" s="1197"/>
      <c r="CF96" s="1311" t="s">
        <v>38</v>
      </c>
      <c r="CG96" s="1228"/>
      <c r="CH96" s="1228" t="s">
        <v>38</v>
      </c>
      <c r="CI96" s="1229"/>
      <c r="CJ96" s="2165" t="s">
        <v>38</v>
      </c>
      <c r="CK96" s="1180"/>
      <c r="CL96" s="1197" t="s">
        <v>38</v>
      </c>
      <c r="CM96" s="1197"/>
      <c r="CN96" s="1197" t="s">
        <v>38</v>
      </c>
      <c r="CO96" s="1180"/>
      <c r="CP96" s="1197" t="s">
        <v>38</v>
      </c>
      <c r="CQ96" s="1197"/>
      <c r="CR96" s="1197" t="s">
        <v>38</v>
      </c>
      <c r="CS96" s="1180"/>
      <c r="CT96" s="1197" t="s">
        <v>38</v>
      </c>
      <c r="CU96" s="1197"/>
      <c r="CV96" s="1197" t="s">
        <v>38</v>
      </c>
      <c r="CW96" s="1180"/>
      <c r="CX96" s="1197" t="s">
        <v>38</v>
      </c>
      <c r="CY96" s="1395"/>
      <c r="CZ96" s="2071" t="s">
        <v>38</v>
      </c>
      <c r="DA96" s="2072"/>
      <c r="DB96" s="2072" t="s">
        <v>38</v>
      </c>
      <c r="DC96" s="2073"/>
      <c r="DD96" s="1999" t="s">
        <v>38</v>
      </c>
      <c r="DE96" s="1994"/>
      <c r="DF96" s="1999" t="s">
        <v>38</v>
      </c>
      <c r="DG96" s="1999"/>
      <c r="DH96" s="1999" t="s">
        <v>38</v>
      </c>
      <c r="DI96" s="1994"/>
      <c r="DJ96" s="1999" t="s">
        <v>38</v>
      </c>
      <c r="DK96" s="1999"/>
      <c r="DL96" s="1999" t="s">
        <v>38</v>
      </c>
      <c r="DM96" s="1994"/>
      <c r="DN96" s="1999" t="s">
        <v>38</v>
      </c>
      <c r="DO96" s="1999"/>
      <c r="DP96" s="1999" t="s">
        <v>38</v>
      </c>
      <c r="DQ96" s="1994"/>
      <c r="DR96" s="1999" t="s">
        <v>38</v>
      </c>
      <c r="DS96" s="2002"/>
    </row>
    <row r="97" spans="1:123" s="1043" customFormat="1" ht="15.75" customHeight="1" thickBot="1" x14ac:dyDescent="0.3">
      <c r="A97" s="110"/>
      <c r="B97" s="111" t="s">
        <v>76</v>
      </c>
      <c r="C97" s="1042"/>
      <c r="D97" s="388" t="s">
        <v>38</v>
      </c>
      <c r="E97" s="112" t="s">
        <v>38</v>
      </c>
      <c r="F97" s="112" t="s">
        <v>38</v>
      </c>
      <c r="G97" s="113" t="s">
        <v>38</v>
      </c>
      <c r="H97" s="114">
        <v>241423.49837705301</v>
      </c>
      <c r="I97" s="115"/>
      <c r="J97" s="116">
        <v>157998.74727272731</v>
      </c>
      <c r="K97" s="123"/>
      <c r="L97" s="118">
        <v>83424.751104325696</v>
      </c>
      <c r="M97" s="115"/>
      <c r="N97" s="881">
        <v>156134.6563636364</v>
      </c>
      <c r="O97" s="882"/>
      <c r="P97" s="120">
        <v>83243.664513463737</v>
      </c>
      <c r="Q97" s="883"/>
      <c r="R97" s="884">
        <v>1864.090909090909</v>
      </c>
      <c r="S97" s="120"/>
      <c r="T97" s="120">
        <v>181.08659086195874</v>
      </c>
      <c r="U97" s="124"/>
      <c r="V97" s="121" t="s">
        <v>38</v>
      </c>
      <c r="W97" s="122" t="s">
        <v>38</v>
      </c>
      <c r="X97" s="388" t="s">
        <v>38</v>
      </c>
      <c r="Y97" s="112" t="s">
        <v>38</v>
      </c>
      <c r="Z97" s="112" t="s">
        <v>38</v>
      </c>
      <c r="AA97" s="113" t="s">
        <v>38</v>
      </c>
      <c r="AB97" s="114">
        <v>337370.16450903006</v>
      </c>
      <c r="AC97" s="115"/>
      <c r="AD97" s="116">
        <v>202269.46727272731</v>
      </c>
      <c r="AE97" s="123"/>
      <c r="AF97" s="118">
        <v>135100.69723630272</v>
      </c>
      <c r="AG97" s="115"/>
      <c r="AH97" s="881">
        <v>200405.3763636364</v>
      </c>
      <c r="AI97" s="882"/>
      <c r="AJ97" s="120">
        <v>133300.92666536989</v>
      </c>
      <c r="AK97" s="883"/>
      <c r="AL97" s="884">
        <v>1864.090909090909</v>
      </c>
      <c r="AM97" s="120"/>
      <c r="AN97" s="120">
        <v>1799.7705709328384</v>
      </c>
      <c r="AO97" s="124"/>
      <c r="AP97" s="121" t="s">
        <v>38</v>
      </c>
      <c r="AQ97" s="122" t="s">
        <v>38</v>
      </c>
      <c r="AR97" s="1334" t="s">
        <v>38</v>
      </c>
      <c r="AS97" s="1230"/>
      <c r="AT97" s="1230" t="s">
        <v>38</v>
      </c>
      <c r="AU97" s="1231"/>
      <c r="AV97" s="1232">
        <f>'2024_ar_grozījumiem'!AV97-'2024_gada_plāns'!AV97</f>
        <v>9376.4731971108122</v>
      </c>
      <c r="AW97" s="1233"/>
      <c r="AX97" s="1232">
        <f>'2024_ar_grozījumiem'!AX97-'2024_gada_plāns'!AX97</f>
        <v>0</v>
      </c>
      <c r="AY97" s="1234"/>
      <c r="AZ97" s="1234">
        <f>'2024_ar_grozījumiem'!AZ97-'2024_gada_plāns'!AZ97</f>
        <v>9376.4731971108413</v>
      </c>
      <c r="BA97" s="1233"/>
      <c r="BB97" s="1335">
        <f>'2024_ar_grozījumiem'!BB97-'2024_gada_plāns'!BB97</f>
        <v>0</v>
      </c>
      <c r="BC97" s="1235"/>
      <c r="BD97" s="1235">
        <f>'2024_ar_grozījumiem'!BD97-'2024_gada_plāns'!BD97</f>
        <v>9352.5321429886972</v>
      </c>
      <c r="BE97" s="1236"/>
      <c r="BF97" s="1335">
        <f>'2024_ar_grozījumiem'!BF97-'2024_gada_plāns'!BF97</f>
        <v>0</v>
      </c>
      <c r="BG97" s="1235"/>
      <c r="BH97" s="1235">
        <f>'2024_ar_grozījumiem'!BH97-'2024_gada_plāns'!BH97</f>
        <v>23.941054122132073</v>
      </c>
      <c r="BI97" s="1236"/>
      <c r="BJ97" s="1232" t="s">
        <v>38</v>
      </c>
      <c r="BK97" s="1237"/>
      <c r="BL97" s="1334" t="s">
        <v>38</v>
      </c>
      <c r="BM97" s="1230" t="s">
        <v>38</v>
      </c>
      <c r="BN97" s="1230" t="s">
        <v>38</v>
      </c>
      <c r="BO97" s="1231"/>
      <c r="BP97" s="1232">
        <f>'2024_ar_grozījumiem'!BP97-'2024_gada_plāns'!BP97</f>
        <v>10990.825280297897</v>
      </c>
      <c r="BQ97" s="1233"/>
      <c r="BR97" s="1232">
        <f>'2024_ar_grozījumiem'!BR97-'2024_gada_plāns'!BR97</f>
        <v>0</v>
      </c>
      <c r="BS97" s="1234"/>
      <c r="BT97" s="1234">
        <f>'2024_ar_grozījumiem'!BT97-'2024_gada_plāns'!BT97</f>
        <v>10990.825280297955</v>
      </c>
      <c r="BU97" s="1233"/>
      <c r="BV97" s="1335">
        <f>'2024_ar_grozījumiem'!BV97-'2024_gada_plāns'!BV97</f>
        <v>0</v>
      </c>
      <c r="BW97" s="1235"/>
      <c r="BX97" s="1235">
        <f>'2024_ar_grozījumiem'!BX97-'2024_gada_plāns'!BX97</f>
        <v>11030.21559743234</v>
      </c>
      <c r="BY97" s="1236"/>
      <c r="BZ97" s="1335">
        <f>'2024_ar_grozījumiem'!BZ97-'2024_gada_plāns'!BZ97</f>
        <v>0</v>
      </c>
      <c r="CA97" s="1235"/>
      <c r="CB97" s="1235">
        <f>'2024_ar_grozījumiem'!CB97-'2024_gada_plāns'!CB97</f>
        <v>-39.390317134381803</v>
      </c>
      <c r="CC97" s="1236"/>
      <c r="CD97" s="1232" t="s">
        <v>38</v>
      </c>
      <c r="CE97" s="1237"/>
      <c r="CF97" s="1421" t="s">
        <v>38</v>
      </c>
      <c r="CG97" s="1422"/>
      <c r="CH97" s="1422" t="s">
        <v>38</v>
      </c>
      <c r="CI97" s="1423"/>
      <c r="CJ97" s="1232">
        <f>'2024_ar_grozījumiem'!CJ97-'2024_gada_plāns'!CJ97</f>
        <v>20367.298477408709</v>
      </c>
      <c r="CK97" s="1233"/>
      <c r="CL97" s="1232">
        <f>'2024_ar_grozījumiem'!CL97-'2024_gada_plāns'!CL97</f>
        <v>0</v>
      </c>
      <c r="CM97" s="1424"/>
      <c r="CN97" s="1234">
        <f>'2024_ar_grozījumiem'!CN97-'2024_gada_plāns'!CN97</f>
        <v>20367.298477408825</v>
      </c>
      <c r="CO97" s="1233"/>
      <c r="CP97" s="1232">
        <f>'2024_ar_grozījumiem'!CP97-'2024_gada_plāns'!CP97</f>
        <v>0</v>
      </c>
      <c r="CQ97" s="1234"/>
      <c r="CR97" s="1234">
        <f>'2024_ar_grozījumiem'!CR97-'2024_gada_plāns'!CR97</f>
        <v>20382.747740421095</v>
      </c>
      <c r="CS97" s="1233"/>
      <c r="CT97" s="1232">
        <f>'2024_ar_grozījumiem'!CT97-'2024_gada_plāns'!CT97</f>
        <v>0</v>
      </c>
      <c r="CU97" s="1234"/>
      <c r="CV97" s="1234">
        <f>'2024_ar_grozījumiem'!CV97-'2024_gada_plāns'!CV97</f>
        <v>-15.449263012249503</v>
      </c>
      <c r="CW97" s="1233"/>
      <c r="CX97" s="1232" t="s">
        <v>38</v>
      </c>
      <c r="CY97" s="1425"/>
      <c r="CZ97" s="2074" t="s">
        <v>38</v>
      </c>
      <c r="DA97" s="2075"/>
      <c r="DB97" s="2075" t="s">
        <v>38</v>
      </c>
      <c r="DC97" s="2076"/>
      <c r="DD97" s="2077">
        <f>CJ97/'2024_gada_plāns'!CJ97</f>
        <v>1.5438294226180144E-2</v>
      </c>
      <c r="DE97" s="2078"/>
      <c r="DF97" s="2079">
        <f>CL97/'2024_gada_plāns'!CL97</f>
        <v>0</v>
      </c>
      <c r="DG97" s="2080"/>
      <c r="DH97" s="2077">
        <f>CN97/'2024_gada_plāns'!CN97</f>
        <v>3.6733300940075604E-2</v>
      </c>
      <c r="DI97" s="2078"/>
      <c r="DJ97" s="2079">
        <f>CP97/'2024_gada_plāns'!CP97</f>
        <v>0</v>
      </c>
      <c r="DK97" s="2081"/>
      <c r="DL97" s="2077">
        <f>CR97/'2024_gada_plāns'!CR97</f>
        <v>3.71671338845651E-2</v>
      </c>
      <c r="DM97" s="2078"/>
      <c r="DN97" s="2082">
        <f>CT97/'2024_gada_plāns'!CT97</f>
        <v>0</v>
      </c>
      <c r="DO97" s="2081"/>
      <c r="DP97" s="2077">
        <f>CV97/'2024_gada_plāns'!CV97</f>
        <v>-2.5509381343335373E-3</v>
      </c>
      <c r="DQ97" s="2078"/>
      <c r="DR97" s="2082" t="s">
        <v>38</v>
      </c>
      <c r="DS97" s="2083"/>
    </row>
    <row r="98" spans="1:123" s="1045" customFormat="1" ht="17.25" customHeight="1" thickTop="1" thickBot="1" x14ac:dyDescent="0.3">
      <c r="A98" s="1044"/>
      <c r="B98" s="133" t="s">
        <v>77</v>
      </c>
      <c r="C98" s="1032"/>
      <c r="D98" s="389"/>
      <c r="E98" s="390"/>
      <c r="F98" s="391"/>
      <c r="G98" s="392"/>
      <c r="H98" s="134">
        <f>J98+L98</f>
        <v>3535375</v>
      </c>
      <c r="I98" s="135"/>
      <c r="J98" s="134">
        <f>N98+R98</f>
        <v>2359184.9762042337</v>
      </c>
      <c r="K98" s="137"/>
      <c r="L98" s="137">
        <f>P98+T98</f>
        <v>1176190.0237957661</v>
      </c>
      <c r="M98" s="135"/>
      <c r="N98" s="134">
        <f>N97+N91+N90</f>
        <v>2171994.5389618096</v>
      </c>
      <c r="O98" s="137"/>
      <c r="P98" s="134">
        <f>P97+P91+P90</f>
        <v>1158005.4610381904</v>
      </c>
      <c r="Q98" s="135"/>
      <c r="R98" s="134">
        <f>R97+R91+R90</f>
        <v>187190.43724242426</v>
      </c>
      <c r="S98" s="137"/>
      <c r="T98" s="134">
        <f>T97+T91+T90</f>
        <v>18184.562757575739</v>
      </c>
      <c r="U98" s="134">
        <f>U97+U91+U90</f>
        <v>0</v>
      </c>
      <c r="V98" s="139"/>
      <c r="W98" s="140"/>
      <c r="X98" s="389"/>
      <c r="Y98" s="390"/>
      <c r="Z98" s="391"/>
      <c r="AA98" s="392"/>
      <c r="AB98" s="134">
        <f>AD98+AF98</f>
        <v>3668340</v>
      </c>
      <c r="AC98" s="135"/>
      <c r="AD98" s="134">
        <f>AH98+AL98</f>
        <v>2199023.0577351637</v>
      </c>
      <c r="AE98" s="137"/>
      <c r="AF98" s="137">
        <f>AJ98+AN98</f>
        <v>1469316.9422648363</v>
      </c>
      <c r="AG98" s="135"/>
      <c r="AH98" s="134">
        <f>AH97+AH91+AH90</f>
        <v>2176972.6334927394</v>
      </c>
      <c r="AI98" s="137"/>
      <c r="AJ98" s="134">
        <f>AJ97+AJ91+AJ90</f>
        <v>1448027.3665072606</v>
      </c>
      <c r="AK98" s="135"/>
      <c r="AL98" s="134">
        <f>AL97+AL91+AL90</f>
        <v>22050.42424242424</v>
      </c>
      <c r="AM98" s="137"/>
      <c r="AN98" s="134">
        <f>AN97+AN91+AN90</f>
        <v>21289.575757575763</v>
      </c>
      <c r="AO98" s="134">
        <f>AO97+AO91+AO90</f>
        <v>0</v>
      </c>
      <c r="AP98" s="139"/>
      <c r="AQ98" s="140"/>
      <c r="AR98" s="1648">
        <f>'2024_ar_grozījumiem'!AR98-'2024_gada_plāns'!AR98</f>
        <v>0</v>
      </c>
      <c r="AS98" s="1649"/>
      <c r="AT98" s="1650">
        <f>'2024_ar_grozījumiem'!AT98-'2024_gada_plāns'!AT98</f>
        <v>0</v>
      </c>
      <c r="AU98" s="1651"/>
      <c r="AV98" s="1241">
        <f>'2024_ar_grozījumiem'!AV98-'2024_gada_plāns'!AV98</f>
        <v>6.0606095939874649E-4</v>
      </c>
      <c r="AW98" s="1242"/>
      <c r="AX98" s="1241">
        <f>'2024_ar_grozījumiem'!AX98-'2024_gada_plāns'!AX98</f>
        <v>-52411.374706583563</v>
      </c>
      <c r="AY98" s="1243"/>
      <c r="AZ98" s="1243">
        <f>'2024_ar_grozījumiem'!AZ98-'2024_gada_plāns'!AZ98</f>
        <v>52411.37531264429</v>
      </c>
      <c r="BA98" s="1242"/>
      <c r="BB98" s="1241">
        <f>'2024_ar_grozījumiem'!BB98-'2024_gada_plāns'!BB98</f>
        <v>-52207.374706583563</v>
      </c>
      <c r="BC98" s="1243"/>
      <c r="BD98" s="1243">
        <f>'2024_ar_grozījumiem'!BD98-'2024_gada_plāns'!BD98</f>
        <v>52206.951070219977</v>
      </c>
      <c r="BE98" s="1242"/>
      <c r="BF98" s="1241">
        <f>'2024_ar_grozījumiem'!BF98-'2024_gada_plāns'!BF98</f>
        <v>-204</v>
      </c>
      <c r="BG98" s="1243"/>
      <c r="BH98" s="1243">
        <f>'2024_ar_grozījumiem'!BH98-'2024_gada_plāns'!BH98</f>
        <v>204.42424242423658</v>
      </c>
      <c r="BI98" s="1242"/>
      <c r="BJ98" s="1244">
        <f>'2024_ar_grozījumiem'!BJ98-'2024_gada_plāns'!BJ98</f>
        <v>0</v>
      </c>
      <c r="BK98" s="1245"/>
      <c r="BL98" s="1336">
        <f>'2024_ar_grozījumiem'!BL98-'2024_gada_plāns'!BL98</f>
        <v>0</v>
      </c>
      <c r="BM98" s="1238"/>
      <c r="BN98" s="1239">
        <f>'2024_ar_grozījumiem'!BN98-'2024_gada_plāns'!BN98</f>
        <v>0</v>
      </c>
      <c r="BO98" s="1240"/>
      <c r="BP98" s="1241">
        <f>'2024_ar_grozījumiem'!BP98-'2024_gada_plāns'!BP98</f>
        <v>-4.4657103717327118E-4</v>
      </c>
      <c r="BQ98" s="1242"/>
      <c r="BR98" s="1241">
        <f>'2024_ar_grozījumiem'!BR98-'2024_gada_plāns'!BR98</f>
        <v>-62634.170328259002</v>
      </c>
      <c r="BS98" s="1243"/>
      <c r="BT98" s="1243">
        <f>'2024_ar_grozījumiem'!BT98-'2024_gada_plāns'!BT98</f>
        <v>62634.169881688431</v>
      </c>
      <c r="BU98" s="1242"/>
      <c r="BV98" s="1241">
        <f>'2024_ar_grozījumiem'!BV98-'2024_gada_plāns'!BV98</f>
        <v>-62838.170328259002</v>
      </c>
      <c r="BW98" s="1243"/>
      <c r="BX98" s="1243">
        <f>'2024_ar_grozījumiem'!BX98-'2024_gada_plāns'!BX98</f>
        <v>62837.745639264118</v>
      </c>
      <c r="BY98" s="1242"/>
      <c r="BZ98" s="1241">
        <f>'2024_ar_grozījumiem'!BZ98-'2024_gada_plāns'!BZ98</f>
        <v>204</v>
      </c>
      <c r="CA98" s="1243"/>
      <c r="CB98" s="1243">
        <f>'2024_ar_grozījumiem'!CB98-'2024_gada_plāns'!CB98</f>
        <v>-203.57575757575978</v>
      </c>
      <c r="CC98" s="1242"/>
      <c r="CD98" s="1244">
        <f>'2024_ar_grozījumiem'!CD98-'2024_gada_plāns'!CD98</f>
        <v>0</v>
      </c>
      <c r="CE98" s="1245"/>
      <c r="CF98" s="1426">
        <f>'2024_ar_grozījumiem'!CF98-'2024_gada_plāns'!CF98</f>
        <v>0</v>
      </c>
      <c r="CG98" s="1427"/>
      <c r="CH98" s="1427">
        <f>'2024_ar_grozījumiem'!CH98-'2024_gada_plāns'!CH98</f>
        <v>0</v>
      </c>
      <c r="CI98" s="1428"/>
      <c r="CJ98" s="1243">
        <f>'2024_ar_grozījumiem'!CJ98-'2024_gada_plāns'!CJ98</f>
        <v>1.5949085354804993E-4</v>
      </c>
      <c r="CK98" s="1242"/>
      <c r="CL98" s="1241">
        <f>'2024_ar_grozījumiem'!CL98-'2024_gada_plāns'!CL98</f>
        <v>-115045.54503484257</v>
      </c>
      <c r="CM98" s="1429"/>
      <c r="CN98" s="1243">
        <f>'2024_ar_grozījumiem'!CN98-'2024_gada_plāns'!CN98</f>
        <v>115045.54519433249</v>
      </c>
      <c r="CO98" s="1242"/>
      <c r="CP98" s="1241">
        <f>'2024_ar_grozījumiem'!CP98-'2024_gada_plāns'!CP98</f>
        <v>-115045.54503484257</v>
      </c>
      <c r="CQ98" s="1243"/>
      <c r="CR98" s="1243">
        <f>'2024_ar_grozījumiem'!CR98-'2024_gada_plāns'!CR98</f>
        <v>115044.69670948386</v>
      </c>
      <c r="CS98" s="1242"/>
      <c r="CT98" s="1241">
        <f>'2024_ar_grozījumiem'!CT98-'2024_gada_plāns'!CT98</f>
        <v>0</v>
      </c>
      <c r="CU98" s="1243"/>
      <c r="CV98" s="1243">
        <f>'2024_ar_grozījumiem'!CV98-'2024_gada_plāns'!CV98</f>
        <v>0.84848484848043881</v>
      </c>
      <c r="CW98" s="1242"/>
      <c r="CX98" s="1241">
        <f>'2024_ar_grozījumiem'!CX98-'2024_gada_plāns'!CX98</f>
        <v>0</v>
      </c>
      <c r="CY98" s="1245"/>
      <c r="CZ98" s="2084" t="s">
        <v>38</v>
      </c>
      <c r="DA98" s="2085"/>
      <c r="DB98" s="2085" t="s">
        <v>38</v>
      </c>
      <c r="DC98" s="2086"/>
      <c r="DD98" s="2087">
        <f>CJ98/'2024_gada_plāns'!CJ98</f>
        <v>1.057140939537681E-11</v>
      </c>
      <c r="DE98" s="2088"/>
      <c r="DF98" s="2089">
        <f>CL98/'2024_gada_plāns'!CL98</f>
        <v>-1.2986540039761371E-2</v>
      </c>
      <c r="DG98" s="2090"/>
      <c r="DH98" s="2087">
        <f>CN98/'2024_gada_plāns'!CN98</f>
        <v>1.8471804305305269E-2</v>
      </c>
      <c r="DI98" s="2088"/>
      <c r="DJ98" s="2089">
        <f>CP98/'2024_gada_plāns'!CP98</f>
        <v>-1.338185963586104E-2</v>
      </c>
      <c r="DK98" s="2091"/>
      <c r="DL98" s="2087">
        <f>CR98/'2024_gada_plāns'!CR98</f>
        <v>1.8758083305914001E-2</v>
      </c>
      <c r="DM98" s="2088"/>
      <c r="DN98" s="2092">
        <f>CT98/'2024_gada_plāns'!CT98</f>
        <v>0</v>
      </c>
      <c r="DO98" s="2091"/>
      <c r="DP98" s="2087">
        <f>CV98/'2024_gada_plāns'!CV98</f>
        <v>8.9222820987860612E-6</v>
      </c>
      <c r="DQ98" s="2088"/>
      <c r="DR98" s="2092" t="s">
        <v>38</v>
      </c>
      <c r="DS98" s="2093"/>
    </row>
    <row r="99" spans="1:123" s="1048" customFormat="1" ht="4.5" customHeight="1" thickBot="1" x14ac:dyDescent="0.3">
      <c r="A99" s="1046"/>
      <c r="B99" s="148"/>
      <c r="C99" s="1047"/>
      <c r="D99" s="393"/>
      <c r="E99" s="393"/>
      <c r="F99" s="394"/>
      <c r="G99" s="394"/>
      <c r="H99" s="149"/>
      <c r="I99" s="149"/>
      <c r="J99" s="395"/>
      <c r="K99" s="149"/>
      <c r="L99" s="149"/>
      <c r="M99" s="149"/>
      <c r="N99" s="149"/>
      <c r="O99" s="150"/>
      <c r="P99" s="149"/>
      <c r="Q99" s="149"/>
      <c r="R99" s="149"/>
      <c r="S99" s="149"/>
      <c r="T99" s="149"/>
      <c r="U99" s="149"/>
      <c r="V99" s="890"/>
      <c r="W99" s="890"/>
      <c r="X99" s="393"/>
      <c r="Y99" s="393"/>
      <c r="Z99" s="394"/>
      <c r="AA99" s="394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890"/>
      <c r="AQ99" s="891"/>
      <c r="AR99" s="1652"/>
      <c r="AS99" s="1652"/>
      <c r="AT99" s="1653"/>
      <c r="AU99" s="1653"/>
      <c r="AV99" s="1248"/>
      <c r="AW99" s="1248"/>
      <c r="AX99" s="1248"/>
      <c r="AY99" s="1248"/>
      <c r="AZ99" s="1248"/>
      <c r="BA99" s="1248"/>
      <c r="BB99" s="1248"/>
      <c r="BC99" s="1248"/>
      <c r="BD99" s="1248"/>
      <c r="BE99" s="1248"/>
      <c r="BF99" s="1248"/>
      <c r="BG99" s="1248"/>
      <c r="BH99" s="1248"/>
      <c r="BI99" s="1248"/>
      <c r="BJ99" s="1654"/>
      <c r="BK99" s="1654"/>
      <c r="BL99" s="1246"/>
      <c r="BM99" s="1246"/>
      <c r="BN99" s="1247"/>
      <c r="BO99" s="1247"/>
      <c r="BP99" s="1248"/>
      <c r="BQ99" s="1248"/>
      <c r="BR99" s="1248"/>
      <c r="BS99" s="1248"/>
      <c r="BT99" s="1248"/>
      <c r="BU99" s="1248"/>
      <c r="BV99" s="1248"/>
      <c r="BW99" s="1248"/>
      <c r="BX99" s="1248"/>
      <c r="BY99" s="1248"/>
      <c r="BZ99" s="1248"/>
      <c r="CA99" s="1248"/>
      <c r="CB99" s="1248"/>
      <c r="CC99" s="1248"/>
      <c r="CD99" s="1249"/>
      <c r="CE99" s="1249"/>
      <c r="CF99" s="1430"/>
      <c r="CG99" s="1248"/>
      <c r="CH99" s="1248"/>
      <c r="CI99" s="1248"/>
      <c r="CJ99" s="1248"/>
      <c r="CK99" s="1248"/>
      <c r="CL99" s="1248"/>
      <c r="CM99" s="1248"/>
      <c r="CN99" s="1248"/>
      <c r="CO99" s="1248"/>
      <c r="CP99" s="1248"/>
      <c r="CQ99" s="1247"/>
      <c r="CR99" s="1248"/>
      <c r="CS99" s="1248"/>
      <c r="CT99" s="1248"/>
      <c r="CU99" s="1247"/>
      <c r="CV99" s="1248"/>
      <c r="CW99" s="1248"/>
      <c r="CX99" s="1249"/>
      <c r="CY99" s="1249"/>
      <c r="CZ99" s="2094"/>
      <c r="DA99" s="2095"/>
      <c r="DB99" s="2095"/>
      <c r="DC99" s="2095"/>
      <c r="DD99" s="2095"/>
      <c r="DE99" s="2095"/>
      <c r="DF99" s="2095"/>
      <c r="DG99" s="2095"/>
      <c r="DH99" s="2094"/>
      <c r="DI99" s="2095"/>
      <c r="DJ99" s="2095"/>
      <c r="DK99" s="2096"/>
      <c r="DL99" s="2095"/>
      <c r="DM99" s="2095"/>
      <c r="DN99" s="2095"/>
      <c r="DO99" s="2096"/>
      <c r="DP99" s="2094"/>
      <c r="DQ99" s="2095"/>
      <c r="DR99" s="2097"/>
      <c r="DS99" s="2097"/>
    </row>
    <row r="100" spans="1:123" s="250" customFormat="1" x14ac:dyDescent="0.25">
      <c r="A100" s="1725"/>
      <c r="B100" s="1726" t="s">
        <v>78</v>
      </c>
      <c r="C100" s="1727"/>
      <c r="D100" s="1728"/>
      <c r="E100" s="1729"/>
      <c r="F100" s="1730"/>
      <c r="G100" s="1731"/>
      <c r="H100" s="1732"/>
      <c r="I100" s="1733"/>
      <c r="J100" s="1734"/>
      <c r="K100" s="1733"/>
      <c r="L100" s="1734"/>
      <c r="M100" s="1733"/>
      <c r="N100" s="1732"/>
      <c r="O100" s="1733"/>
      <c r="P100" s="1734"/>
      <c r="Q100" s="1733"/>
      <c r="R100" s="1732"/>
      <c r="S100" s="1733"/>
      <c r="T100" s="1734"/>
      <c r="U100" s="1733"/>
      <c r="V100" s="1735"/>
      <c r="W100" s="1736"/>
      <c r="X100" s="1777"/>
      <c r="Y100" s="1778"/>
      <c r="Z100" s="1779"/>
      <c r="AA100" s="1780"/>
      <c r="AB100" s="1781"/>
      <c r="AC100" s="1733"/>
      <c r="AD100" s="1732"/>
      <c r="AE100" s="1733"/>
      <c r="AF100" s="1781"/>
      <c r="AG100" s="1733"/>
      <c r="AH100" s="1781"/>
      <c r="AI100" s="1733"/>
      <c r="AJ100" s="1781"/>
      <c r="AK100" s="1733"/>
      <c r="AL100" s="1781"/>
      <c r="AM100" s="1733"/>
      <c r="AN100" s="1781"/>
      <c r="AO100" s="1733"/>
      <c r="AP100" s="1782"/>
      <c r="AQ100" s="1783"/>
      <c r="AR100" s="1777"/>
      <c r="AS100" s="1778"/>
      <c r="AT100" s="1779"/>
      <c r="AU100" s="1780"/>
      <c r="AV100" s="1781"/>
      <c r="AW100" s="1733"/>
      <c r="AX100" s="1732"/>
      <c r="AY100" s="1733"/>
      <c r="AZ100" s="1781"/>
      <c r="BA100" s="1733"/>
      <c r="BB100" s="1781"/>
      <c r="BC100" s="1733"/>
      <c r="BD100" s="1781"/>
      <c r="BE100" s="1733"/>
      <c r="BF100" s="1781"/>
      <c r="BG100" s="1733"/>
      <c r="BH100" s="1781"/>
      <c r="BI100" s="1733"/>
      <c r="BJ100" s="1782"/>
      <c r="BK100" s="1783"/>
      <c r="BL100" s="1777"/>
      <c r="BM100" s="1778"/>
      <c r="BN100" s="1779"/>
      <c r="BO100" s="1780"/>
      <c r="BP100" s="1781"/>
      <c r="BQ100" s="1733"/>
      <c r="BR100" s="1732"/>
      <c r="BS100" s="1733"/>
      <c r="BT100" s="1781"/>
      <c r="BU100" s="1733"/>
      <c r="BV100" s="1781"/>
      <c r="BW100" s="1733"/>
      <c r="BX100" s="1781"/>
      <c r="BY100" s="1733"/>
      <c r="BZ100" s="1781"/>
      <c r="CA100" s="1733"/>
      <c r="CB100" s="1781"/>
      <c r="CC100" s="1733"/>
      <c r="CD100" s="1782"/>
      <c r="CE100" s="1783"/>
      <c r="CF100" s="1777"/>
      <c r="CG100" s="1778"/>
      <c r="CH100" s="1779"/>
      <c r="CI100" s="1780"/>
      <c r="CJ100" s="1781"/>
      <c r="CK100" s="1733"/>
      <c r="CL100" s="1732"/>
      <c r="CM100" s="1733"/>
      <c r="CN100" s="1781"/>
      <c r="CO100" s="1733"/>
      <c r="CP100" s="1781"/>
      <c r="CQ100" s="1733"/>
      <c r="CR100" s="1781"/>
      <c r="CS100" s="1733"/>
      <c r="CT100" s="1781"/>
      <c r="CU100" s="1733"/>
      <c r="CV100" s="1781"/>
      <c r="CW100" s="1733"/>
      <c r="CX100" s="1825"/>
      <c r="CY100" s="1783"/>
      <c r="CZ100" s="2098"/>
      <c r="DA100" s="2099"/>
      <c r="DB100" s="2100"/>
      <c r="DC100" s="2101"/>
      <c r="DD100" s="2102"/>
      <c r="DE100" s="2103"/>
      <c r="DF100" s="2102"/>
      <c r="DG100" s="2103"/>
      <c r="DH100" s="2102"/>
      <c r="DI100" s="2103"/>
      <c r="DJ100" s="2102"/>
      <c r="DK100" s="2103"/>
      <c r="DL100" s="2102"/>
      <c r="DM100" s="2103"/>
      <c r="DN100" s="2102"/>
      <c r="DO100" s="2103"/>
      <c r="DP100" s="2102"/>
      <c r="DQ100" s="2103"/>
      <c r="DR100" s="2104"/>
      <c r="DS100" s="2105"/>
    </row>
    <row r="101" spans="1:123" s="250" customFormat="1" x14ac:dyDescent="0.25">
      <c r="A101" s="1737"/>
      <c r="B101" s="2263" t="s">
        <v>116</v>
      </c>
      <c r="C101" s="2264"/>
      <c r="D101" s="1738"/>
      <c r="E101" s="1739"/>
      <c r="F101" s="1740"/>
      <c r="G101" s="1741"/>
      <c r="H101" s="1742"/>
      <c r="I101" s="1743"/>
      <c r="J101" s="1744">
        <f>'2024_ar_grozījumiem'!J101-'2024_gada_plāns'!J101</f>
        <v>0</v>
      </c>
      <c r="K101" s="1743"/>
      <c r="L101" s="1744"/>
      <c r="M101" s="1743"/>
      <c r="N101" s="1742">
        <f>'2024_ar_grozījumiem'!N101-'2024_gada_plāns'!N101</f>
        <v>0</v>
      </c>
      <c r="O101" s="1743"/>
      <c r="P101" s="1744"/>
      <c r="Q101" s="1743"/>
      <c r="R101" s="1742">
        <f>'2024_ar_grozījumiem'!R101-'2024_gada_plāns'!R101</f>
        <v>0</v>
      </c>
      <c r="S101" s="1743"/>
      <c r="T101" s="1744"/>
      <c r="U101" s="1743"/>
      <c r="V101" s="1745"/>
      <c r="W101" s="1746"/>
      <c r="X101" s="1738"/>
      <c r="Y101" s="1739"/>
      <c r="Z101" s="1740"/>
      <c r="AA101" s="1741"/>
      <c r="AB101" s="1742"/>
      <c r="AC101" s="1743"/>
      <c r="AD101" s="1744">
        <f>'2024_ar_grozījumiem'!AD101-'2024_gada_plāns'!AD101</f>
        <v>0</v>
      </c>
      <c r="AE101" s="1743"/>
      <c r="AF101" s="1744"/>
      <c r="AG101" s="1743"/>
      <c r="AH101" s="1742">
        <f>'2024_ar_grozījumiem'!AH101-'2024_gada_plāns'!AH101</f>
        <v>0</v>
      </c>
      <c r="AI101" s="1743"/>
      <c r="AJ101" s="1744"/>
      <c r="AK101" s="1743"/>
      <c r="AL101" s="1742">
        <f>'2024_ar_grozījumiem'!AL101-'2024_gada_plāns'!AL101</f>
        <v>0</v>
      </c>
      <c r="AM101" s="1743"/>
      <c r="AN101" s="1744"/>
      <c r="AO101" s="1743"/>
      <c r="AP101" s="1745"/>
      <c r="AQ101" s="1746"/>
      <c r="AR101" s="1738"/>
      <c r="AS101" s="1739"/>
      <c r="AT101" s="1740"/>
      <c r="AU101" s="1741"/>
      <c r="AV101" s="1742"/>
      <c r="AW101" s="1743"/>
      <c r="AX101" s="1744">
        <f>'2024_ar_grozījumiem'!AX101-'2024_gada_plāns'!AX101</f>
        <v>-16423.369736841996</v>
      </c>
      <c r="AY101" s="1743"/>
      <c r="AZ101" s="1744"/>
      <c r="BA101" s="1743"/>
      <c r="BB101" s="1742">
        <f>'2024_ar_grozījumiem'!BB101-'2024_gada_plāns'!BB101</f>
        <v>-16219.369736841996</v>
      </c>
      <c r="BC101" s="1743"/>
      <c r="BD101" s="1744"/>
      <c r="BE101" s="1743"/>
      <c r="BF101" s="1742">
        <f>'2024_ar_grozījumiem'!BF101-'2024_gada_plāns'!BF101</f>
        <v>-204</v>
      </c>
      <c r="BG101" s="1743"/>
      <c r="BH101" s="1744"/>
      <c r="BI101" s="1743"/>
      <c r="BJ101" s="1745"/>
      <c r="BK101" s="1746"/>
      <c r="BL101" s="1738"/>
      <c r="BM101" s="1739"/>
      <c r="BN101" s="1740"/>
      <c r="BO101" s="1741"/>
      <c r="BP101" s="1742"/>
      <c r="BQ101" s="1743"/>
      <c r="BR101" s="1744">
        <f>'2024_ar_grozījumiem'!BR101-'2024_gada_plāns'!BR101</f>
        <v>-32230.599999999977</v>
      </c>
      <c r="BS101" s="1743"/>
      <c r="BT101" s="1744"/>
      <c r="BU101" s="1743"/>
      <c r="BV101" s="1742">
        <f>'2024_ar_grozījumiem'!BV101-'2024_gada_plāns'!BV101</f>
        <v>-32434.599999999977</v>
      </c>
      <c r="BW101" s="1743"/>
      <c r="BX101" s="1744"/>
      <c r="BY101" s="1743"/>
      <c r="BZ101" s="1742">
        <f>'2024_ar_grozījumiem'!BZ101-'2024_gada_plāns'!BZ101</f>
        <v>204</v>
      </c>
      <c r="CA101" s="1743"/>
      <c r="CB101" s="1744"/>
      <c r="CC101" s="1743"/>
      <c r="CD101" s="1745"/>
      <c r="CE101" s="1746"/>
      <c r="CF101" s="1738"/>
      <c r="CG101" s="1739"/>
      <c r="CH101" s="1740"/>
      <c r="CI101" s="1741"/>
      <c r="CJ101" s="1742"/>
      <c r="CK101" s="1743"/>
      <c r="CL101" s="1744">
        <f>'2024_ar_grozījumiem'!CL101-'2024_gada_plāns'!CL101</f>
        <v>-48653.969736841507</v>
      </c>
      <c r="CM101" s="1743"/>
      <c r="CN101" s="1744"/>
      <c r="CO101" s="1743"/>
      <c r="CP101" s="1742">
        <f>'2024_ar_grozījumiem'!CP101-'2024_gada_plāns'!CP101</f>
        <v>-48653.969736841507</v>
      </c>
      <c r="CQ101" s="1743"/>
      <c r="CR101" s="1744"/>
      <c r="CS101" s="1743"/>
      <c r="CT101" s="1742">
        <f>'2024_ar_grozījumiem'!CT101-'2024_gada_plāns'!CT101</f>
        <v>0</v>
      </c>
      <c r="CU101" s="1743"/>
      <c r="CV101" s="1744"/>
      <c r="CW101" s="1743"/>
      <c r="CX101" s="1745"/>
      <c r="CY101" s="1746"/>
      <c r="CZ101" s="2106"/>
      <c r="DA101" s="2107"/>
      <c r="DB101" s="2108"/>
      <c r="DC101" s="2109"/>
      <c r="DD101" s="2110"/>
      <c r="DE101" s="2111"/>
      <c r="DF101" s="2112">
        <f>CL101/'2024_gada_plāns'!CL101</f>
        <v>-1.322041304024687E-2</v>
      </c>
      <c r="DG101" s="2111"/>
      <c r="DH101" s="2113"/>
      <c r="DI101" s="2111"/>
      <c r="DJ101" s="2114">
        <f>CP101/'2024_gada_plāns'!CP101</f>
        <v>-1.3422341851753519E-2</v>
      </c>
      <c r="DK101" s="2111"/>
      <c r="DL101" s="2113"/>
      <c r="DM101" s="2111"/>
      <c r="DN101" s="2114">
        <f>CT101/'2024_gada_plāns'!CT101</f>
        <v>0</v>
      </c>
      <c r="DO101" s="2111"/>
      <c r="DP101" s="2113"/>
      <c r="DQ101" s="2111"/>
      <c r="DR101" s="2115"/>
      <c r="DS101" s="2116"/>
    </row>
    <row r="102" spans="1:123" s="250" customFormat="1" x14ac:dyDescent="0.25">
      <c r="A102" s="1747"/>
      <c r="B102" s="2179" t="s">
        <v>125</v>
      </c>
      <c r="C102" s="2180"/>
      <c r="D102" s="1748">
        <f>'2024_ar_grozījumiem'!D102-'2024_gada_plāns'!D102</f>
        <v>0</v>
      </c>
      <c r="E102" s="1749"/>
      <c r="F102" s="1750">
        <f>'2024_ar_grozījumiem'!F102-'2024_gada_plāns'!F102</f>
        <v>0</v>
      </c>
      <c r="G102" s="1751"/>
      <c r="H102" s="379" t="s">
        <v>38</v>
      </c>
      <c r="I102" s="230"/>
      <c r="J102" s="406">
        <f>'2024_ar_grozījumiem'!J102-'2024_gada_plāns'!J102</f>
        <v>0</v>
      </c>
      <c r="K102" s="230"/>
      <c r="L102" s="406" t="s">
        <v>38</v>
      </c>
      <c r="M102" s="230"/>
      <c r="N102" s="379">
        <f>'2024_ar_grozījumiem'!N102-'2024_gada_plāns'!N102</f>
        <v>0</v>
      </c>
      <c r="O102" s="230"/>
      <c r="P102" s="406" t="s">
        <v>38</v>
      </c>
      <c r="Q102" s="230"/>
      <c r="R102" s="379">
        <f>'2024_ar_grozījumiem'!R102-'2024_gada_plāns'!R102</f>
        <v>0</v>
      </c>
      <c r="S102" s="230"/>
      <c r="T102" s="406" t="s">
        <v>38</v>
      </c>
      <c r="U102" s="230"/>
      <c r="V102" s="379">
        <f>'2024_ar_grozījumiem'!V102-'2024_gada_plāns'!V102</f>
        <v>0</v>
      </c>
      <c r="W102" s="1753"/>
      <c r="X102" s="1748">
        <f>'2024_ar_grozījumiem'!X102-'2024_gada_plāns'!X102</f>
        <v>0</v>
      </c>
      <c r="Y102" s="1749"/>
      <c r="Z102" s="1750">
        <f>'2024_ar_grozījumiem'!Z102-'2024_gada_plāns'!Z102</f>
        <v>0</v>
      </c>
      <c r="AA102" s="1751"/>
      <c r="AB102" s="379" t="s">
        <v>38</v>
      </c>
      <c r="AC102" s="230"/>
      <c r="AD102" s="406">
        <f>'2024_ar_grozījumiem'!AD102-'2024_gada_plāns'!AD102</f>
        <v>0</v>
      </c>
      <c r="AE102" s="230"/>
      <c r="AF102" s="406" t="s">
        <v>38</v>
      </c>
      <c r="AG102" s="230"/>
      <c r="AH102" s="379">
        <f>'2024_ar_grozījumiem'!AH102-'2024_gada_plāns'!AH102</f>
        <v>0</v>
      </c>
      <c r="AI102" s="230"/>
      <c r="AJ102" s="406" t="s">
        <v>38</v>
      </c>
      <c r="AK102" s="230"/>
      <c r="AL102" s="379">
        <f>'2024_ar_grozījumiem'!AL102-'2024_gada_plāns'!AL102</f>
        <v>0</v>
      </c>
      <c r="AM102" s="230"/>
      <c r="AN102" s="406" t="s">
        <v>38</v>
      </c>
      <c r="AO102" s="230"/>
      <c r="AP102" s="379">
        <f>'2024_ar_grozījumiem'!AP102-'2024_gada_plāns'!AP102</f>
        <v>0</v>
      </c>
      <c r="AQ102" s="1753"/>
      <c r="AR102" s="1748">
        <f>'2024_ar_grozījumiem'!AR102-'2024_gada_plāns'!AR102</f>
        <v>0</v>
      </c>
      <c r="AS102" s="1749"/>
      <c r="AT102" s="1750">
        <f>'2024_ar_grozījumiem'!AT102-'2024_gada_plāns'!AT102</f>
        <v>0</v>
      </c>
      <c r="AU102" s="1751"/>
      <c r="AV102" s="379" t="s">
        <v>38</v>
      </c>
      <c r="AW102" s="230"/>
      <c r="AX102" s="406">
        <f>'2024_ar_grozījumiem'!AX102-'2024_gada_plāns'!AX102</f>
        <v>-24204.369736841996</v>
      </c>
      <c r="AY102" s="230"/>
      <c r="AZ102" s="406" t="s">
        <v>38</v>
      </c>
      <c r="BA102" s="230"/>
      <c r="BB102" s="379">
        <f>'2024_ar_grozījumiem'!BB102-'2024_gada_plāns'!BB102</f>
        <v>-24000.369736841996</v>
      </c>
      <c r="BC102" s="230"/>
      <c r="BD102" s="406" t="s">
        <v>38</v>
      </c>
      <c r="BE102" s="230"/>
      <c r="BF102" s="379">
        <f>'2024_ar_grozījumiem'!BF102-'2024_gada_plāns'!BF102</f>
        <v>-204</v>
      </c>
      <c r="BG102" s="230"/>
      <c r="BH102" s="406" t="s">
        <v>38</v>
      </c>
      <c r="BI102" s="230"/>
      <c r="BJ102" s="379">
        <f>'2024_ar_grozījumiem'!BJ102-'2024_gada_plāns'!BJ102</f>
        <v>-10.96212397501904</v>
      </c>
      <c r="BK102" s="1753"/>
      <c r="BL102" s="1748">
        <f>'2024_ar_grozījumiem'!BL102-'2024_gada_plāns'!BL102</f>
        <v>0</v>
      </c>
      <c r="BM102" s="1749"/>
      <c r="BN102" s="1750">
        <f>'2024_ar_grozījumiem'!BN102-'2024_gada_plāns'!BN102</f>
        <v>0</v>
      </c>
      <c r="BO102" s="1751"/>
      <c r="BP102" s="379" t="s">
        <v>38</v>
      </c>
      <c r="BQ102" s="230"/>
      <c r="BR102" s="406">
        <f>'2024_ar_grozījumiem'!BR102-'2024_gada_plāns'!BR102</f>
        <v>-40011.599999999977</v>
      </c>
      <c r="BS102" s="230"/>
      <c r="BT102" s="406" t="s">
        <v>38</v>
      </c>
      <c r="BU102" s="230"/>
      <c r="BV102" s="379">
        <f>'2024_ar_grozījumiem'!BV102-'2024_gada_plāns'!BV102</f>
        <v>-40215.599999999977</v>
      </c>
      <c r="BW102" s="230"/>
      <c r="BX102" s="406" t="s">
        <v>38</v>
      </c>
      <c r="BY102" s="230"/>
      <c r="BZ102" s="379">
        <f>'2024_ar_grozījumiem'!BZ102-'2024_gada_plāns'!BZ102</f>
        <v>204</v>
      </c>
      <c r="CA102" s="230"/>
      <c r="CB102" s="406" t="s">
        <v>38</v>
      </c>
      <c r="CC102" s="230"/>
      <c r="CD102" s="379">
        <f>'2024_ar_grozījumiem'!CD102-'2024_gada_plāns'!CD102</f>
        <v>-18.112992304210081</v>
      </c>
      <c r="CE102" s="1753"/>
      <c r="CF102" s="1748">
        <f>'2024_ar_grozījumiem'!CF102-'2024_gada_plāns'!CF102</f>
        <v>0</v>
      </c>
      <c r="CG102" s="1749"/>
      <c r="CH102" s="1750">
        <f>'2024_ar_grozījumiem'!CH102-'2024_gada_plāns'!CH102</f>
        <v>0</v>
      </c>
      <c r="CI102" s="1751"/>
      <c r="CJ102" s="379" t="s">
        <v>38</v>
      </c>
      <c r="CK102" s="230"/>
      <c r="CL102" s="406">
        <f>'2024_ar_grozījumiem'!CL102-'2024_gada_plāns'!CL102</f>
        <v>-64215.969736841507</v>
      </c>
      <c r="CM102" s="230"/>
      <c r="CN102" s="406" t="s">
        <v>38</v>
      </c>
      <c r="CO102" s="230"/>
      <c r="CP102" s="379">
        <f>'2024_ar_grozījumiem'!CP102-'2024_gada_plāns'!CP102</f>
        <v>-64215.969736841507</v>
      </c>
      <c r="CQ102" s="230"/>
      <c r="CR102" s="406" t="s">
        <v>38</v>
      </c>
      <c r="CS102" s="230"/>
      <c r="CT102" s="379">
        <f>'2024_ar_grozījumiem'!CT102-'2024_gada_plāns'!CT102</f>
        <v>0</v>
      </c>
      <c r="CU102" s="230"/>
      <c r="CV102" s="406" t="s">
        <v>38</v>
      </c>
      <c r="CW102" s="230"/>
      <c r="CX102" s="379">
        <f>'2024_ar_grozījumiem'!CX102-'2024_gada_plāns'!CX102</f>
        <v>-7.3105612177644161</v>
      </c>
      <c r="CY102" s="1753"/>
      <c r="CZ102" s="1984">
        <f>CF102/'2024_gada_plāns'!CF102</f>
        <v>0</v>
      </c>
      <c r="DA102" s="2117"/>
      <c r="DB102" s="2118">
        <f>CH102/'2024_gada_plāns'!CH102</f>
        <v>0</v>
      </c>
      <c r="DC102" s="2119"/>
      <c r="DD102" s="2120" t="s">
        <v>38</v>
      </c>
      <c r="DE102" s="2121"/>
      <c r="DF102" s="2122">
        <f>CL102/'2024_gada_plāns'!CL102</f>
        <v>-2.111001137905108E-2</v>
      </c>
      <c r="DG102" s="2121"/>
      <c r="DH102" s="2123" t="s">
        <v>38</v>
      </c>
      <c r="DI102" s="2121"/>
      <c r="DJ102" s="2124">
        <f>CP102/'2024_gada_plāns'!CP102</f>
        <v>-2.1501351551932335E-2</v>
      </c>
      <c r="DK102" s="2121"/>
      <c r="DL102" s="2123" t="s">
        <v>38</v>
      </c>
      <c r="DM102" s="2121"/>
      <c r="DN102" s="2124">
        <f>CT102/'2024_gada_plāns'!CT102</f>
        <v>0</v>
      </c>
      <c r="DO102" s="2121"/>
      <c r="DP102" s="2123" t="s">
        <v>38</v>
      </c>
      <c r="DQ102" s="2121"/>
      <c r="DR102" s="2124">
        <f>CX102/'2024_gada_plāns'!CX102</f>
        <v>-2.1110011379051451E-2</v>
      </c>
      <c r="DS102" s="2125"/>
    </row>
    <row r="103" spans="1:123" s="250" customFormat="1" x14ac:dyDescent="0.25">
      <c r="A103" s="1747"/>
      <c r="B103" s="2179" t="s">
        <v>117</v>
      </c>
      <c r="C103" s="2180"/>
      <c r="D103" s="1748" t="s">
        <v>38</v>
      </c>
      <c r="E103" s="1749"/>
      <c r="F103" s="1750" t="s">
        <v>38</v>
      </c>
      <c r="G103" s="1751"/>
      <c r="H103" s="379" t="s">
        <v>38</v>
      </c>
      <c r="I103" s="230"/>
      <c r="J103" s="406">
        <f>'2024_ar_grozījumiem'!J103-'2024_gada_plāns'!J103</f>
        <v>0</v>
      </c>
      <c r="K103" s="230"/>
      <c r="L103" s="406" t="s">
        <v>38</v>
      </c>
      <c r="M103" s="230"/>
      <c r="N103" s="379">
        <f>'2024_ar_grozījumiem'!N103-'2024_gada_plāns'!N103</f>
        <v>0</v>
      </c>
      <c r="O103" s="230"/>
      <c r="P103" s="406" t="s">
        <v>38</v>
      </c>
      <c r="Q103" s="230"/>
      <c r="R103" s="379">
        <f>'2024_ar_grozījumiem'!R103-'2024_gada_plāns'!R103</f>
        <v>0</v>
      </c>
      <c r="S103" s="230"/>
      <c r="T103" s="406" t="s">
        <v>38</v>
      </c>
      <c r="U103" s="230"/>
      <c r="V103" s="1754" t="s">
        <v>38</v>
      </c>
      <c r="W103" s="1754"/>
      <c r="X103" s="1748" t="s">
        <v>38</v>
      </c>
      <c r="Y103" s="1749"/>
      <c r="Z103" s="1750" t="s">
        <v>38</v>
      </c>
      <c r="AA103" s="1751"/>
      <c r="AB103" s="379" t="s">
        <v>38</v>
      </c>
      <c r="AC103" s="230"/>
      <c r="AD103" s="406">
        <f>'2024_ar_grozījumiem'!AD103-'2024_gada_plāns'!AD103</f>
        <v>0</v>
      </c>
      <c r="AE103" s="230"/>
      <c r="AF103" s="406" t="s">
        <v>38</v>
      </c>
      <c r="AG103" s="230"/>
      <c r="AH103" s="379">
        <f>'2024_ar_grozījumiem'!AH103-'2024_gada_plāns'!AH103</f>
        <v>0</v>
      </c>
      <c r="AI103" s="230"/>
      <c r="AJ103" s="406" t="s">
        <v>38</v>
      </c>
      <c r="AK103" s="230"/>
      <c r="AL103" s="379" t="s">
        <v>38</v>
      </c>
      <c r="AM103" s="230"/>
      <c r="AN103" s="406" t="s">
        <v>38</v>
      </c>
      <c r="AO103" s="230"/>
      <c r="AP103" s="1754" t="s">
        <v>38</v>
      </c>
      <c r="AQ103" s="1754"/>
      <c r="AR103" s="1748" t="s">
        <v>38</v>
      </c>
      <c r="AS103" s="1749"/>
      <c r="AT103" s="1750" t="s">
        <v>38</v>
      </c>
      <c r="AU103" s="1751"/>
      <c r="AV103" s="379" t="s">
        <v>38</v>
      </c>
      <c r="AW103" s="230"/>
      <c r="AX103" s="406">
        <f>'2024_ar_grozījumiem'!AX103-'2024_gada_plāns'!AX103</f>
        <v>7781</v>
      </c>
      <c r="AY103" s="230"/>
      <c r="AZ103" s="406" t="s">
        <v>38</v>
      </c>
      <c r="BA103" s="230"/>
      <c r="BB103" s="379">
        <f>'2024_ar_grozījumiem'!BB103-'2024_gada_plāns'!BB103</f>
        <v>7781</v>
      </c>
      <c r="BC103" s="230"/>
      <c r="BD103" s="406" t="s">
        <v>38</v>
      </c>
      <c r="BE103" s="230"/>
      <c r="BF103" s="379" t="s">
        <v>38</v>
      </c>
      <c r="BG103" s="230"/>
      <c r="BH103" s="406" t="s">
        <v>38</v>
      </c>
      <c r="BI103" s="230"/>
      <c r="BJ103" s="1754" t="s">
        <v>38</v>
      </c>
      <c r="BK103" s="1754"/>
      <c r="BL103" s="1748" t="s">
        <v>38</v>
      </c>
      <c r="BM103" s="1749"/>
      <c r="BN103" s="1750" t="s">
        <v>38</v>
      </c>
      <c r="BO103" s="1751"/>
      <c r="BP103" s="379" t="s">
        <v>38</v>
      </c>
      <c r="BQ103" s="230"/>
      <c r="BR103" s="406">
        <f>'2024_ar_grozījumiem'!BR103-'2024_gada_plāns'!BR103</f>
        <v>7781</v>
      </c>
      <c r="BS103" s="230"/>
      <c r="BT103" s="406" t="s">
        <v>38</v>
      </c>
      <c r="BU103" s="230"/>
      <c r="BV103" s="379">
        <f>'2024_ar_grozījumiem'!BV103-'2024_gada_plāns'!BV103</f>
        <v>7781</v>
      </c>
      <c r="BW103" s="230"/>
      <c r="BX103" s="406" t="s">
        <v>38</v>
      </c>
      <c r="BY103" s="230"/>
      <c r="BZ103" s="379" t="s">
        <v>38</v>
      </c>
      <c r="CA103" s="230"/>
      <c r="CB103" s="406" t="s">
        <v>38</v>
      </c>
      <c r="CC103" s="230"/>
      <c r="CD103" s="1754" t="s">
        <v>38</v>
      </c>
      <c r="CE103" s="1754"/>
      <c r="CF103" s="1748" t="s">
        <v>38</v>
      </c>
      <c r="CG103" s="1749"/>
      <c r="CH103" s="1750" t="s">
        <v>38</v>
      </c>
      <c r="CI103" s="1751"/>
      <c r="CJ103" s="379" t="s">
        <v>38</v>
      </c>
      <c r="CK103" s="230"/>
      <c r="CL103" s="406">
        <f>'2024_ar_grozījumiem'!CL103-'2024_gada_plāns'!CL103</f>
        <v>15562</v>
      </c>
      <c r="CM103" s="230"/>
      <c r="CN103" s="406" t="s">
        <v>38</v>
      </c>
      <c r="CO103" s="230"/>
      <c r="CP103" s="379">
        <f>'2024_ar_grozījumiem'!CP103-'2024_gada_plāns'!CP103</f>
        <v>15562</v>
      </c>
      <c r="CQ103" s="230"/>
      <c r="CR103" s="406" t="s">
        <v>38</v>
      </c>
      <c r="CS103" s="230"/>
      <c r="CT103" s="379" t="s">
        <v>38</v>
      </c>
      <c r="CU103" s="230"/>
      <c r="CV103" s="406" t="s">
        <v>38</v>
      </c>
      <c r="CW103" s="230"/>
      <c r="CX103" s="1754" t="s">
        <v>38</v>
      </c>
      <c r="CY103" s="1754"/>
      <c r="CZ103" s="2126" t="s">
        <v>38</v>
      </c>
      <c r="DA103" s="2117"/>
      <c r="DB103" s="2118" t="s">
        <v>38</v>
      </c>
      <c r="DC103" s="2119"/>
      <c r="DD103" s="2120" t="s">
        <v>38</v>
      </c>
      <c r="DE103" s="2121"/>
      <c r="DF103" s="2122">
        <f>CL103/'2024_gada_plāns'!CL103</f>
        <v>2.4382371742645494E-2</v>
      </c>
      <c r="DG103" s="2121"/>
      <c r="DH103" s="2123" t="s">
        <v>38</v>
      </c>
      <c r="DI103" s="2121"/>
      <c r="DJ103" s="2124">
        <f>CP103/'2024_gada_plāns'!CP103</f>
        <v>2.4382371742645494E-2</v>
      </c>
      <c r="DK103" s="2121"/>
      <c r="DL103" s="2123" t="s">
        <v>38</v>
      </c>
      <c r="DM103" s="2121"/>
      <c r="DN103" s="2120" t="s">
        <v>38</v>
      </c>
      <c r="DO103" s="2121"/>
      <c r="DP103" s="2123" t="s">
        <v>38</v>
      </c>
      <c r="DQ103" s="2121"/>
      <c r="DR103" s="2127" t="s">
        <v>38</v>
      </c>
      <c r="DS103" s="2128"/>
    </row>
    <row r="104" spans="1:123" s="1830" customFormat="1" x14ac:dyDescent="0.25">
      <c r="A104" s="1737"/>
      <c r="B104" s="2263" t="s">
        <v>79</v>
      </c>
      <c r="C104" s="2264"/>
      <c r="D104" s="1738"/>
      <c r="E104" s="1739"/>
      <c r="F104" s="1740"/>
      <c r="G104" s="1741"/>
      <c r="H104" s="1742"/>
      <c r="I104" s="1743"/>
      <c r="J104" s="1744">
        <f>'2024_ar_grozījumiem'!J104-'2024_gada_plāns'!J104</f>
        <v>0</v>
      </c>
      <c r="K104" s="1743"/>
      <c r="L104" s="1744"/>
      <c r="M104" s="1743"/>
      <c r="N104" s="1742">
        <f>'2024_ar_grozījumiem'!N104-'2024_gada_plāns'!N104</f>
        <v>0</v>
      </c>
      <c r="O104" s="1743"/>
      <c r="P104" s="1744"/>
      <c r="Q104" s="1743"/>
      <c r="R104" s="1742">
        <f>'2024_ar_grozījumiem'!R104-'2024_gada_plāns'!R104</f>
        <v>0</v>
      </c>
      <c r="S104" s="1743"/>
      <c r="T104" s="1744"/>
      <c r="U104" s="1743"/>
      <c r="V104" s="1745"/>
      <c r="W104" s="1746"/>
      <c r="X104" s="1738"/>
      <c r="Y104" s="1739"/>
      <c r="Z104" s="1740"/>
      <c r="AA104" s="1741"/>
      <c r="AB104" s="1742"/>
      <c r="AC104" s="1743"/>
      <c r="AD104" s="1744">
        <f>'2024_ar_grozījumiem'!AD104-'2024_gada_plāns'!AD104</f>
        <v>0</v>
      </c>
      <c r="AE104" s="1743"/>
      <c r="AF104" s="1744"/>
      <c r="AG104" s="1743"/>
      <c r="AH104" s="1742">
        <f>'2024_ar_grozījumiem'!AH104-'2024_gada_plāns'!AH104</f>
        <v>0</v>
      </c>
      <c r="AI104" s="1743"/>
      <c r="AJ104" s="1744"/>
      <c r="AK104" s="1743"/>
      <c r="AL104" s="1742" t="s">
        <v>38</v>
      </c>
      <c r="AM104" s="1743"/>
      <c r="AN104" s="1744"/>
      <c r="AO104" s="1743"/>
      <c r="AP104" s="1745"/>
      <c r="AQ104" s="1746"/>
      <c r="AR104" s="1738"/>
      <c r="AS104" s="1739"/>
      <c r="AT104" s="1740"/>
      <c r="AU104" s="1741"/>
      <c r="AV104" s="1742"/>
      <c r="AW104" s="1743"/>
      <c r="AX104" s="1744">
        <f>'2024_ar_grozījumiem'!AX104-'2024_gada_plāns'!AX104</f>
        <v>-361</v>
      </c>
      <c r="AY104" s="1743"/>
      <c r="AZ104" s="1744"/>
      <c r="BA104" s="1743"/>
      <c r="BB104" s="1742">
        <f>'2024_ar_grozījumiem'!BB104-'2024_gada_plāns'!BB104</f>
        <v>-361</v>
      </c>
      <c r="BC104" s="1743"/>
      <c r="BD104" s="1744"/>
      <c r="BE104" s="1743"/>
      <c r="BF104" s="1742" t="s">
        <v>38</v>
      </c>
      <c r="BG104" s="1743"/>
      <c r="BH104" s="1744"/>
      <c r="BI104" s="1743"/>
      <c r="BJ104" s="1745"/>
      <c r="BK104" s="1746"/>
      <c r="BL104" s="1738"/>
      <c r="BM104" s="1739"/>
      <c r="BN104" s="1740"/>
      <c r="BO104" s="1741"/>
      <c r="BP104" s="1742"/>
      <c r="BQ104" s="1743"/>
      <c r="BR104" s="1744">
        <f>'2024_ar_grozījumiem'!BR104-'2024_gada_plāns'!BR104</f>
        <v>-395</v>
      </c>
      <c r="BS104" s="1743"/>
      <c r="BT104" s="1744"/>
      <c r="BU104" s="1743"/>
      <c r="BV104" s="1742">
        <f>'2024_ar_grozījumiem'!BV104-'2024_gada_plāns'!BV104</f>
        <v>-395</v>
      </c>
      <c r="BW104" s="1743"/>
      <c r="BX104" s="1744"/>
      <c r="BY104" s="1743"/>
      <c r="BZ104" s="1742" t="s">
        <v>38</v>
      </c>
      <c r="CA104" s="1743"/>
      <c r="CB104" s="1744"/>
      <c r="CC104" s="1743"/>
      <c r="CD104" s="1745"/>
      <c r="CE104" s="1746"/>
      <c r="CF104" s="1738"/>
      <c r="CG104" s="1739"/>
      <c r="CH104" s="1740"/>
      <c r="CI104" s="1741"/>
      <c r="CJ104" s="1742"/>
      <c r="CK104" s="1743"/>
      <c r="CL104" s="1744">
        <f>'2024_ar_grozījumiem'!CL104-'2024_gada_plāns'!CL104</f>
        <v>-756</v>
      </c>
      <c r="CM104" s="1743"/>
      <c r="CN104" s="1744"/>
      <c r="CO104" s="1743"/>
      <c r="CP104" s="1742">
        <f>'2024_ar_grozījumiem'!CP104-'2024_gada_plāns'!CP104</f>
        <v>-756</v>
      </c>
      <c r="CQ104" s="1743"/>
      <c r="CR104" s="1744"/>
      <c r="CS104" s="1743"/>
      <c r="CT104" s="1742" t="s">
        <v>38</v>
      </c>
      <c r="CU104" s="1743"/>
      <c r="CV104" s="1744"/>
      <c r="CW104" s="1743"/>
      <c r="CX104" s="1745"/>
      <c r="CY104" s="1746"/>
      <c r="CZ104" s="2106"/>
      <c r="DA104" s="2107"/>
      <c r="DB104" s="2108"/>
      <c r="DC104" s="2109"/>
      <c r="DD104" s="2110"/>
      <c r="DE104" s="2111"/>
      <c r="DF104" s="2112">
        <f>CL104/'2024_gada_plāns'!CL104</f>
        <v>-3.2196243771559982E-2</v>
      </c>
      <c r="DG104" s="2111"/>
      <c r="DH104" s="2113"/>
      <c r="DI104" s="2111"/>
      <c r="DJ104" s="2114">
        <f>CP104/'2024_gada_plāns'!CP104</f>
        <v>-3.2196243771559982E-2</v>
      </c>
      <c r="DK104" s="2111"/>
      <c r="DL104" s="2113"/>
      <c r="DM104" s="2111"/>
      <c r="DN104" s="2110" t="s">
        <v>38</v>
      </c>
      <c r="DO104" s="2111"/>
      <c r="DP104" s="2113"/>
      <c r="DQ104" s="2111"/>
      <c r="DR104" s="2115"/>
      <c r="DS104" s="2116"/>
    </row>
    <row r="105" spans="1:123" s="250" customFormat="1" x14ac:dyDescent="0.25">
      <c r="A105" s="1747"/>
      <c r="B105" s="2179" t="s">
        <v>125</v>
      </c>
      <c r="C105" s="2180"/>
      <c r="D105" s="1748">
        <f>'2024_ar_grozījumiem'!D105-'2024_gada_plāns'!D105</f>
        <v>0</v>
      </c>
      <c r="E105" s="1749"/>
      <c r="F105" s="1750">
        <f>'2024_ar_grozījumiem'!F105-'2024_gada_plāns'!F105</f>
        <v>0</v>
      </c>
      <c r="G105" s="1751"/>
      <c r="H105" s="379" t="s">
        <v>38</v>
      </c>
      <c r="I105" s="230"/>
      <c r="J105" s="406">
        <f>'2024_ar_grozījumiem'!J105-'2024_gada_plāns'!J105</f>
        <v>0</v>
      </c>
      <c r="K105" s="230"/>
      <c r="L105" s="406" t="s">
        <v>38</v>
      </c>
      <c r="M105" s="230"/>
      <c r="N105" s="379">
        <f>'2024_ar_grozījumiem'!N105-'2024_gada_plāns'!N105</f>
        <v>0</v>
      </c>
      <c r="O105" s="230"/>
      <c r="P105" s="406" t="s">
        <v>38</v>
      </c>
      <c r="Q105" s="230"/>
      <c r="R105" s="379">
        <f>'2024_ar_grozījumiem'!R105-'2024_gada_plāns'!R105</f>
        <v>0</v>
      </c>
      <c r="S105" s="230"/>
      <c r="T105" s="406" t="s">
        <v>38</v>
      </c>
      <c r="U105" s="230"/>
      <c r="V105" s="379">
        <f>'2024_ar_grozījumiem'!V105-'2024_gada_plāns'!V105</f>
        <v>0</v>
      </c>
      <c r="W105" s="1753"/>
      <c r="X105" s="1748">
        <f>'2024_ar_grozījumiem'!X105-'2024_gada_plāns'!X105</f>
        <v>0</v>
      </c>
      <c r="Y105" s="1749"/>
      <c r="Z105" s="1750">
        <f>'2024_ar_grozījumiem'!Z105-'2024_gada_plāns'!Z105</f>
        <v>0</v>
      </c>
      <c r="AA105" s="1751"/>
      <c r="AB105" s="379" t="s">
        <v>38</v>
      </c>
      <c r="AC105" s="230"/>
      <c r="AD105" s="406">
        <f>'2024_ar_grozījumiem'!AD105-'2024_gada_plāns'!AD105</f>
        <v>0</v>
      </c>
      <c r="AE105" s="230"/>
      <c r="AF105" s="406" t="s">
        <v>38</v>
      </c>
      <c r="AG105" s="230"/>
      <c r="AH105" s="379">
        <f>'2024_ar_grozījumiem'!AH105-'2024_gada_plāns'!AH105</f>
        <v>0</v>
      </c>
      <c r="AI105" s="230"/>
      <c r="AJ105" s="406" t="s">
        <v>38</v>
      </c>
      <c r="AK105" s="230"/>
      <c r="AL105" s="379" t="s">
        <v>38</v>
      </c>
      <c r="AM105" s="230"/>
      <c r="AN105" s="406" t="s">
        <v>38</v>
      </c>
      <c r="AO105" s="230"/>
      <c r="AP105" s="379">
        <f>'2024_ar_grozījumiem'!AP105-'2024_gada_plāns'!AP105</f>
        <v>0</v>
      </c>
      <c r="AQ105" s="1753"/>
      <c r="AR105" s="1748">
        <f>'2024_ar_grozījumiem'!AR105-'2024_gada_plāns'!AR105</f>
        <v>0</v>
      </c>
      <c r="AS105" s="1749"/>
      <c r="AT105" s="1750">
        <f>'2024_ar_grozījumiem'!AT105-'2024_gada_plāns'!AT105</f>
        <v>0</v>
      </c>
      <c r="AU105" s="1751"/>
      <c r="AV105" s="379" t="s">
        <v>38</v>
      </c>
      <c r="AW105" s="230"/>
      <c r="AX105" s="406">
        <f>'2024_ar_grozījumiem'!AX105-'2024_gada_plāns'!AX105</f>
        <v>-361</v>
      </c>
      <c r="AY105" s="230"/>
      <c r="AZ105" s="406" t="s">
        <v>38</v>
      </c>
      <c r="BA105" s="230"/>
      <c r="BB105" s="379">
        <f>'2024_ar_grozījumiem'!BB105-'2024_gada_plāns'!BB105</f>
        <v>-361</v>
      </c>
      <c r="BC105" s="230"/>
      <c r="BD105" s="406" t="s">
        <v>38</v>
      </c>
      <c r="BE105" s="230"/>
      <c r="BF105" s="379" t="s">
        <v>38</v>
      </c>
      <c r="BG105" s="230"/>
      <c r="BH105" s="406" t="s">
        <v>38</v>
      </c>
      <c r="BI105" s="230"/>
      <c r="BJ105" s="379">
        <f>'2024_ar_grozījumiem'!BJ105-'2024_gada_plāns'!BJ105</f>
        <v>-30.336134453781483</v>
      </c>
      <c r="BK105" s="1753"/>
      <c r="BL105" s="1748">
        <f>'2024_ar_grozījumiem'!BL105-'2024_gada_plāns'!BL105</f>
        <v>0</v>
      </c>
      <c r="BM105" s="1749"/>
      <c r="BN105" s="1750">
        <f>'2024_ar_grozījumiem'!BN105-'2024_gada_plāns'!BN105</f>
        <v>0</v>
      </c>
      <c r="BO105" s="1751"/>
      <c r="BP105" s="379" t="s">
        <v>38</v>
      </c>
      <c r="BQ105" s="230"/>
      <c r="BR105" s="406">
        <f>'2024_ar_grozījumiem'!BR105-'2024_gada_plāns'!BR105</f>
        <v>-395</v>
      </c>
      <c r="BS105" s="230"/>
      <c r="BT105" s="406" t="s">
        <v>38</v>
      </c>
      <c r="BU105" s="230"/>
      <c r="BV105" s="379">
        <f>'2024_ar_grozījumiem'!BV105-'2024_gada_plāns'!BV105</f>
        <v>-395</v>
      </c>
      <c r="BW105" s="230"/>
      <c r="BX105" s="406" t="s">
        <v>38</v>
      </c>
      <c r="BY105" s="230"/>
      <c r="BZ105" s="379" t="s">
        <v>38</v>
      </c>
      <c r="CA105" s="230"/>
      <c r="CB105" s="406" t="s">
        <v>38</v>
      </c>
      <c r="CC105" s="230"/>
      <c r="CD105" s="379">
        <f>'2024_ar_grozījumiem'!CD105-'2024_gada_plāns'!CD105</f>
        <v>-33.193277310924373</v>
      </c>
      <c r="CE105" s="1753"/>
      <c r="CF105" s="1748">
        <f>'2024_ar_grozījumiem'!CF105-'2024_gada_plāns'!CF105</f>
        <v>0</v>
      </c>
      <c r="CG105" s="1749"/>
      <c r="CH105" s="1750">
        <f>'2024_ar_grozījumiem'!CH105-'2024_gada_plāns'!CH105</f>
        <v>0</v>
      </c>
      <c r="CI105" s="1751"/>
      <c r="CJ105" s="379" t="s">
        <v>38</v>
      </c>
      <c r="CK105" s="230"/>
      <c r="CL105" s="406">
        <f>'2024_ar_grozījumiem'!CL105-'2024_gada_plāns'!CL105</f>
        <v>-756</v>
      </c>
      <c r="CM105" s="230"/>
      <c r="CN105" s="406" t="s">
        <v>38</v>
      </c>
      <c r="CO105" s="230"/>
      <c r="CP105" s="379">
        <f>'2024_ar_grozījumiem'!CP105-'2024_gada_plāns'!CP105</f>
        <v>-756</v>
      </c>
      <c r="CQ105" s="230"/>
      <c r="CR105" s="406" t="s">
        <v>38</v>
      </c>
      <c r="CS105" s="230"/>
      <c r="CT105" s="379" t="s">
        <v>38</v>
      </c>
      <c r="CU105" s="230"/>
      <c r="CV105" s="406" t="s">
        <v>38</v>
      </c>
      <c r="CW105" s="230"/>
      <c r="CX105" s="379">
        <f>'2024_ar_grozījumiem'!CX105-'2024_gada_plāns'!CX105</f>
        <v>-15.882352941176464</v>
      </c>
      <c r="CY105" s="1753"/>
      <c r="CZ105" s="2129">
        <f>CF105/'2024_gada_plāns'!CF105</f>
        <v>0</v>
      </c>
      <c r="DA105" s="2117"/>
      <c r="DB105" s="2118">
        <f>CH105/'2024_gada_plāns'!CH105</f>
        <v>0</v>
      </c>
      <c r="DC105" s="2119"/>
      <c r="DD105" s="2120" t="s">
        <v>38</v>
      </c>
      <c r="DE105" s="2121"/>
      <c r="DF105" s="2122">
        <f>CL105/'2024_gada_plāns'!CL105</f>
        <v>-3.2196243771559982E-2</v>
      </c>
      <c r="DG105" s="2121"/>
      <c r="DH105" s="2123" t="s">
        <v>38</v>
      </c>
      <c r="DI105" s="2121"/>
      <c r="DJ105" s="2124">
        <f>CP105/'2024_gada_plāns'!CP105</f>
        <v>-3.2196243771559982E-2</v>
      </c>
      <c r="DK105" s="2121"/>
      <c r="DL105" s="2123" t="s">
        <v>38</v>
      </c>
      <c r="DM105" s="2121"/>
      <c r="DN105" s="2120" t="s">
        <v>38</v>
      </c>
      <c r="DO105" s="2121"/>
      <c r="DP105" s="2123" t="s">
        <v>38</v>
      </c>
      <c r="DQ105" s="2121"/>
      <c r="DR105" s="2124">
        <f>CX105/'2024_gada_plāns'!CX105</f>
        <v>-3.2196243771559975E-2</v>
      </c>
      <c r="DS105" s="2125"/>
    </row>
    <row r="106" spans="1:123" s="250" customFormat="1" x14ac:dyDescent="0.25">
      <c r="A106" s="1747"/>
      <c r="B106" s="2179" t="s">
        <v>117</v>
      </c>
      <c r="C106" s="2180"/>
      <c r="D106" s="1748" t="s">
        <v>38</v>
      </c>
      <c r="E106" s="1749"/>
      <c r="F106" s="1750" t="s">
        <v>38</v>
      </c>
      <c r="G106" s="1751"/>
      <c r="H106" s="379" t="s">
        <v>38</v>
      </c>
      <c r="I106" s="230"/>
      <c r="J106" s="406">
        <f>'2024_ar_grozījumiem'!J106-'2024_gada_plāns'!J106</f>
        <v>0</v>
      </c>
      <c r="K106" s="230"/>
      <c r="L106" s="406" t="s">
        <v>38</v>
      </c>
      <c r="M106" s="230"/>
      <c r="N106" s="379">
        <f>'2024_ar_grozījumiem'!N106-'2024_gada_plāns'!N106</f>
        <v>0</v>
      </c>
      <c r="O106" s="230"/>
      <c r="P106" s="406" t="s">
        <v>38</v>
      </c>
      <c r="Q106" s="230"/>
      <c r="R106" s="379">
        <f>'2024_ar_grozījumiem'!R106-'2024_gada_plāns'!R106</f>
        <v>0</v>
      </c>
      <c r="S106" s="230"/>
      <c r="T106" s="406" t="s">
        <v>38</v>
      </c>
      <c r="U106" s="230"/>
      <c r="V106" s="1754" t="s">
        <v>38</v>
      </c>
      <c r="W106" s="1754"/>
      <c r="X106" s="1748" t="s">
        <v>38</v>
      </c>
      <c r="Y106" s="1749"/>
      <c r="Z106" s="1750" t="s">
        <v>38</v>
      </c>
      <c r="AA106" s="1751"/>
      <c r="AB106" s="379" t="s">
        <v>38</v>
      </c>
      <c r="AC106" s="230"/>
      <c r="AD106" s="406">
        <f>'2024_ar_grozījumiem'!AD106-'2024_gada_plāns'!AD106</f>
        <v>0</v>
      </c>
      <c r="AE106" s="230"/>
      <c r="AF106" s="406" t="s">
        <v>38</v>
      </c>
      <c r="AG106" s="230"/>
      <c r="AH106" s="379">
        <f>'2024_ar_grozījumiem'!AH106-'2024_gada_plāns'!AH106</f>
        <v>0</v>
      </c>
      <c r="AI106" s="230"/>
      <c r="AJ106" s="406" t="s">
        <v>38</v>
      </c>
      <c r="AK106" s="230"/>
      <c r="AL106" s="379" t="s">
        <v>38</v>
      </c>
      <c r="AM106" s="230"/>
      <c r="AN106" s="406" t="s">
        <v>38</v>
      </c>
      <c r="AO106" s="230"/>
      <c r="AP106" s="1754" t="s">
        <v>38</v>
      </c>
      <c r="AQ106" s="1754"/>
      <c r="AR106" s="1748" t="s">
        <v>38</v>
      </c>
      <c r="AS106" s="1749"/>
      <c r="AT106" s="1750" t="s">
        <v>38</v>
      </c>
      <c r="AU106" s="1751"/>
      <c r="AV106" s="379" t="s">
        <v>38</v>
      </c>
      <c r="AW106" s="230"/>
      <c r="AX106" s="406">
        <f>'2024_ar_grozījumiem'!AX106-'2024_gada_plāns'!AX106</f>
        <v>0</v>
      </c>
      <c r="AY106" s="230"/>
      <c r="AZ106" s="406" t="s">
        <v>38</v>
      </c>
      <c r="BA106" s="230"/>
      <c r="BB106" s="379">
        <f>'2024_ar_grozījumiem'!BB106-'2024_gada_plāns'!BB106</f>
        <v>0</v>
      </c>
      <c r="BC106" s="230"/>
      <c r="BD106" s="406" t="s">
        <v>38</v>
      </c>
      <c r="BE106" s="230"/>
      <c r="BF106" s="379" t="s">
        <v>38</v>
      </c>
      <c r="BG106" s="230"/>
      <c r="BH106" s="406" t="s">
        <v>38</v>
      </c>
      <c r="BI106" s="230"/>
      <c r="BJ106" s="1754" t="s">
        <v>38</v>
      </c>
      <c r="BK106" s="1754"/>
      <c r="BL106" s="1748" t="s">
        <v>38</v>
      </c>
      <c r="BM106" s="1749"/>
      <c r="BN106" s="1750" t="s">
        <v>38</v>
      </c>
      <c r="BO106" s="1751"/>
      <c r="BP106" s="379" t="s">
        <v>38</v>
      </c>
      <c r="BQ106" s="230"/>
      <c r="BR106" s="406">
        <f>'2024_ar_grozījumiem'!BR106-'2024_gada_plāns'!BR106</f>
        <v>0</v>
      </c>
      <c r="BS106" s="230"/>
      <c r="BT106" s="406" t="s">
        <v>38</v>
      </c>
      <c r="BU106" s="230"/>
      <c r="BV106" s="379">
        <f>'2024_ar_grozījumiem'!BV106-'2024_gada_plāns'!BV106</f>
        <v>0</v>
      </c>
      <c r="BW106" s="230"/>
      <c r="BX106" s="406" t="s">
        <v>38</v>
      </c>
      <c r="BY106" s="230"/>
      <c r="BZ106" s="379" t="s">
        <v>38</v>
      </c>
      <c r="CA106" s="230"/>
      <c r="CB106" s="406" t="s">
        <v>38</v>
      </c>
      <c r="CC106" s="230"/>
      <c r="CD106" s="1754" t="s">
        <v>38</v>
      </c>
      <c r="CE106" s="1754"/>
      <c r="CF106" s="1748" t="s">
        <v>38</v>
      </c>
      <c r="CG106" s="1749"/>
      <c r="CH106" s="1750" t="s">
        <v>38</v>
      </c>
      <c r="CI106" s="1751"/>
      <c r="CJ106" s="379" t="s">
        <v>38</v>
      </c>
      <c r="CK106" s="230"/>
      <c r="CL106" s="406">
        <f>'2024_ar_grozījumiem'!CL106-'2024_gada_plāns'!CL106</f>
        <v>0</v>
      </c>
      <c r="CM106" s="230"/>
      <c r="CN106" s="406" t="s">
        <v>38</v>
      </c>
      <c r="CO106" s="230"/>
      <c r="CP106" s="379">
        <f>'2024_ar_grozījumiem'!CP106-'2024_gada_plāns'!CP106</f>
        <v>0</v>
      </c>
      <c r="CQ106" s="230"/>
      <c r="CR106" s="406" t="s">
        <v>38</v>
      </c>
      <c r="CS106" s="230"/>
      <c r="CT106" s="379" t="s">
        <v>38</v>
      </c>
      <c r="CU106" s="230"/>
      <c r="CV106" s="406" t="s">
        <v>38</v>
      </c>
      <c r="CW106" s="230"/>
      <c r="CX106" s="1754" t="s">
        <v>38</v>
      </c>
      <c r="CY106" s="1754"/>
      <c r="CZ106" s="2130" t="s">
        <v>38</v>
      </c>
      <c r="DA106" s="2117"/>
      <c r="DB106" s="2118" t="s">
        <v>38</v>
      </c>
      <c r="DC106" s="2119"/>
      <c r="DD106" s="2120" t="s">
        <v>38</v>
      </c>
      <c r="DE106" s="2121"/>
      <c r="DF106" s="2122" t="s">
        <v>38</v>
      </c>
      <c r="DG106" s="2121"/>
      <c r="DH106" s="2123" t="s">
        <v>38</v>
      </c>
      <c r="DI106" s="2121"/>
      <c r="DJ106" s="2124" t="s">
        <v>38</v>
      </c>
      <c r="DK106" s="2121"/>
      <c r="DL106" s="2123" t="s">
        <v>38</v>
      </c>
      <c r="DM106" s="2121"/>
      <c r="DN106" s="2120" t="s">
        <v>38</v>
      </c>
      <c r="DO106" s="2121"/>
      <c r="DP106" s="2123" t="s">
        <v>38</v>
      </c>
      <c r="DQ106" s="2121"/>
      <c r="DR106" s="2127" t="s">
        <v>38</v>
      </c>
      <c r="DS106" s="2128"/>
    </row>
    <row r="107" spans="1:123" s="1830" customFormat="1" x14ac:dyDescent="0.25">
      <c r="A107" s="1737"/>
      <c r="B107" s="2263" t="s">
        <v>118</v>
      </c>
      <c r="C107" s="2264"/>
      <c r="D107" s="1738"/>
      <c r="E107" s="1739"/>
      <c r="F107" s="1740"/>
      <c r="G107" s="1741"/>
      <c r="H107" s="1742"/>
      <c r="I107" s="1743"/>
      <c r="J107" s="1744">
        <f>'2024_ar_grozījumiem'!J107-'2024_gada_plāns'!J107</f>
        <v>0</v>
      </c>
      <c r="K107" s="1743"/>
      <c r="L107" s="1744"/>
      <c r="M107" s="1743"/>
      <c r="N107" s="1744">
        <f>'2024_ar_grozījumiem'!N107-'2024_gada_plāns'!N107</f>
        <v>0</v>
      </c>
      <c r="O107" s="1743"/>
      <c r="P107" s="1744"/>
      <c r="Q107" s="1743"/>
      <c r="R107" s="1744">
        <f>'2024_ar_grozījumiem'!R107-'2024_gada_plāns'!R107</f>
        <v>0</v>
      </c>
      <c r="S107" s="1743"/>
      <c r="T107" s="1744"/>
      <c r="U107" s="1743"/>
      <c r="V107" s="1745"/>
      <c r="W107" s="1746"/>
      <c r="X107" s="1738"/>
      <c r="Y107" s="1739"/>
      <c r="Z107" s="1740"/>
      <c r="AA107" s="1741"/>
      <c r="AB107" s="1742"/>
      <c r="AC107" s="1743"/>
      <c r="AD107" s="1744">
        <f>'2024_ar_grozījumiem'!AD107-'2024_gada_plāns'!AD107</f>
        <v>0</v>
      </c>
      <c r="AE107" s="1743"/>
      <c r="AF107" s="1744"/>
      <c r="AG107" s="1743"/>
      <c r="AH107" s="1744">
        <f>'2024_ar_grozījumiem'!AH107-'2024_gada_plāns'!AH107</f>
        <v>0</v>
      </c>
      <c r="AI107" s="1743"/>
      <c r="AJ107" s="1744"/>
      <c r="AK107" s="1743"/>
      <c r="AL107" s="1744" t="s">
        <v>38</v>
      </c>
      <c r="AM107" s="1743"/>
      <c r="AN107" s="1744"/>
      <c r="AO107" s="1743"/>
      <c r="AP107" s="1745"/>
      <c r="AQ107" s="1746"/>
      <c r="AR107" s="1738"/>
      <c r="AS107" s="1739"/>
      <c r="AT107" s="1740"/>
      <c r="AU107" s="1741"/>
      <c r="AV107" s="1742"/>
      <c r="AW107" s="1743"/>
      <c r="AX107" s="1744">
        <f>'2024_ar_grozījumiem'!AX107-'2024_gada_plāns'!AX107</f>
        <v>-3183.304969741439</v>
      </c>
      <c r="AY107" s="1743"/>
      <c r="AZ107" s="1744"/>
      <c r="BA107" s="1743"/>
      <c r="BB107" s="1744">
        <f>'2024_ar_grozījumiem'!BB107-'2024_gada_plāns'!BB107</f>
        <v>-3183.304969741439</v>
      </c>
      <c r="BC107" s="1743"/>
      <c r="BD107" s="1744"/>
      <c r="BE107" s="1743"/>
      <c r="BF107" s="1744" t="s">
        <v>38</v>
      </c>
      <c r="BG107" s="1743"/>
      <c r="BH107" s="1744"/>
      <c r="BI107" s="1743"/>
      <c r="BJ107" s="1745"/>
      <c r="BK107" s="1746"/>
      <c r="BL107" s="1738"/>
      <c r="BM107" s="1739"/>
      <c r="BN107" s="1740"/>
      <c r="BO107" s="1741"/>
      <c r="BP107" s="1742"/>
      <c r="BQ107" s="1743"/>
      <c r="BR107" s="1744">
        <f>'2024_ar_grozījumiem'!BR107-'2024_gada_plāns'!BR107</f>
        <v>-1276.570328259666</v>
      </c>
      <c r="BS107" s="1743"/>
      <c r="BT107" s="1744"/>
      <c r="BU107" s="1743"/>
      <c r="BV107" s="1744">
        <f>'2024_ar_grozījumiem'!BV107-'2024_gada_plāns'!BV107</f>
        <v>-1276.570328259666</v>
      </c>
      <c r="BW107" s="1743"/>
      <c r="BX107" s="1744"/>
      <c r="BY107" s="1743"/>
      <c r="BZ107" s="1744" t="s">
        <v>38</v>
      </c>
      <c r="CA107" s="1743"/>
      <c r="CB107" s="1744"/>
      <c r="CC107" s="1743"/>
      <c r="CD107" s="1745"/>
      <c r="CE107" s="1746"/>
      <c r="CF107" s="1738"/>
      <c r="CG107" s="1739"/>
      <c r="CH107" s="1740"/>
      <c r="CI107" s="1741"/>
      <c r="CJ107" s="1742"/>
      <c r="CK107" s="1743"/>
      <c r="CL107" s="1744">
        <f>'2024_ar_grozījumiem'!CL107-'2024_gada_plāns'!CL107</f>
        <v>-4459.875298001105</v>
      </c>
      <c r="CM107" s="1743"/>
      <c r="CN107" s="1744"/>
      <c r="CO107" s="1743"/>
      <c r="CP107" s="1744">
        <f>'2024_ar_grozījumiem'!CP107-'2024_gada_plāns'!CP107</f>
        <v>-4459.875298001105</v>
      </c>
      <c r="CQ107" s="1743"/>
      <c r="CR107" s="1744"/>
      <c r="CS107" s="1743"/>
      <c r="CT107" s="1744" t="s">
        <v>38</v>
      </c>
      <c r="CU107" s="1743"/>
      <c r="CV107" s="1744"/>
      <c r="CW107" s="1743"/>
      <c r="CX107" s="1745"/>
      <c r="CY107" s="1746"/>
      <c r="CZ107" s="2106"/>
      <c r="DA107" s="2107"/>
      <c r="DB107" s="2108"/>
      <c r="DC107" s="2109"/>
      <c r="DD107" s="2110"/>
      <c r="DE107" s="2111"/>
      <c r="DF107" s="2112">
        <f>CL107/'2024_gada_plāns'!CL107</f>
        <v>-4.5664423634366258E-3</v>
      </c>
      <c r="DG107" s="2111"/>
      <c r="DH107" s="2113"/>
      <c r="DI107" s="2111"/>
      <c r="DJ107" s="2112">
        <f>CP107/'2024_gada_plāns'!CP107</f>
        <v>-4.5664423634366258E-3</v>
      </c>
      <c r="DK107" s="2111"/>
      <c r="DL107" s="2113"/>
      <c r="DM107" s="2111"/>
      <c r="DN107" s="2113" t="s">
        <v>38</v>
      </c>
      <c r="DO107" s="2111"/>
      <c r="DP107" s="2113"/>
      <c r="DQ107" s="2111"/>
      <c r="DR107" s="2115"/>
      <c r="DS107" s="2116"/>
    </row>
    <row r="108" spans="1:123" s="250" customFormat="1" x14ac:dyDescent="0.25">
      <c r="A108" s="1747"/>
      <c r="B108" s="2179" t="s">
        <v>125</v>
      </c>
      <c r="C108" s="2180"/>
      <c r="D108" s="1748">
        <f>'2024_ar_grozījumiem'!D108-'2024_gada_plāns'!D108</f>
        <v>0</v>
      </c>
      <c r="E108" s="1749"/>
      <c r="F108" s="1750">
        <f>'2024_ar_grozījumiem'!F108-'2024_gada_plāns'!F108</f>
        <v>0</v>
      </c>
      <c r="G108" s="1751"/>
      <c r="H108" s="379" t="s">
        <v>38</v>
      </c>
      <c r="I108" s="230"/>
      <c r="J108" s="406">
        <f>'2024_ar_grozījumiem'!J108-'2024_gada_plāns'!J108</f>
        <v>0</v>
      </c>
      <c r="K108" s="230"/>
      <c r="L108" s="406" t="s">
        <v>38</v>
      </c>
      <c r="M108" s="230"/>
      <c r="N108" s="379">
        <f>'2024_ar_grozījumiem'!N108-'2024_gada_plāns'!N108</f>
        <v>0</v>
      </c>
      <c r="O108" s="230"/>
      <c r="P108" s="406" t="s">
        <v>38</v>
      </c>
      <c r="Q108" s="230"/>
      <c r="R108" s="379">
        <f>'2024_ar_grozījumiem'!R108-'2024_gada_plāns'!R108</f>
        <v>0</v>
      </c>
      <c r="S108" s="230"/>
      <c r="T108" s="406" t="s">
        <v>38</v>
      </c>
      <c r="U108" s="230"/>
      <c r="V108" s="379">
        <f>'2024_ar_grozījumiem'!V108-'2024_gada_plāns'!V108</f>
        <v>0</v>
      </c>
      <c r="W108" s="1753"/>
      <c r="X108" s="1748">
        <f>'2024_ar_grozījumiem'!X108-'2024_gada_plāns'!X108</f>
        <v>0</v>
      </c>
      <c r="Y108" s="1749"/>
      <c r="Z108" s="1750">
        <f>'2024_ar_grozījumiem'!Z108-'2024_gada_plāns'!Z108</f>
        <v>0</v>
      </c>
      <c r="AA108" s="1751"/>
      <c r="AB108" s="379" t="s">
        <v>38</v>
      </c>
      <c r="AC108" s="230"/>
      <c r="AD108" s="406">
        <f>'2024_ar_grozījumiem'!AD108-'2024_gada_plāns'!AD108</f>
        <v>0</v>
      </c>
      <c r="AE108" s="230"/>
      <c r="AF108" s="406" t="s">
        <v>38</v>
      </c>
      <c r="AG108" s="230"/>
      <c r="AH108" s="379">
        <f>'2024_ar_grozījumiem'!AH108-'2024_gada_plāns'!AH108</f>
        <v>0</v>
      </c>
      <c r="AI108" s="230"/>
      <c r="AJ108" s="406" t="s">
        <v>38</v>
      </c>
      <c r="AK108" s="230"/>
      <c r="AL108" s="379" t="s">
        <v>38</v>
      </c>
      <c r="AM108" s="230"/>
      <c r="AN108" s="406" t="s">
        <v>38</v>
      </c>
      <c r="AO108" s="230"/>
      <c r="AP108" s="379">
        <f>'2024_ar_grozījumiem'!AP108-'2024_gada_plāns'!AP108</f>
        <v>0</v>
      </c>
      <c r="AQ108" s="1753"/>
      <c r="AR108" s="1748">
        <f>'2024_ar_grozījumiem'!AR108-'2024_gada_plāns'!AR108</f>
        <v>0</v>
      </c>
      <c r="AS108" s="1749"/>
      <c r="AT108" s="1750">
        <f>'2024_ar_grozījumiem'!AT108-'2024_gada_plāns'!AT108</f>
        <v>0</v>
      </c>
      <c r="AU108" s="1751"/>
      <c r="AV108" s="379" t="s">
        <v>38</v>
      </c>
      <c r="AW108" s="230"/>
      <c r="AX108" s="406">
        <f>'2024_ar_grozījumiem'!AX108-'2024_gada_plāns'!AX108</f>
        <v>-10304.304969741424</v>
      </c>
      <c r="AY108" s="230"/>
      <c r="AZ108" s="406" t="s">
        <v>38</v>
      </c>
      <c r="BA108" s="230"/>
      <c r="BB108" s="379">
        <f>'2024_ar_grozījumiem'!BB108-'2024_gada_plāns'!BB108</f>
        <v>-10304.304969741424</v>
      </c>
      <c r="BC108" s="230"/>
      <c r="BD108" s="406" t="s">
        <v>38</v>
      </c>
      <c r="BE108" s="230"/>
      <c r="BF108" s="379" t="s">
        <v>38</v>
      </c>
      <c r="BG108" s="230"/>
      <c r="BH108" s="406" t="s">
        <v>38</v>
      </c>
      <c r="BI108" s="230"/>
      <c r="BJ108" s="379">
        <f>'2024_ar_grozījumiem'!BJ108-'2024_gada_plāns'!BJ108</f>
        <v>-4.6668047870205669</v>
      </c>
      <c r="BK108" s="1753"/>
      <c r="BL108" s="1748">
        <f>'2024_ar_grozījumiem'!BL108-'2024_gada_plāns'!BL108</f>
        <v>0</v>
      </c>
      <c r="BM108" s="1749"/>
      <c r="BN108" s="1750">
        <f>'2024_ar_grozījumiem'!BN108-'2024_gada_plāns'!BN108</f>
        <v>0</v>
      </c>
      <c r="BO108" s="1751"/>
      <c r="BP108" s="379" t="s">
        <v>38</v>
      </c>
      <c r="BQ108" s="230"/>
      <c r="BR108" s="406">
        <f>'2024_ar_grozījumiem'!BR108-'2024_gada_plāns'!BR108</f>
        <v>-8397.570328259666</v>
      </c>
      <c r="BS108" s="230"/>
      <c r="BT108" s="406" t="s">
        <v>38</v>
      </c>
      <c r="BU108" s="230"/>
      <c r="BV108" s="379">
        <f>'2024_ar_grozījumiem'!BV108-'2024_gada_plāns'!BV108</f>
        <v>-8397.570328259666</v>
      </c>
      <c r="BW108" s="230"/>
      <c r="BX108" s="406" t="s">
        <v>38</v>
      </c>
      <c r="BY108" s="230"/>
      <c r="BZ108" s="379" t="s">
        <v>38</v>
      </c>
      <c r="CA108" s="230"/>
      <c r="CB108" s="406" t="s">
        <v>38</v>
      </c>
      <c r="CC108" s="230"/>
      <c r="CD108" s="379">
        <f>'2024_ar_grozījumiem'!CD108-'2024_gada_plāns'!CD108</f>
        <v>-3.8015257257852966</v>
      </c>
      <c r="CE108" s="1753"/>
      <c r="CF108" s="1748">
        <f>'2024_ar_grozījumiem'!CF108-'2024_gada_plāns'!CF108</f>
        <v>0</v>
      </c>
      <c r="CG108" s="1749"/>
      <c r="CH108" s="1750">
        <f>'2024_ar_grozījumiem'!CH108-'2024_gada_plāns'!CH108</f>
        <v>0</v>
      </c>
      <c r="CI108" s="1751"/>
      <c r="CJ108" s="379" t="s">
        <v>38</v>
      </c>
      <c r="CK108" s="230"/>
      <c r="CL108" s="406">
        <f>'2024_ar_grozījumiem'!CL108-'2024_gada_plāns'!CL108</f>
        <v>-18701.875298001105</v>
      </c>
      <c r="CM108" s="230"/>
      <c r="CN108" s="406" t="s">
        <v>38</v>
      </c>
      <c r="CO108" s="230"/>
      <c r="CP108" s="379">
        <f>'2024_ar_grozījumiem'!CP108-'2024_gada_plāns'!CP108</f>
        <v>-18701.875298001105</v>
      </c>
      <c r="CQ108" s="230"/>
      <c r="CR108" s="406" t="s">
        <v>38</v>
      </c>
      <c r="CS108" s="230"/>
      <c r="CT108" s="379" t="s">
        <v>38</v>
      </c>
      <c r="CU108" s="230"/>
      <c r="CV108" s="406" t="s">
        <v>38</v>
      </c>
      <c r="CW108" s="230"/>
      <c r="CX108" s="379">
        <f>'2024_ar_grozījumiem'!CX108-'2024_gada_plāns'!CX108</f>
        <v>-2.1290841641622364</v>
      </c>
      <c r="CY108" s="1753"/>
      <c r="CZ108" s="2129">
        <f>CF108/'2024_gada_plāns'!CF108</f>
        <v>0</v>
      </c>
      <c r="DA108" s="2117"/>
      <c r="DB108" s="2118">
        <f>CH108/'2024_gada_plāns'!CH108</f>
        <v>0</v>
      </c>
      <c r="DC108" s="2119"/>
      <c r="DD108" s="2120" t="s">
        <v>38</v>
      </c>
      <c r="DE108" s="2121"/>
      <c r="DF108" s="2122">
        <f>CL108/'2024_gada_plāns'!CL108</f>
        <v>-4.7643841435798348E-2</v>
      </c>
      <c r="DG108" s="2121"/>
      <c r="DH108" s="2123" t="s">
        <v>38</v>
      </c>
      <c r="DI108" s="2121"/>
      <c r="DJ108" s="2124">
        <f>CP108/'2024_gada_plāns'!CP108</f>
        <v>-4.7643841435798348E-2</v>
      </c>
      <c r="DK108" s="2121"/>
      <c r="DL108" s="2123" t="s">
        <v>38</v>
      </c>
      <c r="DM108" s="2121"/>
      <c r="DN108" s="2120" t="s">
        <v>38</v>
      </c>
      <c r="DO108" s="2121"/>
      <c r="DP108" s="2123" t="s">
        <v>38</v>
      </c>
      <c r="DQ108" s="2121"/>
      <c r="DR108" s="2124">
        <f>CX108/'2024_gada_plāns'!CX108</f>
        <v>-4.7643841435798293E-2</v>
      </c>
      <c r="DS108" s="2125"/>
    </row>
    <row r="109" spans="1:123" s="250" customFormat="1" x14ac:dyDescent="0.25">
      <c r="A109" s="1747"/>
      <c r="B109" s="2179" t="s">
        <v>117</v>
      </c>
      <c r="C109" s="2180"/>
      <c r="D109" s="1748" t="s">
        <v>38</v>
      </c>
      <c r="E109" s="1749"/>
      <c r="F109" s="1750" t="s">
        <v>38</v>
      </c>
      <c r="G109" s="1751"/>
      <c r="H109" s="379" t="s">
        <v>38</v>
      </c>
      <c r="I109" s="230"/>
      <c r="J109" s="406">
        <f>'2024_ar_grozījumiem'!J109-'2024_gada_plāns'!J109</f>
        <v>0</v>
      </c>
      <c r="K109" s="230"/>
      <c r="L109" s="406" t="s">
        <v>38</v>
      </c>
      <c r="M109" s="230"/>
      <c r="N109" s="379">
        <f>'2024_ar_grozījumiem'!N109-'2024_gada_plāns'!N109</f>
        <v>0</v>
      </c>
      <c r="O109" s="230"/>
      <c r="P109" s="406" t="s">
        <v>38</v>
      </c>
      <c r="Q109" s="230"/>
      <c r="R109" s="379">
        <f>'2024_ar_grozījumiem'!R109-'2024_gada_plāns'!R109</f>
        <v>0</v>
      </c>
      <c r="S109" s="230"/>
      <c r="T109" s="406" t="s">
        <v>38</v>
      </c>
      <c r="U109" s="230"/>
      <c r="V109" s="1754" t="s">
        <v>38</v>
      </c>
      <c r="W109" s="1754"/>
      <c r="X109" s="1748" t="s">
        <v>38</v>
      </c>
      <c r="Y109" s="1749"/>
      <c r="Z109" s="1750" t="s">
        <v>38</v>
      </c>
      <c r="AA109" s="1751"/>
      <c r="AB109" s="379" t="s">
        <v>38</v>
      </c>
      <c r="AC109" s="230"/>
      <c r="AD109" s="406">
        <f>'2024_ar_grozījumiem'!AD109-'2024_gada_plāns'!AD109</f>
        <v>0</v>
      </c>
      <c r="AE109" s="230"/>
      <c r="AF109" s="406" t="s">
        <v>38</v>
      </c>
      <c r="AG109" s="230"/>
      <c r="AH109" s="379">
        <f>'2024_ar_grozījumiem'!AH109-'2024_gada_plāns'!AH109</f>
        <v>0</v>
      </c>
      <c r="AI109" s="230"/>
      <c r="AJ109" s="406" t="s">
        <v>38</v>
      </c>
      <c r="AK109" s="230"/>
      <c r="AL109" s="379" t="s">
        <v>38</v>
      </c>
      <c r="AM109" s="230"/>
      <c r="AN109" s="406" t="s">
        <v>38</v>
      </c>
      <c r="AO109" s="230"/>
      <c r="AP109" s="1754" t="s">
        <v>38</v>
      </c>
      <c r="AQ109" s="1754"/>
      <c r="AR109" s="1748" t="s">
        <v>38</v>
      </c>
      <c r="AS109" s="1749"/>
      <c r="AT109" s="1750" t="s">
        <v>38</v>
      </c>
      <c r="AU109" s="1751"/>
      <c r="AV109" s="379" t="s">
        <v>38</v>
      </c>
      <c r="AW109" s="230"/>
      <c r="AX109" s="406">
        <f>'2024_ar_grozījumiem'!AX109-'2024_gada_plāns'!AX109</f>
        <v>7121</v>
      </c>
      <c r="AY109" s="230"/>
      <c r="AZ109" s="406" t="s">
        <v>38</v>
      </c>
      <c r="BA109" s="230"/>
      <c r="BB109" s="379">
        <f>'2024_ar_grozījumiem'!BB109-'2024_gada_plāns'!BB109</f>
        <v>7121</v>
      </c>
      <c r="BC109" s="230"/>
      <c r="BD109" s="406" t="s">
        <v>38</v>
      </c>
      <c r="BE109" s="230"/>
      <c r="BF109" s="379" t="s">
        <v>38</v>
      </c>
      <c r="BG109" s="230"/>
      <c r="BH109" s="406" t="s">
        <v>38</v>
      </c>
      <c r="BI109" s="230"/>
      <c r="BJ109" s="1754" t="s">
        <v>38</v>
      </c>
      <c r="BK109" s="1754"/>
      <c r="BL109" s="1748" t="s">
        <v>38</v>
      </c>
      <c r="BM109" s="1749"/>
      <c r="BN109" s="1750" t="s">
        <v>38</v>
      </c>
      <c r="BO109" s="1751"/>
      <c r="BP109" s="379" t="s">
        <v>38</v>
      </c>
      <c r="BQ109" s="230"/>
      <c r="BR109" s="406">
        <f>'2024_ar_grozījumiem'!BR109-'2024_gada_plāns'!BR109</f>
        <v>7121</v>
      </c>
      <c r="BS109" s="230"/>
      <c r="BT109" s="406" t="s">
        <v>38</v>
      </c>
      <c r="BU109" s="230"/>
      <c r="BV109" s="379">
        <f>'2024_ar_grozījumiem'!BV109-'2024_gada_plāns'!BV109</f>
        <v>7121</v>
      </c>
      <c r="BW109" s="230"/>
      <c r="BX109" s="406" t="s">
        <v>38</v>
      </c>
      <c r="BY109" s="230"/>
      <c r="BZ109" s="379" t="s">
        <v>38</v>
      </c>
      <c r="CA109" s="230"/>
      <c r="CB109" s="406" t="s">
        <v>38</v>
      </c>
      <c r="CC109" s="230"/>
      <c r="CD109" s="1754" t="s">
        <v>38</v>
      </c>
      <c r="CE109" s="1754"/>
      <c r="CF109" s="1748" t="s">
        <v>38</v>
      </c>
      <c r="CG109" s="1749"/>
      <c r="CH109" s="1750" t="s">
        <v>38</v>
      </c>
      <c r="CI109" s="1751"/>
      <c r="CJ109" s="379" t="s">
        <v>38</v>
      </c>
      <c r="CK109" s="230"/>
      <c r="CL109" s="406">
        <f>'2024_ar_grozījumiem'!CL109-'2024_gada_plāns'!CL109</f>
        <v>14242</v>
      </c>
      <c r="CM109" s="230"/>
      <c r="CN109" s="406" t="s">
        <v>38</v>
      </c>
      <c r="CO109" s="230"/>
      <c r="CP109" s="379">
        <f>'2024_ar_grozījumiem'!CP109-'2024_gada_plāns'!CP109</f>
        <v>14242</v>
      </c>
      <c r="CQ109" s="230"/>
      <c r="CR109" s="406" t="s">
        <v>38</v>
      </c>
      <c r="CS109" s="230"/>
      <c r="CT109" s="379" t="s">
        <v>38</v>
      </c>
      <c r="CU109" s="230"/>
      <c r="CV109" s="406" t="s">
        <v>38</v>
      </c>
      <c r="CW109" s="230"/>
      <c r="CX109" s="1754" t="s">
        <v>38</v>
      </c>
      <c r="CY109" s="1754"/>
      <c r="CZ109" s="2130" t="s">
        <v>38</v>
      </c>
      <c r="DA109" s="2117"/>
      <c r="DB109" s="2118" t="s">
        <v>38</v>
      </c>
      <c r="DC109" s="2119"/>
      <c r="DD109" s="2120" t="s">
        <v>38</v>
      </c>
      <c r="DE109" s="2121"/>
      <c r="DF109" s="2122">
        <f>CL109/'2024_gada_plāns'!CL109</f>
        <v>2.4381642379752384E-2</v>
      </c>
      <c r="DG109" s="2121"/>
      <c r="DH109" s="2123" t="s">
        <v>38</v>
      </c>
      <c r="DI109" s="2121"/>
      <c r="DJ109" s="2124">
        <f>CP109/'2024_gada_plāns'!CP109</f>
        <v>2.4381642379752384E-2</v>
      </c>
      <c r="DK109" s="2121"/>
      <c r="DL109" s="2123" t="s">
        <v>38</v>
      </c>
      <c r="DM109" s="2121"/>
      <c r="DN109" s="2120" t="s">
        <v>38</v>
      </c>
      <c r="DO109" s="2121"/>
      <c r="DP109" s="2123" t="s">
        <v>38</v>
      </c>
      <c r="DQ109" s="2121"/>
      <c r="DR109" s="2127" t="s">
        <v>38</v>
      </c>
      <c r="DS109" s="2128"/>
    </row>
    <row r="110" spans="1:123" s="1830" customFormat="1" x14ac:dyDescent="0.25">
      <c r="A110" s="1737"/>
      <c r="B110" s="2263" t="s">
        <v>119</v>
      </c>
      <c r="C110" s="2264"/>
      <c r="D110" s="1738"/>
      <c r="E110" s="1739"/>
      <c r="F110" s="1740"/>
      <c r="G110" s="1741"/>
      <c r="H110" s="1742"/>
      <c r="I110" s="1743"/>
      <c r="J110" s="1744">
        <f>'2024_ar_grozījumiem'!J110-'2024_gada_plāns'!J110</f>
        <v>0</v>
      </c>
      <c r="K110" s="1743"/>
      <c r="L110" s="1744"/>
      <c r="M110" s="1743"/>
      <c r="N110" s="1744">
        <f>'2024_ar_grozījumiem'!N110-'2024_gada_plāns'!N110</f>
        <v>0</v>
      </c>
      <c r="O110" s="1743"/>
      <c r="P110" s="1744"/>
      <c r="Q110" s="1743"/>
      <c r="R110" s="1744">
        <f>'2024_ar_grozījumiem'!R110-'2024_gada_plāns'!R110</f>
        <v>0</v>
      </c>
      <c r="S110" s="1743"/>
      <c r="T110" s="1744"/>
      <c r="U110" s="1743"/>
      <c r="V110" s="1745"/>
      <c r="W110" s="1746"/>
      <c r="X110" s="1738"/>
      <c r="Y110" s="1739"/>
      <c r="Z110" s="1740"/>
      <c r="AA110" s="1741"/>
      <c r="AB110" s="1742"/>
      <c r="AC110" s="1743"/>
      <c r="AD110" s="1744">
        <f>'2024_ar_grozījumiem'!AD110-'2024_gada_plāns'!AD110</f>
        <v>0</v>
      </c>
      <c r="AE110" s="1743"/>
      <c r="AF110" s="1744"/>
      <c r="AG110" s="1743"/>
      <c r="AH110" s="1744">
        <f>'2024_ar_grozījumiem'!AH110-'2024_gada_plāns'!AH110</f>
        <v>0</v>
      </c>
      <c r="AI110" s="1743"/>
      <c r="AJ110" s="1744"/>
      <c r="AK110" s="1743"/>
      <c r="AL110" s="1744" t="s">
        <v>38</v>
      </c>
      <c r="AM110" s="1743"/>
      <c r="AN110" s="1744"/>
      <c r="AO110" s="1743"/>
      <c r="AP110" s="1745"/>
      <c r="AQ110" s="1746"/>
      <c r="AR110" s="1738"/>
      <c r="AS110" s="1739"/>
      <c r="AT110" s="1740"/>
      <c r="AU110" s="1741"/>
      <c r="AV110" s="1742"/>
      <c r="AW110" s="1743"/>
      <c r="AX110" s="1744">
        <f>'2024_ar_grozījumiem'!AX110-'2024_gada_plāns'!AX110</f>
        <v>-9920.7000000000116</v>
      </c>
      <c r="AY110" s="1743"/>
      <c r="AZ110" s="1744"/>
      <c r="BA110" s="1743"/>
      <c r="BB110" s="1744">
        <f>'2024_ar_grozījumiem'!BB110-'2024_gada_plāns'!BB110</f>
        <v>-9920.7000000000116</v>
      </c>
      <c r="BC110" s="1743"/>
      <c r="BD110" s="1744"/>
      <c r="BE110" s="1743"/>
      <c r="BF110" s="1744" t="s">
        <v>38</v>
      </c>
      <c r="BG110" s="1743"/>
      <c r="BH110" s="1744"/>
      <c r="BI110" s="1743"/>
      <c r="BJ110" s="1745"/>
      <c r="BK110" s="1746"/>
      <c r="BL110" s="1738"/>
      <c r="BM110" s="1739"/>
      <c r="BN110" s="1740"/>
      <c r="BO110" s="1741"/>
      <c r="BP110" s="1742"/>
      <c r="BQ110" s="1743"/>
      <c r="BR110" s="1744">
        <f>'2024_ar_grozījumiem'!BR110-'2024_gada_plāns'!BR110</f>
        <v>-6474</v>
      </c>
      <c r="BS110" s="1743"/>
      <c r="BT110" s="1744"/>
      <c r="BU110" s="1743"/>
      <c r="BV110" s="1744">
        <f>'2024_ar_grozījumiem'!BV110-'2024_gada_plāns'!BV110</f>
        <v>-6474</v>
      </c>
      <c r="BW110" s="1743"/>
      <c r="BX110" s="1744"/>
      <c r="BY110" s="1743"/>
      <c r="BZ110" s="1744" t="s">
        <v>38</v>
      </c>
      <c r="CA110" s="1743"/>
      <c r="CB110" s="1744"/>
      <c r="CC110" s="1743"/>
      <c r="CD110" s="1745"/>
      <c r="CE110" s="1746"/>
      <c r="CF110" s="1738"/>
      <c r="CG110" s="1739"/>
      <c r="CH110" s="1740"/>
      <c r="CI110" s="1741"/>
      <c r="CJ110" s="1742"/>
      <c r="CK110" s="1743"/>
      <c r="CL110" s="1744">
        <f>'2024_ar_grozījumiem'!CL110-'2024_gada_plāns'!CL110</f>
        <v>-16394.699999999953</v>
      </c>
      <c r="CM110" s="1743"/>
      <c r="CN110" s="1744"/>
      <c r="CO110" s="1743"/>
      <c r="CP110" s="1744">
        <f>'2024_ar_grozījumiem'!CP110-'2024_gada_plāns'!CP110</f>
        <v>-16394.699999999953</v>
      </c>
      <c r="CQ110" s="1743"/>
      <c r="CR110" s="1744"/>
      <c r="CS110" s="1743"/>
      <c r="CT110" s="1744" t="s">
        <v>38</v>
      </c>
      <c r="CU110" s="1743"/>
      <c r="CV110" s="1744"/>
      <c r="CW110" s="1743"/>
      <c r="CX110" s="1745"/>
      <c r="CY110" s="1746"/>
      <c r="CZ110" s="2106"/>
      <c r="DA110" s="2107"/>
      <c r="DB110" s="2108"/>
      <c r="DC110" s="2109"/>
      <c r="DD110" s="2110"/>
      <c r="DE110" s="2111"/>
      <c r="DF110" s="2112">
        <f>CL110/'2024_gada_plāns'!CL110</f>
        <v>-1.5258635107564833E-2</v>
      </c>
      <c r="DG110" s="2111"/>
      <c r="DH110" s="2113"/>
      <c r="DI110" s="2111"/>
      <c r="DJ110" s="2112">
        <f>CP110/'2024_gada_plāns'!CP110</f>
        <v>-1.5258635107564833E-2</v>
      </c>
      <c r="DK110" s="2111"/>
      <c r="DL110" s="2113"/>
      <c r="DM110" s="2111"/>
      <c r="DN110" s="2113" t="s">
        <v>38</v>
      </c>
      <c r="DO110" s="2111"/>
      <c r="DP110" s="2113"/>
      <c r="DQ110" s="2111"/>
      <c r="DR110" s="2115"/>
      <c r="DS110" s="2116"/>
    </row>
    <row r="111" spans="1:123" s="250" customFormat="1" x14ac:dyDescent="0.25">
      <c r="A111" s="1747"/>
      <c r="B111" s="2179" t="s">
        <v>125</v>
      </c>
      <c r="C111" s="2180"/>
      <c r="D111" s="1748">
        <f>'2024_ar_grozījumiem'!D111-'2024_gada_plāns'!D111</f>
        <v>0</v>
      </c>
      <c r="E111" s="1749"/>
      <c r="F111" s="1750">
        <f>'2024_ar_grozījumiem'!F111-'2024_gada_plāns'!F111</f>
        <v>0</v>
      </c>
      <c r="G111" s="1751"/>
      <c r="H111" s="379" t="s">
        <v>38</v>
      </c>
      <c r="I111" s="230"/>
      <c r="J111" s="406">
        <f>'2024_ar_grozījumiem'!J111-'2024_gada_plāns'!J111</f>
        <v>0</v>
      </c>
      <c r="K111" s="230"/>
      <c r="L111" s="406" t="s">
        <v>38</v>
      </c>
      <c r="M111" s="230"/>
      <c r="N111" s="379">
        <f>'2024_ar_grozījumiem'!N111-'2024_gada_plāns'!N111</f>
        <v>0</v>
      </c>
      <c r="O111" s="230"/>
      <c r="P111" s="406" t="s">
        <v>38</v>
      </c>
      <c r="Q111" s="230"/>
      <c r="R111" s="379">
        <f>'2024_ar_grozījumiem'!R111-'2024_gada_plāns'!R111</f>
        <v>0</v>
      </c>
      <c r="S111" s="230"/>
      <c r="T111" s="406" t="s">
        <v>38</v>
      </c>
      <c r="U111" s="230"/>
      <c r="V111" s="379">
        <f>'2024_ar_grozījumiem'!V111-'2024_gada_plāns'!V111</f>
        <v>0</v>
      </c>
      <c r="W111" s="1753"/>
      <c r="X111" s="1748">
        <f>'2024_ar_grozījumiem'!X111-'2024_gada_plāns'!X111</f>
        <v>0</v>
      </c>
      <c r="Y111" s="1749"/>
      <c r="Z111" s="1750">
        <f>'2024_ar_grozījumiem'!Z111-'2024_gada_plāns'!Z111</f>
        <v>0</v>
      </c>
      <c r="AA111" s="1751"/>
      <c r="AB111" s="379" t="s">
        <v>38</v>
      </c>
      <c r="AC111" s="230"/>
      <c r="AD111" s="406">
        <f>'2024_ar_grozījumiem'!AD111-'2024_gada_plāns'!AD111</f>
        <v>0</v>
      </c>
      <c r="AE111" s="230"/>
      <c r="AF111" s="406" t="s">
        <v>38</v>
      </c>
      <c r="AG111" s="230"/>
      <c r="AH111" s="379">
        <f>'2024_ar_grozījumiem'!AH111-'2024_gada_plāns'!AH111</f>
        <v>0</v>
      </c>
      <c r="AI111" s="230"/>
      <c r="AJ111" s="406" t="s">
        <v>38</v>
      </c>
      <c r="AK111" s="230"/>
      <c r="AL111" s="379" t="s">
        <v>38</v>
      </c>
      <c r="AM111" s="230"/>
      <c r="AN111" s="406" t="s">
        <v>38</v>
      </c>
      <c r="AO111" s="230"/>
      <c r="AP111" s="379">
        <f>'2024_ar_grozījumiem'!AP111-'2024_gada_plāns'!AP111</f>
        <v>0</v>
      </c>
      <c r="AQ111" s="1753"/>
      <c r="AR111" s="1748">
        <f>'2024_ar_grozījumiem'!AR111-'2024_gada_plāns'!AR111</f>
        <v>0</v>
      </c>
      <c r="AS111" s="1749"/>
      <c r="AT111" s="1750">
        <f>'2024_ar_grozījumiem'!AT111-'2024_gada_plāns'!AT111</f>
        <v>0</v>
      </c>
      <c r="AU111" s="1751"/>
      <c r="AV111" s="379" t="s">
        <v>38</v>
      </c>
      <c r="AW111" s="230"/>
      <c r="AX111" s="406">
        <f>'2024_ar_grozījumiem'!AX111-'2024_gada_plāns'!AX111</f>
        <v>-14135.700000000012</v>
      </c>
      <c r="AY111" s="230"/>
      <c r="AZ111" s="406" t="s">
        <v>38</v>
      </c>
      <c r="BA111" s="230"/>
      <c r="BB111" s="379">
        <f>'2024_ar_grozījumiem'!BB111-'2024_gada_plāns'!BB111</f>
        <v>-14135.700000000012</v>
      </c>
      <c r="BC111" s="230"/>
      <c r="BD111" s="406" t="s">
        <v>38</v>
      </c>
      <c r="BE111" s="230"/>
      <c r="BF111" s="379" t="s">
        <v>38</v>
      </c>
      <c r="BG111" s="230"/>
      <c r="BH111" s="406" t="s">
        <v>38</v>
      </c>
      <c r="BI111" s="230"/>
      <c r="BJ111" s="379">
        <f>'2024_ar_grozījumiem'!BJ111-'2024_gada_plāns'!BJ111</f>
        <v>-6.4020380434782567</v>
      </c>
      <c r="BK111" s="1753"/>
      <c r="BL111" s="1748">
        <f>'2024_ar_grozījumiem'!BL111-'2024_gada_plāns'!BL111</f>
        <v>0</v>
      </c>
      <c r="BM111" s="1749"/>
      <c r="BN111" s="1750">
        <f>'2024_ar_grozījumiem'!BN111-'2024_gada_plāns'!BN111</f>
        <v>0</v>
      </c>
      <c r="BO111" s="1751"/>
      <c r="BP111" s="379" t="s">
        <v>38</v>
      </c>
      <c r="BQ111" s="230"/>
      <c r="BR111" s="406">
        <f>'2024_ar_grozījumiem'!BR111-'2024_gada_plāns'!BR111</f>
        <v>-10689</v>
      </c>
      <c r="BS111" s="230"/>
      <c r="BT111" s="406" t="s">
        <v>38</v>
      </c>
      <c r="BU111" s="230"/>
      <c r="BV111" s="379">
        <f>'2024_ar_grozījumiem'!BV111-'2024_gada_plāns'!BV111</f>
        <v>-10689</v>
      </c>
      <c r="BW111" s="230"/>
      <c r="BX111" s="406" t="s">
        <v>38</v>
      </c>
      <c r="BY111" s="230"/>
      <c r="BZ111" s="379" t="s">
        <v>38</v>
      </c>
      <c r="CA111" s="230"/>
      <c r="CB111" s="406" t="s">
        <v>38</v>
      </c>
      <c r="CC111" s="230"/>
      <c r="CD111" s="379">
        <f>'2024_ar_grozījumiem'!CD111-'2024_gada_plāns'!CD111</f>
        <v>-4.8388411045722393</v>
      </c>
      <c r="CE111" s="1753"/>
      <c r="CF111" s="1748">
        <f>'2024_ar_grozījumiem'!CF111-'2024_gada_plāns'!CF111</f>
        <v>0</v>
      </c>
      <c r="CG111" s="1749"/>
      <c r="CH111" s="1750">
        <f>'2024_ar_grozījumiem'!CH111-'2024_gada_plāns'!CH111</f>
        <v>0</v>
      </c>
      <c r="CI111" s="1751"/>
      <c r="CJ111" s="379" t="s">
        <v>38</v>
      </c>
      <c r="CK111" s="230"/>
      <c r="CL111" s="406">
        <f>'2024_ar_grozījumiem'!CL111-'2024_gada_plāns'!CL111</f>
        <v>-24824.70000000007</v>
      </c>
      <c r="CM111" s="230"/>
      <c r="CN111" s="406" t="s">
        <v>38</v>
      </c>
      <c r="CO111" s="230"/>
      <c r="CP111" s="379">
        <f>'2024_ar_grozījumiem'!CP111-'2024_gada_plāns'!CP111</f>
        <v>-24824.70000000007</v>
      </c>
      <c r="CQ111" s="230"/>
      <c r="CR111" s="406" t="s">
        <v>38</v>
      </c>
      <c r="CS111" s="230"/>
      <c r="CT111" s="379" t="s">
        <v>38</v>
      </c>
      <c r="CU111" s="230"/>
      <c r="CV111" s="406" t="s">
        <v>38</v>
      </c>
      <c r="CW111" s="230"/>
      <c r="CX111" s="379">
        <f>'2024_ar_grozījumiem'!CX111-'2024_gada_plāns'!CX111</f>
        <v>-2.8261270491803145</v>
      </c>
      <c r="CY111" s="1753"/>
      <c r="CZ111" s="2129">
        <f>CF111/'2024_gada_plāns'!CF111</f>
        <v>0</v>
      </c>
      <c r="DA111" s="2117"/>
      <c r="DB111" s="2118">
        <f>CH111/'2024_gada_plāns'!CH111</f>
        <v>0</v>
      </c>
      <c r="DC111" s="2119"/>
      <c r="DD111" s="2120" t="s">
        <v>38</v>
      </c>
      <c r="DE111" s="2121"/>
      <c r="DF111" s="2122">
        <f>CL111/'2024_gada_plāns'!CL111</f>
        <v>-3.4066081999182499E-2</v>
      </c>
      <c r="DG111" s="2121"/>
      <c r="DH111" s="2123" t="s">
        <v>38</v>
      </c>
      <c r="DI111" s="2121"/>
      <c r="DJ111" s="2124">
        <f>CP111/'2024_gada_plāns'!CP111</f>
        <v>-3.4066081999182499E-2</v>
      </c>
      <c r="DK111" s="2121"/>
      <c r="DL111" s="2123" t="s">
        <v>38</v>
      </c>
      <c r="DM111" s="2121"/>
      <c r="DN111" s="2120" t="s">
        <v>38</v>
      </c>
      <c r="DO111" s="2121"/>
      <c r="DP111" s="2123" t="s">
        <v>38</v>
      </c>
      <c r="DQ111" s="2121"/>
      <c r="DR111" s="2124">
        <f>CX111/'2024_gada_plāns'!CX111</f>
        <v>-3.4066081999182249E-2</v>
      </c>
      <c r="DS111" s="2125"/>
    </row>
    <row r="112" spans="1:123" s="250" customFormat="1" x14ac:dyDescent="0.25">
      <c r="A112" s="1747"/>
      <c r="B112" s="2179" t="s">
        <v>117</v>
      </c>
      <c r="C112" s="2180"/>
      <c r="D112" s="1748" t="s">
        <v>38</v>
      </c>
      <c r="E112" s="1749"/>
      <c r="F112" s="1750" t="s">
        <v>38</v>
      </c>
      <c r="G112" s="1751"/>
      <c r="H112" s="379" t="s">
        <v>38</v>
      </c>
      <c r="I112" s="230"/>
      <c r="J112" s="406">
        <f>'2024_ar_grozījumiem'!J112-'2024_gada_plāns'!J112</f>
        <v>0</v>
      </c>
      <c r="K112" s="230"/>
      <c r="L112" s="406" t="s">
        <v>38</v>
      </c>
      <c r="M112" s="230"/>
      <c r="N112" s="379">
        <f>'2024_ar_grozījumiem'!N112-'2024_gada_plāns'!N112</f>
        <v>0</v>
      </c>
      <c r="O112" s="230"/>
      <c r="P112" s="406" t="s">
        <v>38</v>
      </c>
      <c r="Q112" s="230"/>
      <c r="R112" s="379">
        <f>'2024_ar_grozījumiem'!R112-'2024_gada_plāns'!R112</f>
        <v>0</v>
      </c>
      <c r="S112" s="230"/>
      <c r="T112" s="406" t="s">
        <v>38</v>
      </c>
      <c r="U112" s="230"/>
      <c r="V112" s="1754" t="s">
        <v>38</v>
      </c>
      <c r="W112" s="1754"/>
      <c r="X112" s="1748" t="s">
        <v>38</v>
      </c>
      <c r="Y112" s="1749"/>
      <c r="Z112" s="1750" t="s">
        <v>38</v>
      </c>
      <c r="AA112" s="1751"/>
      <c r="AB112" s="379" t="s">
        <v>38</v>
      </c>
      <c r="AC112" s="230"/>
      <c r="AD112" s="406">
        <f>'2024_ar_grozījumiem'!AD112-'2024_gada_plāns'!AD112</f>
        <v>0</v>
      </c>
      <c r="AE112" s="230"/>
      <c r="AF112" s="406" t="s">
        <v>38</v>
      </c>
      <c r="AG112" s="230"/>
      <c r="AH112" s="379">
        <f>'2024_ar_grozījumiem'!AH112-'2024_gada_plāns'!AH112</f>
        <v>0</v>
      </c>
      <c r="AI112" s="230"/>
      <c r="AJ112" s="406" t="s">
        <v>38</v>
      </c>
      <c r="AK112" s="230"/>
      <c r="AL112" s="379" t="s">
        <v>38</v>
      </c>
      <c r="AM112" s="230"/>
      <c r="AN112" s="406" t="s">
        <v>38</v>
      </c>
      <c r="AO112" s="230"/>
      <c r="AP112" s="1754" t="s">
        <v>38</v>
      </c>
      <c r="AQ112" s="1754"/>
      <c r="AR112" s="1748" t="s">
        <v>38</v>
      </c>
      <c r="AS112" s="1749"/>
      <c r="AT112" s="1750" t="s">
        <v>38</v>
      </c>
      <c r="AU112" s="1751"/>
      <c r="AV112" s="379" t="s">
        <v>38</v>
      </c>
      <c r="AW112" s="230"/>
      <c r="AX112" s="406">
        <f>'2024_ar_grozījumiem'!AX112-'2024_gada_plāns'!AX112</f>
        <v>4215</v>
      </c>
      <c r="AY112" s="230"/>
      <c r="AZ112" s="406" t="s">
        <v>38</v>
      </c>
      <c r="BA112" s="230"/>
      <c r="BB112" s="379">
        <f>'2024_ar_grozījumiem'!BB112-'2024_gada_plāns'!BB112</f>
        <v>4215</v>
      </c>
      <c r="BC112" s="230"/>
      <c r="BD112" s="406" t="s">
        <v>38</v>
      </c>
      <c r="BE112" s="230"/>
      <c r="BF112" s="379" t="s">
        <v>38</v>
      </c>
      <c r="BG112" s="230"/>
      <c r="BH112" s="406" t="s">
        <v>38</v>
      </c>
      <c r="BI112" s="230"/>
      <c r="BJ112" s="1754" t="s">
        <v>38</v>
      </c>
      <c r="BK112" s="1754"/>
      <c r="BL112" s="1748" t="s">
        <v>38</v>
      </c>
      <c r="BM112" s="1749"/>
      <c r="BN112" s="1750" t="s">
        <v>38</v>
      </c>
      <c r="BO112" s="1751"/>
      <c r="BP112" s="379" t="s">
        <v>38</v>
      </c>
      <c r="BQ112" s="230"/>
      <c r="BR112" s="406">
        <f>'2024_ar_grozījumiem'!BR112-'2024_gada_plāns'!BR112</f>
        <v>4215</v>
      </c>
      <c r="BS112" s="230"/>
      <c r="BT112" s="406" t="s">
        <v>38</v>
      </c>
      <c r="BU112" s="230"/>
      <c r="BV112" s="379">
        <f>'2024_ar_grozījumiem'!BV112-'2024_gada_plāns'!BV112</f>
        <v>4215</v>
      </c>
      <c r="BW112" s="230"/>
      <c r="BX112" s="406" t="s">
        <v>38</v>
      </c>
      <c r="BY112" s="230"/>
      <c r="BZ112" s="379" t="s">
        <v>38</v>
      </c>
      <c r="CA112" s="230"/>
      <c r="CB112" s="406" t="s">
        <v>38</v>
      </c>
      <c r="CC112" s="230"/>
      <c r="CD112" s="1754" t="s">
        <v>38</v>
      </c>
      <c r="CE112" s="1754"/>
      <c r="CF112" s="1748" t="s">
        <v>38</v>
      </c>
      <c r="CG112" s="1749"/>
      <c r="CH112" s="1750" t="s">
        <v>38</v>
      </c>
      <c r="CI112" s="1751"/>
      <c r="CJ112" s="379" t="s">
        <v>38</v>
      </c>
      <c r="CK112" s="230"/>
      <c r="CL112" s="406">
        <f>'2024_ar_grozījumiem'!CL112-'2024_gada_plāns'!CL112</f>
        <v>8430</v>
      </c>
      <c r="CM112" s="230"/>
      <c r="CN112" s="406" t="s">
        <v>38</v>
      </c>
      <c r="CO112" s="230"/>
      <c r="CP112" s="379">
        <f>'2024_ar_grozījumiem'!CP112-'2024_gada_plāns'!CP112</f>
        <v>8430</v>
      </c>
      <c r="CQ112" s="230"/>
      <c r="CR112" s="406" t="s">
        <v>38</v>
      </c>
      <c r="CS112" s="230"/>
      <c r="CT112" s="379" t="s">
        <v>38</v>
      </c>
      <c r="CU112" s="230"/>
      <c r="CV112" s="406" t="s">
        <v>38</v>
      </c>
      <c r="CW112" s="230"/>
      <c r="CX112" s="1754" t="s">
        <v>38</v>
      </c>
      <c r="CY112" s="1754"/>
      <c r="CZ112" s="2130" t="s">
        <v>38</v>
      </c>
      <c r="DA112" s="2117"/>
      <c r="DB112" s="2118" t="s">
        <v>38</v>
      </c>
      <c r="DC112" s="2119"/>
      <c r="DD112" s="2120" t="s">
        <v>38</v>
      </c>
      <c r="DE112" s="2121"/>
      <c r="DF112" s="2122">
        <f>CL112/'2024_gada_plāns'!CL112</f>
        <v>2.4383048141334907E-2</v>
      </c>
      <c r="DG112" s="2121"/>
      <c r="DH112" s="2123" t="s">
        <v>38</v>
      </c>
      <c r="DI112" s="2121"/>
      <c r="DJ112" s="2124">
        <f>CP112/'2024_gada_plāns'!CP112</f>
        <v>2.4383048141334907E-2</v>
      </c>
      <c r="DK112" s="2121"/>
      <c r="DL112" s="2123" t="s">
        <v>38</v>
      </c>
      <c r="DM112" s="2121"/>
      <c r="DN112" s="2120" t="s">
        <v>38</v>
      </c>
      <c r="DO112" s="2121"/>
      <c r="DP112" s="2123" t="s">
        <v>38</v>
      </c>
      <c r="DQ112" s="2121"/>
      <c r="DR112" s="2127" t="s">
        <v>38</v>
      </c>
      <c r="DS112" s="2128"/>
    </row>
    <row r="113" spans="1:123" s="1830" customFormat="1" x14ac:dyDescent="0.25">
      <c r="A113" s="1737"/>
      <c r="B113" s="2263" t="s">
        <v>120</v>
      </c>
      <c r="C113" s="2264"/>
      <c r="D113" s="1738"/>
      <c r="E113" s="1739"/>
      <c r="F113" s="1740"/>
      <c r="G113" s="1741"/>
      <c r="H113" s="1742"/>
      <c r="I113" s="1743"/>
      <c r="J113" s="1744">
        <f>'2024_ar_grozījumiem'!J113-'2024_gada_plāns'!J113</f>
        <v>0</v>
      </c>
      <c r="K113" s="1743"/>
      <c r="L113" s="1744"/>
      <c r="M113" s="1743"/>
      <c r="N113" s="1744">
        <f>'2024_ar_grozījumiem'!N113-'2024_gada_plāns'!N113</f>
        <v>0</v>
      </c>
      <c r="O113" s="1743"/>
      <c r="P113" s="1744"/>
      <c r="Q113" s="1743"/>
      <c r="R113" s="1744">
        <f>'2024_ar_grozījumiem'!R113-'2024_gada_plāns'!R113</f>
        <v>0</v>
      </c>
      <c r="S113" s="1743"/>
      <c r="T113" s="1744"/>
      <c r="U113" s="1743"/>
      <c r="V113" s="1745"/>
      <c r="W113" s="1746"/>
      <c r="X113" s="1738"/>
      <c r="Y113" s="1739"/>
      <c r="Z113" s="1740"/>
      <c r="AA113" s="1741"/>
      <c r="AB113" s="1742"/>
      <c r="AC113" s="1743"/>
      <c r="AD113" s="1744">
        <f>'2024_ar_grozījumiem'!AD113-'2024_gada_plāns'!AD113</f>
        <v>0</v>
      </c>
      <c r="AE113" s="1743"/>
      <c r="AF113" s="1744"/>
      <c r="AG113" s="1743"/>
      <c r="AH113" s="1744">
        <f>'2024_ar_grozījumiem'!AH113-'2024_gada_plāns'!AH113</f>
        <v>0</v>
      </c>
      <c r="AI113" s="1743"/>
      <c r="AJ113" s="1744"/>
      <c r="AK113" s="1743"/>
      <c r="AL113" s="1744">
        <f>'2024_ar_grozījumiem'!AL113-'2024_gada_plāns'!AL113</f>
        <v>0</v>
      </c>
      <c r="AM113" s="1743"/>
      <c r="AN113" s="1744"/>
      <c r="AO113" s="1743"/>
      <c r="AP113" s="1745"/>
      <c r="AQ113" s="1746"/>
      <c r="AR113" s="1738"/>
      <c r="AS113" s="1739"/>
      <c r="AT113" s="1740"/>
      <c r="AU113" s="1741"/>
      <c r="AV113" s="1742"/>
      <c r="AW113" s="1743"/>
      <c r="AX113" s="1744">
        <f>'2024_ar_grozījumiem'!AX113-'2024_gada_plāns'!AX113</f>
        <v>-24970</v>
      </c>
      <c r="AY113" s="1743"/>
      <c r="AZ113" s="1744"/>
      <c r="BA113" s="1743"/>
      <c r="BB113" s="1744">
        <f>'2024_ar_grozījumiem'!BB113-'2024_gada_plāns'!BB113</f>
        <v>-24970</v>
      </c>
      <c r="BC113" s="1743"/>
      <c r="BD113" s="1744"/>
      <c r="BE113" s="1743"/>
      <c r="BF113" s="1744">
        <f>'2024_ar_grozījumiem'!BF113-'2024_gada_plāns'!BF113</f>
        <v>0</v>
      </c>
      <c r="BG113" s="1743"/>
      <c r="BH113" s="1744"/>
      <c r="BI113" s="1743"/>
      <c r="BJ113" s="1745"/>
      <c r="BK113" s="1746"/>
      <c r="BL113" s="1738"/>
      <c r="BM113" s="1739"/>
      <c r="BN113" s="1740"/>
      <c r="BO113" s="1741"/>
      <c r="BP113" s="1742"/>
      <c r="BQ113" s="1743"/>
      <c r="BR113" s="1744">
        <f>'2024_ar_grozījumiem'!BR113-'2024_gada_plāns'!BR113</f>
        <v>-25346</v>
      </c>
      <c r="BS113" s="1743"/>
      <c r="BT113" s="1744"/>
      <c r="BU113" s="1743"/>
      <c r="BV113" s="1744">
        <f>'2024_ar_grozījumiem'!BV113-'2024_gada_plāns'!BV113</f>
        <v>-25346</v>
      </c>
      <c r="BW113" s="1743"/>
      <c r="BX113" s="1744"/>
      <c r="BY113" s="1743"/>
      <c r="BZ113" s="1744">
        <f>'2024_ar_grozījumiem'!BZ113-'2024_gada_plāns'!BZ113</f>
        <v>0</v>
      </c>
      <c r="CA113" s="1743"/>
      <c r="CB113" s="1744"/>
      <c r="CC113" s="1743"/>
      <c r="CD113" s="1745"/>
      <c r="CE113" s="1746"/>
      <c r="CF113" s="1738"/>
      <c r="CG113" s="1739"/>
      <c r="CH113" s="1740"/>
      <c r="CI113" s="1741"/>
      <c r="CJ113" s="1742"/>
      <c r="CK113" s="1743"/>
      <c r="CL113" s="1744">
        <f>'2024_ar_grozījumiem'!CL113-'2024_gada_plāns'!CL113</f>
        <v>-50316</v>
      </c>
      <c r="CM113" s="1743"/>
      <c r="CN113" s="1744"/>
      <c r="CO113" s="1743"/>
      <c r="CP113" s="1744">
        <f>'2024_ar_grozījumiem'!CP113-'2024_gada_plāns'!CP113</f>
        <v>-50316</v>
      </c>
      <c r="CQ113" s="1743"/>
      <c r="CR113" s="1744"/>
      <c r="CS113" s="1743"/>
      <c r="CT113" s="1744">
        <f>'2024_ar_grozījumiem'!CT113-'2024_gada_plāns'!CT113</f>
        <v>0</v>
      </c>
      <c r="CU113" s="1743"/>
      <c r="CV113" s="1744"/>
      <c r="CW113" s="1743"/>
      <c r="CX113" s="1745"/>
      <c r="CY113" s="1746"/>
      <c r="CZ113" s="2106"/>
      <c r="DA113" s="2107"/>
      <c r="DB113" s="2108"/>
      <c r="DC113" s="2109"/>
      <c r="DD113" s="2110"/>
      <c r="DE113" s="2111"/>
      <c r="DF113" s="2112">
        <f>CL113/'2024_gada_plāns'!CL113</f>
        <v>-3.3905116616054269E-2</v>
      </c>
      <c r="DG113" s="2111"/>
      <c r="DH113" s="2113"/>
      <c r="DI113" s="2111"/>
      <c r="DJ113" s="2112">
        <f>CP113/'2024_gada_plāns'!CP113</f>
        <v>-3.4498343783304651E-2</v>
      </c>
      <c r="DK113" s="2111"/>
      <c r="DL113" s="2113"/>
      <c r="DM113" s="2111"/>
      <c r="DN113" s="2112">
        <f>CT113/'2024_gada_plāns'!CT113</f>
        <v>0</v>
      </c>
      <c r="DO113" s="2111"/>
      <c r="DP113" s="2113"/>
      <c r="DQ113" s="2111"/>
      <c r="DR113" s="2115"/>
      <c r="DS113" s="2116"/>
    </row>
    <row r="114" spans="1:123" s="250" customFormat="1" x14ac:dyDescent="0.25">
      <c r="A114" s="1747"/>
      <c r="B114" s="2179" t="s">
        <v>125</v>
      </c>
      <c r="C114" s="2180"/>
      <c r="D114" s="1748">
        <f>'2024_ar_grozījumiem'!D114-'2024_gada_plāns'!D114</f>
        <v>0</v>
      </c>
      <c r="E114" s="1749"/>
      <c r="F114" s="1750">
        <f>'2024_ar_grozījumiem'!F114-'2024_gada_plāns'!F114</f>
        <v>0</v>
      </c>
      <c r="G114" s="1751"/>
      <c r="H114" s="379" t="s">
        <v>38</v>
      </c>
      <c r="I114" s="230"/>
      <c r="J114" s="406">
        <f>'2024_ar_grozījumiem'!J114-'2024_gada_plāns'!J114</f>
        <v>0</v>
      </c>
      <c r="K114" s="230"/>
      <c r="L114" s="406" t="s">
        <v>38</v>
      </c>
      <c r="M114" s="230"/>
      <c r="N114" s="379">
        <f>'2024_ar_grozījumiem'!N114-'2024_gada_plāns'!N114</f>
        <v>0</v>
      </c>
      <c r="O114" s="230"/>
      <c r="P114" s="406" t="s">
        <v>38</v>
      </c>
      <c r="Q114" s="230"/>
      <c r="R114" s="379">
        <f>'2024_ar_grozījumiem'!R114-'2024_gada_plāns'!R114</f>
        <v>0</v>
      </c>
      <c r="S114" s="230"/>
      <c r="T114" s="406" t="s">
        <v>38</v>
      </c>
      <c r="U114" s="230"/>
      <c r="V114" s="379">
        <f>'2024_ar_grozījumiem'!V114-'2024_gada_plāns'!V114</f>
        <v>0</v>
      </c>
      <c r="W114" s="1753"/>
      <c r="X114" s="1748">
        <f>'2024_ar_grozījumiem'!X114-'2024_gada_plāns'!X114</f>
        <v>0</v>
      </c>
      <c r="Y114" s="1749"/>
      <c r="Z114" s="1750">
        <f>'2024_ar_grozījumiem'!Z114-'2024_gada_plāns'!Z114</f>
        <v>0</v>
      </c>
      <c r="AA114" s="1751"/>
      <c r="AB114" s="379" t="s">
        <v>38</v>
      </c>
      <c r="AC114" s="230"/>
      <c r="AD114" s="406">
        <f>'2024_ar_grozījumiem'!AD114-'2024_gada_plāns'!AD114</f>
        <v>0</v>
      </c>
      <c r="AE114" s="230"/>
      <c r="AF114" s="406" t="s">
        <v>38</v>
      </c>
      <c r="AG114" s="230"/>
      <c r="AH114" s="379">
        <f>'2024_ar_grozījumiem'!AH114-'2024_gada_plāns'!AH114</f>
        <v>0</v>
      </c>
      <c r="AI114" s="230"/>
      <c r="AJ114" s="406" t="s">
        <v>38</v>
      </c>
      <c r="AK114" s="230"/>
      <c r="AL114" s="379">
        <f>'2024_ar_grozījumiem'!AL114-'2024_gada_plāns'!AL114</f>
        <v>0</v>
      </c>
      <c r="AM114" s="230"/>
      <c r="AN114" s="406" t="s">
        <v>38</v>
      </c>
      <c r="AO114" s="230"/>
      <c r="AP114" s="379">
        <f>'2024_ar_grozījumiem'!AP114-'2024_gada_plāns'!AP114</f>
        <v>0</v>
      </c>
      <c r="AQ114" s="1753"/>
      <c r="AR114" s="1748">
        <f>'2024_ar_grozījumiem'!AR114-'2024_gada_plāns'!AR114</f>
        <v>0</v>
      </c>
      <c r="AS114" s="1749"/>
      <c r="AT114" s="1750">
        <f>'2024_ar_grozījumiem'!AT114-'2024_gada_plāns'!AT114</f>
        <v>0</v>
      </c>
      <c r="AU114" s="1751"/>
      <c r="AV114" s="379" t="s">
        <v>38</v>
      </c>
      <c r="AW114" s="230"/>
      <c r="AX114" s="406">
        <f>'2024_ar_grozījumiem'!AX114-'2024_gada_plāns'!AX114</f>
        <v>-28605</v>
      </c>
      <c r="AY114" s="230"/>
      <c r="AZ114" s="406" t="s">
        <v>38</v>
      </c>
      <c r="BA114" s="230"/>
      <c r="BB114" s="379">
        <f>'2024_ar_grozījumiem'!BB114-'2024_gada_plāns'!BB114</f>
        <v>-28605</v>
      </c>
      <c r="BC114" s="230"/>
      <c r="BD114" s="406" t="s">
        <v>38</v>
      </c>
      <c r="BE114" s="230"/>
      <c r="BF114" s="379">
        <f>'2024_ar_grozījumiem'!BF114-'2024_gada_plāns'!BF114</f>
        <v>0</v>
      </c>
      <c r="BG114" s="230"/>
      <c r="BH114" s="406" t="s">
        <v>38</v>
      </c>
      <c r="BI114" s="230"/>
      <c r="BJ114" s="379">
        <f>'2024_ar_grozījumiem'!BJ114-'2024_gada_plāns'!BJ114</f>
        <v>-12.955163043478194</v>
      </c>
      <c r="BK114" s="1753"/>
      <c r="BL114" s="1748">
        <f>'2024_ar_grozījumiem'!BL114-'2024_gada_plāns'!BL114</f>
        <v>0</v>
      </c>
      <c r="BM114" s="1749"/>
      <c r="BN114" s="1750">
        <f>'2024_ar_grozījumiem'!BN114-'2024_gada_plāns'!BN114</f>
        <v>0</v>
      </c>
      <c r="BO114" s="1751"/>
      <c r="BP114" s="379" t="s">
        <v>38</v>
      </c>
      <c r="BQ114" s="230"/>
      <c r="BR114" s="406">
        <f>'2024_ar_grozījumiem'!BR114-'2024_gada_plāns'!BR114</f>
        <v>-28981</v>
      </c>
      <c r="BS114" s="230"/>
      <c r="BT114" s="406" t="s">
        <v>38</v>
      </c>
      <c r="BU114" s="230"/>
      <c r="BV114" s="379">
        <f>'2024_ar_grozījumiem'!BV114-'2024_gada_plāns'!BV114</f>
        <v>-28981</v>
      </c>
      <c r="BW114" s="230"/>
      <c r="BX114" s="406" t="s">
        <v>38</v>
      </c>
      <c r="BY114" s="230"/>
      <c r="BZ114" s="379">
        <f>'2024_ar_grozījumiem'!BZ114-'2024_gada_plāns'!BZ114</f>
        <v>0</v>
      </c>
      <c r="CA114" s="230"/>
      <c r="CB114" s="406" t="s">
        <v>38</v>
      </c>
      <c r="CC114" s="230"/>
      <c r="CD114" s="379">
        <f>'2024_ar_grozījumiem'!CD114-'2024_gada_plāns'!CD114</f>
        <v>-13.119511090991409</v>
      </c>
      <c r="CE114" s="1753"/>
      <c r="CF114" s="1748">
        <f>'2024_ar_grozījumiem'!CF114-'2024_gada_plāns'!CF114</f>
        <v>0</v>
      </c>
      <c r="CG114" s="1749"/>
      <c r="CH114" s="1750">
        <f>'2024_ar_grozījumiem'!CH114-'2024_gada_plāns'!CH114</f>
        <v>0</v>
      </c>
      <c r="CI114" s="1751"/>
      <c r="CJ114" s="379" t="s">
        <v>38</v>
      </c>
      <c r="CK114" s="230"/>
      <c r="CL114" s="406">
        <f>'2024_ar_grozījumiem'!CL114-'2024_gada_plāns'!CL114</f>
        <v>-57586</v>
      </c>
      <c r="CM114" s="230"/>
      <c r="CN114" s="406" t="s">
        <v>38</v>
      </c>
      <c r="CO114" s="230"/>
      <c r="CP114" s="379">
        <f>'2024_ar_grozījumiem'!CP114-'2024_gada_plāns'!CP114</f>
        <v>-57586</v>
      </c>
      <c r="CQ114" s="230"/>
      <c r="CR114" s="406" t="s">
        <v>38</v>
      </c>
      <c r="CS114" s="230"/>
      <c r="CT114" s="379">
        <f>'2024_ar_grozījumiem'!CT114-'2024_gada_plāns'!CT114</f>
        <v>0</v>
      </c>
      <c r="CU114" s="230"/>
      <c r="CV114" s="406" t="s">
        <v>38</v>
      </c>
      <c r="CW114" s="230"/>
      <c r="CX114" s="379">
        <f>'2024_ar_grozījumiem'!CX114-'2024_gada_plāns'!CX114</f>
        <v>-6.5557832422586273</v>
      </c>
      <c r="CY114" s="1753"/>
      <c r="CZ114" s="2129">
        <f>CF114/'2024_gada_plāns'!CF114</f>
        <v>0</v>
      </c>
      <c r="DA114" s="2117"/>
      <c r="DB114" s="2118">
        <f>CH114/'2024_gada_plāns'!CH114</f>
        <v>0</v>
      </c>
      <c r="DC114" s="2119"/>
      <c r="DD114" s="2120" t="s">
        <v>38</v>
      </c>
      <c r="DE114" s="2121"/>
      <c r="DF114" s="2122">
        <f>CL114/'2024_gada_plāns'!CL114</f>
        <v>-4.8558253461164776E-2</v>
      </c>
      <c r="DG114" s="2121"/>
      <c r="DH114" s="2123" t="s">
        <v>38</v>
      </c>
      <c r="DI114" s="2121"/>
      <c r="DJ114" s="2124">
        <f>CP114/'2024_gada_plāns'!CP114</f>
        <v>-4.9626127890045883E-2</v>
      </c>
      <c r="DK114" s="2121"/>
      <c r="DL114" s="2123" t="s">
        <v>38</v>
      </c>
      <c r="DM114" s="2121"/>
      <c r="DN114" s="2124">
        <f>CT114/'2024_gada_plāns'!CT114</f>
        <v>0</v>
      </c>
      <c r="DO114" s="2121"/>
      <c r="DP114" s="2123" t="s">
        <v>38</v>
      </c>
      <c r="DQ114" s="2121"/>
      <c r="DR114" s="2124">
        <f>CX114/'2024_gada_plāns'!CX114</f>
        <v>-4.8558253461164609E-2</v>
      </c>
      <c r="DS114" s="2125"/>
    </row>
    <row r="115" spans="1:123" s="250" customFormat="1" x14ac:dyDescent="0.25">
      <c r="A115" s="1747"/>
      <c r="B115" s="2179" t="s">
        <v>117</v>
      </c>
      <c r="C115" s="2180"/>
      <c r="D115" s="1748" t="s">
        <v>38</v>
      </c>
      <c r="E115" s="1749"/>
      <c r="F115" s="1750" t="s">
        <v>38</v>
      </c>
      <c r="G115" s="1751"/>
      <c r="H115" s="379" t="s">
        <v>38</v>
      </c>
      <c r="I115" s="230"/>
      <c r="J115" s="406">
        <f>'2024_ar_grozījumiem'!J115-'2024_gada_plāns'!J115</f>
        <v>0</v>
      </c>
      <c r="K115" s="230"/>
      <c r="L115" s="406" t="s">
        <v>38</v>
      </c>
      <c r="M115" s="230"/>
      <c r="N115" s="379">
        <f>'2024_ar_grozījumiem'!N115-'2024_gada_plāns'!N115</f>
        <v>0</v>
      </c>
      <c r="O115" s="230"/>
      <c r="P115" s="406" t="s">
        <v>38</v>
      </c>
      <c r="Q115" s="230"/>
      <c r="R115" s="379">
        <f>'2024_ar_grozījumiem'!R115-'2024_gada_plāns'!R115</f>
        <v>0</v>
      </c>
      <c r="S115" s="230"/>
      <c r="T115" s="406" t="s">
        <v>38</v>
      </c>
      <c r="U115" s="230"/>
      <c r="V115" s="1754" t="s">
        <v>38</v>
      </c>
      <c r="W115" s="1754"/>
      <c r="X115" s="1748" t="s">
        <v>38</v>
      </c>
      <c r="Y115" s="1749"/>
      <c r="Z115" s="1750" t="s">
        <v>38</v>
      </c>
      <c r="AA115" s="1751"/>
      <c r="AB115" s="379" t="s">
        <v>38</v>
      </c>
      <c r="AC115" s="230"/>
      <c r="AD115" s="406">
        <f>'2024_ar_grozījumiem'!AD115-'2024_gada_plāns'!AD115</f>
        <v>0</v>
      </c>
      <c r="AE115" s="230"/>
      <c r="AF115" s="406" t="s">
        <v>38</v>
      </c>
      <c r="AG115" s="230"/>
      <c r="AH115" s="379">
        <f>'2024_ar_grozījumiem'!AH115-'2024_gada_plāns'!AH115</f>
        <v>0</v>
      </c>
      <c r="AI115" s="230"/>
      <c r="AJ115" s="406" t="s">
        <v>38</v>
      </c>
      <c r="AK115" s="230"/>
      <c r="AL115" s="379" t="s">
        <v>38</v>
      </c>
      <c r="AM115" s="230"/>
      <c r="AN115" s="406" t="s">
        <v>38</v>
      </c>
      <c r="AO115" s="230"/>
      <c r="AP115" s="1754" t="s">
        <v>38</v>
      </c>
      <c r="AQ115" s="1754"/>
      <c r="AR115" s="1748" t="s">
        <v>38</v>
      </c>
      <c r="AS115" s="1749"/>
      <c r="AT115" s="1750" t="s">
        <v>38</v>
      </c>
      <c r="AU115" s="1751"/>
      <c r="AV115" s="379" t="s">
        <v>38</v>
      </c>
      <c r="AW115" s="230"/>
      <c r="AX115" s="406">
        <f>'2024_ar_grozījumiem'!AX115-'2024_gada_plāns'!AX115</f>
        <v>3635</v>
      </c>
      <c r="AY115" s="230"/>
      <c r="AZ115" s="406" t="s">
        <v>38</v>
      </c>
      <c r="BA115" s="230"/>
      <c r="BB115" s="379">
        <f>'2024_ar_grozījumiem'!BB115-'2024_gada_plāns'!BB115</f>
        <v>3635</v>
      </c>
      <c r="BC115" s="230"/>
      <c r="BD115" s="406" t="s">
        <v>38</v>
      </c>
      <c r="BE115" s="230"/>
      <c r="BF115" s="379" t="s">
        <v>38</v>
      </c>
      <c r="BG115" s="230"/>
      <c r="BH115" s="406" t="s">
        <v>38</v>
      </c>
      <c r="BI115" s="230"/>
      <c r="BJ115" s="1754" t="s">
        <v>38</v>
      </c>
      <c r="BK115" s="1754"/>
      <c r="BL115" s="1748" t="s">
        <v>38</v>
      </c>
      <c r="BM115" s="1749"/>
      <c r="BN115" s="1750" t="s">
        <v>38</v>
      </c>
      <c r="BO115" s="1751"/>
      <c r="BP115" s="379" t="s">
        <v>38</v>
      </c>
      <c r="BQ115" s="230"/>
      <c r="BR115" s="406">
        <f>'2024_ar_grozījumiem'!BR115-'2024_gada_plāns'!BR115</f>
        <v>3635</v>
      </c>
      <c r="BS115" s="230"/>
      <c r="BT115" s="406" t="s">
        <v>38</v>
      </c>
      <c r="BU115" s="230"/>
      <c r="BV115" s="379">
        <f>'2024_ar_grozījumiem'!BV115-'2024_gada_plāns'!BV115</f>
        <v>3635</v>
      </c>
      <c r="BW115" s="230"/>
      <c r="BX115" s="406" t="s">
        <v>38</v>
      </c>
      <c r="BY115" s="230"/>
      <c r="BZ115" s="379" t="s">
        <v>38</v>
      </c>
      <c r="CA115" s="230"/>
      <c r="CB115" s="406" t="s">
        <v>38</v>
      </c>
      <c r="CC115" s="230"/>
      <c r="CD115" s="1754" t="s">
        <v>38</v>
      </c>
      <c r="CE115" s="1754"/>
      <c r="CF115" s="1748" t="s">
        <v>38</v>
      </c>
      <c r="CG115" s="1749"/>
      <c r="CH115" s="1750" t="s">
        <v>38</v>
      </c>
      <c r="CI115" s="1751"/>
      <c r="CJ115" s="379" t="s">
        <v>38</v>
      </c>
      <c r="CK115" s="230"/>
      <c r="CL115" s="406">
        <f>'2024_ar_grozījumiem'!CL115-'2024_gada_plāns'!CL115</f>
        <v>7270</v>
      </c>
      <c r="CM115" s="230"/>
      <c r="CN115" s="406" t="s">
        <v>38</v>
      </c>
      <c r="CO115" s="230"/>
      <c r="CP115" s="379">
        <f>'2024_ar_grozījumiem'!CP115-'2024_gada_plāns'!CP115</f>
        <v>7270</v>
      </c>
      <c r="CQ115" s="230"/>
      <c r="CR115" s="406" t="s">
        <v>38</v>
      </c>
      <c r="CS115" s="230"/>
      <c r="CT115" s="379" t="s">
        <v>38</v>
      </c>
      <c r="CU115" s="230"/>
      <c r="CV115" s="406" t="s">
        <v>38</v>
      </c>
      <c r="CW115" s="230"/>
      <c r="CX115" s="1754" t="s">
        <v>38</v>
      </c>
      <c r="CY115" s="1754"/>
      <c r="CZ115" s="2130" t="s">
        <v>38</v>
      </c>
      <c r="DA115" s="2117"/>
      <c r="DB115" s="2118" t="s">
        <v>38</v>
      </c>
      <c r="DC115" s="2119"/>
      <c r="DD115" s="2120" t="s">
        <v>38</v>
      </c>
      <c r="DE115" s="2121"/>
      <c r="DF115" s="2122">
        <f>CL115/'2024_gada_plāns'!CL115</f>
        <v>2.4387134863874838E-2</v>
      </c>
      <c r="DG115" s="2121"/>
      <c r="DH115" s="2123" t="s">
        <v>38</v>
      </c>
      <c r="DI115" s="2121"/>
      <c r="DJ115" s="2124">
        <f>CP115/'2024_gada_plāns'!CP115</f>
        <v>2.4387134863874838E-2</v>
      </c>
      <c r="DK115" s="2121"/>
      <c r="DL115" s="2123" t="s">
        <v>38</v>
      </c>
      <c r="DM115" s="2121"/>
      <c r="DN115" s="2120" t="s">
        <v>38</v>
      </c>
      <c r="DO115" s="2121"/>
      <c r="DP115" s="2123" t="s">
        <v>38</v>
      </c>
      <c r="DQ115" s="2121"/>
      <c r="DR115" s="2127" t="s">
        <v>38</v>
      </c>
      <c r="DS115" s="2128"/>
    </row>
    <row r="116" spans="1:123" s="1830" customFormat="1" x14ac:dyDescent="0.25">
      <c r="A116" s="1737"/>
      <c r="B116" s="2263" t="s">
        <v>121</v>
      </c>
      <c r="C116" s="2264"/>
      <c r="D116" s="1738"/>
      <c r="E116" s="1739"/>
      <c r="F116" s="1740"/>
      <c r="G116" s="1741"/>
      <c r="H116" s="1742"/>
      <c r="I116" s="1743"/>
      <c r="J116" s="1744">
        <f>'2024_ar_grozījumiem'!J116-'2024_gada_plāns'!J116</f>
        <v>0</v>
      </c>
      <c r="K116" s="1743"/>
      <c r="L116" s="1744"/>
      <c r="M116" s="1743"/>
      <c r="N116" s="1744">
        <f>'2024_ar_grozījumiem'!N116-'2024_gada_plāns'!N116</f>
        <v>0</v>
      </c>
      <c r="O116" s="1743"/>
      <c r="P116" s="1744"/>
      <c r="Q116" s="1743"/>
      <c r="R116" s="1744">
        <f>'2024_ar_grozījumiem'!R116-'2024_gada_plāns'!R116</f>
        <v>0</v>
      </c>
      <c r="S116" s="1743"/>
      <c r="T116" s="1744"/>
      <c r="U116" s="1743"/>
      <c r="V116" s="1745"/>
      <c r="W116" s="1746"/>
      <c r="X116" s="1738"/>
      <c r="Y116" s="1739"/>
      <c r="Z116" s="1740"/>
      <c r="AA116" s="1741"/>
      <c r="AB116" s="1742"/>
      <c r="AC116" s="1743"/>
      <c r="AD116" s="1744">
        <f>'2024_ar_grozījumiem'!AD116-'2024_gada_plāns'!AD116</f>
        <v>0</v>
      </c>
      <c r="AE116" s="1743"/>
      <c r="AF116" s="1744"/>
      <c r="AG116" s="1743"/>
      <c r="AH116" s="1744">
        <f>'2024_ar_grozījumiem'!AH116-'2024_gada_plāns'!AH116</f>
        <v>0</v>
      </c>
      <c r="AI116" s="1743"/>
      <c r="AJ116" s="1744"/>
      <c r="AK116" s="1743"/>
      <c r="AL116" s="1744" t="s">
        <v>38</v>
      </c>
      <c r="AM116" s="1743"/>
      <c r="AN116" s="1744"/>
      <c r="AO116" s="1743"/>
      <c r="AP116" s="1745"/>
      <c r="AQ116" s="1746"/>
      <c r="AR116" s="1738"/>
      <c r="AS116" s="1739"/>
      <c r="AT116" s="1740"/>
      <c r="AU116" s="1741"/>
      <c r="AV116" s="1742"/>
      <c r="AW116" s="1743"/>
      <c r="AX116" s="1744">
        <f>'2024_ar_grozījumiem'!AX116-'2024_gada_plāns'!AX116</f>
        <v>2185</v>
      </c>
      <c r="AY116" s="1743"/>
      <c r="AZ116" s="1744"/>
      <c r="BA116" s="1743"/>
      <c r="BB116" s="1744">
        <f>'2024_ar_grozījumiem'!BB116-'2024_gada_plāns'!BB116</f>
        <v>2185</v>
      </c>
      <c r="BC116" s="1743"/>
      <c r="BD116" s="1744"/>
      <c r="BE116" s="1743"/>
      <c r="BF116" s="1744" t="s">
        <v>38</v>
      </c>
      <c r="BG116" s="1743"/>
      <c r="BH116" s="1744"/>
      <c r="BI116" s="1743"/>
      <c r="BJ116" s="1745"/>
      <c r="BK116" s="1746"/>
      <c r="BL116" s="1738"/>
      <c r="BM116" s="1739"/>
      <c r="BN116" s="1740"/>
      <c r="BO116" s="1741"/>
      <c r="BP116" s="1742"/>
      <c r="BQ116" s="1743"/>
      <c r="BR116" s="1744">
        <f>'2024_ar_grozījumiem'!BR116-'2024_gada_plāns'!BR116</f>
        <v>2826</v>
      </c>
      <c r="BS116" s="1743"/>
      <c r="BT116" s="1744"/>
      <c r="BU116" s="1743"/>
      <c r="BV116" s="1744">
        <f>'2024_ar_grozījumiem'!BV116-'2024_gada_plāns'!BV116</f>
        <v>2826</v>
      </c>
      <c r="BW116" s="1743"/>
      <c r="BX116" s="1744"/>
      <c r="BY116" s="1743"/>
      <c r="BZ116" s="1744" t="s">
        <v>38</v>
      </c>
      <c r="CA116" s="1743"/>
      <c r="CB116" s="1744"/>
      <c r="CC116" s="1743"/>
      <c r="CD116" s="1745"/>
      <c r="CE116" s="1746"/>
      <c r="CF116" s="1738"/>
      <c r="CG116" s="1739"/>
      <c r="CH116" s="1740"/>
      <c r="CI116" s="1741"/>
      <c r="CJ116" s="1742"/>
      <c r="CK116" s="1743"/>
      <c r="CL116" s="1744">
        <f>'2024_ar_grozījumiem'!CL116-'2024_gada_plāns'!CL116</f>
        <v>5011</v>
      </c>
      <c r="CM116" s="1743"/>
      <c r="CN116" s="1744"/>
      <c r="CO116" s="1743"/>
      <c r="CP116" s="1744">
        <f>'2024_ar_grozījumiem'!CP116-'2024_gada_plāns'!CP116</f>
        <v>5011</v>
      </c>
      <c r="CQ116" s="1743"/>
      <c r="CR116" s="1744"/>
      <c r="CS116" s="1743"/>
      <c r="CT116" s="1744" t="s">
        <v>38</v>
      </c>
      <c r="CU116" s="1743"/>
      <c r="CV116" s="1744"/>
      <c r="CW116" s="1743"/>
      <c r="CX116" s="1745"/>
      <c r="CY116" s="1746"/>
      <c r="CZ116" s="2106"/>
      <c r="DA116" s="2107"/>
      <c r="DB116" s="2108"/>
      <c r="DC116" s="2109"/>
      <c r="DD116" s="2110"/>
      <c r="DE116" s="2111"/>
      <c r="DF116" s="2112">
        <f>CL116/'2024_gada_plāns'!CL116</f>
        <v>1.4792102912181609E-2</v>
      </c>
      <c r="DG116" s="2111"/>
      <c r="DH116" s="2113"/>
      <c r="DI116" s="2111"/>
      <c r="DJ116" s="2112">
        <f>CP116/'2024_gada_plāns'!CP116</f>
        <v>1.4792102912181609E-2</v>
      </c>
      <c r="DK116" s="2111"/>
      <c r="DL116" s="2113"/>
      <c r="DM116" s="2111"/>
      <c r="DN116" s="2113" t="s">
        <v>38</v>
      </c>
      <c r="DO116" s="2111"/>
      <c r="DP116" s="2113"/>
      <c r="DQ116" s="2111"/>
      <c r="DR116" s="2115"/>
      <c r="DS116" s="2116"/>
    </row>
    <row r="117" spans="1:123" s="1" customFormat="1" x14ac:dyDescent="0.25">
      <c r="A117" s="1747"/>
      <c r="B117" s="2179" t="s">
        <v>125</v>
      </c>
      <c r="C117" s="2180"/>
      <c r="D117" s="1748">
        <f>'2024_ar_grozījumiem'!D117-'2024_gada_plāns'!D117</f>
        <v>0</v>
      </c>
      <c r="E117" s="1749"/>
      <c r="F117" s="1750">
        <f>'2024_ar_grozījumiem'!F117-'2024_gada_plāns'!F117</f>
        <v>0</v>
      </c>
      <c r="G117" s="1751"/>
      <c r="H117" s="379" t="s">
        <v>38</v>
      </c>
      <c r="I117" s="230"/>
      <c r="J117" s="406">
        <f>'2024_ar_grozījumiem'!J117-'2024_gada_plāns'!J117</f>
        <v>0</v>
      </c>
      <c r="K117" s="230"/>
      <c r="L117" s="406" t="s">
        <v>38</v>
      </c>
      <c r="M117" s="230"/>
      <c r="N117" s="379">
        <f>'2024_ar_grozījumiem'!N117-'2024_gada_plāns'!N117</f>
        <v>0</v>
      </c>
      <c r="O117" s="230"/>
      <c r="P117" s="406" t="s">
        <v>38</v>
      </c>
      <c r="Q117" s="230"/>
      <c r="R117" s="379">
        <f>'2024_ar_grozījumiem'!R117-'2024_gada_plāns'!R117</f>
        <v>0</v>
      </c>
      <c r="S117" s="230"/>
      <c r="T117" s="406" t="s">
        <v>38</v>
      </c>
      <c r="U117" s="230"/>
      <c r="V117" s="379">
        <f>'2024_ar_grozījumiem'!V117-'2024_gada_plāns'!V117</f>
        <v>0</v>
      </c>
      <c r="W117" s="1753"/>
      <c r="X117" s="1748">
        <f>'2024_ar_grozījumiem'!X117-'2024_gada_plāns'!X117</f>
        <v>0</v>
      </c>
      <c r="Y117" s="1749"/>
      <c r="Z117" s="1750">
        <f>'2024_ar_grozījumiem'!Z117-'2024_gada_plāns'!Z117</f>
        <v>0</v>
      </c>
      <c r="AA117" s="1751"/>
      <c r="AB117" s="379" t="s">
        <v>38</v>
      </c>
      <c r="AC117" s="230"/>
      <c r="AD117" s="406">
        <f>'2024_ar_grozījumiem'!AD117-'2024_gada_plāns'!AD117</f>
        <v>0</v>
      </c>
      <c r="AE117" s="230"/>
      <c r="AF117" s="406" t="s">
        <v>38</v>
      </c>
      <c r="AG117" s="230"/>
      <c r="AH117" s="379">
        <f>'2024_ar_grozījumiem'!AH117-'2024_gada_plāns'!AH117</f>
        <v>0</v>
      </c>
      <c r="AI117" s="230"/>
      <c r="AJ117" s="406" t="s">
        <v>38</v>
      </c>
      <c r="AK117" s="230"/>
      <c r="AL117" s="379" t="s">
        <v>38</v>
      </c>
      <c r="AM117" s="230"/>
      <c r="AN117" s="406" t="s">
        <v>38</v>
      </c>
      <c r="AO117" s="230"/>
      <c r="AP117" s="379">
        <f>'2024_ar_grozījumiem'!AP117-'2024_gada_plāns'!AP117</f>
        <v>0</v>
      </c>
      <c r="AQ117" s="1753"/>
      <c r="AR117" s="1748">
        <f>'2024_ar_grozījumiem'!AR117-'2024_gada_plāns'!AR117</f>
        <v>0</v>
      </c>
      <c r="AS117" s="1749"/>
      <c r="AT117" s="1750">
        <f>'2024_ar_grozījumiem'!AT117-'2024_gada_plāns'!AT117</f>
        <v>0</v>
      </c>
      <c r="AU117" s="1751"/>
      <c r="AV117" s="379" t="s">
        <v>38</v>
      </c>
      <c r="AW117" s="230"/>
      <c r="AX117" s="406">
        <f>'2024_ar_grozījumiem'!AX117-'2024_gada_plāns'!AX117</f>
        <v>328</v>
      </c>
      <c r="AY117" s="230"/>
      <c r="AZ117" s="406" t="s">
        <v>38</v>
      </c>
      <c r="BA117" s="230"/>
      <c r="BB117" s="379">
        <f>'2024_ar_grozījumiem'!BB117-'2024_gada_plāns'!BB117</f>
        <v>328</v>
      </c>
      <c r="BC117" s="230"/>
      <c r="BD117" s="406" t="s">
        <v>38</v>
      </c>
      <c r="BE117" s="230"/>
      <c r="BF117" s="379" t="s">
        <v>38</v>
      </c>
      <c r="BG117" s="230"/>
      <c r="BH117" s="406" t="s">
        <v>38</v>
      </c>
      <c r="BI117" s="230"/>
      <c r="BJ117" s="379">
        <f>'2024_ar_grozījumiem'!BJ117-'2024_gada_plāns'!BJ117</f>
        <v>0.14855072463767627</v>
      </c>
      <c r="BK117" s="1753"/>
      <c r="BL117" s="1748">
        <f>'2024_ar_grozījumiem'!BL117-'2024_gada_plāns'!BL117</f>
        <v>0</v>
      </c>
      <c r="BM117" s="1749"/>
      <c r="BN117" s="1750">
        <f>'2024_ar_grozījumiem'!BN117-'2024_gada_plāns'!BN117</f>
        <v>0</v>
      </c>
      <c r="BO117" s="1751"/>
      <c r="BP117" s="379" t="s">
        <v>38</v>
      </c>
      <c r="BQ117" s="230"/>
      <c r="BR117" s="406">
        <f>'2024_ar_grozījumiem'!BR117-'2024_gada_plāns'!BR117</f>
        <v>969</v>
      </c>
      <c r="BS117" s="230"/>
      <c r="BT117" s="406" t="s">
        <v>38</v>
      </c>
      <c r="BU117" s="230"/>
      <c r="BV117" s="379">
        <f>'2024_ar_grozījumiem'!BV117-'2024_gada_plāns'!BV117</f>
        <v>969</v>
      </c>
      <c r="BW117" s="230"/>
      <c r="BX117" s="406" t="s">
        <v>38</v>
      </c>
      <c r="BY117" s="230"/>
      <c r="BZ117" s="379" t="s">
        <v>38</v>
      </c>
      <c r="CA117" s="230"/>
      <c r="CB117" s="406" t="s">
        <v>38</v>
      </c>
      <c r="CC117" s="230"/>
      <c r="CD117" s="379">
        <f>'2024_ar_grozījumiem'!CD117-'2024_gada_plāns'!CD117</f>
        <v>0.43866002716161745</v>
      </c>
      <c r="CE117" s="1753"/>
      <c r="CF117" s="1748">
        <f>'2024_ar_grozījumiem'!CF117-'2024_gada_plāns'!CF117</f>
        <v>0</v>
      </c>
      <c r="CG117" s="1749"/>
      <c r="CH117" s="1750">
        <f>'2024_ar_grozījumiem'!CH117-'2024_gada_plāns'!CH117</f>
        <v>0</v>
      </c>
      <c r="CI117" s="1751"/>
      <c r="CJ117" s="379" t="s">
        <v>38</v>
      </c>
      <c r="CK117" s="230"/>
      <c r="CL117" s="406">
        <f>'2024_ar_grozījumiem'!CL117-'2024_gada_plāns'!CL117</f>
        <v>1297</v>
      </c>
      <c r="CM117" s="230"/>
      <c r="CN117" s="406" t="s">
        <v>38</v>
      </c>
      <c r="CO117" s="230"/>
      <c r="CP117" s="379">
        <f>'2024_ar_grozījumiem'!CP117-'2024_gada_plāns'!CP117</f>
        <v>1297</v>
      </c>
      <c r="CQ117" s="230"/>
      <c r="CR117" s="406" t="s">
        <v>38</v>
      </c>
      <c r="CS117" s="230"/>
      <c r="CT117" s="379" t="s">
        <v>38</v>
      </c>
      <c r="CU117" s="230"/>
      <c r="CV117" s="406" t="s">
        <v>38</v>
      </c>
      <c r="CW117" s="230"/>
      <c r="CX117" s="379">
        <f>'2024_ar_grozījumiem'!CX117-'2024_gada_plāns'!CX117</f>
        <v>0.14765482695810306</v>
      </c>
      <c r="CY117" s="1753"/>
      <c r="CZ117" s="2129">
        <f>CF117/'2024_gada_plāns'!CF117</f>
        <v>0</v>
      </c>
      <c r="DA117" s="2117"/>
      <c r="DB117" s="2118">
        <f>CH117/'2024_gada_plāns'!CH117</f>
        <v>0</v>
      </c>
      <c r="DC117" s="2119"/>
      <c r="DD117" s="2120" t="s">
        <v>38</v>
      </c>
      <c r="DE117" s="2121"/>
      <c r="DF117" s="2122">
        <f>CL117/'2024_gada_plāns'!CL117</f>
        <v>6.9567422579021512E-3</v>
      </c>
      <c r="DG117" s="2121"/>
      <c r="DH117" s="2123" t="s">
        <v>38</v>
      </c>
      <c r="DI117" s="2121"/>
      <c r="DJ117" s="2124">
        <f>CP117/'2024_gada_plāns'!CP117</f>
        <v>6.9567422579021512E-3</v>
      </c>
      <c r="DK117" s="2121"/>
      <c r="DL117" s="2123" t="s">
        <v>38</v>
      </c>
      <c r="DM117" s="2121"/>
      <c r="DN117" s="2120" t="s">
        <v>38</v>
      </c>
      <c r="DO117" s="2121"/>
      <c r="DP117" s="2123" t="s">
        <v>38</v>
      </c>
      <c r="DQ117" s="2121"/>
      <c r="DR117" s="2124">
        <f>CX117/'2024_gada_plāns'!CX117</f>
        <v>6.9567422579020289E-3</v>
      </c>
      <c r="DS117" s="2125"/>
    </row>
    <row r="118" spans="1:123" s="1" customFormat="1" ht="24" customHeight="1" x14ac:dyDescent="0.25">
      <c r="A118" s="1747"/>
      <c r="B118" s="2179" t="s">
        <v>117</v>
      </c>
      <c r="C118" s="2180"/>
      <c r="D118" s="1748" t="s">
        <v>38</v>
      </c>
      <c r="E118" s="1749"/>
      <c r="F118" s="1750" t="s">
        <v>38</v>
      </c>
      <c r="G118" s="1751"/>
      <c r="H118" s="379" t="s">
        <v>38</v>
      </c>
      <c r="I118" s="230"/>
      <c r="J118" s="406">
        <f>'2024_ar_grozījumiem'!J118-'2024_gada_plāns'!J118</f>
        <v>0</v>
      </c>
      <c r="K118" s="230"/>
      <c r="L118" s="406" t="s">
        <v>38</v>
      </c>
      <c r="M118" s="230"/>
      <c r="N118" s="379">
        <f>'2024_ar_grozījumiem'!N118-'2024_gada_plāns'!N118</f>
        <v>0</v>
      </c>
      <c r="O118" s="230"/>
      <c r="P118" s="406" t="s">
        <v>38</v>
      </c>
      <c r="Q118" s="230"/>
      <c r="R118" s="379">
        <f>'2024_ar_grozījumiem'!R118-'2024_gada_plāns'!R118</f>
        <v>0</v>
      </c>
      <c r="S118" s="230"/>
      <c r="T118" s="406" t="s">
        <v>38</v>
      </c>
      <c r="U118" s="230"/>
      <c r="V118" s="1754" t="s">
        <v>38</v>
      </c>
      <c r="W118" s="1754"/>
      <c r="X118" s="1748" t="s">
        <v>38</v>
      </c>
      <c r="Y118" s="1749"/>
      <c r="Z118" s="1750" t="s">
        <v>38</v>
      </c>
      <c r="AA118" s="1751"/>
      <c r="AB118" s="379" t="s">
        <v>38</v>
      </c>
      <c r="AC118" s="230"/>
      <c r="AD118" s="406">
        <f>'2024_ar_grozījumiem'!AD118-'2024_gada_plāns'!AD118</f>
        <v>0</v>
      </c>
      <c r="AE118" s="230"/>
      <c r="AF118" s="406" t="s">
        <v>38</v>
      </c>
      <c r="AG118" s="230"/>
      <c r="AH118" s="379">
        <f>'2024_ar_grozījumiem'!AH118-'2024_gada_plāns'!AH118</f>
        <v>0</v>
      </c>
      <c r="AI118" s="230"/>
      <c r="AJ118" s="406" t="s">
        <v>38</v>
      </c>
      <c r="AK118" s="230"/>
      <c r="AL118" s="379" t="s">
        <v>38</v>
      </c>
      <c r="AM118" s="230"/>
      <c r="AN118" s="406" t="s">
        <v>38</v>
      </c>
      <c r="AO118" s="230"/>
      <c r="AP118" s="1754" t="s">
        <v>38</v>
      </c>
      <c r="AQ118" s="1754"/>
      <c r="AR118" s="1748" t="s">
        <v>38</v>
      </c>
      <c r="AS118" s="1749"/>
      <c r="AT118" s="1750" t="s">
        <v>38</v>
      </c>
      <c r="AU118" s="1751"/>
      <c r="AV118" s="379" t="s">
        <v>38</v>
      </c>
      <c r="AW118" s="230"/>
      <c r="AX118" s="406">
        <f>'2024_ar_grozījumiem'!AX118-'2024_gada_plāns'!AX118</f>
        <v>1857</v>
      </c>
      <c r="AY118" s="230"/>
      <c r="AZ118" s="406" t="s">
        <v>38</v>
      </c>
      <c r="BA118" s="230"/>
      <c r="BB118" s="379">
        <f>'2024_ar_grozījumiem'!BB118-'2024_gada_plāns'!BB118</f>
        <v>1857</v>
      </c>
      <c r="BC118" s="230"/>
      <c r="BD118" s="406" t="s">
        <v>38</v>
      </c>
      <c r="BE118" s="230"/>
      <c r="BF118" s="379" t="s">
        <v>38</v>
      </c>
      <c r="BG118" s="230"/>
      <c r="BH118" s="406" t="s">
        <v>38</v>
      </c>
      <c r="BI118" s="230"/>
      <c r="BJ118" s="1754" t="s">
        <v>38</v>
      </c>
      <c r="BK118" s="1754"/>
      <c r="BL118" s="1748" t="s">
        <v>38</v>
      </c>
      <c r="BM118" s="1749"/>
      <c r="BN118" s="1750" t="s">
        <v>38</v>
      </c>
      <c r="BO118" s="1751"/>
      <c r="BP118" s="379" t="s">
        <v>38</v>
      </c>
      <c r="BQ118" s="230"/>
      <c r="BR118" s="406">
        <f>'2024_ar_grozījumiem'!BR118-'2024_gada_plāns'!BR118</f>
        <v>1857</v>
      </c>
      <c r="BS118" s="230"/>
      <c r="BT118" s="406" t="s">
        <v>38</v>
      </c>
      <c r="BU118" s="230"/>
      <c r="BV118" s="379">
        <f>'2024_ar_grozījumiem'!BV118-'2024_gada_plāns'!BV118</f>
        <v>1857</v>
      </c>
      <c r="BW118" s="230"/>
      <c r="BX118" s="406" t="s">
        <v>38</v>
      </c>
      <c r="BY118" s="230"/>
      <c r="BZ118" s="379" t="s">
        <v>38</v>
      </c>
      <c r="CA118" s="230"/>
      <c r="CB118" s="406" t="s">
        <v>38</v>
      </c>
      <c r="CC118" s="230"/>
      <c r="CD118" s="1754" t="s">
        <v>38</v>
      </c>
      <c r="CE118" s="1754"/>
      <c r="CF118" s="1748" t="s">
        <v>38</v>
      </c>
      <c r="CG118" s="1749"/>
      <c r="CH118" s="1750" t="s">
        <v>38</v>
      </c>
      <c r="CI118" s="1751"/>
      <c r="CJ118" s="379" t="s">
        <v>38</v>
      </c>
      <c r="CK118" s="230"/>
      <c r="CL118" s="406">
        <f>'2024_ar_grozījumiem'!CL118-'2024_gada_plāns'!CL118</f>
        <v>3714</v>
      </c>
      <c r="CM118" s="230"/>
      <c r="CN118" s="406" t="s">
        <v>38</v>
      </c>
      <c r="CO118" s="230"/>
      <c r="CP118" s="379">
        <f>'2024_ar_grozījumiem'!CP118-'2024_gada_plāns'!CP118</f>
        <v>3714</v>
      </c>
      <c r="CQ118" s="230"/>
      <c r="CR118" s="406" t="s">
        <v>38</v>
      </c>
      <c r="CS118" s="230"/>
      <c r="CT118" s="379" t="s">
        <v>38</v>
      </c>
      <c r="CU118" s="230"/>
      <c r="CV118" s="406" t="s">
        <v>38</v>
      </c>
      <c r="CW118" s="230"/>
      <c r="CX118" s="1754" t="s">
        <v>38</v>
      </c>
      <c r="CY118" s="1754"/>
      <c r="CZ118" s="2130" t="s">
        <v>38</v>
      </c>
      <c r="DA118" s="2117"/>
      <c r="DB118" s="2118" t="s">
        <v>38</v>
      </c>
      <c r="DC118" s="2119"/>
      <c r="DD118" s="2120" t="s">
        <v>38</v>
      </c>
      <c r="DE118" s="2121"/>
      <c r="DF118" s="2122">
        <f>CL118/'2024_gada_plāns'!CL118</f>
        <v>2.4382237861400698E-2</v>
      </c>
      <c r="DG118" s="2121"/>
      <c r="DH118" s="2123" t="s">
        <v>38</v>
      </c>
      <c r="DI118" s="2121"/>
      <c r="DJ118" s="2124">
        <f>CP118/'2024_gada_plāns'!CP118</f>
        <v>2.4382237861400698E-2</v>
      </c>
      <c r="DK118" s="2121"/>
      <c r="DL118" s="2123" t="s">
        <v>38</v>
      </c>
      <c r="DM118" s="2121"/>
      <c r="DN118" s="2120" t="s">
        <v>38</v>
      </c>
      <c r="DO118" s="2121"/>
      <c r="DP118" s="2123" t="s">
        <v>38</v>
      </c>
      <c r="DQ118" s="2121"/>
      <c r="DR118" s="2127" t="s">
        <v>38</v>
      </c>
      <c r="DS118" s="2128"/>
    </row>
    <row r="119" spans="1:123" s="1831" customFormat="1" x14ac:dyDescent="0.25">
      <c r="A119" s="1737"/>
      <c r="B119" s="2263" t="s">
        <v>122</v>
      </c>
      <c r="C119" s="2264"/>
      <c r="D119" s="1738"/>
      <c r="E119" s="1739"/>
      <c r="F119" s="1740"/>
      <c r="G119" s="1741"/>
      <c r="H119" s="1742"/>
      <c r="I119" s="1743"/>
      <c r="J119" s="1744">
        <f>'2024_ar_grozījumiem'!J119-'2024_gada_plāns'!J119</f>
        <v>0</v>
      </c>
      <c r="K119" s="1743"/>
      <c r="L119" s="1744"/>
      <c r="M119" s="1743"/>
      <c r="N119" s="1744">
        <f>'2024_ar_grozījumiem'!N119-'2024_gada_plāns'!N119</f>
        <v>0</v>
      </c>
      <c r="O119" s="1743"/>
      <c r="P119" s="1744"/>
      <c r="Q119" s="1743"/>
      <c r="R119" s="1744">
        <f>'2024_ar_grozījumiem'!R119-'2024_gada_plāns'!R119</f>
        <v>0</v>
      </c>
      <c r="S119" s="1743"/>
      <c r="T119" s="1744"/>
      <c r="U119" s="1743"/>
      <c r="V119" s="1745"/>
      <c r="W119" s="1746"/>
      <c r="X119" s="1738"/>
      <c r="Y119" s="1739"/>
      <c r="Z119" s="1740"/>
      <c r="AA119" s="1741"/>
      <c r="AB119" s="1742"/>
      <c r="AC119" s="1743"/>
      <c r="AD119" s="1744">
        <f>'2024_ar_grozījumiem'!AD119-'2024_gada_plāns'!AD119</f>
        <v>0</v>
      </c>
      <c r="AE119" s="1743"/>
      <c r="AF119" s="1744"/>
      <c r="AG119" s="1743"/>
      <c r="AH119" s="1744">
        <f>'2024_ar_grozījumiem'!AH119-'2024_gada_plāns'!AH119</f>
        <v>0</v>
      </c>
      <c r="AI119" s="1743"/>
      <c r="AJ119" s="1744"/>
      <c r="AK119" s="1743"/>
      <c r="AL119" s="1744" t="s">
        <v>38</v>
      </c>
      <c r="AM119" s="1743"/>
      <c r="AN119" s="1744"/>
      <c r="AO119" s="1743"/>
      <c r="AP119" s="1745"/>
      <c r="AQ119" s="1746"/>
      <c r="AR119" s="1738"/>
      <c r="AS119" s="1739"/>
      <c r="AT119" s="1740"/>
      <c r="AU119" s="1741"/>
      <c r="AV119" s="1742"/>
      <c r="AW119" s="1743"/>
      <c r="AX119" s="1744">
        <f>'2024_ar_grozījumiem'!AX119-'2024_gada_plāns'!AX119</f>
        <v>262</v>
      </c>
      <c r="AY119" s="1743"/>
      <c r="AZ119" s="1744"/>
      <c r="BA119" s="1743"/>
      <c r="BB119" s="1744">
        <f>'2024_ar_grozījumiem'!BB119-'2024_gada_plāns'!BB119</f>
        <v>262</v>
      </c>
      <c r="BC119" s="1743"/>
      <c r="BD119" s="1744"/>
      <c r="BE119" s="1743"/>
      <c r="BF119" s="1744" t="s">
        <v>38</v>
      </c>
      <c r="BG119" s="1743"/>
      <c r="BH119" s="1744"/>
      <c r="BI119" s="1743"/>
      <c r="BJ119" s="1745"/>
      <c r="BK119" s="1746"/>
      <c r="BL119" s="1738"/>
      <c r="BM119" s="1739"/>
      <c r="BN119" s="1740"/>
      <c r="BO119" s="1741"/>
      <c r="BP119" s="1742"/>
      <c r="BQ119" s="1743"/>
      <c r="BR119" s="1744">
        <f>'2024_ar_grozījumiem'!BR119-'2024_gada_plāns'!BR119</f>
        <v>262</v>
      </c>
      <c r="BS119" s="1743"/>
      <c r="BT119" s="1744"/>
      <c r="BU119" s="1743"/>
      <c r="BV119" s="1744">
        <f>'2024_ar_grozījumiem'!BV119-'2024_gada_plāns'!BV119</f>
        <v>262</v>
      </c>
      <c r="BW119" s="1743"/>
      <c r="BX119" s="1744"/>
      <c r="BY119" s="1743"/>
      <c r="BZ119" s="1744" t="s">
        <v>38</v>
      </c>
      <c r="CA119" s="1743"/>
      <c r="CB119" s="1744"/>
      <c r="CC119" s="1743"/>
      <c r="CD119" s="1745"/>
      <c r="CE119" s="1746"/>
      <c r="CF119" s="1738"/>
      <c r="CG119" s="1739"/>
      <c r="CH119" s="1740"/>
      <c r="CI119" s="1741"/>
      <c r="CJ119" s="1742"/>
      <c r="CK119" s="1743"/>
      <c r="CL119" s="1744">
        <f>'2024_ar_grozījumiem'!CL119-'2024_gada_plāns'!CL119</f>
        <v>524</v>
      </c>
      <c r="CM119" s="1743"/>
      <c r="CN119" s="1744"/>
      <c r="CO119" s="1743"/>
      <c r="CP119" s="1744">
        <f>'2024_ar_grozījumiem'!CP119-'2024_gada_plāns'!CP119</f>
        <v>524</v>
      </c>
      <c r="CQ119" s="1743"/>
      <c r="CR119" s="1744"/>
      <c r="CS119" s="1743"/>
      <c r="CT119" s="1744" t="s">
        <v>38</v>
      </c>
      <c r="CU119" s="1743"/>
      <c r="CV119" s="1744"/>
      <c r="CW119" s="1743"/>
      <c r="CX119" s="1745"/>
      <c r="CY119" s="1746"/>
      <c r="CZ119" s="2106"/>
      <c r="DA119" s="2107"/>
      <c r="DB119" s="2108"/>
      <c r="DC119" s="2109"/>
      <c r="DD119" s="2110"/>
      <c r="DE119" s="2111"/>
      <c r="DF119" s="2112">
        <f>CL119/'2024_gada_plāns'!CL119</f>
        <v>2.3953190711281769E-2</v>
      </c>
      <c r="DG119" s="2111"/>
      <c r="DH119" s="2113"/>
      <c r="DI119" s="2111"/>
      <c r="DJ119" s="2112">
        <f>CP119/'2024_gada_plāns'!CP119</f>
        <v>2.3953190711281769E-2</v>
      </c>
      <c r="DK119" s="2111"/>
      <c r="DL119" s="2113"/>
      <c r="DM119" s="2111"/>
      <c r="DN119" s="2113" t="s">
        <v>38</v>
      </c>
      <c r="DO119" s="2111"/>
      <c r="DP119" s="2113"/>
      <c r="DQ119" s="2111"/>
      <c r="DR119" s="2115"/>
      <c r="DS119" s="2116"/>
    </row>
    <row r="120" spans="1:123" s="1" customFormat="1" x14ac:dyDescent="0.25">
      <c r="A120" s="1762"/>
      <c r="B120" s="2175" t="s">
        <v>125</v>
      </c>
      <c r="C120" s="2176"/>
      <c r="D120" s="1763">
        <f>'2024_ar_grozījumiem'!D120-'2024_gada_plāns'!D120</f>
        <v>0</v>
      </c>
      <c r="E120" s="1764"/>
      <c r="F120" s="1765">
        <f>'2024_ar_grozījumiem'!F120-'2024_gada_plāns'!F120</f>
        <v>0</v>
      </c>
      <c r="G120" s="1766"/>
      <c r="H120" s="1767" t="s">
        <v>38</v>
      </c>
      <c r="I120" s="284"/>
      <c r="J120" s="244">
        <f>'2024_ar_grozījumiem'!J120-'2024_gada_plāns'!J120</f>
        <v>0</v>
      </c>
      <c r="K120" s="284"/>
      <c r="L120" s="244" t="s">
        <v>38</v>
      </c>
      <c r="M120" s="284"/>
      <c r="N120" s="1767">
        <f>'2024_ar_grozījumiem'!N120-'2024_gada_plāns'!N120</f>
        <v>0</v>
      </c>
      <c r="O120" s="284"/>
      <c r="P120" s="244" t="s">
        <v>38</v>
      </c>
      <c r="Q120" s="284"/>
      <c r="R120" s="1767">
        <f>'2024_ar_grozījumiem'!R120-'2024_gada_plāns'!R120</f>
        <v>0</v>
      </c>
      <c r="S120" s="284"/>
      <c r="T120" s="244" t="s">
        <v>38</v>
      </c>
      <c r="U120" s="284"/>
      <c r="V120" s="379">
        <f>'2024_ar_grozījumiem'!V120-'2024_gada_plāns'!V120</f>
        <v>0</v>
      </c>
      <c r="W120" s="1769"/>
      <c r="X120" s="1763">
        <f>'2024_ar_grozījumiem'!X120-'2024_gada_plāns'!X120</f>
        <v>0</v>
      </c>
      <c r="Y120" s="1764"/>
      <c r="Z120" s="1765">
        <f>'2024_ar_grozījumiem'!Z120-'2024_gada_plāns'!Z120</f>
        <v>0</v>
      </c>
      <c r="AA120" s="1766"/>
      <c r="AB120" s="1767" t="s">
        <v>38</v>
      </c>
      <c r="AC120" s="284"/>
      <c r="AD120" s="244">
        <f>'2024_ar_grozījumiem'!AD120-'2024_gada_plāns'!AD120</f>
        <v>0</v>
      </c>
      <c r="AE120" s="284"/>
      <c r="AF120" s="244" t="s">
        <v>38</v>
      </c>
      <c r="AG120" s="284"/>
      <c r="AH120" s="1767">
        <f>'2024_ar_grozījumiem'!AH120-'2024_gada_plāns'!AH120</f>
        <v>0</v>
      </c>
      <c r="AI120" s="284"/>
      <c r="AJ120" s="244" t="s">
        <v>38</v>
      </c>
      <c r="AK120" s="284"/>
      <c r="AL120" s="1767" t="s">
        <v>38</v>
      </c>
      <c r="AM120" s="284"/>
      <c r="AN120" s="244" t="s">
        <v>38</v>
      </c>
      <c r="AO120" s="284"/>
      <c r="AP120" s="379">
        <f>'2024_ar_grozījumiem'!AP120-'2024_gada_plāns'!AP120</f>
        <v>0</v>
      </c>
      <c r="AQ120" s="1769"/>
      <c r="AR120" s="1763">
        <f>'2024_ar_grozījumiem'!AR120-'2024_gada_plāns'!AR120</f>
        <v>0</v>
      </c>
      <c r="AS120" s="1764"/>
      <c r="AT120" s="1765">
        <f>'2024_ar_grozījumiem'!AT120-'2024_gada_plāns'!AT120</f>
        <v>0</v>
      </c>
      <c r="AU120" s="1766"/>
      <c r="AV120" s="1767" t="s">
        <v>38</v>
      </c>
      <c r="AW120" s="284"/>
      <c r="AX120" s="244">
        <f>'2024_ar_grozījumiem'!AX120-'2024_gada_plāns'!AX120</f>
        <v>0</v>
      </c>
      <c r="AY120" s="284"/>
      <c r="AZ120" s="244" t="s">
        <v>38</v>
      </c>
      <c r="BA120" s="284"/>
      <c r="BB120" s="1767">
        <f>'2024_ar_grozījumiem'!BB120-'2024_gada_plāns'!BB120</f>
        <v>0</v>
      </c>
      <c r="BC120" s="284"/>
      <c r="BD120" s="244" t="s">
        <v>38</v>
      </c>
      <c r="BE120" s="284"/>
      <c r="BF120" s="1767" t="s">
        <v>38</v>
      </c>
      <c r="BG120" s="284"/>
      <c r="BH120" s="244" t="s">
        <v>38</v>
      </c>
      <c r="BI120" s="284"/>
      <c r="BJ120" s="379">
        <f>'2024_ar_grozījumiem'!BJ120-'2024_gada_plāns'!BJ120</f>
        <v>0</v>
      </c>
      <c r="BK120" s="1769"/>
      <c r="BL120" s="1763">
        <f>'2024_ar_grozījumiem'!BL120-'2024_gada_plāns'!BL120</f>
        <v>0</v>
      </c>
      <c r="BM120" s="1764"/>
      <c r="BN120" s="1765">
        <f>'2024_ar_grozījumiem'!BN120-'2024_gada_plāns'!BN120</f>
        <v>0</v>
      </c>
      <c r="BO120" s="1766"/>
      <c r="BP120" s="1767" t="s">
        <v>38</v>
      </c>
      <c r="BQ120" s="284"/>
      <c r="BR120" s="244">
        <f>'2024_ar_grozījumiem'!BR120-'2024_gada_plāns'!BR120</f>
        <v>0</v>
      </c>
      <c r="BS120" s="284"/>
      <c r="BT120" s="244" t="s">
        <v>38</v>
      </c>
      <c r="BU120" s="284"/>
      <c r="BV120" s="1767">
        <f>'2024_ar_grozījumiem'!BV120-'2024_gada_plāns'!BV120</f>
        <v>0</v>
      </c>
      <c r="BW120" s="284"/>
      <c r="BX120" s="244" t="s">
        <v>38</v>
      </c>
      <c r="BY120" s="284"/>
      <c r="BZ120" s="1767" t="s">
        <v>38</v>
      </c>
      <c r="CA120" s="284"/>
      <c r="CB120" s="244" t="s">
        <v>38</v>
      </c>
      <c r="CC120" s="284"/>
      <c r="CD120" s="379">
        <f>'2024_ar_grozījumiem'!CD120-'2024_gada_plāns'!CD120</f>
        <v>0</v>
      </c>
      <c r="CE120" s="1769"/>
      <c r="CF120" s="1763">
        <f>'2024_ar_grozījumiem'!CF120-'2024_gada_plāns'!CF120</f>
        <v>0</v>
      </c>
      <c r="CG120" s="1764"/>
      <c r="CH120" s="1765">
        <f>'2024_ar_grozījumiem'!CH120-'2024_gada_plāns'!CH120</f>
        <v>0</v>
      </c>
      <c r="CI120" s="1766"/>
      <c r="CJ120" s="1767" t="s">
        <v>38</v>
      </c>
      <c r="CK120" s="284"/>
      <c r="CL120" s="244">
        <f>'2024_ar_grozījumiem'!CL120-'2024_gada_plāns'!CL120</f>
        <v>0</v>
      </c>
      <c r="CM120" s="284"/>
      <c r="CN120" s="244" t="s">
        <v>38</v>
      </c>
      <c r="CO120" s="284"/>
      <c r="CP120" s="1767">
        <f>'2024_ar_grozījumiem'!CP120-'2024_gada_plāns'!CP120</f>
        <v>0</v>
      </c>
      <c r="CQ120" s="284"/>
      <c r="CR120" s="244" t="s">
        <v>38</v>
      </c>
      <c r="CS120" s="284"/>
      <c r="CT120" s="1767" t="s">
        <v>38</v>
      </c>
      <c r="CU120" s="284"/>
      <c r="CV120" s="244" t="s">
        <v>38</v>
      </c>
      <c r="CW120" s="284"/>
      <c r="CX120" s="379">
        <f>'2024_ar_grozījumiem'!CX120-'2024_gada_plāns'!CX120</f>
        <v>0</v>
      </c>
      <c r="CY120" s="1769"/>
      <c r="CZ120" s="2131">
        <f>CF120/'2024_gada_plāns'!CF120</f>
        <v>0</v>
      </c>
      <c r="DA120" s="2132"/>
      <c r="DB120" s="2133">
        <f>CH120/'2024_gada_plāns'!CH120</f>
        <v>0</v>
      </c>
      <c r="DC120" s="2134"/>
      <c r="DD120" s="2135" t="s">
        <v>38</v>
      </c>
      <c r="DE120" s="2136"/>
      <c r="DF120" s="2137">
        <f>CL120/'2024_gada_plāns'!CL120</f>
        <v>0</v>
      </c>
      <c r="DG120" s="2136"/>
      <c r="DH120" s="2138" t="s">
        <v>38</v>
      </c>
      <c r="DI120" s="2136"/>
      <c r="DJ120" s="2139">
        <f>CP120/'2024_gada_plāns'!CP120</f>
        <v>0</v>
      </c>
      <c r="DK120" s="2136"/>
      <c r="DL120" s="2138" t="s">
        <v>38</v>
      </c>
      <c r="DM120" s="2136"/>
      <c r="DN120" s="2135" t="s">
        <v>38</v>
      </c>
      <c r="DO120" s="2134"/>
      <c r="DP120" s="2138" t="s">
        <v>38</v>
      </c>
      <c r="DQ120" s="2136"/>
      <c r="DR120" s="2124">
        <f>CX120/'2024_gada_plāns'!CX120</f>
        <v>0</v>
      </c>
      <c r="DS120" s="2140"/>
    </row>
    <row r="121" spans="1:123" s="250" customFormat="1" ht="15.75" thickBot="1" x14ac:dyDescent="0.3">
      <c r="A121" s="1770"/>
      <c r="B121" s="2177" t="s">
        <v>117</v>
      </c>
      <c r="C121" s="2178"/>
      <c r="D121" s="1771" t="s">
        <v>38</v>
      </c>
      <c r="E121" s="1772"/>
      <c r="F121" s="1773" t="s">
        <v>38</v>
      </c>
      <c r="G121" s="1774"/>
      <c r="H121" s="921" t="s">
        <v>38</v>
      </c>
      <c r="I121" s="398"/>
      <c r="J121" s="911">
        <f>'2024_ar_grozījumiem'!J121-'2024_gada_plāns'!J121</f>
        <v>0</v>
      </c>
      <c r="K121" s="398"/>
      <c r="L121" s="911" t="s">
        <v>38</v>
      </c>
      <c r="M121" s="398"/>
      <c r="N121" s="921">
        <f>'2024_ar_grozījumiem'!N121-'2024_gada_plāns'!N121</f>
        <v>0</v>
      </c>
      <c r="O121" s="398"/>
      <c r="P121" s="911" t="s">
        <v>38</v>
      </c>
      <c r="Q121" s="398"/>
      <c r="R121" s="921">
        <f>'2024_ar_grozījumiem'!R121-'2024_gada_plāns'!R121</f>
        <v>0</v>
      </c>
      <c r="S121" s="398"/>
      <c r="T121" s="911" t="s">
        <v>38</v>
      </c>
      <c r="U121" s="398"/>
      <c r="V121" s="1775" t="s">
        <v>38</v>
      </c>
      <c r="W121" s="1776"/>
      <c r="X121" s="1771" t="s">
        <v>38</v>
      </c>
      <c r="Y121" s="1772"/>
      <c r="Z121" s="1773" t="s">
        <v>38</v>
      </c>
      <c r="AA121" s="1774"/>
      <c r="AB121" s="921" t="s">
        <v>38</v>
      </c>
      <c r="AC121" s="398"/>
      <c r="AD121" s="911">
        <f>'2024_ar_grozījumiem'!AD121-'2024_gada_plāns'!AD121</f>
        <v>0</v>
      </c>
      <c r="AE121" s="398"/>
      <c r="AF121" s="911" t="s">
        <v>38</v>
      </c>
      <c r="AG121" s="398"/>
      <c r="AH121" s="921">
        <f>'2024_ar_grozījumiem'!AH121-'2024_gada_plāns'!AH121</f>
        <v>0</v>
      </c>
      <c r="AI121" s="398"/>
      <c r="AJ121" s="911" t="s">
        <v>38</v>
      </c>
      <c r="AK121" s="398"/>
      <c r="AL121" s="921" t="s">
        <v>38</v>
      </c>
      <c r="AM121" s="398"/>
      <c r="AN121" s="911" t="s">
        <v>38</v>
      </c>
      <c r="AO121" s="398"/>
      <c r="AP121" s="1775" t="s">
        <v>38</v>
      </c>
      <c r="AQ121" s="1776"/>
      <c r="AR121" s="1771" t="s">
        <v>38</v>
      </c>
      <c r="AS121" s="1772"/>
      <c r="AT121" s="1773" t="s">
        <v>38</v>
      </c>
      <c r="AU121" s="1774"/>
      <c r="AV121" s="921" t="s">
        <v>38</v>
      </c>
      <c r="AW121" s="398"/>
      <c r="AX121" s="911">
        <f>'2024_ar_grozījumiem'!AX121-'2024_gada_plāns'!AX121</f>
        <v>262</v>
      </c>
      <c r="AY121" s="398"/>
      <c r="AZ121" s="911" t="s">
        <v>38</v>
      </c>
      <c r="BA121" s="398"/>
      <c r="BB121" s="921">
        <f>'2024_ar_grozījumiem'!BB121-'2024_gada_plāns'!BB121</f>
        <v>262</v>
      </c>
      <c r="BC121" s="398"/>
      <c r="BD121" s="911" t="s">
        <v>38</v>
      </c>
      <c r="BE121" s="398"/>
      <c r="BF121" s="921" t="s">
        <v>38</v>
      </c>
      <c r="BG121" s="398"/>
      <c r="BH121" s="911" t="s">
        <v>38</v>
      </c>
      <c r="BI121" s="398"/>
      <c r="BJ121" s="1775" t="s">
        <v>38</v>
      </c>
      <c r="BK121" s="1776"/>
      <c r="BL121" s="1771" t="s">
        <v>38</v>
      </c>
      <c r="BM121" s="1772"/>
      <c r="BN121" s="1773" t="s">
        <v>38</v>
      </c>
      <c r="BO121" s="1774"/>
      <c r="BP121" s="921" t="s">
        <v>38</v>
      </c>
      <c r="BQ121" s="398"/>
      <c r="BR121" s="911">
        <f>'2024_ar_grozījumiem'!BR121-'2024_gada_plāns'!BR121</f>
        <v>262</v>
      </c>
      <c r="BS121" s="398"/>
      <c r="BT121" s="911" t="s">
        <v>38</v>
      </c>
      <c r="BU121" s="398"/>
      <c r="BV121" s="921">
        <f>'2024_ar_grozījumiem'!BV121-'2024_gada_plāns'!BV121</f>
        <v>262</v>
      </c>
      <c r="BW121" s="398"/>
      <c r="BX121" s="911" t="s">
        <v>38</v>
      </c>
      <c r="BY121" s="398"/>
      <c r="BZ121" s="921" t="s">
        <v>38</v>
      </c>
      <c r="CA121" s="398"/>
      <c r="CB121" s="911" t="s">
        <v>38</v>
      </c>
      <c r="CC121" s="398"/>
      <c r="CD121" s="1775" t="s">
        <v>38</v>
      </c>
      <c r="CE121" s="1776"/>
      <c r="CF121" s="1771" t="s">
        <v>38</v>
      </c>
      <c r="CG121" s="1772"/>
      <c r="CH121" s="1773" t="s">
        <v>38</v>
      </c>
      <c r="CI121" s="1774"/>
      <c r="CJ121" s="921" t="s">
        <v>38</v>
      </c>
      <c r="CK121" s="398"/>
      <c r="CL121" s="911">
        <f>'2024_ar_grozījumiem'!CL121-'2024_gada_plāns'!CL121</f>
        <v>524</v>
      </c>
      <c r="CM121" s="398"/>
      <c r="CN121" s="911" t="s">
        <v>38</v>
      </c>
      <c r="CO121" s="398"/>
      <c r="CP121" s="921">
        <f>'2024_ar_grozījumiem'!CP121-'2024_gada_plāns'!CP121</f>
        <v>524</v>
      </c>
      <c r="CQ121" s="398"/>
      <c r="CR121" s="911" t="s">
        <v>38</v>
      </c>
      <c r="CS121" s="398"/>
      <c r="CT121" s="921" t="s">
        <v>38</v>
      </c>
      <c r="CU121" s="398"/>
      <c r="CV121" s="911" t="s">
        <v>38</v>
      </c>
      <c r="CW121" s="398"/>
      <c r="CX121" s="1775" t="s">
        <v>38</v>
      </c>
      <c r="CY121" s="1776"/>
      <c r="CZ121" s="2141" t="s">
        <v>38</v>
      </c>
      <c r="DA121" s="2142"/>
      <c r="DB121" s="2143" t="s">
        <v>38</v>
      </c>
      <c r="DC121" s="2144"/>
      <c r="DD121" s="2145" t="s">
        <v>38</v>
      </c>
      <c r="DE121" s="2146"/>
      <c r="DF121" s="2147">
        <f>CL121/'2024_gada_plāns'!CL121</f>
        <v>2.4286243974786799E-2</v>
      </c>
      <c r="DG121" s="2146"/>
      <c r="DH121" s="2148" t="s">
        <v>38</v>
      </c>
      <c r="DI121" s="2146"/>
      <c r="DJ121" s="2149">
        <f>CP121/'2024_gada_plāns'!CP121</f>
        <v>2.4286243974786799E-2</v>
      </c>
      <c r="DK121" s="2146"/>
      <c r="DL121" s="2148" t="s">
        <v>38</v>
      </c>
      <c r="DM121" s="2146"/>
      <c r="DN121" s="2145" t="s">
        <v>38</v>
      </c>
      <c r="DO121" s="2146"/>
      <c r="DP121" s="2148" t="s">
        <v>38</v>
      </c>
      <c r="DQ121" s="2146"/>
      <c r="DR121" s="2150" t="s">
        <v>38</v>
      </c>
      <c r="DS121" s="2151"/>
    </row>
    <row r="122" spans="1:123" s="940" customFormat="1" ht="15.75" customHeight="1" x14ac:dyDescent="0.25">
      <c r="B122" s="1049"/>
      <c r="C122" s="941"/>
      <c r="D122" s="942"/>
      <c r="E122" s="942"/>
      <c r="F122" s="943"/>
      <c r="G122" s="941"/>
      <c r="H122" s="1050"/>
      <c r="I122" s="1050"/>
      <c r="J122" s="941"/>
      <c r="K122" s="941"/>
      <c r="L122" s="1050"/>
      <c r="M122" s="1050"/>
      <c r="N122" s="941"/>
      <c r="O122" s="941"/>
      <c r="P122" s="1050"/>
      <c r="Q122" s="1050"/>
      <c r="R122" s="941"/>
      <c r="S122" s="941"/>
      <c r="T122" s="1050"/>
      <c r="U122" s="1050"/>
      <c r="V122" s="1051"/>
      <c r="W122" s="1051"/>
      <c r="X122" s="942"/>
      <c r="Y122" s="942"/>
      <c r="Z122" s="943"/>
      <c r="AA122" s="941"/>
      <c r="AB122" s="1050"/>
      <c r="AC122" s="1050"/>
      <c r="AD122" s="941"/>
      <c r="AE122" s="941"/>
      <c r="AF122" s="1050"/>
      <c r="AG122" s="1050"/>
      <c r="AH122" s="941"/>
      <c r="AI122" s="941"/>
      <c r="AJ122" s="1050"/>
      <c r="AK122" s="1050"/>
      <c r="AL122" s="941"/>
      <c r="AM122" s="941"/>
      <c r="AN122" s="1050"/>
      <c r="AO122" s="1050"/>
      <c r="AP122" s="1051"/>
      <c r="AQ122" s="1051"/>
      <c r="AR122" s="1070"/>
      <c r="AS122" s="942"/>
      <c r="AT122" s="943"/>
      <c r="AU122" s="941"/>
      <c r="AV122" s="1075"/>
      <c r="AW122" s="1050"/>
      <c r="AX122" s="1074"/>
      <c r="AY122" s="941"/>
      <c r="AZ122" s="1075"/>
      <c r="BA122" s="1050"/>
      <c r="BB122" s="1074"/>
      <c r="BC122" s="941"/>
      <c r="BD122" s="1063"/>
      <c r="BE122" s="1050"/>
      <c r="BF122" s="1074"/>
      <c r="BG122" s="941"/>
      <c r="BH122" s="1063"/>
      <c r="BI122" s="1050"/>
      <c r="BJ122" s="1051"/>
      <c r="BK122" s="1051"/>
      <c r="BL122" s="1337"/>
      <c r="BM122" s="1337"/>
      <c r="BN122" s="1338"/>
      <c r="BO122" s="1254"/>
      <c r="BP122" s="1254"/>
      <c r="BQ122" s="1254"/>
      <c r="BR122" s="1254"/>
      <c r="BS122" s="1254"/>
      <c r="BT122" s="1254"/>
      <c r="BU122" s="1254"/>
      <c r="BV122" s="1254"/>
      <c r="BW122" s="1254"/>
      <c r="BX122" s="1254"/>
      <c r="BY122" s="1254"/>
      <c r="BZ122" s="1254"/>
      <c r="CA122" s="1254"/>
      <c r="CB122" s="1254"/>
      <c r="CC122" s="1254"/>
      <c r="CD122" s="1339"/>
      <c r="CE122" s="1339"/>
      <c r="CF122" s="942"/>
      <c r="CG122" s="941"/>
      <c r="CH122" s="942"/>
      <c r="CI122" s="941"/>
      <c r="CJ122" s="1050"/>
      <c r="CK122" s="1050"/>
      <c r="CL122" s="941"/>
      <c r="CM122" s="941"/>
      <c r="CN122" s="1050"/>
      <c r="CO122" s="1050"/>
      <c r="CP122" s="941"/>
      <c r="CQ122" s="941"/>
      <c r="CR122" s="1050"/>
      <c r="CS122" s="1050"/>
      <c r="CT122" s="941"/>
      <c r="CU122" s="941"/>
      <c r="CV122" s="1050"/>
      <c r="CW122" s="1050"/>
      <c r="CX122" s="1051"/>
      <c r="CY122"/>
      <c r="CZ122" s="1834"/>
      <c r="DA122" s="2152"/>
      <c r="DB122" s="1834"/>
      <c r="DC122" s="2152"/>
      <c r="DD122" s="2153"/>
      <c r="DE122" s="2153"/>
      <c r="DF122" s="2152"/>
      <c r="DG122" s="2152"/>
      <c r="DH122" s="2153"/>
      <c r="DI122" s="2153"/>
      <c r="DJ122" s="2152"/>
      <c r="DK122" s="2152"/>
      <c r="DL122" s="2153"/>
      <c r="DM122" s="2153"/>
      <c r="DN122" s="2152"/>
      <c r="DO122" s="2152"/>
      <c r="DP122" s="2153"/>
      <c r="DQ122" s="2153"/>
      <c r="DR122" s="2154"/>
      <c r="DS122" s="2155"/>
    </row>
    <row r="123" spans="1:123" ht="13.5" customHeight="1" x14ac:dyDescent="0.25">
      <c r="B123" s="940"/>
      <c r="D123" s="942"/>
      <c r="E123" s="942"/>
      <c r="I123" s="1052"/>
      <c r="J123" s="1052"/>
      <c r="K123" s="1052"/>
      <c r="L123" s="1052"/>
      <c r="M123" s="1052"/>
      <c r="N123" s="1052"/>
      <c r="P123" s="1052"/>
      <c r="Q123" s="1052"/>
      <c r="R123" s="1052"/>
      <c r="S123" s="1052"/>
      <c r="T123" s="1052"/>
      <c r="V123" s="1052"/>
      <c r="W123" s="1052"/>
      <c r="X123" s="941"/>
      <c r="Y123" s="941"/>
      <c r="Z123" s="1052"/>
      <c r="AA123" s="1052"/>
      <c r="AB123" s="1052"/>
      <c r="AC123" s="1052"/>
      <c r="AD123" s="1052"/>
      <c r="AE123" s="1052"/>
      <c r="AF123" s="1052"/>
      <c r="AG123" s="1052"/>
      <c r="AJ123" s="1052"/>
      <c r="AK123" s="1052"/>
      <c r="AL123" s="1052"/>
      <c r="AM123" s="1052"/>
      <c r="AN123" s="1052"/>
      <c r="AP123" s="1052"/>
      <c r="AQ123" s="1052"/>
      <c r="AR123" s="1064"/>
      <c r="AS123" s="1052"/>
      <c r="AT123" s="1052"/>
      <c r="AU123" s="1052"/>
      <c r="AV123" s="210"/>
      <c r="AW123" s="1052"/>
      <c r="AX123" s="1064"/>
      <c r="AY123" s="1052"/>
      <c r="AZ123" s="210"/>
      <c r="BA123" s="1052"/>
      <c r="BD123" s="1064"/>
      <c r="BE123" s="1052"/>
      <c r="BF123" s="1064"/>
      <c r="BG123" s="1052"/>
      <c r="BH123" s="1064"/>
      <c r="BJ123" s="1052"/>
      <c r="BK123" s="1052"/>
      <c r="BL123" s="1340"/>
      <c r="BM123" s="1340"/>
      <c r="BN123" s="1340"/>
      <c r="BO123" s="1340"/>
      <c r="BP123" s="1340"/>
      <c r="BQ123" s="1340"/>
      <c r="BR123" s="1340"/>
      <c r="BS123" s="1340"/>
      <c r="BT123" s="1340"/>
      <c r="BU123" s="1340"/>
      <c r="BW123" s="1340"/>
      <c r="BX123" s="1340"/>
      <c r="BY123" s="1340"/>
      <c r="BZ123" s="1340"/>
      <c r="CA123" s="1340"/>
      <c r="CB123" s="1340"/>
      <c r="CC123" s="1340"/>
      <c r="CD123" s="1340"/>
      <c r="CE123" s="1340"/>
      <c r="CG123" s="1052"/>
      <c r="CH123" s="1052"/>
      <c r="CI123" s="1052"/>
      <c r="CJ123" s="1052"/>
      <c r="CK123" s="1052"/>
      <c r="CL123" s="1052"/>
      <c r="CM123" s="1052"/>
      <c r="CN123" s="1052"/>
      <c r="CO123" s="1052"/>
      <c r="DA123" s="2157"/>
      <c r="DB123" s="2157"/>
      <c r="DC123" s="2157"/>
      <c r="DD123" s="2157"/>
      <c r="DE123" s="2157"/>
      <c r="DF123" s="2157"/>
      <c r="DG123" s="2157"/>
      <c r="DH123" s="2157"/>
      <c r="DI123" s="2157"/>
    </row>
    <row r="124" spans="1:123" s="159" customFormat="1" ht="12.75" x14ac:dyDescent="0.2">
      <c r="A124" s="158"/>
      <c r="B124" s="1054" t="s">
        <v>82</v>
      </c>
      <c r="K124" s="160"/>
      <c r="AD124" s="160"/>
      <c r="AE124" s="160"/>
      <c r="AI124" s="1055"/>
      <c r="AR124" s="1065"/>
      <c r="AX124" s="1065"/>
      <c r="BB124" s="1065"/>
      <c r="BD124" s="1065"/>
      <c r="BF124" s="1065"/>
      <c r="BH124" s="1065"/>
      <c r="BL124" s="1341"/>
      <c r="BM124" s="1341"/>
      <c r="BN124" s="1341"/>
      <c r="BO124" s="1341"/>
      <c r="BP124" s="1341"/>
      <c r="BQ124" s="1341"/>
      <c r="BR124" s="1341"/>
      <c r="BS124" s="1341"/>
      <c r="BT124" s="1341"/>
      <c r="BU124" s="1341"/>
      <c r="BV124" s="1341"/>
      <c r="BW124" s="1341"/>
      <c r="BX124" s="1341"/>
      <c r="BY124" s="1341"/>
      <c r="BZ124" s="1341"/>
      <c r="CA124" s="1341"/>
      <c r="CB124" s="1341"/>
      <c r="CC124" s="1341"/>
      <c r="CD124" s="1341"/>
      <c r="CE124" s="1341"/>
      <c r="CF124" s="936"/>
      <c r="CZ124" s="2158"/>
      <c r="DA124" s="2159"/>
      <c r="DB124" s="2159"/>
      <c r="DC124" s="2159"/>
      <c r="DD124" s="2159"/>
      <c r="DE124" s="2159"/>
      <c r="DF124" s="2159"/>
      <c r="DG124" s="2159"/>
      <c r="DH124" s="2159"/>
      <c r="DI124" s="2159"/>
      <c r="DJ124" s="2159"/>
      <c r="DK124" s="2159"/>
      <c r="DL124" s="2159"/>
      <c r="DM124" s="2159"/>
      <c r="DN124" s="2159"/>
      <c r="DO124" s="2159"/>
      <c r="DP124" s="2159"/>
      <c r="DQ124" s="2159"/>
      <c r="DR124" s="2159"/>
      <c r="DS124" s="2159"/>
    </row>
    <row r="125" spans="1:123" s="159" customFormat="1" ht="41.25" customHeight="1" x14ac:dyDescent="0.2">
      <c r="A125" s="158"/>
      <c r="B125" s="159" t="s">
        <v>108</v>
      </c>
      <c r="AR125" s="1065"/>
      <c r="AX125" s="1065"/>
      <c r="BB125" s="1065"/>
      <c r="BD125" s="1065"/>
      <c r="BF125" s="1065"/>
      <c r="BH125" s="1065"/>
      <c r="BL125" s="1341"/>
      <c r="BM125" s="1341"/>
      <c r="BN125" s="1341"/>
      <c r="BO125" s="1341"/>
      <c r="BP125" s="1341"/>
      <c r="BQ125" s="1341"/>
      <c r="BR125" s="1341"/>
      <c r="BS125" s="1341"/>
      <c r="BT125" s="1341"/>
      <c r="BU125" s="1341"/>
      <c r="BV125" s="1341"/>
      <c r="BW125" s="1341"/>
      <c r="BX125" s="1341"/>
      <c r="BY125" s="1341"/>
      <c r="BZ125" s="1341"/>
      <c r="CA125" s="1341"/>
      <c r="CB125" s="1341"/>
      <c r="CC125" s="1341"/>
      <c r="CD125" s="1341"/>
      <c r="CE125" s="1341"/>
      <c r="CF125" s="936"/>
      <c r="CZ125" s="2158"/>
      <c r="DA125" s="2159"/>
      <c r="DB125" s="2159"/>
      <c r="DC125" s="2159"/>
      <c r="DD125" s="2159"/>
      <c r="DE125" s="2159"/>
      <c r="DF125" s="2159"/>
      <c r="DG125" s="2159"/>
      <c r="DH125" s="2159"/>
      <c r="DI125" s="2159"/>
      <c r="DJ125" s="2159"/>
      <c r="DK125" s="2159"/>
      <c r="DL125" s="2159"/>
      <c r="DM125" s="2159"/>
      <c r="DN125" s="2159"/>
      <c r="DO125" s="2159"/>
      <c r="DP125" s="2159"/>
      <c r="DQ125" s="2159"/>
      <c r="DR125" s="2159"/>
      <c r="DS125" s="2159"/>
    </row>
    <row r="126" spans="1:123" s="159" customFormat="1" ht="12.75" x14ac:dyDescent="0.2">
      <c r="A126" s="158"/>
      <c r="AR126" s="1065"/>
      <c r="AX126" s="1065"/>
      <c r="BB126" s="1065"/>
      <c r="BD126" s="1065"/>
      <c r="BF126" s="1065"/>
      <c r="BH126" s="1065"/>
      <c r="BL126" s="1341"/>
      <c r="BM126" s="1341"/>
      <c r="BN126" s="1341"/>
      <c r="BO126" s="1341"/>
      <c r="BP126" s="1341"/>
      <c r="BQ126" s="1341"/>
      <c r="BR126" s="1341"/>
      <c r="BS126" s="1341"/>
      <c r="BT126" s="1341"/>
      <c r="BU126" s="1341"/>
      <c r="BV126" s="1341"/>
      <c r="BW126" s="1341"/>
      <c r="BX126" s="1341"/>
      <c r="BY126" s="1341"/>
      <c r="BZ126" s="1341"/>
      <c r="CA126" s="1341"/>
      <c r="CB126" s="1341"/>
      <c r="CC126" s="1341"/>
      <c r="CD126" s="1341"/>
      <c r="CE126" s="1341"/>
      <c r="CF126" s="936"/>
      <c r="CZ126" s="2158"/>
      <c r="DA126" s="2159"/>
      <c r="DB126" s="2159"/>
      <c r="DC126" s="2159"/>
      <c r="DD126" s="2159"/>
      <c r="DE126" s="2159"/>
      <c r="DF126" s="2159"/>
      <c r="DG126" s="2159"/>
      <c r="DH126" s="2159"/>
      <c r="DI126" s="2159"/>
      <c r="DJ126" s="2159"/>
      <c r="DK126" s="2159"/>
      <c r="DL126" s="2159"/>
      <c r="DM126" s="2159"/>
      <c r="DN126" s="2159"/>
      <c r="DO126" s="2159"/>
      <c r="DP126" s="2159"/>
      <c r="DQ126" s="2159"/>
      <c r="DR126" s="2159"/>
      <c r="DS126" s="2159"/>
    </row>
    <row r="127" spans="1:123" s="159" customFormat="1" ht="12.75" x14ac:dyDescent="0.2">
      <c r="A127" s="158"/>
      <c r="B127" s="159" t="s">
        <v>84</v>
      </c>
      <c r="AR127" s="1065"/>
      <c r="AX127" s="1065"/>
      <c r="BB127" s="1065"/>
      <c r="BD127" s="1065"/>
      <c r="BF127" s="1065"/>
      <c r="BH127" s="1065"/>
      <c r="BL127" s="1341"/>
      <c r="BM127" s="1341"/>
      <c r="BN127" s="1341"/>
      <c r="BO127" s="1341"/>
      <c r="BP127" s="1341"/>
      <c r="BQ127" s="1341"/>
      <c r="BR127" s="1341"/>
      <c r="BS127" s="1341"/>
      <c r="BT127" s="1341"/>
      <c r="BU127" s="1341"/>
      <c r="BV127" s="1341"/>
      <c r="BW127" s="1341"/>
      <c r="BX127" s="1341"/>
      <c r="BY127" s="1341"/>
      <c r="BZ127" s="1341"/>
      <c r="CA127" s="1341"/>
      <c r="CB127" s="1341"/>
      <c r="CC127" s="1341"/>
      <c r="CD127" s="1341"/>
      <c r="CE127" s="1341"/>
      <c r="CF127" s="936"/>
      <c r="CZ127" s="2158"/>
      <c r="DA127" s="2159"/>
      <c r="DB127" s="2159"/>
      <c r="DC127" s="2159"/>
      <c r="DD127" s="2159"/>
      <c r="DE127" s="2159"/>
      <c r="DF127" s="2159"/>
      <c r="DG127" s="2159"/>
      <c r="DH127" s="2159"/>
      <c r="DI127" s="2159"/>
      <c r="DJ127" s="2159"/>
      <c r="DK127" s="2159"/>
      <c r="DL127" s="2159"/>
      <c r="DM127" s="2159"/>
      <c r="DN127" s="2159"/>
      <c r="DO127" s="2159"/>
      <c r="DP127" s="2159"/>
      <c r="DQ127" s="2159"/>
      <c r="DR127" s="2159"/>
      <c r="DS127" s="2159"/>
    </row>
    <row r="128" spans="1:123" s="159" customFormat="1" ht="12.75" x14ac:dyDescent="0.2">
      <c r="A128" s="158"/>
      <c r="AR128" s="1065"/>
      <c r="AX128" s="1065"/>
      <c r="BB128" s="1065"/>
      <c r="BD128" s="1065"/>
      <c r="BF128" s="1065"/>
      <c r="BH128" s="1065"/>
      <c r="BL128" s="1341"/>
      <c r="BM128" s="1341"/>
      <c r="BN128" s="1341"/>
      <c r="BO128" s="1341"/>
      <c r="BP128" s="1341"/>
      <c r="BQ128" s="1341"/>
      <c r="BR128" s="1341"/>
      <c r="BS128" s="1341"/>
      <c r="BT128" s="1341"/>
      <c r="BU128" s="1341"/>
      <c r="BV128" s="1341"/>
      <c r="BW128" s="1341"/>
      <c r="BX128" s="1341"/>
      <c r="BY128" s="1341"/>
      <c r="BZ128" s="1341"/>
      <c r="CA128" s="1341"/>
      <c r="CB128" s="1341"/>
      <c r="CC128" s="1341"/>
      <c r="CD128" s="1341"/>
      <c r="CE128" s="1341"/>
      <c r="CF128" s="936"/>
      <c r="CZ128" s="2158"/>
      <c r="DA128" s="2159"/>
      <c r="DB128" s="2159"/>
      <c r="DC128" s="2159"/>
      <c r="DD128" s="2159"/>
      <c r="DE128" s="2159"/>
      <c r="DF128" s="2159"/>
      <c r="DG128" s="2159"/>
      <c r="DH128" s="2159"/>
      <c r="DI128" s="2159"/>
      <c r="DJ128" s="2159"/>
      <c r="DK128" s="2159"/>
      <c r="DL128" s="2159"/>
      <c r="DM128" s="2159"/>
      <c r="DN128" s="2159"/>
      <c r="DO128" s="2159"/>
      <c r="DP128" s="2159"/>
      <c r="DQ128" s="2159"/>
      <c r="DR128" s="2159"/>
      <c r="DS128" s="2159"/>
    </row>
    <row r="129" spans="1:123" s="159" customFormat="1" ht="12.75" x14ac:dyDescent="0.2">
      <c r="A129" s="158"/>
      <c r="B129" s="164" t="s">
        <v>85</v>
      </c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AR129" s="1065"/>
      <c r="AX129" s="1065"/>
      <c r="BB129" s="1065"/>
      <c r="BD129" s="1065"/>
      <c r="BF129" s="1065"/>
      <c r="BH129" s="1065"/>
      <c r="BL129" s="1341"/>
      <c r="BM129" s="1341"/>
      <c r="BN129" s="1341"/>
      <c r="BO129" s="1341"/>
      <c r="BP129" s="1341"/>
      <c r="BQ129" s="1341"/>
      <c r="BR129" s="1341"/>
      <c r="BS129" s="1341"/>
      <c r="BT129" s="1341"/>
      <c r="BU129" s="1341"/>
      <c r="BV129" s="1341"/>
      <c r="BW129" s="1341"/>
      <c r="BX129" s="1341"/>
      <c r="BY129" s="1341"/>
      <c r="BZ129" s="1341"/>
      <c r="CA129" s="1341"/>
      <c r="CB129" s="1341"/>
      <c r="CC129" s="1341"/>
      <c r="CD129" s="1341"/>
      <c r="CE129" s="1341"/>
      <c r="CF129" s="936"/>
      <c r="CZ129" s="2158"/>
      <c r="DA129" s="2159"/>
      <c r="DB129" s="2159"/>
      <c r="DC129" s="2159"/>
      <c r="DD129" s="2159"/>
      <c r="DE129" s="2159"/>
      <c r="DF129" s="2159"/>
      <c r="DG129" s="2159"/>
      <c r="DH129" s="2159"/>
      <c r="DI129" s="2159"/>
      <c r="DJ129" s="2159"/>
      <c r="DK129" s="2159"/>
      <c r="DL129" s="2159"/>
      <c r="DM129" s="2159"/>
      <c r="DN129" s="2159"/>
      <c r="DO129" s="2159"/>
      <c r="DP129" s="2159"/>
      <c r="DQ129" s="2159"/>
      <c r="DR129" s="2159"/>
      <c r="DS129" s="2159"/>
    </row>
    <row r="130" spans="1:123" s="159" customFormat="1" ht="12.75" customHeight="1" x14ac:dyDescent="0.2">
      <c r="A130" s="158"/>
      <c r="B130" s="2256" t="s">
        <v>86</v>
      </c>
      <c r="C130" s="2256"/>
      <c r="D130" s="2256"/>
      <c r="E130" s="2256"/>
      <c r="F130" s="2256"/>
      <c r="G130" s="2256"/>
      <c r="H130" s="2256"/>
      <c r="I130" s="2256"/>
      <c r="J130" s="2256"/>
      <c r="K130" s="2256"/>
      <c r="L130" s="2256"/>
      <c r="M130" s="2256"/>
      <c r="N130" s="2256"/>
      <c r="O130" s="2256"/>
      <c r="P130" s="164"/>
      <c r="Q130" s="164"/>
      <c r="R130" s="164"/>
      <c r="S130" s="164"/>
      <c r="T130" s="164"/>
      <c r="U130" s="164"/>
      <c r="V130" s="164"/>
      <c r="W130" s="164"/>
      <c r="X130" s="164"/>
      <c r="AR130" s="1065"/>
      <c r="AX130" s="1065"/>
      <c r="BB130" s="1065"/>
      <c r="BD130" s="1065"/>
      <c r="BF130" s="1065"/>
      <c r="BH130" s="1065"/>
      <c r="BL130" s="1341"/>
      <c r="BM130" s="1341"/>
      <c r="BN130" s="1341"/>
      <c r="BO130" s="1341"/>
      <c r="BP130" s="1341"/>
      <c r="BQ130" s="1341"/>
      <c r="BR130" s="1341"/>
      <c r="BS130" s="1341"/>
      <c r="BT130" s="1341"/>
      <c r="BU130" s="1341"/>
      <c r="BV130" s="1341"/>
      <c r="BW130" s="1341"/>
      <c r="BX130" s="1341"/>
      <c r="BY130" s="1341"/>
      <c r="BZ130" s="1341"/>
      <c r="CA130" s="1341"/>
      <c r="CB130" s="1341"/>
      <c r="CC130" s="1341"/>
      <c r="CD130" s="1341"/>
      <c r="CE130" s="1341"/>
      <c r="CF130" s="936"/>
      <c r="CZ130" s="2158"/>
      <c r="DA130" s="2159"/>
      <c r="DB130" s="2159"/>
      <c r="DC130" s="2159"/>
      <c r="DD130" s="2159"/>
      <c r="DE130" s="2159"/>
      <c r="DF130" s="2159"/>
      <c r="DG130" s="2159"/>
      <c r="DH130" s="2159"/>
      <c r="DI130" s="2159"/>
      <c r="DJ130" s="2159"/>
      <c r="DK130" s="2159"/>
      <c r="DL130" s="2159"/>
      <c r="DM130" s="2159"/>
      <c r="DN130" s="2159"/>
      <c r="DO130" s="2159"/>
      <c r="DP130" s="2159"/>
      <c r="DQ130" s="2159"/>
      <c r="DR130" s="2159"/>
      <c r="DS130" s="2159"/>
    </row>
    <row r="131" spans="1:123" s="166" customFormat="1" ht="12.75" customHeight="1" x14ac:dyDescent="0.2">
      <c r="A131" s="165"/>
      <c r="B131" s="2257" t="s">
        <v>87</v>
      </c>
      <c r="C131" s="2257"/>
      <c r="D131" s="2257"/>
      <c r="E131" s="2257"/>
      <c r="F131" s="2257"/>
      <c r="G131" s="2257"/>
      <c r="H131" s="2257"/>
      <c r="I131" s="2257"/>
      <c r="J131" s="2257"/>
      <c r="K131" s="2257"/>
      <c r="L131" s="2257"/>
      <c r="M131" s="2257"/>
      <c r="N131" s="2257"/>
      <c r="O131" s="2257"/>
      <c r="P131" s="2257"/>
      <c r="Q131" s="2257"/>
      <c r="R131" s="2257"/>
      <c r="S131" s="2257"/>
      <c r="T131" s="2257"/>
      <c r="U131" s="2257"/>
      <c r="V131" s="2257"/>
      <c r="W131" s="2257"/>
      <c r="X131" s="2257"/>
      <c r="AR131" s="1066"/>
      <c r="AX131" s="1066"/>
      <c r="BB131" s="1066"/>
      <c r="BD131" s="1066"/>
      <c r="BF131" s="1066"/>
      <c r="BH131" s="1066"/>
      <c r="BL131" s="1342"/>
      <c r="BM131" s="1342"/>
      <c r="BN131" s="1342"/>
      <c r="BO131" s="1342"/>
      <c r="BP131" s="1342"/>
      <c r="BQ131" s="1342"/>
      <c r="BR131" s="1342"/>
      <c r="BS131" s="1342"/>
      <c r="BT131" s="1342"/>
      <c r="BU131" s="1342"/>
      <c r="BV131" s="1342"/>
      <c r="BW131" s="1342"/>
      <c r="BX131" s="1342"/>
      <c r="BY131" s="1342"/>
      <c r="BZ131" s="1342"/>
      <c r="CA131" s="1342"/>
      <c r="CB131" s="1342"/>
      <c r="CC131" s="1342"/>
      <c r="CD131" s="1342"/>
      <c r="CE131" s="1342"/>
      <c r="CF131" s="167"/>
      <c r="CZ131" s="2160"/>
      <c r="DA131" s="2161"/>
      <c r="DB131" s="2161"/>
      <c r="DC131" s="2161"/>
      <c r="DD131" s="2161"/>
      <c r="DE131" s="2161"/>
      <c r="DF131" s="2161"/>
      <c r="DG131" s="2161"/>
      <c r="DH131" s="2161"/>
      <c r="DI131" s="2161"/>
      <c r="DJ131" s="2161"/>
      <c r="DK131" s="2161"/>
      <c r="DL131" s="2161"/>
      <c r="DM131" s="2161"/>
      <c r="DN131" s="2161"/>
      <c r="DO131" s="2161"/>
      <c r="DP131" s="2161"/>
      <c r="DQ131" s="2161"/>
      <c r="DR131" s="2161"/>
      <c r="DS131" s="2161"/>
    </row>
    <row r="132" spans="1:123" s="159" customFormat="1" ht="12.75" customHeight="1" x14ac:dyDescent="0.2">
      <c r="A132" s="158"/>
      <c r="B132" s="2252" t="s">
        <v>88</v>
      </c>
      <c r="C132" s="2252"/>
      <c r="D132" s="2252"/>
      <c r="E132" s="2252"/>
      <c r="F132" s="2252"/>
      <c r="G132" s="2252"/>
      <c r="H132" s="2252"/>
      <c r="I132" s="2252"/>
      <c r="J132" s="225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AR132" s="1065"/>
      <c r="AX132" s="1065"/>
      <c r="BB132" s="1065"/>
      <c r="BD132" s="1065"/>
      <c r="BF132" s="1065"/>
      <c r="BH132" s="1065"/>
      <c r="BL132" s="1341"/>
      <c r="BM132" s="1341"/>
      <c r="BN132" s="1341"/>
      <c r="BO132" s="1341"/>
      <c r="BP132" s="1341"/>
      <c r="BQ132" s="1341"/>
      <c r="BR132" s="1341"/>
      <c r="BS132" s="1341"/>
      <c r="BT132" s="1341"/>
      <c r="BU132" s="1341"/>
      <c r="BV132" s="1341"/>
      <c r="BW132" s="1341"/>
      <c r="BX132" s="1341"/>
      <c r="BY132" s="1341"/>
      <c r="BZ132" s="1341"/>
      <c r="CA132" s="1341"/>
      <c r="CB132" s="1341"/>
      <c r="CC132" s="1341"/>
      <c r="CD132" s="1341"/>
      <c r="CE132" s="1341"/>
      <c r="CF132" s="936"/>
      <c r="CZ132" s="2158"/>
      <c r="DA132" s="2159"/>
      <c r="DB132" s="2159"/>
      <c r="DC132" s="2159"/>
      <c r="DD132" s="2159"/>
      <c r="DE132" s="2159"/>
      <c r="DF132" s="2159"/>
      <c r="DG132" s="2159"/>
      <c r="DH132" s="2159"/>
      <c r="DI132" s="2159"/>
      <c r="DJ132" s="2159"/>
      <c r="DK132" s="2159"/>
      <c r="DL132" s="2159"/>
      <c r="DM132" s="2159"/>
      <c r="DN132" s="2159"/>
      <c r="DO132" s="2159"/>
      <c r="DP132" s="2159"/>
      <c r="DQ132" s="2159"/>
      <c r="DR132" s="2159"/>
      <c r="DS132" s="2159"/>
    </row>
    <row r="133" spans="1:123" s="166" customFormat="1" ht="13.5" x14ac:dyDescent="0.2">
      <c r="A133" s="165"/>
      <c r="B133" s="173" t="s">
        <v>89</v>
      </c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AR133" s="1066"/>
      <c r="AX133" s="1066"/>
      <c r="BB133" s="1066"/>
      <c r="BD133" s="1066"/>
      <c r="BF133" s="1066"/>
      <c r="BH133" s="1066"/>
      <c r="BL133" s="1342"/>
      <c r="BM133" s="1342"/>
      <c r="BN133" s="1342"/>
      <c r="BO133" s="1342"/>
      <c r="BP133" s="1342"/>
      <c r="BQ133" s="1342"/>
      <c r="BR133" s="1342"/>
      <c r="BS133" s="1342"/>
      <c r="BT133" s="1342"/>
      <c r="BU133" s="1342"/>
      <c r="BV133" s="1342"/>
      <c r="BW133" s="1342"/>
      <c r="BX133" s="1342"/>
      <c r="BY133" s="1342"/>
      <c r="BZ133" s="1342"/>
      <c r="CA133" s="1342"/>
      <c r="CB133" s="1342"/>
      <c r="CC133" s="1342"/>
      <c r="CD133" s="1342"/>
      <c r="CE133" s="1342"/>
      <c r="CF133" s="167"/>
      <c r="CZ133" s="2160"/>
      <c r="DA133" s="2161"/>
      <c r="DB133" s="2161"/>
      <c r="DC133" s="2161"/>
      <c r="DD133" s="2161"/>
      <c r="DE133" s="2161"/>
      <c r="DF133" s="2161"/>
      <c r="DG133" s="2161"/>
      <c r="DH133" s="2161"/>
      <c r="DI133" s="2161"/>
      <c r="DJ133" s="2161"/>
      <c r="DK133" s="2161"/>
      <c r="DL133" s="2161"/>
      <c r="DM133" s="2161"/>
      <c r="DN133" s="2161"/>
      <c r="DO133" s="2161"/>
      <c r="DP133" s="2161"/>
      <c r="DQ133" s="2161"/>
      <c r="DR133" s="2161"/>
      <c r="DS133" s="2161"/>
    </row>
    <row r="134" spans="1:123" s="159" customFormat="1" ht="12.75" x14ac:dyDescent="0.2">
      <c r="A134" s="158"/>
      <c r="B134" s="2251" t="s">
        <v>90</v>
      </c>
      <c r="C134" s="2251"/>
      <c r="D134" s="2251"/>
      <c r="E134" s="2251"/>
      <c r="F134" s="2251"/>
      <c r="G134" s="2251"/>
      <c r="H134" s="2251"/>
      <c r="I134" s="2251"/>
      <c r="J134" s="2251"/>
      <c r="K134" s="2251"/>
      <c r="L134" s="2251"/>
      <c r="M134" s="2251"/>
      <c r="N134" s="2251"/>
      <c r="O134" s="2251"/>
      <c r="P134" s="164"/>
      <c r="Q134" s="164"/>
      <c r="R134" s="164"/>
      <c r="S134" s="164"/>
      <c r="T134" s="164"/>
      <c r="U134" s="164"/>
      <c r="V134" s="164"/>
      <c r="W134" s="164"/>
      <c r="X134" s="164"/>
      <c r="AR134" s="1065"/>
      <c r="AX134" s="1065"/>
      <c r="BB134" s="1065"/>
      <c r="BD134" s="1065"/>
      <c r="BF134" s="1065"/>
      <c r="BH134" s="1065"/>
      <c r="BL134" s="1341"/>
      <c r="BM134" s="1341"/>
      <c r="BN134" s="1341"/>
      <c r="BO134" s="1341"/>
      <c r="BP134" s="1341"/>
      <c r="BQ134" s="1341"/>
      <c r="BR134" s="1341"/>
      <c r="BS134" s="1341"/>
      <c r="BT134" s="1341"/>
      <c r="BU134" s="1341"/>
      <c r="BV134" s="1341"/>
      <c r="BW134" s="1341"/>
      <c r="BX134" s="1341"/>
      <c r="BY134" s="1341"/>
      <c r="BZ134" s="1341"/>
      <c r="CA134" s="1341"/>
      <c r="CB134" s="1341"/>
      <c r="CC134" s="1341"/>
      <c r="CD134" s="1341"/>
      <c r="CE134" s="1341"/>
      <c r="CF134" s="936"/>
      <c r="CZ134" s="2158"/>
      <c r="DA134" s="2159"/>
      <c r="DB134" s="2159"/>
      <c r="DC134" s="2159"/>
      <c r="DD134" s="2159"/>
      <c r="DE134" s="2159"/>
      <c r="DF134" s="2159"/>
      <c r="DG134" s="2159"/>
      <c r="DH134" s="2159"/>
      <c r="DI134" s="2159"/>
      <c r="DJ134" s="2159"/>
      <c r="DK134" s="2159"/>
      <c r="DL134" s="2159"/>
      <c r="DM134" s="2159"/>
      <c r="DN134" s="2159"/>
      <c r="DO134" s="2159"/>
      <c r="DP134" s="2159"/>
      <c r="DQ134" s="2159"/>
      <c r="DR134" s="2159"/>
      <c r="DS134" s="2159"/>
    </row>
    <row r="135" spans="1:123" s="159" customFormat="1" ht="15.75" customHeight="1" x14ac:dyDescent="0.2">
      <c r="A135" s="158"/>
      <c r="B135" s="2251" t="s">
        <v>91</v>
      </c>
      <c r="C135" s="2251"/>
      <c r="D135" s="2251"/>
      <c r="E135" s="2251"/>
      <c r="F135" s="2251"/>
      <c r="G135" s="174"/>
      <c r="H135" s="174"/>
      <c r="I135" s="171"/>
      <c r="J135" s="171"/>
      <c r="K135" s="171"/>
      <c r="L135" s="171"/>
      <c r="M135" s="171"/>
      <c r="N135" s="171"/>
      <c r="O135" s="171"/>
      <c r="P135" s="164"/>
      <c r="Q135" s="164"/>
      <c r="R135" s="164"/>
      <c r="S135" s="164"/>
      <c r="T135" s="164"/>
      <c r="U135" s="164"/>
      <c r="V135" s="164"/>
      <c r="W135" s="164"/>
      <c r="X135" s="164"/>
      <c r="AR135" s="1065"/>
      <c r="AX135" s="1065"/>
      <c r="BB135" s="1065"/>
      <c r="BD135" s="1065"/>
      <c r="BF135" s="1065"/>
      <c r="BH135" s="1065"/>
      <c r="BL135" s="1341"/>
      <c r="BM135" s="1341"/>
      <c r="BN135" s="1341"/>
      <c r="BO135" s="1341"/>
      <c r="BP135" s="1341"/>
      <c r="BQ135" s="1341"/>
      <c r="BR135" s="1341"/>
      <c r="BS135" s="1341"/>
      <c r="BT135" s="1341"/>
      <c r="BU135" s="1341"/>
      <c r="BV135" s="1341"/>
      <c r="BW135" s="1341"/>
      <c r="BX135" s="1341"/>
      <c r="BY135" s="1341"/>
      <c r="BZ135" s="1341"/>
      <c r="CA135" s="1341"/>
      <c r="CB135" s="1341"/>
      <c r="CC135" s="1341"/>
      <c r="CD135" s="1341"/>
      <c r="CE135" s="1341"/>
      <c r="CF135" s="936"/>
      <c r="CZ135" s="2158"/>
      <c r="DA135" s="2159"/>
      <c r="DB135" s="2159"/>
      <c r="DC135" s="2159"/>
      <c r="DD135" s="2159"/>
      <c r="DE135" s="2159"/>
      <c r="DF135" s="2159"/>
      <c r="DG135" s="2159"/>
      <c r="DH135" s="2159"/>
      <c r="DI135" s="2159"/>
      <c r="DJ135" s="2159"/>
      <c r="DK135" s="2159"/>
      <c r="DL135" s="2159"/>
      <c r="DM135" s="2159"/>
      <c r="DN135" s="2159"/>
      <c r="DO135" s="2159"/>
      <c r="DP135" s="2159"/>
      <c r="DQ135" s="2159"/>
      <c r="DR135" s="2159"/>
      <c r="DS135" s="2159"/>
    </row>
    <row r="136" spans="1:123" s="159" customFormat="1" ht="14.25" customHeight="1" x14ac:dyDescent="0.2">
      <c r="A136" s="158"/>
      <c r="B136" s="2252" t="s">
        <v>92</v>
      </c>
      <c r="C136" s="2252"/>
      <c r="D136" s="2252"/>
      <c r="E136" s="2252"/>
      <c r="F136" s="2252"/>
      <c r="G136" s="171"/>
      <c r="H136" s="171"/>
      <c r="I136" s="171"/>
      <c r="J136" s="171"/>
      <c r="K136" s="171"/>
      <c r="L136" s="171"/>
      <c r="M136" s="171"/>
      <c r="N136" s="171"/>
      <c r="O136" s="171"/>
      <c r="P136" s="164"/>
      <c r="Q136" s="164"/>
      <c r="R136" s="164"/>
      <c r="S136" s="164"/>
      <c r="T136" s="164"/>
      <c r="U136" s="164"/>
      <c r="V136" s="164"/>
      <c r="W136" s="164"/>
      <c r="X136" s="164"/>
      <c r="AR136" s="1065"/>
      <c r="AX136" s="1065"/>
      <c r="BB136" s="1065"/>
      <c r="BD136" s="1065"/>
      <c r="BF136" s="1065"/>
      <c r="BH136" s="1065"/>
      <c r="BL136" s="1341"/>
      <c r="BM136" s="1341"/>
      <c r="BN136" s="1341"/>
      <c r="BO136" s="1341"/>
      <c r="BP136" s="1341"/>
      <c r="BQ136" s="1341"/>
      <c r="BR136" s="1341"/>
      <c r="BS136" s="1341"/>
      <c r="BT136" s="1341"/>
      <c r="BU136" s="1341"/>
      <c r="BV136" s="1341"/>
      <c r="BW136" s="1341"/>
      <c r="BX136" s="1341"/>
      <c r="BY136" s="1341"/>
      <c r="BZ136" s="1341"/>
      <c r="CA136" s="1341"/>
      <c r="CB136" s="1341"/>
      <c r="CC136" s="1341"/>
      <c r="CD136" s="1341"/>
      <c r="CE136" s="1341"/>
      <c r="CF136" s="936"/>
      <c r="CZ136" s="2158"/>
      <c r="DA136" s="2159"/>
      <c r="DB136" s="2159"/>
      <c r="DC136" s="2159"/>
      <c r="DD136" s="2159"/>
      <c r="DE136" s="2159"/>
      <c r="DF136" s="2159"/>
      <c r="DG136" s="2159"/>
      <c r="DH136" s="2159"/>
      <c r="DI136" s="2159"/>
      <c r="DJ136" s="2159"/>
      <c r="DK136" s="2159"/>
      <c r="DL136" s="2159"/>
      <c r="DM136" s="2159"/>
      <c r="DN136" s="2159"/>
      <c r="DO136" s="2159"/>
      <c r="DP136" s="2159"/>
      <c r="DQ136" s="2159"/>
      <c r="DR136" s="2159"/>
      <c r="DS136" s="2159"/>
    </row>
    <row r="137" spans="1:123" s="159" customFormat="1" ht="13.15" customHeight="1" x14ac:dyDescent="0.2">
      <c r="A137" s="158"/>
      <c r="B137" s="2252" t="s">
        <v>93</v>
      </c>
      <c r="C137" s="2252"/>
      <c r="D137" s="2252"/>
      <c r="E137" s="2252"/>
      <c r="F137" s="2252"/>
      <c r="G137" s="171"/>
      <c r="H137" s="171"/>
      <c r="AR137" s="1065"/>
      <c r="AX137" s="1065"/>
      <c r="BB137" s="1065"/>
      <c r="BD137" s="1065"/>
      <c r="BF137" s="1065"/>
      <c r="BH137" s="1065"/>
      <c r="BL137" s="1341"/>
      <c r="BM137" s="1341"/>
      <c r="BN137" s="1341"/>
      <c r="BO137" s="1341"/>
      <c r="BP137" s="1341"/>
      <c r="BQ137" s="1341"/>
      <c r="BR137" s="1341"/>
      <c r="BS137" s="1341"/>
      <c r="BT137" s="1341"/>
      <c r="BU137" s="1341"/>
      <c r="BV137" s="1341"/>
      <c r="BW137" s="1341"/>
      <c r="BX137" s="1341"/>
      <c r="BY137" s="1341"/>
      <c r="BZ137" s="1341"/>
      <c r="CA137" s="1341"/>
      <c r="CB137" s="1341"/>
      <c r="CC137" s="1341"/>
      <c r="CD137" s="1341"/>
      <c r="CE137" s="1341"/>
      <c r="CF137" s="936"/>
      <c r="CZ137" s="2158"/>
      <c r="DA137" s="2159"/>
      <c r="DB137" s="2159"/>
      <c r="DC137" s="2159"/>
      <c r="DD137" s="2159"/>
      <c r="DE137" s="2159"/>
      <c r="DF137" s="2159"/>
      <c r="DG137" s="2159"/>
      <c r="DH137" s="2159"/>
      <c r="DI137" s="2159"/>
      <c r="DJ137" s="2159"/>
      <c r="DK137" s="2159"/>
      <c r="DL137" s="2159"/>
      <c r="DM137" s="2159"/>
      <c r="DN137" s="2159"/>
      <c r="DO137" s="2159"/>
      <c r="DP137" s="2159"/>
      <c r="DQ137" s="2159"/>
      <c r="DR137" s="2159"/>
      <c r="DS137" s="2159"/>
    </row>
    <row r="138" spans="1:123" s="166" customFormat="1" ht="12.75" x14ac:dyDescent="0.2">
      <c r="A138" s="165"/>
      <c r="B138" s="2253" t="s">
        <v>94</v>
      </c>
      <c r="C138" s="2253"/>
      <c r="D138" s="2253"/>
      <c r="E138" s="2253"/>
      <c r="F138" s="2253"/>
      <c r="AR138" s="1066"/>
      <c r="AX138" s="1066"/>
      <c r="BB138" s="1066"/>
      <c r="BD138" s="1066"/>
      <c r="BF138" s="1066"/>
      <c r="BH138" s="1066"/>
      <c r="BL138" s="1342"/>
      <c r="BM138" s="1342"/>
      <c r="BN138" s="1342"/>
      <c r="BO138" s="1342"/>
      <c r="BP138" s="1342"/>
      <c r="BQ138" s="1342"/>
      <c r="BR138" s="1342"/>
      <c r="BS138" s="1342"/>
      <c r="BT138" s="1342"/>
      <c r="BU138" s="1342"/>
      <c r="BV138" s="1342"/>
      <c r="BW138" s="1342"/>
      <c r="BX138" s="1342"/>
      <c r="BY138" s="1342"/>
      <c r="BZ138" s="1342"/>
      <c r="CA138" s="1342"/>
      <c r="CB138" s="1342"/>
      <c r="CC138" s="1342"/>
      <c r="CD138" s="1342"/>
      <c r="CE138" s="1342"/>
      <c r="CF138" s="167"/>
      <c r="CZ138" s="2160"/>
      <c r="DA138" s="2161"/>
      <c r="DB138" s="2161"/>
      <c r="DC138" s="2161"/>
      <c r="DD138" s="2161"/>
      <c r="DE138" s="2161"/>
      <c r="DF138" s="2161"/>
      <c r="DG138" s="2161"/>
      <c r="DH138" s="2161"/>
      <c r="DI138" s="2161"/>
      <c r="DJ138" s="2161"/>
      <c r="DK138" s="2161"/>
      <c r="DL138" s="2161"/>
      <c r="DM138" s="2161"/>
      <c r="DN138" s="2161"/>
      <c r="DO138" s="2161"/>
      <c r="DP138" s="2161"/>
      <c r="DQ138" s="2161"/>
      <c r="DR138" s="2161"/>
      <c r="DS138" s="2161"/>
    </row>
    <row r="139" spans="1:123" s="159" customFormat="1" ht="12.75" x14ac:dyDescent="0.2">
      <c r="A139" s="158"/>
      <c r="B139" s="171"/>
      <c r="C139" s="171"/>
      <c r="D139" s="171"/>
      <c r="E139" s="171"/>
      <c r="F139" s="171"/>
      <c r="AR139" s="1065"/>
      <c r="AX139" s="1065"/>
      <c r="BB139" s="1065"/>
      <c r="BD139" s="1065"/>
      <c r="BF139" s="1065"/>
      <c r="BH139" s="1065"/>
      <c r="BL139" s="1341"/>
      <c r="BM139" s="1341"/>
      <c r="BN139" s="1341"/>
      <c r="BO139" s="1341"/>
      <c r="BP139" s="1341"/>
      <c r="BQ139" s="1341"/>
      <c r="BR139" s="1341"/>
      <c r="BS139" s="1341"/>
      <c r="BT139" s="1341"/>
      <c r="BU139" s="1341"/>
      <c r="BV139" s="1341"/>
      <c r="BW139" s="1341"/>
      <c r="BX139" s="1341"/>
      <c r="BY139" s="1341"/>
      <c r="BZ139" s="1341"/>
      <c r="CA139" s="1341"/>
      <c r="CB139" s="1341"/>
      <c r="CC139" s="1341"/>
      <c r="CD139" s="1341"/>
      <c r="CE139" s="1341"/>
      <c r="CF139" s="936"/>
      <c r="CZ139" s="2158"/>
      <c r="DA139" s="2159"/>
      <c r="DB139" s="2159"/>
      <c r="DC139" s="2159"/>
      <c r="DD139" s="2159"/>
      <c r="DE139" s="2159"/>
      <c r="DF139" s="2159"/>
      <c r="DG139" s="2159"/>
      <c r="DH139" s="2159"/>
      <c r="DI139" s="2159"/>
      <c r="DJ139" s="2159"/>
      <c r="DK139" s="2159"/>
      <c r="DL139" s="2159"/>
      <c r="DM139" s="2159"/>
      <c r="DN139" s="2159"/>
      <c r="DO139" s="2159"/>
      <c r="DP139" s="2159"/>
      <c r="DQ139" s="2159"/>
      <c r="DR139" s="2159"/>
      <c r="DS139" s="2159"/>
    </row>
  </sheetData>
  <mergeCells count="134">
    <mergeCell ref="CZ6:DQ6"/>
    <mergeCell ref="CZ7:DC8"/>
    <mergeCell ref="DD7:DI8"/>
    <mergeCell ref="DJ7:DS7"/>
    <mergeCell ref="DJ8:DM8"/>
    <mergeCell ref="DN8:DQ8"/>
    <mergeCell ref="DR8:DS9"/>
    <mergeCell ref="DD9:DE9"/>
    <mergeCell ref="DF9:DG9"/>
    <mergeCell ref="DN9:DO9"/>
    <mergeCell ref="DP9:DQ9"/>
    <mergeCell ref="DL9:DM9"/>
    <mergeCell ref="DH9:DI9"/>
    <mergeCell ref="DJ9:DK9"/>
    <mergeCell ref="CZ9:DA9"/>
    <mergeCell ref="DB9:DC9"/>
    <mergeCell ref="B138:F138"/>
    <mergeCell ref="B131:X131"/>
    <mergeCell ref="B132:J132"/>
    <mergeCell ref="B134:O134"/>
    <mergeCell ref="B135:F135"/>
    <mergeCell ref="B136:F136"/>
    <mergeCell ref="B137:F137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30:O130"/>
    <mergeCell ref="B116:C116"/>
    <mergeCell ref="CP8:CS8"/>
    <mergeCell ref="CT8:CW8"/>
    <mergeCell ref="CP9:CQ9"/>
    <mergeCell ref="CR9:CS9"/>
    <mergeCell ref="CT9:CU9"/>
    <mergeCell ref="CV9:CW9"/>
    <mergeCell ref="BV8:BY8"/>
    <mergeCell ref="CF9:CG9"/>
    <mergeCell ref="BP9:BQ9"/>
    <mergeCell ref="BR9:BS9"/>
    <mergeCell ref="BT9:BU9"/>
    <mergeCell ref="BV9:BW9"/>
    <mergeCell ref="BX9:BY9"/>
    <mergeCell ref="AR7:AU8"/>
    <mergeCell ref="AV7:BA8"/>
    <mergeCell ref="BB7:BK7"/>
    <mergeCell ref="BL7:BO8"/>
    <mergeCell ref="BP7:BU8"/>
    <mergeCell ref="BV7:CE7"/>
    <mergeCell ref="BB8:BE8"/>
    <mergeCell ref="AR9:AS9"/>
    <mergeCell ref="BZ9:CA9"/>
    <mergeCell ref="CB9:CC9"/>
    <mergeCell ref="BF9:BG9"/>
    <mergeCell ref="BH9:BI9"/>
    <mergeCell ref="BZ8:CC8"/>
    <mergeCell ref="CD8:CE9"/>
    <mergeCell ref="AT9:AU9"/>
    <mergeCell ref="AV9:AW9"/>
    <mergeCell ref="AX9:AY9"/>
    <mergeCell ref="AZ9:BA9"/>
    <mergeCell ref="BB9:BC9"/>
    <mergeCell ref="BD9:BE9"/>
    <mergeCell ref="BL9:BM9"/>
    <mergeCell ref="BN9:BO9"/>
    <mergeCell ref="AR6:BJ6"/>
    <mergeCell ref="BL6:CC6"/>
    <mergeCell ref="CF6:CW6"/>
    <mergeCell ref="A7:A11"/>
    <mergeCell ref="D7:G8"/>
    <mergeCell ref="H7:M8"/>
    <mergeCell ref="N7:W7"/>
    <mergeCell ref="X7:AA8"/>
    <mergeCell ref="N8:Q8"/>
    <mergeCell ref="R8:U8"/>
    <mergeCell ref="V8:W9"/>
    <mergeCell ref="AH8:AK8"/>
    <mergeCell ref="AL8:AO8"/>
    <mergeCell ref="AP8:AQ9"/>
    <mergeCell ref="CF7:CI8"/>
    <mergeCell ref="CJ7:CO8"/>
    <mergeCell ref="CP7:CY7"/>
    <mergeCell ref="CX8:CY9"/>
    <mergeCell ref="CH9:CI9"/>
    <mergeCell ref="CJ9:CK9"/>
    <mergeCell ref="CL9:CM9"/>
    <mergeCell ref="CN9:CO9"/>
    <mergeCell ref="BF8:BI8"/>
    <mergeCell ref="BJ8:BK9"/>
    <mergeCell ref="X6:AQ6"/>
    <mergeCell ref="AB7:AG8"/>
    <mergeCell ref="AH7:AQ7"/>
    <mergeCell ref="N9:O9"/>
    <mergeCell ref="P9:Q9"/>
    <mergeCell ref="T9:U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R9:S9"/>
    <mergeCell ref="B117:C117"/>
    <mergeCell ref="B118:C118"/>
    <mergeCell ref="B119:C119"/>
    <mergeCell ref="B120:C120"/>
    <mergeCell ref="B121:C121"/>
    <mergeCell ref="A2:S2"/>
    <mergeCell ref="A4:C4"/>
    <mergeCell ref="B6:B11"/>
    <mergeCell ref="C6:C11"/>
    <mergeCell ref="D6:W6"/>
    <mergeCell ref="D9:E9"/>
    <mergeCell ref="F9:G9"/>
    <mergeCell ref="H9:I9"/>
    <mergeCell ref="J9:K9"/>
    <mergeCell ref="L9:M9"/>
    <mergeCell ref="A13:A62"/>
    <mergeCell ref="A63:A65"/>
    <mergeCell ref="A77:A88"/>
    <mergeCell ref="A92:A9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F0D5-FBDB-4DE5-85AB-D580E2046D1F}">
  <sheetPr>
    <tabColor rgb="FF00B0F0"/>
  </sheetPr>
  <dimension ref="A1:EJ145"/>
  <sheetViews>
    <sheetView zoomScale="70" zoomScaleNormal="70" workbookViewId="0">
      <pane ySplit="11" topLeftCell="A80" activePane="bottomLeft" state="frozen"/>
      <selection pane="bottomLeft" activeCell="B119" sqref="B119:C119"/>
    </sheetView>
  </sheetViews>
  <sheetFormatPr defaultColWidth="8.85546875" defaultRowHeight="15" outlineLevelCol="1" x14ac:dyDescent="0.25"/>
  <cols>
    <col min="1" max="1" width="10" style="204" customWidth="1"/>
    <col min="2" max="2" width="20.5703125" style="937" customWidth="1"/>
    <col min="3" max="3" width="13.42578125" style="250" customWidth="1"/>
    <col min="4" max="4" width="10.140625" style="400" hidden="1" customWidth="1" outlineLevel="1"/>
    <col min="5" max="5" width="10" style="400" hidden="1" customWidth="1" outlineLevel="1"/>
    <col min="6" max="6" width="8.5703125" style="250" hidden="1" customWidth="1" outlineLevel="1"/>
    <col min="7" max="7" width="7.28515625" style="250" hidden="1" customWidth="1" outlineLevel="1"/>
    <col min="8" max="8" width="12" style="250" hidden="1" customWidth="1" outlineLevel="1"/>
    <col min="9" max="10" width="11.42578125" style="250" hidden="1" customWidth="1" outlineLevel="1"/>
    <col min="11" max="12" width="11.28515625" style="250" hidden="1" customWidth="1" outlineLevel="1"/>
    <col min="13" max="13" width="12" style="250" hidden="1" customWidth="1" outlineLevel="1"/>
    <col min="14" max="14" width="13.7109375" style="250" hidden="1" customWidth="1" outlineLevel="1"/>
    <col min="15" max="15" width="11.5703125" style="210" hidden="1" customWidth="1" outlineLevel="1"/>
    <col min="16" max="16" width="11.5703125" style="250" hidden="1" customWidth="1" outlineLevel="1"/>
    <col min="17" max="17" width="11.28515625" style="250" hidden="1" customWidth="1" outlineLevel="1"/>
    <col min="18" max="18" width="8.28515625" style="250" hidden="1" customWidth="1" outlineLevel="1"/>
    <col min="19" max="19" width="8.7109375" style="250" hidden="1" customWidth="1" outlineLevel="1"/>
    <col min="20" max="20" width="9.42578125" style="250" hidden="1" customWidth="1" outlineLevel="1"/>
    <col min="21" max="21" width="9.85546875" style="210" hidden="1" customWidth="1" outlineLevel="1"/>
    <col min="22" max="22" width="8.42578125" style="250" hidden="1" customWidth="1" outlineLevel="1"/>
    <col min="23" max="23" width="7.7109375" style="250" hidden="1" customWidth="1" outlineLevel="1"/>
    <col min="24" max="24" width="9.42578125" style="400" hidden="1" customWidth="1" outlineLevel="1"/>
    <col min="25" max="25" width="8.28515625" style="400" hidden="1" customWidth="1" outlineLevel="1"/>
    <col min="26" max="26" width="8.5703125" style="250" hidden="1" customWidth="1" outlineLevel="1"/>
    <col min="27" max="27" width="9.140625" style="250" hidden="1" customWidth="1" outlineLevel="1"/>
    <col min="28" max="28" width="10" style="250" hidden="1" customWidth="1" outlineLevel="1"/>
    <col min="29" max="29" width="10.7109375" style="250" hidden="1" customWidth="1" outlineLevel="1"/>
    <col min="30" max="30" width="11" style="250" hidden="1" customWidth="1" outlineLevel="1"/>
    <col min="31" max="31" width="12.7109375" style="250" hidden="1" customWidth="1" outlineLevel="1"/>
    <col min="32" max="32" width="9.5703125" style="250" hidden="1" customWidth="1" outlineLevel="1"/>
    <col min="33" max="33" width="12.42578125" style="250" hidden="1" customWidth="1" outlineLevel="1"/>
    <col min="34" max="34" width="9.7109375" style="210" hidden="1" customWidth="1" outlineLevel="1"/>
    <col min="35" max="35" width="12.7109375" style="210" hidden="1" customWidth="1" outlineLevel="1"/>
    <col min="36" max="36" width="11.140625" style="250" hidden="1" customWidth="1" outlineLevel="1"/>
    <col min="37" max="37" width="11.7109375" style="250" hidden="1" customWidth="1" outlineLevel="1"/>
    <col min="38" max="40" width="9.7109375" style="250" hidden="1" customWidth="1" outlineLevel="1"/>
    <col min="41" max="41" width="10.42578125" style="210" hidden="1" customWidth="1" outlineLevel="1"/>
    <col min="42" max="42" width="9.5703125" style="250" hidden="1" customWidth="1" outlineLevel="1"/>
    <col min="43" max="43" width="10" style="250" hidden="1" customWidth="1" outlineLevel="1"/>
    <col min="44" max="44" width="9.140625" style="400" customWidth="1" collapsed="1"/>
    <col min="45" max="45" width="9.7109375" style="401" customWidth="1"/>
    <col min="46" max="46" width="9.140625" style="401" customWidth="1"/>
    <col min="47" max="47" width="7.42578125" style="250" customWidth="1"/>
    <col min="48" max="48" width="13.140625" style="250" customWidth="1"/>
    <col min="49" max="49" width="9.5703125" style="250" customWidth="1"/>
    <col min="50" max="50" width="10.28515625" style="250" customWidth="1"/>
    <col min="51" max="51" width="9.5703125" style="250" customWidth="1"/>
    <col min="52" max="52" width="10.42578125" style="250" customWidth="1"/>
    <col min="53" max="53" width="9.28515625" style="250" customWidth="1"/>
    <col min="54" max="54" width="11" style="210" customWidth="1"/>
    <col min="55" max="55" width="9.140625" style="210" customWidth="1"/>
    <col min="56" max="56" width="12.7109375" style="250" customWidth="1"/>
    <col min="57" max="57" width="9.5703125" style="250" customWidth="1"/>
    <col min="58" max="59" width="8.42578125" style="250" customWidth="1"/>
    <col min="60" max="60" width="7.42578125" style="250" customWidth="1"/>
    <col min="61" max="61" width="7.42578125" style="210" customWidth="1"/>
    <col min="62" max="62" width="9" style="250" customWidth="1"/>
    <col min="63" max="63" width="7.42578125" style="250" customWidth="1"/>
    <col min="64" max="64" width="9.140625" style="400" customWidth="1"/>
    <col min="65" max="67" width="7.42578125" style="250" customWidth="1"/>
    <col min="68" max="68" width="10.28515625" style="250" customWidth="1"/>
    <col min="69" max="69" width="9.7109375" style="250" customWidth="1"/>
    <col min="70" max="70" width="11.42578125" style="250" customWidth="1"/>
    <col min="71" max="71" width="9" style="250" customWidth="1"/>
    <col min="72" max="72" width="9.85546875" style="250" customWidth="1"/>
    <col min="73" max="73" width="9.42578125" style="250" customWidth="1"/>
    <col min="74" max="74" width="9.7109375" style="210" customWidth="1"/>
    <col min="75" max="75" width="8.140625" style="250" customWidth="1"/>
    <col min="76" max="76" width="10.42578125" style="250" customWidth="1"/>
    <col min="77" max="77" width="10.140625" style="250" customWidth="1"/>
    <col min="78" max="79" width="8.85546875" style="250"/>
    <col min="80" max="81" width="8.42578125" style="250" customWidth="1"/>
    <col min="82" max="83" width="7.42578125" style="250" customWidth="1"/>
    <col min="84" max="84" width="8.85546875" style="400"/>
    <col min="85" max="87" width="7.42578125" style="250" customWidth="1"/>
    <col min="88" max="88" width="12.140625" style="250" customWidth="1"/>
    <col min="89" max="89" width="10" style="250" customWidth="1"/>
    <col min="90" max="90" width="11.140625" style="250" customWidth="1"/>
    <col min="91" max="91" width="9.140625" style="250" customWidth="1"/>
    <col min="92" max="92" width="10" style="250" customWidth="1"/>
    <col min="93" max="93" width="9.140625" style="250" customWidth="1"/>
    <col min="94" max="94" width="12" style="250" customWidth="1"/>
    <col min="95" max="95" width="9.140625" style="250" customWidth="1"/>
    <col min="96" max="96" width="11.7109375" style="250" customWidth="1"/>
    <col min="97" max="97" width="9.5703125" style="250" customWidth="1"/>
    <col min="98" max="101" width="9.28515625" style="250" customWidth="1"/>
    <col min="102" max="103" width="7.42578125" style="250" customWidth="1"/>
    <col min="104" max="104" width="9.5703125" style="204" hidden="1" customWidth="1"/>
    <col min="105" max="105" width="8.85546875" style="402" hidden="1" customWidth="1"/>
    <col min="106" max="107" width="7.42578125" style="204" hidden="1" customWidth="1"/>
    <col min="108" max="108" width="10.28515625" style="204" hidden="1" customWidth="1"/>
    <col min="109" max="109" width="10.7109375" style="204" hidden="1" customWidth="1"/>
    <col min="110" max="110" width="9.85546875" style="204" hidden="1" customWidth="1"/>
    <col min="111" max="111" width="11.85546875" style="204" hidden="1" customWidth="1"/>
    <col min="112" max="113" width="9.42578125" style="204" hidden="1" customWidth="1"/>
    <col min="114" max="114" width="10.28515625" style="204" hidden="1" customWidth="1"/>
    <col min="115" max="115" width="12.140625" style="204" hidden="1" customWidth="1"/>
    <col min="116" max="116" width="10.28515625" style="204" hidden="1" customWidth="1"/>
    <col min="117" max="117" width="7.42578125" style="204" hidden="1" customWidth="1"/>
    <col min="118" max="119" width="9" style="204" hidden="1" customWidth="1"/>
    <col min="120" max="121" width="7.28515625" style="250" hidden="1" customWidth="1"/>
    <col min="122" max="122" width="8.42578125" style="430" hidden="1" customWidth="1" collapsed="1"/>
    <col min="123" max="123" width="9.5703125" style="431" hidden="1" customWidth="1"/>
    <col min="124" max="124" width="10.140625" style="204" hidden="1" customWidth="1"/>
    <col min="125" max="125" width="9.5703125" style="204" hidden="1" customWidth="1"/>
    <col min="126" max="126" width="11.42578125" style="204" hidden="1" customWidth="1"/>
    <col min="127" max="127" width="9.140625" style="432" hidden="1" customWidth="1"/>
    <col min="128" max="128" width="10" style="272" hidden="1" customWidth="1"/>
    <col min="129" max="129" width="7.7109375" style="272" hidden="1" customWidth="1"/>
    <col min="130" max="130" width="10.140625" style="204" hidden="1" customWidth="1"/>
    <col min="131" max="131" width="8.85546875" style="204" hidden="1" customWidth="1"/>
    <col min="132" max="132" width="10.140625" style="204" hidden="1" customWidth="1"/>
    <col min="133" max="133" width="7.7109375" style="204" hidden="1" customWidth="1"/>
    <col min="134" max="134" width="7" style="204" hidden="1" customWidth="1"/>
    <col min="135" max="135" width="8.85546875" style="204" hidden="1" customWidth="1"/>
    <col min="136" max="136" width="9.140625" style="204" hidden="1" customWidth="1"/>
    <col min="137" max="137" width="9" style="204" hidden="1" customWidth="1"/>
    <col min="138" max="138" width="8.5703125" style="204" hidden="1" customWidth="1"/>
    <col min="139" max="139" width="7.42578125" style="250" hidden="1" customWidth="1"/>
    <col min="140" max="16384" width="8.85546875" style="250"/>
  </cols>
  <sheetData>
    <row r="1" spans="1:139" x14ac:dyDescent="0.25">
      <c r="A1" s="1" t="s">
        <v>0</v>
      </c>
      <c r="B1" s="1"/>
      <c r="C1" s="1"/>
      <c r="D1" s="1"/>
      <c r="E1" s="2"/>
      <c r="F1" s="2"/>
      <c r="G1" s="2"/>
      <c r="H1" s="257"/>
      <c r="I1" s="2"/>
      <c r="J1" s="2"/>
      <c r="K1" s="2"/>
      <c r="L1" s="2"/>
      <c r="M1" s="2"/>
      <c r="N1" s="2"/>
      <c r="O1" s="192"/>
      <c r="P1" s="19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12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427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3"/>
      <c r="DT1" s="1"/>
      <c r="DU1" s="1"/>
      <c r="DV1" s="1"/>
      <c r="DW1" s="4"/>
      <c r="DX1" s="5"/>
      <c r="DY1" s="5"/>
      <c r="DZ1" s="1"/>
      <c r="EA1" s="1"/>
      <c r="EB1" s="1"/>
      <c r="EC1" s="1"/>
      <c r="ED1" s="1"/>
      <c r="EE1" s="1"/>
      <c r="EF1" s="1"/>
      <c r="EG1" s="1"/>
      <c r="EH1" s="1"/>
      <c r="EI1" s="1"/>
    </row>
    <row r="2" spans="1:139" x14ac:dyDescent="0.25">
      <c r="A2" s="2190" t="s">
        <v>1</v>
      </c>
      <c r="B2" s="2190"/>
      <c r="C2" s="2190"/>
      <c r="D2" s="2190"/>
      <c r="E2" s="2190"/>
      <c r="F2" s="2190"/>
      <c r="G2" s="2190"/>
      <c r="H2" s="2190"/>
      <c r="I2" s="2190"/>
      <c r="J2" s="2190"/>
      <c r="K2" s="2190"/>
      <c r="L2" s="2190"/>
      <c r="M2" s="2190"/>
      <c r="N2" s="2190"/>
      <c r="O2" s="2190"/>
      <c r="P2" s="2190"/>
      <c r="Q2" s="2190"/>
      <c r="R2" s="2190"/>
      <c r="S2" s="2190"/>
      <c r="T2" s="1"/>
      <c r="U2" s="1"/>
      <c r="V2" s="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12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6"/>
      <c r="BD2" s="428"/>
      <c r="BE2" s="224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427"/>
      <c r="CG2" s="1"/>
      <c r="CH2" s="1"/>
      <c r="CI2" s="1"/>
      <c r="CJ2" s="1"/>
      <c r="CK2" s="1"/>
      <c r="CL2" s="1"/>
      <c r="CM2" s="1"/>
      <c r="CN2" s="1"/>
      <c r="CO2" s="1"/>
      <c r="CP2" s="212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3"/>
      <c r="DT2" s="1"/>
      <c r="DU2" s="1"/>
      <c r="DV2" s="1"/>
      <c r="DW2" s="4"/>
      <c r="DX2" s="5"/>
      <c r="DY2" s="5"/>
      <c r="DZ2" s="1"/>
      <c r="EA2" s="1"/>
      <c r="EB2" s="1"/>
      <c r="EC2" s="1"/>
      <c r="ED2" s="1"/>
      <c r="EE2" s="1"/>
      <c r="EF2" s="1"/>
      <c r="EG2" s="1"/>
      <c r="EH2" s="1"/>
      <c r="EI2" s="1"/>
    </row>
    <row r="3" spans="1:139" ht="15.75" x14ac:dyDescent="0.25">
      <c r="B3" s="7"/>
      <c r="C3" s="7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429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429"/>
      <c r="BT3" s="429"/>
      <c r="BU3" s="429"/>
      <c r="BV3" s="429"/>
      <c r="BW3" s="204"/>
      <c r="BX3" s="204"/>
      <c r="BY3" s="204"/>
      <c r="BZ3" s="204"/>
      <c r="CA3" s="204"/>
      <c r="CB3" s="204"/>
      <c r="CC3" s="204"/>
      <c r="CD3" s="204"/>
      <c r="CE3" s="204"/>
      <c r="CF3" s="402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DI3" s="429"/>
      <c r="DP3" s="204"/>
      <c r="DQ3" s="204"/>
      <c r="EI3" s="204"/>
    </row>
    <row r="4" spans="1:139" ht="68.25" customHeight="1" x14ac:dyDescent="0.25">
      <c r="A4" s="2191" t="s">
        <v>113</v>
      </c>
      <c r="B4" s="2191"/>
      <c r="C4" s="2191"/>
      <c r="D4" s="1724"/>
      <c r="E4" s="1724"/>
      <c r="F4" s="1724"/>
      <c r="G4" s="1724"/>
      <c r="H4" s="1724"/>
      <c r="I4" s="1724"/>
      <c r="J4" s="1724"/>
      <c r="K4" s="1724"/>
      <c r="L4" s="1724"/>
      <c r="M4" s="1724"/>
      <c r="N4" s="1724"/>
      <c r="O4" s="1724"/>
      <c r="P4" s="1724"/>
      <c r="Q4" s="1724"/>
      <c r="R4" s="1724"/>
      <c r="S4" s="1724"/>
      <c r="T4" s="1724"/>
      <c r="U4" s="1724"/>
      <c r="V4" s="1724"/>
      <c r="W4" s="1724"/>
      <c r="X4" s="1724"/>
      <c r="Y4" s="1724"/>
      <c r="Z4" s="1724"/>
      <c r="AA4" s="1724"/>
      <c r="AB4" s="1724"/>
      <c r="AC4" s="1724"/>
      <c r="AD4" s="1724"/>
      <c r="AE4" s="1724"/>
      <c r="AF4" s="1724"/>
      <c r="AG4" s="1724"/>
      <c r="AH4" s="1724"/>
      <c r="AI4" s="1724"/>
      <c r="AJ4" s="1724"/>
      <c r="AK4" s="1724"/>
      <c r="AL4" s="1724"/>
      <c r="AM4" s="1724"/>
      <c r="AN4" s="1724"/>
      <c r="AO4" s="1724"/>
      <c r="AP4" s="1724"/>
      <c r="AQ4" s="1724"/>
      <c r="AR4" s="1724"/>
      <c r="AS4" s="1724"/>
      <c r="AT4" s="1724"/>
      <c r="AU4" s="1724"/>
      <c r="AV4" s="1724"/>
      <c r="AW4" s="1724"/>
      <c r="AX4" s="1724"/>
      <c r="AY4" s="1724"/>
      <c r="AZ4" s="1724"/>
      <c r="BA4" s="172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429"/>
      <c r="BT4" s="429"/>
      <c r="BU4" s="429"/>
      <c r="BV4" s="429"/>
      <c r="BW4" s="204"/>
      <c r="BX4" s="204"/>
      <c r="BY4" s="204"/>
      <c r="BZ4" s="204"/>
      <c r="CA4" s="204"/>
      <c r="CB4" s="204"/>
      <c r="CC4" s="204"/>
      <c r="CD4" s="204"/>
      <c r="CE4" s="204"/>
      <c r="CF4" s="402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DD4" s="429"/>
      <c r="DE4" s="429"/>
      <c r="DH4" s="429"/>
      <c r="DI4" s="429"/>
      <c r="DP4" s="204"/>
      <c r="DQ4" s="204"/>
      <c r="EI4" s="204"/>
    </row>
    <row r="5" spans="1:139" ht="21" thickBot="1" x14ac:dyDescent="0.35">
      <c r="B5" s="8"/>
      <c r="C5" s="9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11"/>
      <c r="V5" s="12"/>
      <c r="W5" s="12"/>
      <c r="X5" s="10"/>
      <c r="Y5" s="10"/>
      <c r="Z5" s="9"/>
      <c r="AA5" s="9"/>
      <c r="AB5" s="9"/>
      <c r="AC5" s="9"/>
      <c r="AD5" s="9"/>
      <c r="AE5" s="9"/>
      <c r="AF5" s="9"/>
      <c r="AG5" s="9"/>
      <c r="AH5" s="11"/>
      <c r="AI5" s="11"/>
      <c r="AJ5" s="434"/>
      <c r="AK5" s="9"/>
      <c r="AL5" s="9"/>
      <c r="AM5" s="9"/>
      <c r="AN5" s="9"/>
      <c r="AO5" s="11"/>
      <c r="AP5" s="12"/>
      <c r="AQ5" s="12"/>
      <c r="AR5" s="10"/>
      <c r="AS5" s="13"/>
      <c r="AT5" s="13"/>
      <c r="AU5" s="9"/>
      <c r="AV5" s="9"/>
      <c r="AW5" s="9"/>
      <c r="AX5" s="9"/>
      <c r="AY5" s="9"/>
      <c r="AZ5" s="9"/>
      <c r="BA5" s="9"/>
      <c r="BB5" s="11"/>
      <c r="BC5" s="11"/>
      <c r="BD5" s="9"/>
      <c r="BE5" s="9"/>
      <c r="BF5" s="9"/>
      <c r="BG5" s="9"/>
      <c r="BH5" s="9"/>
      <c r="BI5" s="11"/>
      <c r="BJ5" s="12"/>
      <c r="BK5" s="12"/>
      <c r="BL5" s="10"/>
      <c r="BM5" s="9"/>
      <c r="BN5" s="9"/>
      <c r="BO5" s="9"/>
      <c r="BP5" s="9"/>
      <c r="BQ5" s="9"/>
      <c r="BR5" s="9"/>
      <c r="BS5" s="9"/>
      <c r="BT5" s="9"/>
      <c r="BU5" s="9"/>
      <c r="BV5" s="11"/>
      <c r="BW5" s="9"/>
      <c r="BX5" s="9"/>
      <c r="BY5" s="9"/>
      <c r="BZ5" s="9"/>
      <c r="CA5" s="9"/>
      <c r="CB5" s="9"/>
      <c r="CC5" s="9"/>
      <c r="CD5" s="12"/>
      <c r="CE5" s="12"/>
      <c r="CF5" s="10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12"/>
      <c r="CY5" s="12"/>
      <c r="DP5" s="12"/>
      <c r="DQ5" s="12"/>
      <c r="DT5" s="435"/>
      <c r="EI5" s="204"/>
    </row>
    <row r="6" spans="1:139" x14ac:dyDescent="0.25">
      <c r="A6" s="436"/>
      <c r="B6" s="2192" t="s">
        <v>2</v>
      </c>
      <c r="C6" s="2195" t="s">
        <v>3</v>
      </c>
      <c r="D6" s="2198" t="s">
        <v>4</v>
      </c>
      <c r="E6" s="2198"/>
      <c r="F6" s="2198"/>
      <c r="G6" s="2198"/>
      <c r="H6" s="2198"/>
      <c r="I6" s="2198"/>
      <c r="J6" s="2198"/>
      <c r="K6" s="2198"/>
      <c r="L6" s="2198"/>
      <c r="M6" s="2198"/>
      <c r="N6" s="2198"/>
      <c r="O6" s="2198"/>
      <c r="P6" s="2198"/>
      <c r="Q6" s="2198"/>
      <c r="R6" s="2198"/>
      <c r="S6" s="2198"/>
      <c r="T6" s="2198"/>
      <c r="U6" s="2198"/>
      <c r="V6" s="2198"/>
      <c r="W6" s="2199"/>
      <c r="X6" s="2202" t="s">
        <v>5</v>
      </c>
      <c r="Y6" s="2198"/>
      <c r="Z6" s="2198"/>
      <c r="AA6" s="2198"/>
      <c r="AB6" s="2198"/>
      <c r="AC6" s="2198"/>
      <c r="AD6" s="2198"/>
      <c r="AE6" s="2198"/>
      <c r="AF6" s="2198"/>
      <c r="AG6" s="2198"/>
      <c r="AH6" s="2198"/>
      <c r="AI6" s="2198"/>
      <c r="AJ6" s="2198"/>
      <c r="AK6" s="2198"/>
      <c r="AL6" s="2198"/>
      <c r="AM6" s="2198"/>
      <c r="AN6" s="2198"/>
      <c r="AO6" s="2198"/>
      <c r="AP6" s="2198"/>
      <c r="AQ6" s="2199"/>
      <c r="AR6" s="2202" t="s">
        <v>6</v>
      </c>
      <c r="AS6" s="2198"/>
      <c r="AT6" s="2198"/>
      <c r="AU6" s="2198"/>
      <c r="AV6" s="2198"/>
      <c r="AW6" s="2198"/>
      <c r="AX6" s="2198"/>
      <c r="AY6" s="2198"/>
      <c r="AZ6" s="2198"/>
      <c r="BA6" s="2198"/>
      <c r="BB6" s="2198"/>
      <c r="BC6" s="2198"/>
      <c r="BD6" s="2198"/>
      <c r="BE6" s="2198"/>
      <c r="BF6" s="2198"/>
      <c r="BG6" s="2198"/>
      <c r="BH6" s="2198"/>
      <c r="BI6" s="2198"/>
      <c r="BJ6" s="2198"/>
      <c r="BK6" s="14"/>
      <c r="BL6" s="2202" t="s">
        <v>7</v>
      </c>
      <c r="BM6" s="2198"/>
      <c r="BN6" s="2198"/>
      <c r="BO6" s="2198"/>
      <c r="BP6" s="2198"/>
      <c r="BQ6" s="2198"/>
      <c r="BR6" s="2198"/>
      <c r="BS6" s="2198"/>
      <c r="BT6" s="2198"/>
      <c r="BU6" s="2198"/>
      <c r="BV6" s="2198"/>
      <c r="BW6" s="2198"/>
      <c r="BX6" s="2198"/>
      <c r="BY6" s="2198"/>
      <c r="BZ6" s="2198"/>
      <c r="CA6" s="2198"/>
      <c r="CB6" s="2198"/>
      <c r="CC6" s="2203"/>
      <c r="CD6" s="424"/>
      <c r="CE6" s="14"/>
      <c r="CF6" s="2202" t="s">
        <v>98</v>
      </c>
      <c r="CG6" s="2198"/>
      <c r="CH6" s="2198"/>
      <c r="CI6" s="2198"/>
      <c r="CJ6" s="2198"/>
      <c r="CK6" s="2198"/>
      <c r="CL6" s="2198"/>
      <c r="CM6" s="2198"/>
      <c r="CN6" s="2198"/>
      <c r="CO6" s="2198"/>
      <c r="CP6" s="2198"/>
      <c r="CQ6" s="2198"/>
      <c r="CR6" s="2198"/>
      <c r="CS6" s="2198"/>
      <c r="CT6" s="2198"/>
      <c r="CU6" s="2198"/>
      <c r="CV6" s="2198"/>
      <c r="CW6" s="2203"/>
      <c r="CX6" s="437"/>
      <c r="CY6" s="14"/>
      <c r="CZ6" s="2204" t="s">
        <v>97</v>
      </c>
      <c r="DA6" s="2205"/>
      <c r="DB6" s="2205"/>
      <c r="DC6" s="2205"/>
      <c r="DD6" s="2205"/>
      <c r="DE6" s="2205"/>
      <c r="DF6" s="2205"/>
      <c r="DG6" s="2205"/>
      <c r="DH6" s="2205"/>
      <c r="DI6" s="2205"/>
      <c r="DJ6" s="2205"/>
      <c r="DK6" s="2205"/>
      <c r="DL6" s="2205"/>
      <c r="DM6" s="2205"/>
      <c r="DN6" s="2205"/>
      <c r="DO6" s="2205"/>
      <c r="DP6" s="16"/>
      <c r="DQ6" s="15"/>
      <c r="DR6" s="2204" t="s">
        <v>8</v>
      </c>
      <c r="DS6" s="2205"/>
      <c r="DT6" s="2205"/>
      <c r="DU6" s="2205"/>
      <c r="DV6" s="2205"/>
      <c r="DW6" s="2205"/>
      <c r="DX6" s="2205"/>
      <c r="DY6" s="2205"/>
      <c r="DZ6" s="2205"/>
      <c r="EA6" s="2205"/>
      <c r="EB6" s="2205"/>
      <c r="EC6" s="2205"/>
      <c r="ED6" s="2205"/>
      <c r="EE6" s="2205"/>
      <c r="EF6" s="2205"/>
      <c r="EG6" s="2205"/>
      <c r="EH6" s="2205"/>
      <c r="EI6" s="2206"/>
    </row>
    <row r="7" spans="1:139" x14ac:dyDescent="0.25">
      <c r="A7" s="2207" t="s">
        <v>9</v>
      </c>
      <c r="B7" s="2193"/>
      <c r="C7" s="2196"/>
      <c r="D7" s="2209" t="s">
        <v>101</v>
      </c>
      <c r="E7" s="2209"/>
      <c r="F7" s="2209"/>
      <c r="G7" s="2210"/>
      <c r="H7" s="2213" t="s">
        <v>10</v>
      </c>
      <c r="I7" s="2209"/>
      <c r="J7" s="2209"/>
      <c r="K7" s="2209"/>
      <c r="L7" s="2209"/>
      <c r="M7" s="2210"/>
      <c r="N7" s="2200"/>
      <c r="O7" s="2215"/>
      <c r="P7" s="2215"/>
      <c r="Q7" s="2215"/>
      <c r="R7" s="2215"/>
      <c r="S7" s="2215"/>
      <c r="T7" s="2215"/>
      <c r="U7" s="2215"/>
      <c r="V7" s="2215"/>
      <c r="W7" s="2216"/>
      <c r="X7" s="2217" t="s">
        <v>101</v>
      </c>
      <c r="Y7" s="2209"/>
      <c r="Z7" s="2209"/>
      <c r="AA7" s="2210"/>
      <c r="AB7" s="2213" t="s">
        <v>10</v>
      </c>
      <c r="AC7" s="2209"/>
      <c r="AD7" s="2209"/>
      <c r="AE7" s="2209"/>
      <c r="AF7" s="2209"/>
      <c r="AG7" s="2210"/>
      <c r="AH7" s="2200"/>
      <c r="AI7" s="2215"/>
      <c r="AJ7" s="2215"/>
      <c r="AK7" s="2215"/>
      <c r="AL7" s="2215"/>
      <c r="AM7" s="2215"/>
      <c r="AN7" s="2215"/>
      <c r="AO7" s="2215"/>
      <c r="AP7" s="2215"/>
      <c r="AQ7" s="2216"/>
      <c r="AR7" s="2217" t="s">
        <v>101</v>
      </c>
      <c r="AS7" s="2209"/>
      <c r="AT7" s="2209"/>
      <c r="AU7" s="2210"/>
      <c r="AV7" s="2213" t="s">
        <v>10</v>
      </c>
      <c r="AW7" s="2209"/>
      <c r="AX7" s="2209"/>
      <c r="AY7" s="2209"/>
      <c r="AZ7" s="2209"/>
      <c r="BA7" s="2210"/>
      <c r="BB7" s="2200"/>
      <c r="BC7" s="2215"/>
      <c r="BD7" s="2215"/>
      <c r="BE7" s="2215"/>
      <c r="BF7" s="2215"/>
      <c r="BG7" s="2215"/>
      <c r="BH7" s="2215"/>
      <c r="BI7" s="2215"/>
      <c r="BJ7" s="2215"/>
      <c r="BK7" s="2216"/>
      <c r="BL7" s="2217" t="s">
        <v>101</v>
      </c>
      <c r="BM7" s="2209"/>
      <c r="BN7" s="2209"/>
      <c r="BO7" s="2210"/>
      <c r="BP7" s="2213" t="s">
        <v>10</v>
      </c>
      <c r="BQ7" s="2209"/>
      <c r="BR7" s="2209"/>
      <c r="BS7" s="2209"/>
      <c r="BT7" s="2209"/>
      <c r="BU7" s="2210"/>
      <c r="BV7" s="2200"/>
      <c r="BW7" s="2215"/>
      <c r="BX7" s="2215"/>
      <c r="BY7" s="2215"/>
      <c r="BZ7" s="2215"/>
      <c r="CA7" s="2215"/>
      <c r="CB7" s="2215"/>
      <c r="CC7" s="2215"/>
      <c r="CD7" s="2215"/>
      <c r="CE7" s="2216"/>
      <c r="CF7" s="2217" t="s">
        <v>101</v>
      </c>
      <c r="CG7" s="2209"/>
      <c r="CH7" s="2209"/>
      <c r="CI7" s="2210"/>
      <c r="CJ7" s="2213" t="s">
        <v>10</v>
      </c>
      <c r="CK7" s="2209"/>
      <c r="CL7" s="2209"/>
      <c r="CM7" s="2209"/>
      <c r="CN7" s="2209"/>
      <c r="CO7" s="2210"/>
      <c r="CP7" s="2200"/>
      <c r="CQ7" s="2215"/>
      <c r="CR7" s="2215"/>
      <c r="CS7" s="2215"/>
      <c r="CT7" s="2215"/>
      <c r="CU7" s="2215"/>
      <c r="CV7" s="2215"/>
      <c r="CW7" s="2215"/>
      <c r="CX7" s="2215"/>
      <c r="CY7" s="2216"/>
      <c r="CZ7" s="2223" t="s">
        <v>11</v>
      </c>
      <c r="DA7" s="2224"/>
      <c r="DB7" s="2224"/>
      <c r="DC7" s="2225"/>
      <c r="DD7" s="2226" t="s">
        <v>10</v>
      </c>
      <c r="DE7" s="2224"/>
      <c r="DF7" s="2224"/>
      <c r="DG7" s="2225"/>
      <c r="DH7" s="2226" t="s">
        <v>12</v>
      </c>
      <c r="DI7" s="2224"/>
      <c r="DJ7" s="2224"/>
      <c r="DK7" s="2224"/>
      <c r="DL7" s="2224"/>
      <c r="DM7" s="2224"/>
      <c r="DN7" s="2224"/>
      <c r="DO7" s="2224"/>
      <c r="DP7" s="2213" t="s">
        <v>13</v>
      </c>
      <c r="DQ7" s="2219"/>
      <c r="DR7" s="2233" t="s">
        <v>11</v>
      </c>
      <c r="DS7" s="2228"/>
      <c r="DT7" s="2227" t="s">
        <v>10</v>
      </c>
      <c r="DU7" s="2228"/>
      <c r="DV7" s="2226" t="s">
        <v>12</v>
      </c>
      <c r="DW7" s="2224"/>
      <c r="DX7" s="2224"/>
      <c r="DY7" s="2224"/>
      <c r="DZ7" s="2224"/>
      <c r="EA7" s="2224"/>
      <c r="EB7" s="2224"/>
      <c r="EC7" s="2224"/>
      <c r="ED7" s="2224"/>
      <c r="EE7" s="2224"/>
      <c r="EF7" s="2224"/>
      <c r="EG7" s="2224"/>
      <c r="EH7" s="2213" t="s">
        <v>14</v>
      </c>
      <c r="EI7" s="2219"/>
    </row>
    <row r="8" spans="1:139" x14ac:dyDescent="0.25">
      <c r="A8" s="2207"/>
      <c r="B8" s="2193"/>
      <c r="C8" s="2196"/>
      <c r="D8" s="2211"/>
      <c r="E8" s="2211"/>
      <c r="F8" s="2211"/>
      <c r="G8" s="2212"/>
      <c r="H8" s="2214"/>
      <c r="I8" s="2211"/>
      <c r="J8" s="2211"/>
      <c r="K8" s="2211"/>
      <c r="L8" s="2211"/>
      <c r="M8" s="2212"/>
      <c r="N8" s="2214" t="s">
        <v>15</v>
      </c>
      <c r="O8" s="2211"/>
      <c r="P8" s="2211"/>
      <c r="Q8" s="2212"/>
      <c r="R8" s="2214" t="s">
        <v>16</v>
      </c>
      <c r="S8" s="2211"/>
      <c r="T8" s="2211"/>
      <c r="U8" s="2212"/>
      <c r="V8" s="2220" t="s">
        <v>17</v>
      </c>
      <c r="W8" s="2221"/>
      <c r="X8" s="2218"/>
      <c r="Y8" s="2211"/>
      <c r="Z8" s="2211"/>
      <c r="AA8" s="2212"/>
      <c r="AB8" s="2214"/>
      <c r="AC8" s="2211"/>
      <c r="AD8" s="2211"/>
      <c r="AE8" s="2211"/>
      <c r="AF8" s="2211"/>
      <c r="AG8" s="2212"/>
      <c r="AH8" s="2200" t="s">
        <v>15</v>
      </c>
      <c r="AI8" s="2215"/>
      <c r="AJ8" s="2215"/>
      <c r="AK8" s="2201"/>
      <c r="AL8" s="2200" t="s">
        <v>16</v>
      </c>
      <c r="AM8" s="2215"/>
      <c r="AN8" s="2215"/>
      <c r="AO8" s="2201"/>
      <c r="AP8" s="2213" t="s">
        <v>17</v>
      </c>
      <c r="AQ8" s="2219"/>
      <c r="AR8" s="2218"/>
      <c r="AS8" s="2211"/>
      <c r="AT8" s="2211"/>
      <c r="AU8" s="2212"/>
      <c r="AV8" s="2214"/>
      <c r="AW8" s="2211"/>
      <c r="AX8" s="2211"/>
      <c r="AY8" s="2211"/>
      <c r="AZ8" s="2211"/>
      <c r="BA8" s="2212"/>
      <c r="BB8" s="2200" t="s">
        <v>15</v>
      </c>
      <c r="BC8" s="2215"/>
      <c r="BD8" s="2215"/>
      <c r="BE8" s="2201"/>
      <c r="BF8" s="2200" t="s">
        <v>16</v>
      </c>
      <c r="BG8" s="2215"/>
      <c r="BH8" s="2215"/>
      <c r="BI8" s="2201"/>
      <c r="BJ8" s="2213" t="s">
        <v>17</v>
      </c>
      <c r="BK8" s="2219"/>
      <c r="BL8" s="2218"/>
      <c r="BM8" s="2211"/>
      <c r="BN8" s="2211"/>
      <c r="BO8" s="2212"/>
      <c r="BP8" s="2214"/>
      <c r="BQ8" s="2211"/>
      <c r="BR8" s="2211"/>
      <c r="BS8" s="2211"/>
      <c r="BT8" s="2211"/>
      <c r="BU8" s="2212"/>
      <c r="BV8" s="2200" t="s">
        <v>15</v>
      </c>
      <c r="BW8" s="2215"/>
      <c r="BX8" s="2215"/>
      <c r="BY8" s="2201"/>
      <c r="BZ8" s="2200" t="s">
        <v>16</v>
      </c>
      <c r="CA8" s="2215"/>
      <c r="CB8" s="2215"/>
      <c r="CC8" s="2201"/>
      <c r="CD8" s="2213" t="s">
        <v>17</v>
      </c>
      <c r="CE8" s="2219"/>
      <c r="CF8" s="2218"/>
      <c r="CG8" s="2211"/>
      <c r="CH8" s="2211"/>
      <c r="CI8" s="2212"/>
      <c r="CJ8" s="2214"/>
      <c r="CK8" s="2211"/>
      <c r="CL8" s="2211"/>
      <c r="CM8" s="2211"/>
      <c r="CN8" s="2211"/>
      <c r="CO8" s="2212"/>
      <c r="CP8" s="2214" t="s">
        <v>15</v>
      </c>
      <c r="CQ8" s="2211"/>
      <c r="CR8" s="2211"/>
      <c r="CS8" s="2212"/>
      <c r="CT8" s="2214" t="s">
        <v>16</v>
      </c>
      <c r="CU8" s="2211"/>
      <c r="CV8" s="2211"/>
      <c r="CW8" s="2212"/>
      <c r="CX8" s="2220" t="s">
        <v>17</v>
      </c>
      <c r="CY8" s="2221"/>
      <c r="CZ8" s="2233" t="s">
        <v>18</v>
      </c>
      <c r="DA8" s="2228"/>
      <c r="DB8" s="2227" t="s">
        <v>19</v>
      </c>
      <c r="DC8" s="2228"/>
      <c r="DD8" s="2227" t="s">
        <v>20</v>
      </c>
      <c r="DE8" s="2228"/>
      <c r="DF8" s="2227" t="s">
        <v>21</v>
      </c>
      <c r="DG8" s="2228"/>
      <c r="DH8" s="2226" t="s">
        <v>15</v>
      </c>
      <c r="DI8" s="2224"/>
      <c r="DJ8" s="2224"/>
      <c r="DK8" s="2225"/>
      <c r="DL8" s="2226" t="s">
        <v>22</v>
      </c>
      <c r="DM8" s="2224"/>
      <c r="DN8" s="2224"/>
      <c r="DO8" s="2224"/>
      <c r="DP8" s="2220"/>
      <c r="DQ8" s="2221"/>
      <c r="DR8" s="2236"/>
      <c r="DS8" s="2237"/>
      <c r="DT8" s="2238"/>
      <c r="DU8" s="2237"/>
      <c r="DV8" s="2227" t="s">
        <v>23</v>
      </c>
      <c r="DW8" s="2228"/>
      <c r="DX8" s="2227" t="s">
        <v>24</v>
      </c>
      <c r="DY8" s="2228"/>
      <c r="DZ8" s="2226" t="s">
        <v>15</v>
      </c>
      <c r="EA8" s="2224"/>
      <c r="EB8" s="2224"/>
      <c r="EC8" s="2225"/>
      <c r="ED8" s="2226" t="s">
        <v>22</v>
      </c>
      <c r="EE8" s="2224"/>
      <c r="EF8" s="2224"/>
      <c r="EG8" s="2224"/>
      <c r="EH8" s="2220"/>
      <c r="EI8" s="2221"/>
    </row>
    <row r="9" spans="1:139" ht="56.45" customHeight="1" x14ac:dyDescent="0.25">
      <c r="A9" s="2207"/>
      <c r="B9" s="2193"/>
      <c r="C9" s="2196"/>
      <c r="D9" s="2231" t="s">
        <v>18</v>
      </c>
      <c r="E9" s="2232"/>
      <c r="F9" s="2200" t="s">
        <v>19</v>
      </c>
      <c r="G9" s="2201"/>
      <c r="H9" s="2214" t="s">
        <v>25</v>
      </c>
      <c r="I9" s="2212"/>
      <c r="J9" s="2214" t="s">
        <v>20</v>
      </c>
      <c r="K9" s="2212"/>
      <c r="L9" s="2214" t="s">
        <v>21</v>
      </c>
      <c r="M9" s="2212"/>
      <c r="N9" s="2200" t="s">
        <v>20</v>
      </c>
      <c r="O9" s="2201"/>
      <c r="P9" s="2200" t="s">
        <v>21</v>
      </c>
      <c r="Q9" s="2201"/>
      <c r="R9" s="2200" t="s">
        <v>20</v>
      </c>
      <c r="S9" s="2201"/>
      <c r="T9" s="2200" t="s">
        <v>21</v>
      </c>
      <c r="U9" s="2201"/>
      <c r="V9" s="2214"/>
      <c r="W9" s="2222"/>
      <c r="X9" s="2235" t="s">
        <v>18</v>
      </c>
      <c r="Y9" s="2232"/>
      <c r="Z9" s="2200" t="s">
        <v>19</v>
      </c>
      <c r="AA9" s="2201"/>
      <c r="AB9" s="2200" t="s">
        <v>25</v>
      </c>
      <c r="AC9" s="2201"/>
      <c r="AD9" s="2200" t="s">
        <v>20</v>
      </c>
      <c r="AE9" s="2201"/>
      <c r="AF9" s="2200" t="s">
        <v>21</v>
      </c>
      <c r="AG9" s="2201"/>
      <c r="AH9" s="2200" t="s">
        <v>20</v>
      </c>
      <c r="AI9" s="2201"/>
      <c r="AJ9" s="2200" t="s">
        <v>21</v>
      </c>
      <c r="AK9" s="2201"/>
      <c r="AL9" s="2200" t="s">
        <v>20</v>
      </c>
      <c r="AM9" s="2201"/>
      <c r="AN9" s="2200" t="s">
        <v>21</v>
      </c>
      <c r="AO9" s="2201"/>
      <c r="AP9" s="2214"/>
      <c r="AQ9" s="2222"/>
      <c r="AR9" s="2235" t="s">
        <v>18</v>
      </c>
      <c r="AS9" s="2232"/>
      <c r="AT9" s="2200" t="s">
        <v>19</v>
      </c>
      <c r="AU9" s="2201"/>
      <c r="AV9" s="2200" t="s">
        <v>25</v>
      </c>
      <c r="AW9" s="2201"/>
      <c r="AX9" s="2200" t="s">
        <v>20</v>
      </c>
      <c r="AY9" s="2201"/>
      <c r="AZ9" s="2200" t="s">
        <v>21</v>
      </c>
      <c r="BA9" s="2201"/>
      <c r="BB9" s="2200" t="s">
        <v>20</v>
      </c>
      <c r="BC9" s="2201"/>
      <c r="BD9" s="2200" t="s">
        <v>21</v>
      </c>
      <c r="BE9" s="2201"/>
      <c r="BF9" s="2200" t="s">
        <v>20</v>
      </c>
      <c r="BG9" s="2201"/>
      <c r="BH9" s="2200" t="s">
        <v>21</v>
      </c>
      <c r="BI9" s="2201"/>
      <c r="BJ9" s="2214"/>
      <c r="BK9" s="2222"/>
      <c r="BL9" s="2235" t="s">
        <v>18</v>
      </c>
      <c r="BM9" s="2232"/>
      <c r="BN9" s="2200" t="s">
        <v>19</v>
      </c>
      <c r="BO9" s="2201"/>
      <c r="BP9" s="2200" t="s">
        <v>25</v>
      </c>
      <c r="BQ9" s="2201"/>
      <c r="BR9" s="2200" t="s">
        <v>20</v>
      </c>
      <c r="BS9" s="2201"/>
      <c r="BT9" s="2200" t="s">
        <v>21</v>
      </c>
      <c r="BU9" s="2201"/>
      <c r="BV9" s="2200" t="s">
        <v>20</v>
      </c>
      <c r="BW9" s="2201"/>
      <c r="BX9" s="2200" t="s">
        <v>21</v>
      </c>
      <c r="BY9" s="2201"/>
      <c r="BZ9" s="2200" t="s">
        <v>20</v>
      </c>
      <c r="CA9" s="2201"/>
      <c r="CB9" s="2200" t="s">
        <v>21</v>
      </c>
      <c r="CC9" s="2201"/>
      <c r="CD9" s="2214"/>
      <c r="CE9" s="2222"/>
      <c r="CF9" s="2235" t="s">
        <v>18</v>
      </c>
      <c r="CG9" s="2232"/>
      <c r="CH9" s="2200" t="s">
        <v>19</v>
      </c>
      <c r="CI9" s="2201"/>
      <c r="CJ9" s="2214" t="s">
        <v>25</v>
      </c>
      <c r="CK9" s="2212"/>
      <c r="CL9" s="2214" t="s">
        <v>20</v>
      </c>
      <c r="CM9" s="2212"/>
      <c r="CN9" s="2214" t="s">
        <v>21</v>
      </c>
      <c r="CO9" s="2212"/>
      <c r="CP9" s="2200" t="s">
        <v>20</v>
      </c>
      <c r="CQ9" s="2201"/>
      <c r="CR9" s="2200" t="s">
        <v>21</v>
      </c>
      <c r="CS9" s="2201"/>
      <c r="CT9" s="2200" t="s">
        <v>20</v>
      </c>
      <c r="CU9" s="2201"/>
      <c r="CV9" s="2200" t="s">
        <v>21</v>
      </c>
      <c r="CW9" s="2201"/>
      <c r="CX9" s="2214"/>
      <c r="CY9" s="2222"/>
      <c r="CZ9" s="2234"/>
      <c r="DA9" s="2230"/>
      <c r="DB9" s="2229"/>
      <c r="DC9" s="2230"/>
      <c r="DD9" s="2229"/>
      <c r="DE9" s="2230"/>
      <c r="DF9" s="2229"/>
      <c r="DG9" s="2230"/>
      <c r="DH9" s="2226" t="s">
        <v>20</v>
      </c>
      <c r="DI9" s="2225"/>
      <c r="DJ9" s="2226" t="s">
        <v>21</v>
      </c>
      <c r="DK9" s="2225"/>
      <c r="DL9" s="2226" t="s">
        <v>20</v>
      </c>
      <c r="DM9" s="2225"/>
      <c r="DN9" s="2226" t="s">
        <v>21</v>
      </c>
      <c r="DO9" s="2224"/>
      <c r="DP9" s="2214"/>
      <c r="DQ9" s="2222"/>
      <c r="DR9" s="2234"/>
      <c r="DS9" s="2230"/>
      <c r="DT9" s="2229"/>
      <c r="DU9" s="2230"/>
      <c r="DV9" s="2229"/>
      <c r="DW9" s="2230"/>
      <c r="DX9" s="2229"/>
      <c r="DY9" s="2230"/>
      <c r="DZ9" s="2226" t="s">
        <v>20</v>
      </c>
      <c r="EA9" s="2225"/>
      <c r="EB9" s="2226" t="s">
        <v>21</v>
      </c>
      <c r="EC9" s="2225"/>
      <c r="ED9" s="2226" t="s">
        <v>20</v>
      </c>
      <c r="EE9" s="2225"/>
      <c r="EF9" s="2226" t="s">
        <v>21</v>
      </c>
      <c r="EG9" s="2224"/>
      <c r="EH9" s="2214"/>
      <c r="EI9" s="2222"/>
    </row>
    <row r="10" spans="1:139" ht="14.45" customHeight="1" x14ac:dyDescent="0.25">
      <c r="A10" s="2207"/>
      <c r="B10" s="2193"/>
      <c r="C10" s="2196"/>
      <c r="D10" s="259" t="s">
        <v>26</v>
      </c>
      <c r="E10" s="260" t="s">
        <v>27</v>
      </c>
      <c r="F10" s="261" t="s">
        <v>26</v>
      </c>
      <c r="G10" s="262" t="s">
        <v>27</v>
      </c>
      <c r="H10" s="258" t="s">
        <v>26</v>
      </c>
      <c r="I10" s="258" t="s">
        <v>28</v>
      </c>
      <c r="J10" s="258" t="s">
        <v>26</v>
      </c>
      <c r="K10" s="258" t="s">
        <v>28</v>
      </c>
      <c r="L10" s="258" t="s">
        <v>26</v>
      </c>
      <c r="M10" s="261" t="s">
        <v>28</v>
      </c>
      <c r="N10" s="258" t="s">
        <v>26</v>
      </c>
      <c r="O10" s="205" t="s">
        <v>28</v>
      </c>
      <c r="P10" s="258" t="s">
        <v>26</v>
      </c>
      <c r="Q10" s="261" t="s">
        <v>28</v>
      </c>
      <c r="R10" s="439" t="s">
        <v>26</v>
      </c>
      <c r="S10" s="258" t="s">
        <v>28</v>
      </c>
      <c r="T10" s="258" t="s">
        <v>26</v>
      </c>
      <c r="U10" s="444" t="s">
        <v>28</v>
      </c>
      <c r="V10" s="439" t="s">
        <v>26</v>
      </c>
      <c r="W10" s="445" t="s">
        <v>28</v>
      </c>
      <c r="X10" s="446" t="s">
        <v>26</v>
      </c>
      <c r="Y10" s="260" t="s">
        <v>27</v>
      </c>
      <c r="Z10" s="261" t="s">
        <v>26</v>
      </c>
      <c r="AA10" s="262" t="s">
        <v>27</v>
      </c>
      <c r="AB10" s="258" t="s">
        <v>26</v>
      </c>
      <c r="AC10" s="258" t="s">
        <v>28</v>
      </c>
      <c r="AD10" s="258" t="s">
        <v>26</v>
      </c>
      <c r="AE10" s="258" t="s">
        <v>28</v>
      </c>
      <c r="AF10" s="258" t="s">
        <v>26</v>
      </c>
      <c r="AG10" s="261" t="s">
        <v>28</v>
      </c>
      <c r="AH10" s="258" t="s">
        <v>26</v>
      </c>
      <c r="AI10" s="205" t="s">
        <v>28</v>
      </c>
      <c r="AJ10" s="258" t="s">
        <v>26</v>
      </c>
      <c r="AK10" s="261" t="s">
        <v>28</v>
      </c>
      <c r="AL10" s="439" t="s">
        <v>26</v>
      </c>
      <c r="AM10" s="258" t="s">
        <v>28</v>
      </c>
      <c r="AN10" s="258" t="s">
        <v>26</v>
      </c>
      <c r="AO10" s="444" t="s">
        <v>28</v>
      </c>
      <c r="AP10" s="439" t="s">
        <v>26</v>
      </c>
      <c r="AQ10" s="445" t="s">
        <v>28</v>
      </c>
      <c r="AR10" s="259" t="s">
        <v>26</v>
      </c>
      <c r="AS10" s="260" t="s">
        <v>27</v>
      </c>
      <c r="AT10" s="261" t="s">
        <v>26</v>
      </c>
      <c r="AU10" s="262" t="s">
        <v>27</v>
      </c>
      <c r="AV10" s="258" t="s">
        <v>26</v>
      </c>
      <c r="AW10" s="258" t="s">
        <v>28</v>
      </c>
      <c r="AX10" s="258" t="s">
        <v>26</v>
      </c>
      <c r="AY10" s="258" t="s">
        <v>28</v>
      </c>
      <c r="AZ10" s="258" t="s">
        <v>26</v>
      </c>
      <c r="BA10" s="261" t="s">
        <v>28</v>
      </c>
      <c r="BB10" s="258" t="s">
        <v>26</v>
      </c>
      <c r="BC10" s="205" t="s">
        <v>28</v>
      </c>
      <c r="BD10" s="258" t="s">
        <v>26</v>
      </c>
      <c r="BE10" s="261" t="s">
        <v>28</v>
      </c>
      <c r="BF10" s="439" t="s">
        <v>26</v>
      </c>
      <c r="BG10" s="258" t="s">
        <v>28</v>
      </c>
      <c r="BH10" s="258" t="s">
        <v>26</v>
      </c>
      <c r="BI10" s="444" t="s">
        <v>28</v>
      </c>
      <c r="BJ10" s="439" t="s">
        <v>26</v>
      </c>
      <c r="BK10" s="445" t="s">
        <v>28</v>
      </c>
      <c r="BL10" s="446" t="s">
        <v>26</v>
      </c>
      <c r="BM10" s="260" t="s">
        <v>27</v>
      </c>
      <c r="BN10" s="261" t="s">
        <v>26</v>
      </c>
      <c r="BO10" s="262" t="s">
        <v>27</v>
      </c>
      <c r="BP10" s="258" t="s">
        <v>26</v>
      </c>
      <c r="BQ10" s="258" t="s">
        <v>28</v>
      </c>
      <c r="BR10" s="258" t="s">
        <v>26</v>
      </c>
      <c r="BS10" s="258" t="s">
        <v>28</v>
      </c>
      <c r="BT10" s="258" t="s">
        <v>26</v>
      </c>
      <c r="BU10" s="261" t="s">
        <v>28</v>
      </c>
      <c r="BV10" s="258" t="s">
        <v>26</v>
      </c>
      <c r="BW10" s="205" t="s">
        <v>28</v>
      </c>
      <c r="BX10" s="258" t="s">
        <v>26</v>
      </c>
      <c r="BY10" s="261" t="s">
        <v>28</v>
      </c>
      <c r="BZ10" s="439" t="s">
        <v>26</v>
      </c>
      <c r="CA10" s="258" t="s">
        <v>28</v>
      </c>
      <c r="CB10" s="258" t="s">
        <v>26</v>
      </c>
      <c r="CC10" s="444" t="s">
        <v>28</v>
      </c>
      <c r="CD10" s="439" t="s">
        <v>26</v>
      </c>
      <c r="CE10" s="445" t="s">
        <v>28</v>
      </c>
      <c r="CF10" s="446" t="s">
        <v>26</v>
      </c>
      <c r="CG10" s="260" t="s">
        <v>27</v>
      </c>
      <c r="CH10" s="261" t="s">
        <v>26</v>
      </c>
      <c r="CI10" s="262" t="s">
        <v>27</v>
      </c>
      <c r="CJ10" s="258" t="s">
        <v>26</v>
      </c>
      <c r="CK10" s="258" t="s">
        <v>28</v>
      </c>
      <c r="CL10" s="258" t="s">
        <v>26</v>
      </c>
      <c r="CM10" s="258" t="s">
        <v>28</v>
      </c>
      <c r="CN10" s="258" t="s">
        <v>26</v>
      </c>
      <c r="CO10" s="261" t="s">
        <v>28</v>
      </c>
      <c r="CP10" s="258" t="s">
        <v>26</v>
      </c>
      <c r="CQ10" s="205" t="s">
        <v>28</v>
      </c>
      <c r="CR10" s="258" t="s">
        <v>26</v>
      </c>
      <c r="CS10" s="261" t="s">
        <v>28</v>
      </c>
      <c r="CT10" s="439" t="s">
        <v>26</v>
      </c>
      <c r="CU10" s="258" t="s">
        <v>28</v>
      </c>
      <c r="CV10" s="258" t="s">
        <v>26</v>
      </c>
      <c r="CW10" s="444" t="s">
        <v>28</v>
      </c>
      <c r="CX10" s="439" t="s">
        <v>26</v>
      </c>
      <c r="CY10" s="445" t="s">
        <v>28</v>
      </c>
      <c r="CZ10" s="447" t="s">
        <v>26</v>
      </c>
      <c r="DA10" s="448" t="s">
        <v>28</v>
      </c>
      <c r="DB10" s="449" t="s">
        <v>26</v>
      </c>
      <c r="DC10" s="449" t="s">
        <v>28</v>
      </c>
      <c r="DD10" s="443" t="s">
        <v>29</v>
      </c>
      <c r="DE10" s="443" t="s">
        <v>28</v>
      </c>
      <c r="DF10" s="443" t="s">
        <v>29</v>
      </c>
      <c r="DG10" s="443" t="s">
        <v>28</v>
      </c>
      <c r="DH10" s="440" t="s">
        <v>26</v>
      </c>
      <c r="DI10" s="450" t="s">
        <v>28</v>
      </c>
      <c r="DJ10" s="442" t="s">
        <v>26</v>
      </c>
      <c r="DK10" s="451" t="s">
        <v>28</v>
      </c>
      <c r="DL10" s="443" t="s">
        <v>26</v>
      </c>
      <c r="DM10" s="449" t="s">
        <v>28</v>
      </c>
      <c r="DN10" s="442" t="s">
        <v>26</v>
      </c>
      <c r="DO10" s="441" t="s">
        <v>28</v>
      </c>
      <c r="DP10" s="258" t="s">
        <v>26</v>
      </c>
      <c r="DQ10" s="445" t="s">
        <v>28</v>
      </c>
      <c r="DR10" s="2250" t="s">
        <v>95</v>
      </c>
      <c r="DS10" s="2240"/>
      <c r="DT10" s="2239" t="s">
        <v>95</v>
      </c>
      <c r="DU10" s="2240"/>
      <c r="DV10" s="2239" t="s">
        <v>95</v>
      </c>
      <c r="DW10" s="2240"/>
      <c r="DX10" s="2239" t="s">
        <v>95</v>
      </c>
      <c r="DY10" s="2240"/>
      <c r="DZ10" s="2239" t="s">
        <v>95</v>
      </c>
      <c r="EA10" s="2240"/>
      <c r="EB10" s="2239" t="s">
        <v>95</v>
      </c>
      <c r="EC10" s="2240"/>
      <c r="ED10" s="2239" t="s">
        <v>95</v>
      </c>
      <c r="EE10" s="2240"/>
      <c r="EF10" s="2239" t="s">
        <v>95</v>
      </c>
      <c r="EG10" s="2240"/>
      <c r="EH10" s="2239" t="s">
        <v>95</v>
      </c>
      <c r="EI10" s="2240"/>
    </row>
    <row r="11" spans="1:139" ht="45.75" thickBot="1" x14ac:dyDescent="0.3">
      <c r="A11" s="2208"/>
      <c r="B11" s="2194"/>
      <c r="C11" s="2197"/>
      <c r="D11" s="263" t="s">
        <v>30</v>
      </c>
      <c r="E11" s="264" t="s">
        <v>30</v>
      </c>
      <c r="F11" s="265" t="s">
        <v>31</v>
      </c>
      <c r="G11" s="266" t="s">
        <v>31</v>
      </c>
      <c r="H11" s="267" t="s">
        <v>32</v>
      </c>
      <c r="I11" s="268" t="s">
        <v>32</v>
      </c>
      <c r="J11" s="269" t="s">
        <v>32</v>
      </c>
      <c r="K11" s="267" t="s">
        <v>32</v>
      </c>
      <c r="L11" s="267" t="s">
        <v>32</v>
      </c>
      <c r="M11" s="268" t="s">
        <v>32</v>
      </c>
      <c r="N11" s="452" t="s">
        <v>32</v>
      </c>
      <c r="O11" s="206" t="s">
        <v>32</v>
      </c>
      <c r="P11" s="269" t="s">
        <v>32</v>
      </c>
      <c r="Q11" s="268" t="s">
        <v>32</v>
      </c>
      <c r="R11" s="269" t="s">
        <v>32</v>
      </c>
      <c r="S11" s="267" t="s">
        <v>32</v>
      </c>
      <c r="T11" s="267" t="s">
        <v>32</v>
      </c>
      <c r="U11" s="453" t="s">
        <v>32</v>
      </c>
      <c r="V11" s="454" t="s">
        <v>32</v>
      </c>
      <c r="W11" s="455" t="s">
        <v>32</v>
      </c>
      <c r="X11" s="263" t="s">
        <v>30</v>
      </c>
      <c r="Y11" s="264" t="s">
        <v>30</v>
      </c>
      <c r="Z11" s="265" t="s">
        <v>31</v>
      </c>
      <c r="AA11" s="266" t="s">
        <v>31</v>
      </c>
      <c r="AB11" s="267" t="s">
        <v>32</v>
      </c>
      <c r="AC11" s="268" t="s">
        <v>32</v>
      </c>
      <c r="AD11" s="269" t="s">
        <v>32</v>
      </c>
      <c r="AE11" s="267" t="s">
        <v>32</v>
      </c>
      <c r="AF11" s="267" t="s">
        <v>32</v>
      </c>
      <c r="AG11" s="268" t="s">
        <v>32</v>
      </c>
      <c r="AH11" s="452" t="s">
        <v>32</v>
      </c>
      <c r="AI11" s="206" t="s">
        <v>32</v>
      </c>
      <c r="AJ11" s="269" t="s">
        <v>32</v>
      </c>
      <c r="AK11" s="268" t="s">
        <v>32</v>
      </c>
      <c r="AL11" s="269" t="s">
        <v>32</v>
      </c>
      <c r="AM11" s="267" t="s">
        <v>32</v>
      </c>
      <c r="AN11" s="267" t="s">
        <v>32</v>
      </c>
      <c r="AO11" s="453" t="s">
        <v>32</v>
      </c>
      <c r="AP11" s="454" t="s">
        <v>32</v>
      </c>
      <c r="AQ11" s="455" t="s">
        <v>32</v>
      </c>
      <c r="AR11" s="403" t="s">
        <v>30</v>
      </c>
      <c r="AS11" s="264" t="s">
        <v>30</v>
      </c>
      <c r="AT11" s="265" t="s">
        <v>31</v>
      </c>
      <c r="AU11" s="266" t="s">
        <v>31</v>
      </c>
      <c r="AV11" s="267" t="s">
        <v>32</v>
      </c>
      <c r="AW11" s="268" t="s">
        <v>32</v>
      </c>
      <c r="AX11" s="269" t="s">
        <v>32</v>
      </c>
      <c r="AY11" s="267" t="s">
        <v>32</v>
      </c>
      <c r="AZ11" s="267" t="s">
        <v>32</v>
      </c>
      <c r="BA11" s="268" t="s">
        <v>32</v>
      </c>
      <c r="BB11" s="452" t="s">
        <v>32</v>
      </c>
      <c r="BC11" s="206" t="s">
        <v>32</v>
      </c>
      <c r="BD11" s="269" t="s">
        <v>32</v>
      </c>
      <c r="BE11" s="268" t="s">
        <v>32</v>
      </c>
      <c r="BF11" s="269" t="s">
        <v>32</v>
      </c>
      <c r="BG11" s="267" t="s">
        <v>32</v>
      </c>
      <c r="BH11" s="267" t="s">
        <v>32</v>
      </c>
      <c r="BI11" s="453" t="s">
        <v>32</v>
      </c>
      <c r="BJ11" s="454" t="s">
        <v>32</v>
      </c>
      <c r="BK11" s="455" t="s">
        <v>32</v>
      </c>
      <c r="BL11" s="263" t="s">
        <v>30</v>
      </c>
      <c r="BM11" s="264" t="s">
        <v>30</v>
      </c>
      <c r="BN11" s="265" t="s">
        <v>31</v>
      </c>
      <c r="BO11" s="266" t="s">
        <v>31</v>
      </c>
      <c r="BP11" s="267" t="s">
        <v>32</v>
      </c>
      <c r="BQ11" s="268" t="s">
        <v>32</v>
      </c>
      <c r="BR11" s="269" t="s">
        <v>32</v>
      </c>
      <c r="BS11" s="267" t="s">
        <v>32</v>
      </c>
      <c r="BT11" s="267" t="s">
        <v>32</v>
      </c>
      <c r="BU11" s="268" t="s">
        <v>32</v>
      </c>
      <c r="BV11" s="452" t="s">
        <v>32</v>
      </c>
      <c r="BW11" s="206" t="s">
        <v>32</v>
      </c>
      <c r="BX11" s="269" t="s">
        <v>32</v>
      </c>
      <c r="BY11" s="268" t="s">
        <v>32</v>
      </c>
      <c r="BZ11" s="269" t="s">
        <v>32</v>
      </c>
      <c r="CA11" s="267" t="s">
        <v>32</v>
      </c>
      <c r="CB11" s="267" t="s">
        <v>32</v>
      </c>
      <c r="CC11" s="453" t="s">
        <v>32</v>
      </c>
      <c r="CD11" s="454" t="s">
        <v>32</v>
      </c>
      <c r="CE11" s="455" t="s">
        <v>32</v>
      </c>
      <c r="CF11" s="263" t="s">
        <v>30</v>
      </c>
      <c r="CG11" s="264" t="s">
        <v>30</v>
      </c>
      <c r="CH11" s="265" t="s">
        <v>31</v>
      </c>
      <c r="CI11" s="266" t="s">
        <v>31</v>
      </c>
      <c r="CJ11" s="267" t="s">
        <v>32</v>
      </c>
      <c r="CK11" s="268" t="s">
        <v>32</v>
      </c>
      <c r="CL11" s="269" t="s">
        <v>32</v>
      </c>
      <c r="CM11" s="267" t="s">
        <v>32</v>
      </c>
      <c r="CN11" s="267" t="s">
        <v>32</v>
      </c>
      <c r="CO11" s="268" t="s">
        <v>32</v>
      </c>
      <c r="CP11" s="452" t="s">
        <v>32</v>
      </c>
      <c r="CQ11" s="206" t="s">
        <v>32</v>
      </c>
      <c r="CR11" s="269" t="s">
        <v>32</v>
      </c>
      <c r="CS11" s="268" t="s">
        <v>32</v>
      </c>
      <c r="CT11" s="269" t="s">
        <v>32</v>
      </c>
      <c r="CU11" s="267" t="s">
        <v>32</v>
      </c>
      <c r="CV11" s="267" t="s">
        <v>32</v>
      </c>
      <c r="CW11" s="453" t="s">
        <v>32</v>
      </c>
      <c r="CX11" s="454" t="s">
        <v>32</v>
      </c>
      <c r="CY11" s="455" t="s">
        <v>32</v>
      </c>
      <c r="CZ11" s="456" t="s">
        <v>33</v>
      </c>
      <c r="DA11" s="457" t="s">
        <v>33</v>
      </c>
      <c r="DB11" s="458" t="s">
        <v>31</v>
      </c>
      <c r="DC11" s="458" t="s">
        <v>31</v>
      </c>
      <c r="DD11" s="459" t="s">
        <v>34</v>
      </c>
      <c r="DE11" s="458" t="s">
        <v>34</v>
      </c>
      <c r="DF11" s="458" t="s">
        <v>34</v>
      </c>
      <c r="DG11" s="458" t="s">
        <v>34</v>
      </c>
      <c r="DH11" s="459" t="s">
        <v>34</v>
      </c>
      <c r="DI11" s="458" t="s">
        <v>34</v>
      </c>
      <c r="DJ11" s="458" t="s">
        <v>34</v>
      </c>
      <c r="DK11" s="458" t="s">
        <v>34</v>
      </c>
      <c r="DL11" s="459" t="s">
        <v>34</v>
      </c>
      <c r="DM11" s="458" t="s">
        <v>34</v>
      </c>
      <c r="DN11" s="458" t="s">
        <v>34</v>
      </c>
      <c r="DO11" s="460" t="s">
        <v>34</v>
      </c>
      <c r="DP11" s="268" t="s">
        <v>32</v>
      </c>
      <c r="DQ11" s="455" t="s">
        <v>32</v>
      </c>
      <c r="DR11" s="461" t="s">
        <v>35</v>
      </c>
      <c r="DS11" s="462" t="s">
        <v>31</v>
      </c>
      <c r="DT11" s="459" t="s">
        <v>34</v>
      </c>
      <c r="DU11" s="458" t="s">
        <v>31</v>
      </c>
      <c r="DV11" s="459" t="s">
        <v>34</v>
      </c>
      <c r="DW11" s="463" t="s">
        <v>31</v>
      </c>
      <c r="DX11" s="458" t="s">
        <v>34</v>
      </c>
      <c r="DY11" s="458" t="s">
        <v>31</v>
      </c>
      <c r="DZ11" s="459" t="s">
        <v>34</v>
      </c>
      <c r="EA11" s="458" t="s">
        <v>31</v>
      </c>
      <c r="EB11" s="458" t="s">
        <v>34</v>
      </c>
      <c r="EC11" s="458" t="s">
        <v>31</v>
      </c>
      <c r="ED11" s="459" t="s">
        <v>34</v>
      </c>
      <c r="EE11" s="458" t="s">
        <v>31</v>
      </c>
      <c r="EF11" s="458" t="s">
        <v>34</v>
      </c>
      <c r="EG11" s="460" t="s">
        <v>31</v>
      </c>
      <c r="EH11" s="460" t="s">
        <v>34</v>
      </c>
      <c r="EI11" s="464" t="s">
        <v>31</v>
      </c>
    </row>
    <row r="12" spans="1:139" ht="15.75" thickBot="1" x14ac:dyDescent="0.3">
      <c r="A12" s="438"/>
      <c r="B12" s="274"/>
      <c r="C12" s="276"/>
      <c r="D12" s="270"/>
      <c r="E12" s="271"/>
      <c r="F12" s="272"/>
      <c r="G12" s="273"/>
      <c r="H12" s="274"/>
      <c r="I12" s="275"/>
      <c r="J12" s="276"/>
      <c r="K12" s="276"/>
      <c r="L12" s="276"/>
      <c r="M12" s="275"/>
      <c r="N12" s="465"/>
      <c r="O12" s="466"/>
      <c r="P12" s="276"/>
      <c r="Q12" s="275"/>
      <c r="R12" s="467"/>
      <c r="S12" s="468"/>
      <c r="T12" s="276"/>
      <c r="U12" s="469"/>
      <c r="V12" s="276"/>
      <c r="W12" s="276"/>
      <c r="X12" s="270"/>
      <c r="Y12" s="271"/>
      <c r="Z12" s="272"/>
      <c r="AA12" s="273"/>
      <c r="AB12" s="274"/>
      <c r="AC12" s="275"/>
      <c r="AD12" s="276"/>
      <c r="AE12" s="276"/>
      <c r="AF12" s="276"/>
      <c r="AG12" s="275"/>
      <c r="AH12" s="465"/>
      <c r="AI12" s="207"/>
      <c r="AJ12" s="276"/>
      <c r="AK12" s="275"/>
      <c r="AL12" s="276"/>
      <c r="AM12" s="276"/>
      <c r="AN12" s="274"/>
      <c r="AO12" s="469"/>
      <c r="AP12" s="276"/>
      <c r="AQ12" s="470"/>
      <c r="AR12" s="271"/>
      <c r="AS12" s="271"/>
      <c r="AT12" s="272"/>
      <c r="AU12" s="273"/>
      <c r="AV12" s="274"/>
      <c r="AW12" s="275"/>
      <c r="AX12" s="276"/>
      <c r="AY12" s="276"/>
      <c r="AZ12" s="276"/>
      <c r="BA12" s="275"/>
      <c r="BB12" s="465"/>
      <c r="BC12" s="207"/>
      <c r="BD12" s="276"/>
      <c r="BE12" s="275"/>
      <c r="BF12" s="276"/>
      <c r="BG12" s="276"/>
      <c r="BH12" s="274"/>
      <c r="BI12" s="469"/>
      <c r="BJ12" s="276"/>
      <c r="BK12" s="276"/>
      <c r="BL12" s="270"/>
      <c r="BM12" s="271"/>
      <c r="BN12" s="272"/>
      <c r="BO12" s="273"/>
      <c r="BP12" s="274"/>
      <c r="BQ12" s="275"/>
      <c r="BR12" s="276"/>
      <c r="BS12" s="276"/>
      <c r="BT12" s="276"/>
      <c r="BU12" s="275"/>
      <c r="BV12" s="465"/>
      <c r="BW12" s="207"/>
      <c r="BX12" s="276"/>
      <c r="BY12" s="275"/>
      <c r="BZ12" s="276"/>
      <c r="CA12" s="276"/>
      <c r="CB12" s="274"/>
      <c r="CC12" s="469"/>
      <c r="CD12" s="276"/>
      <c r="CE12" s="276"/>
      <c r="CF12" s="270"/>
      <c r="CG12" s="271"/>
      <c r="CH12" s="272"/>
      <c r="CI12" s="471"/>
      <c r="CJ12" s="276"/>
      <c r="CK12" s="275"/>
      <c r="CL12" s="276"/>
      <c r="CM12" s="276"/>
      <c r="CN12" s="276"/>
      <c r="CO12" s="275"/>
      <c r="CP12" s="465"/>
      <c r="CQ12" s="207"/>
      <c r="CR12" s="276"/>
      <c r="CS12" s="275"/>
      <c r="CT12" s="276"/>
      <c r="CU12" s="276"/>
      <c r="CV12" s="276"/>
      <c r="CW12" s="469"/>
      <c r="CX12" s="276"/>
      <c r="CY12" s="470"/>
      <c r="CZ12" s="472"/>
      <c r="DA12" s="473"/>
      <c r="DB12" s="474"/>
      <c r="DC12" s="475"/>
      <c r="DD12" s="476"/>
      <c r="DE12" s="476"/>
      <c r="DF12" s="476"/>
      <c r="DG12" s="476"/>
      <c r="DH12" s="475"/>
      <c r="DI12" s="475"/>
      <c r="DJ12" s="475"/>
      <c r="DK12" s="475"/>
      <c r="DL12" s="475"/>
      <c r="DM12" s="475"/>
      <c r="DN12" s="475"/>
      <c r="DO12" s="475"/>
      <c r="DP12" s="274"/>
      <c r="DQ12" s="470"/>
      <c r="DR12" s="477"/>
      <c r="DS12" s="478"/>
      <c r="DT12" s="475"/>
      <c r="DU12" s="479"/>
      <c r="DV12" s="475"/>
      <c r="DW12" s="480"/>
      <c r="DX12" s="475"/>
      <c r="DY12" s="479"/>
      <c r="DZ12" s="475"/>
      <c r="EA12" s="475"/>
      <c r="EB12" s="481"/>
      <c r="EC12" s="479"/>
      <c r="ED12" s="475"/>
      <c r="EE12" s="475"/>
      <c r="EF12" s="475"/>
      <c r="EG12" s="475"/>
      <c r="EH12" s="481"/>
      <c r="EI12" s="482"/>
    </row>
    <row r="13" spans="1:139" x14ac:dyDescent="0.25">
      <c r="A13" s="2241" t="s">
        <v>36</v>
      </c>
      <c r="B13" s="2188" t="s">
        <v>37</v>
      </c>
      <c r="C13" s="2189"/>
      <c r="D13" s="277">
        <v>809.69999999999993</v>
      </c>
      <c r="E13" s="278"/>
      <c r="F13" s="279">
        <v>7.3629841137047708E-2</v>
      </c>
      <c r="G13" s="278"/>
      <c r="H13" s="280" t="s">
        <v>38</v>
      </c>
      <c r="I13" s="281" t="s">
        <v>38</v>
      </c>
      <c r="J13" s="282">
        <v>369375.13299999997</v>
      </c>
      <c r="K13" s="483"/>
      <c r="L13" s="405" t="s">
        <v>38</v>
      </c>
      <c r="M13" s="484" t="s">
        <v>38</v>
      </c>
      <c r="N13" s="485">
        <v>363109.12</v>
      </c>
      <c r="O13" s="483"/>
      <c r="P13" s="280" t="s">
        <v>38</v>
      </c>
      <c r="Q13" s="281" t="s">
        <v>38</v>
      </c>
      <c r="R13" s="485">
        <v>6266.0130000000008</v>
      </c>
      <c r="S13" s="483"/>
      <c r="T13" s="280" t="s">
        <v>38</v>
      </c>
      <c r="U13" s="281" t="s">
        <v>38</v>
      </c>
      <c r="V13" s="486">
        <v>456.18764110164261</v>
      </c>
      <c r="W13" s="486"/>
      <c r="X13" s="277">
        <v>807.39999999999986</v>
      </c>
      <c r="Y13" s="278"/>
      <c r="Z13" s="279">
        <v>7.3387324007671395E-2</v>
      </c>
      <c r="AA13" s="278"/>
      <c r="AB13" s="280" t="s">
        <v>38</v>
      </c>
      <c r="AC13" s="281" t="s">
        <v>38</v>
      </c>
      <c r="AD13" s="282">
        <v>347608.8</v>
      </c>
      <c r="AE13" s="483"/>
      <c r="AF13" s="405" t="s">
        <v>38</v>
      </c>
      <c r="AG13" s="484" t="s">
        <v>38</v>
      </c>
      <c r="AH13" s="485">
        <v>341342.8</v>
      </c>
      <c r="AI13" s="483"/>
      <c r="AJ13" s="280" t="s">
        <v>38</v>
      </c>
      <c r="AK13" s="281" t="s">
        <v>38</v>
      </c>
      <c r="AL13" s="485">
        <v>6266</v>
      </c>
      <c r="AM13" s="483"/>
      <c r="AN13" s="280" t="s">
        <v>38</v>
      </c>
      <c r="AO13" s="281" t="s">
        <v>38</v>
      </c>
      <c r="AP13" s="486">
        <v>430.52861035422347</v>
      </c>
      <c r="AQ13" s="486"/>
      <c r="AR13" s="1431">
        <f>SUM(AR14:AR18)</f>
        <v>823.09999999999991</v>
      </c>
      <c r="AS13" s="1432"/>
      <c r="AT13" s="1433">
        <f>AR13/11106.9</f>
        <v>7.4107086585816023E-2</v>
      </c>
      <c r="AU13" s="1432"/>
      <c r="AV13" s="1081" t="s">
        <v>38</v>
      </c>
      <c r="AW13" s="1434"/>
      <c r="AX13" s="1081">
        <f>BB13+BF13</f>
        <v>364248</v>
      </c>
      <c r="AY13" s="1438"/>
      <c r="AZ13" s="1084" t="s">
        <v>38</v>
      </c>
      <c r="BA13" s="1435"/>
      <c r="BB13" s="1436">
        <f>SUM(BB14:BB18)</f>
        <v>358186</v>
      </c>
      <c r="BC13" s="1438"/>
      <c r="BD13" s="1081" t="s">
        <v>38</v>
      </c>
      <c r="BE13" s="1434"/>
      <c r="BF13" s="1436">
        <f>SUM(BF14:BF18)</f>
        <v>6062</v>
      </c>
      <c r="BG13" s="1438"/>
      <c r="BH13" s="1081" t="s">
        <v>38</v>
      </c>
      <c r="BI13" s="1434"/>
      <c r="BJ13" s="1084">
        <f>AX13/AR13</f>
        <v>442.53189162920671</v>
      </c>
      <c r="BK13" s="1084"/>
      <c r="BL13" s="1431">
        <f>SUM(BL14:BL18)</f>
        <v>816</v>
      </c>
      <c r="BM13" s="1432"/>
      <c r="BN13" s="1433">
        <f>BL13/11096.9</f>
        <v>7.3534050050013969E-2</v>
      </c>
      <c r="BO13" s="1432"/>
      <c r="BP13" s="1081" t="s">
        <v>38</v>
      </c>
      <c r="BQ13" s="1434"/>
      <c r="BR13" s="1081">
        <f>BV13+BZ13</f>
        <v>368275.12</v>
      </c>
      <c r="BS13" s="1438"/>
      <c r="BT13" s="1084" t="s">
        <v>38</v>
      </c>
      <c r="BU13" s="1435"/>
      <c r="BV13" s="1436">
        <f>SUM(BV14:BV18)</f>
        <v>361805.12</v>
      </c>
      <c r="BW13" s="1438"/>
      <c r="BX13" s="1081" t="s">
        <v>38</v>
      </c>
      <c r="BY13" s="1434"/>
      <c r="BZ13" s="1436">
        <f>SUM(BZ14:BZ18)</f>
        <v>6470</v>
      </c>
      <c r="CA13" s="1438"/>
      <c r="CB13" s="1081" t="s">
        <v>38</v>
      </c>
      <c r="CC13" s="1434"/>
      <c r="CD13" s="1084">
        <f>BR13/BL13</f>
        <v>451.31754901960784</v>
      </c>
      <c r="CE13" s="1686"/>
      <c r="CF13" s="1431">
        <f t="shared" ref="CF13:CF62" si="0">BL13+AR13+X13+D13</f>
        <v>3256.2</v>
      </c>
      <c r="CG13" s="1084"/>
      <c r="CH13" s="1433">
        <f>CF13/44202.6</f>
        <v>7.3665350002036084E-2</v>
      </c>
      <c r="CI13" s="1434"/>
      <c r="CJ13" s="1084" t="s">
        <v>38</v>
      </c>
      <c r="CK13" s="1435"/>
      <c r="CL13" s="1436">
        <f t="shared" ref="CL13:CL62" si="1">BR13+AX13+AD13+J13</f>
        <v>1449507.0529999998</v>
      </c>
      <c r="CM13" s="1437"/>
      <c r="CN13" s="1438" t="s">
        <v>38</v>
      </c>
      <c r="CO13" s="1435"/>
      <c r="CP13" s="1436">
        <f t="shared" ref="CP13:CP62" si="2">BV13+BB13+AH13+N13</f>
        <v>1424443.04</v>
      </c>
      <c r="CQ13" s="1438"/>
      <c r="CR13" s="1084" t="s">
        <v>38</v>
      </c>
      <c r="CS13" s="1435"/>
      <c r="CT13" s="1436">
        <f t="shared" ref="CT13:CT62" si="3">BZ13+BF13+AL13+R13</f>
        <v>25064.012999999999</v>
      </c>
      <c r="CU13" s="1438"/>
      <c r="CV13" s="1084" t="s">
        <v>38</v>
      </c>
      <c r="CW13" s="1435"/>
      <c r="CX13" s="1436">
        <f>CL13/CF13</f>
        <v>445.15295528530186</v>
      </c>
      <c r="CY13" s="1439"/>
      <c r="CZ13" s="491"/>
      <c r="DA13" s="492"/>
      <c r="DB13" s="493"/>
      <c r="DC13" s="494"/>
      <c r="DD13" s="495"/>
      <c r="DE13" s="496"/>
      <c r="DF13" s="280"/>
      <c r="DG13" s="281"/>
      <c r="DH13" s="485"/>
      <c r="DI13" s="483"/>
      <c r="DJ13" s="280"/>
      <c r="DK13" s="281"/>
      <c r="DL13" s="485"/>
      <c r="DM13" s="483"/>
      <c r="DN13" s="280"/>
      <c r="DO13" s="281"/>
      <c r="DP13" s="497"/>
      <c r="DQ13" s="498"/>
      <c r="DR13" s="499"/>
      <c r="DS13" s="500"/>
      <c r="DT13" s="280"/>
      <c r="DU13" s="281"/>
      <c r="DV13" s="486"/>
      <c r="DW13" s="279"/>
      <c r="DX13" s="489"/>
      <c r="DY13" s="501"/>
      <c r="DZ13" s="486"/>
      <c r="EA13" s="279"/>
      <c r="EB13" s="280"/>
      <c r="EC13" s="281"/>
      <c r="ED13" s="486"/>
      <c r="EE13" s="500"/>
      <c r="EF13" s="486"/>
      <c r="EG13" s="494"/>
      <c r="EH13" s="282"/>
      <c r="EI13" s="502"/>
    </row>
    <row r="14" spans="1:139" x14ac:dyDescent="0.25">
      <c r="A14" s="2242"/>
      <c r="B14" s="503"/>
      <c r="C14" s="504" t="s">
        <v>39</v>
      </c>
      <c r="D14" s="234">
        <v>446.1</v>
      </c>
      <c r="E14" s="228"/>
      <c r="F14" s="246">
        <v>0.2043518094365552</v>
      </c>
      <c r="G14" s="228"/>
      <c r="H14" s="283" t="s">
        <v>38</v>
      </c>
      <c r="I14" s="284" t="s">
        <v>38</v>
      </c>
      <c r="J14" s="285">
        <v>282154.01299999998</v>
      </c>
      <c r="K14" s="208"/>
      <c r="L14" s="406" t="s">
        <v>38</v>
      </c>
      <c r="M14" s="505" t="s">
        <v>38</v>
      </c>
      <c r="N14" s="506">
        <v>275888</v>
      </c>
      <c r="O14" s="507"/>
      <c r="P14" s="283" t="s">
        <v>38</v>
      </c>
      <c r="Q14" s="284" t="s">
        <v>38</v>
      </c>
      <c r="R14" s="506">
        <v>6266.0130000000008</v>
      </c>
      <c r="S14" s="208"/>
      <c r="T14" s="283" t="s">
        <v>38</v>
      </c>
      <c r="U14" s="284" t="s">
        <v>38</v>
      </c>
      <c r="V14" s="231">
        <v>632.49050212956729</v>
      </c>
      <c r="W14" s="231"/>
      <c r="X14" s="234">
        <v>444.9</v>
      </c>
      <c r="Y14" s="228"/>
      <c r="Z14" s="246">
        <v>0.20370879120879121</v>
      </c>
      <c r="AA14" s="228"/>
      <c r="AB14" s="283" t="s">
        <v>38</v>
      </c>
      <c r="AC14" s="284" t="s">
        <v>38</v>
      </c>
      <c r="AD14" s="285">
        <v>279051</v>
      </c>
      <c r="AE14" s="208"/>
      <c r="AF14" s="406" t="s">
        <v>38</v>
      </c>
      <c r="AG14" s="505" t="s">
        <v>38</v>
      </c>
      <c r="AH14" s="506">
        <v>272785</v>
      </c>
      <c r="AI14" s="507"/>
      <c r="AJ14" s="283" t="s">
        <v>38</v>
      </c>
      <c r="AK14" s="284" t="s">
        <v>38</v>
      </c>
      <c r="AL14" s="506">
        <v>6266</v>
      </c>
      <c r="AM14" s="208"/>
      <c r="AN14" s="283" t="s">
        <v>38</v>
      </c>
      <c r="AO14" s="284" t="s">
        <v>38</v>
      </c>
      <c r="AP14" s="231">
        <v>627.22184760620371</v>
      </c>
      <c r="AQ14" s="231"/>
      <c r="AR14" s="1440">
        <v>452.5</v>
      </c>
      <c r="AS14" s="1441"/>
      <c r="AT14" s="1442">
        <f>AR14/2208</f>
        <v>0.20493659420289856</v>
      </c>
      <c r="AU14" s="1441"/>
      <c r="AV14" s="1089" t="s">
        <v>38</v>
      </c>
      <c r="AW14" s="1443"/>
      <c r="AX14" s="1107">
        <f>BB14+BF14</f>
        <v>273703</v>
      </c>
      <c r="AY14" s="1175"/>
      <c r="AZ14" s="1092" t="s">
        <v>38</v>
      </c>
      <c r="BA14" s="1446"/>
      <c r="BB14" s="1173">
        <f>236779+30862</f>
        <v>267641</v>
      </c>
      <c r="BC14" s="1175"/>
      <c r="BD14" s="1089" t="s">
        <v>38</v>
      </c>
      <c r="BE14" s="1443"/>
      <c r="BF14" s="1173">
        <f>8062-2000</f>
        <v>6062</v>
      </c>
      <c r="BG14" s="1175"/>
      <c r="BH14" s="1089" t="s">
        <v>38</v>
      </c>
      <c r="BI14" s="1443"/>
      <c r="BJ14" s="1092">
        <f>AX14/AR14</f>
        <v>604.8685082872928</v>
      </c>
      <c r="BK14" s="1092"/>
      <c r="BL14" s="1440">
        <v>448.4</v>
      </c>
      <c r="BM14" s="1441"/>
      <c r="BN14" s="1442">
        <f>BL14/2209</f>
        <v>0.20298777727478495</v>
      </c>
      <c r="BO14" s="1441"/>
      <c r="BP14" s="1089" t="s">
        <v>38</v>
      </c>
      <c r="BQ14" s="1443"/>
      <c r="BR14" s="1107">
        <f>BV14+BZ14</f>
        <v>278520</v>
      </c>
      <c r="BS14" s="1175"/>
      <c r="BT14" s="1092" t="s">
        <v>38</v>
      </c>
      <c r="BU14" s="1446"/>
      <c r="BV14" s="1173">
        <f>236248+35802</f>
        <v>272050</v>
      </c>
      <c r="BW14" s="1469"/>
      <c r="BX14" s="1089"/>
      <c r="BY14" s="1443"/>
      <c r="BZ14" s="1173">
        <f>7500-1030</f>
        <v>6470</v>
      </c>
      <c r="CA14" s="1175"/>
      <c r="CB14" s="1089" t="s">
        <v>38</v>
      </c>
      <c r="CC14" s="1443"/>
      <c r="CD14" s="1092">
        <f>BR14/BL14</f>
        <v>621.14183764495988</v>
      </c>
      <c r="CE14" s="1687"/>
      <c r="CF14" s="1444">
        <f t="shared" si="0"/>
        <v>1791.9</v>
      </c>
      <c r="CG14" s="1110"/>
      <c r="CH14" s="1445">
        <f>CF14/8760</f>
        <v>0.20455479452054795</v>
      </c>
      <c r="CI14" s="1443"/>
      <c r="CJ14" s="1092" t="s">
        <v>38</v>
      </c>
      <c r="CK14" s="1446"/>
      <c r="CL14" s="1173">
        <f t="shared" si="1"/>
        <v>1113428.013</v>
      </c>
      <c r="CM14" s="1447"/>
      <c r="CN14" s="1175" t="s">
        <v>38</v>
      </c>
      <c r="CO14" s="1446"/>
      <c r="CP14" s="1173">
        <f t="shared" si="2"/>
        <v>1088364</v>
      </c>
      <c r="CQ14" s="1175"/>
      <c r="CR14" s="1092" t="s">
        <v>38</v>
      </c>
      <c r="CS14" s="1446"/>
      <c r="CT14" s="1173">
        <f t="shared" si="3"/>
        <v>25064.012999999999</v>
      </c>
      <c r="CU14" s="1175"/>
      <c r="CV14" s="1092" t="s">
        <v>38</v>
      </c>
      <c r="CW14" s="1446"/>
      <c r="CX14" s="1173">
        <f t="shared" ref="CX14:CX62" si="4">CL14/CF14</f>
        <v>621.36727105307216</v>
      </c>
      <c r="CY14" s="1448"/>
      <c r="CZ14" s="512"/>
      <c r="DA14" s="513"/>
      <c r="DB14" s="514"/>
      <c r="DC14" s="515"/>
      <c r="DD14" s="506"/>
      <c r="DE14" s="231"/>
      <c r="DF14" s="283"/>
      <c r="DG14" s="284"/>
      <c r="DH14" s="506"/>
      <c r="DI14" s="208"/>
      <c r="DJ14" s="283"/>
      <c r="DK14" s="284"/>
      <c r="DL14" s="506"/>
      <c r="DM14" s="208"/>
      <c r="DN14" s="283"/>
      <c r="DO14" s="284"/>
      <c r="DP14" s="506"/>
      <c r="DQ14" s="516"/>
      <c r="DR14" s="242"/>
      <c r="DS14" s="517"/>
      <c r="DT14" s="283"/>
      <c r="DU14" s="284"/>
      <c r="DV14" s="509"/>
      <c r="DW14" s="510"/>
      <c r="DX14" s="518"/>
      <c r="DY14" s="519"/>
      <c r="DZ14" s="509"/>
      <c r="EA14" s="510"/>
      <c r="EB14" s="283"/>
      <c r="EC14" s="284"/>
      <c r="ED14" s="509"/>
      <c r="EE14" s="517"/>
      <c r="EF14" s="509"/>
      <c r="EG14" s="520"/>
      <c r="EH14" s="298"/>
      <c r="EI14" s="521"/>
    </row>
    <row r="15" spans="1:139" x14ac:dyDescent="0.25">
      <c r="A15" s="2242"/>
      <c r="B15" s="503"/>
      <c r="C15" s="504" t="s">
        <v>40</v>
      </c>
      <c r="D15" s="234">
        <v>87.9</v>
      </c>
      <c r="E15" s="228"/>
      <c r="F15" s="246">
        <v>4.0265689418231797E-2</v>
      </c>
      <c r="G15" s="228"/>
      <c r="H15" s="283" t="s">
        <v>38</v>
      </c>
      <c r="I15" s="284" t="s">
        <v>38</v>
      </c>
      <c r="J15" s="286">
        <v>0</v>
      </c>
      <c r="K15" s="238"/>
      <c r="L15" s="406" t="s">
        <v>38</v>
      </c>
      <c r="M15" s="505" t="s">
        <v>38</v>
      </c>
      <c r="N15" s="506">
        <v>0</v>
      </c>
      <c r="O15" s="522"/>
      <c r="P15" s="283" t="s">
        <v>38</v>
      </c>
      <c r="Q15" s="284" t="s">
        <v>38</v>
      </c>
      <c r="R15" s="506">
        <v>0</v>
      </c>
      <c r="S15" s="208"/>
      <c r="T15" s="283" t="s">
        <v>38</v>
      </c>
      <c r="U15" s="284" t="s">
        <v>38</v>
      </c>
      <c r="V15" s="231">
        <v>0</v>
      </c>
      <c r="W15" s="231"/>
      <c r="X15" s="234">
        <v>87</v>
      </c>
      <c r="Y15" s="228"/>
      <c r="Z15" s="246">
        <v>3.9835164835164832E-2</v>
      </c>
      <c r="AA15" s="228"/>
      <c r="AB15" s="283" t="s">
        <v>38</v>
      </c>
      <c r="AC15" s="284" t="s">
        <v>38</v>
      </c>
      <c r="AD15" s="286">
        <v>0</v>
      </c>
      <c r="AE15" s="238"/>
      <c r="AF15" s="406" t="s">
        <v>38</v>
      </c>
      <c r="AG15" s="505" t="s">
        <v>38</v>
      </c>
      <c r="AH15" s="506">
        <v>0</v>
      </c>
      <c r="AI15" s="522"/>
      <c r="AJ15" s="283" t="s">
        <v>38</v>
      </c>
      <c r="AK15" s="284" t="s">
        <v>38</v>
      </c>
      <c r="AL15" s="506">
        <v>0</v>
      </c>
      <c r="AM15" s="208"/>
      <c r="AN15" s="283" t="s">
        <v>38</v>
      </c>
      <c r="AO15" s="284" t="s">
        <v>38</v>
      </c>
      <c r="AP15" s="231">
        <v>0</v>
      </c>
      <c r="AQ15" s="231"/>
      <c r="AR15" s="1440">
        <v>87.9</v>
      </c>
      <c r="AS15" s="1441"/>
      <c r="AT15" s="1442">
        <f>AR15/2208</f>
        <v>3.9809782608695651E-2</v>
      </c>
      <c r="AU15" s="1441"/>
      <c r="AV15" s="1089" t="s">
        <v>38</v>
      </c>
      <c r="AW15" s="1443"/>
      <c r="AX15" s="1089">
        <f t="shared" ref="AX15:AX61" si="5">BB15+BF15</f>
        <v>0</v>
      </c>
      <c r="AY15" s="1170"/>
      <c r="AZ15" s="1092" t="s">
        <v>38</v>
      </c>
      <c r="BA15" s="1446"/>
      <c r="BB15" s="1173">
        <v>0</v>
      </c>
      <c r="BC15" s="1175"/>
      <c r="BD15" s="1089" t="s">
        <v>38</v>
      </c>
      <c r="BE15" s="1443"/>
      <c r="BF15" s="1173">
        <v>0</v>
      </c>
      <c r="BG15" s="1175"/>
      <c r="BH15" s="1089" t="s">
        <v>38</v>
      </c>
      <c r="BI15" s="1443"/>
      <c r="BJ15" s="1092">
        <f t="shared" ref="BJ15:BJ21" si="6">AX15/AR15</f>
        <v>0</v>
      </c>
      <c r="BK15" s="1092"/>
      <c r="BL15" s="1440">
        <v>87.9</v>
      </c>
      <c r="BM15" s="1441"/>
      <c r="BN15" s="1442">
        <f>BL15/2209</f>
        <v>3.9791760977818016E-2</v>
      </c>
      <c r="BO15" s="1441"/>
      <c r="BP15" s="1089" t="s">
        <v>38</v>
      </c>
      <c r="BQ15" s="1443"/>
      <c r="BR15" s="1089">
        <f t="shared" ref="BR15:BR61" si="7">BV15+BZ15</f>
        <v>0</v>
      </c>
      <c r="BS15" s="1170"/>
      <c r="BT15" s="1092" t="s">
        <v>38</v>
      </c>
      <c r="BU15" s="1446"/>
      <c r="BV15" s="1173">
        <v>0</v>
      </c>
      <c r="BW15" s="1656"/>
      <c r="BX15" s="1089"/>
      <c r="BY15" s="1443"/>
      <c r="BZ15" s="1173"/>
      <c r="CA15" s="1175"/>
      <c r="CB15" s="1089" t="s">
        <v>38</v>
      </c>
      <c r="CC15" s="1443"/>
      <c r="CD15" s="1092">
        <f t="shared" ref="CD15:CD62" si="8">BR15/BL15</f>
        <v>0</v>
      </c>
      <c r="CE15" s="1687"/>
      <c r="CF15" s="1444">
        <f t="shared" si="0"/>
        <v>350.70000000000005</v>
      </c>
      <c r="CG15" s="1092"/>
      <c r="CH15" s="1445">
        <f>CF15/8760</f>
        <v>4.0034246575342471E-2</v>
      </c>
      <c r="CI15" s="1449"/>
      <c r="CJ15" s="1092" t="s">
        <v>38</v>
      </c>
      <c r="CK15" s="1446"/>
      <c r="CL15" s="1173">
        <f t="shared" si="1"/>
        <v>0</v>
      </c>
      <c r="CM15" s="1447"/>
      <c r="CN15" s="1175" t="s">
        <v>38</v>
      </c>
      <c r="CO15" s="1446"/>
      <c r="CP15" s="1173">
        <f t="shared" si="2"/>
        <v>0</v>
      </c>
      <c r="CQ15" s="1175"/>
      <c r="CR15" s="1092" t="s">
        <v>38</v>
      </c>
      <c r="CS15" s="1446"/>
      <c r="CT15" s="1173">
        <f t="shared" si="3"/>
        <v>0</v>
      </c>
      <c r="CU15" s="1175"/>
      <c r="CV15" s="1092" t="s">
        <v>38</v>
      </c>
      <c r="CW15" s="1446"/>
      <c r="CX15" s="1173">
        <f t="shared" si="4"/>
        <v>0</v>
      </c>
      <c r="CY15" s="1352"/>
      <c r="CZ15" s="512"/>
      <c r="DA15" s="513"/>
      <c r="DB15" s="514"/>
      <c r="DC15" s="515"/>
      <c r="DD15" s="506"/>
      <c r="DE15" s="231"/>
      <c r="DF15" s="283"/>
      <c r="DG15" s="284"/>
      <c r="DH15" s="506"/>
      <c r="DI15" s="208"/>
      <c r="DJ15" s="283"/>
      <c r="DK15" s="284"/>
      <c r="DL15" s="506"/>
      <c r="DM15" s="208"/>
      <c r="DN15" s="283"/>
      <c r="DO15" s="284"/>
      <c r="DP15" s="506"/>
      <c r="DQ15" s="516"/>
      <c r="DR15" s="242"/>
      <c r="DS15" s="517"/>
      <c r="DT15" s="283"/>
      <c r="DU15" s="284"/>
      <c r="DV15" s="509"/>
      <c r="DW15" s="510"/>
      <c r="DX15" s="518"/>
      <c r="DY15" s="519"/>
      <c r="DZ15" s="509"/>
      <c r="EA15" s="510"/>
      <c r="EB15" s="283"/>
      <c r="EC15" s="284"/>
      <c r="ED15" s="509"/>
      <c r="EE15" s="517"/>
      <c r="EF15" s="509"/>
      <c r="EG15" s="520"/>
      <c r="EH15" s="298"/>
      <c r="EI15" s="521"/>
    </row>
    <row r="16" spans="1:139" x14ac:dyDescent="0.25">
      <c r="A16" s="2242"/>
      <c r="B16" s="523"/>
      <c r="C16" s="524" t="s">
        <v>41</v>
      </c>
      <c r="D16" s="234">
        <v>72.099999999999994</v>
      </c>
      <c r="E16" s="228"/>
      <c r="F16" s="246">
        <v>3.3027943197434718E-2</v>
      </c>
      <c r="G16" s="228"/>
      <c r="H16" s="283" t="s">
        <v>38</v>
      </c>
      <c r="I16" s="284" t="s">
        <v>38</v>
      </c>
      <c r="J16" s="286">
        <v>0</v>
      </c>
      <c r="K16" s="238"/>
      <c r="L16" s="406" t="s">
        <v>38</v>
      </c>
      <c r="M16" s="505" t="s">
        <v>38</v>
      </c>
      <c r="N16" s="506">
        <v>0</v>
      </c>
      <c r="O16" s="522"/>
      <c r="P16" s="283" t="s">
        <v>38</v>
      </c>
      <c r="Q16" s="284" t="s">
        <v>38</v>
      </c>
      <c r="R16" s="506">
        <v>0</v>
      </c>
      <c r="S16" s="208"/>
      <c r="T16" s="283" t="s">
        <v>38</v>
      </c>
      <c r="U16" s="284" t="s">
        <v>38</v>
      </c>
      <c r="V16" s="231">
        <v>0</v>
      </c>
      <c r="W16" s="231"/>
      <c r="X16" s="234">
        <v>72</v>
      </c>
      <c r="Y16" s="228"/>
      <c r="Z16" s="246">
        <v>3.2967032967032968E-2</v>
      </c>
      <c r="AA16" s="228"/>
      <c r="AB16" s="283" t="s">
        <v>38</v>
      </c>
      <c r="AC16" s="284" t="s">
        <v>38</v>
      </c>
      <c r="AD16" s="286">
        <v>0</v>
      </c>
      <c r="AE16" s="238"/>
      <c r="AF16" s="406" t="s">
        <v>38</v>
      </c>
      <c r="AG16" s="505" t="s">
        <v>38</v>
      </c>
      <c r="AH16" s="506">
        <v>0</v>
      </c>
      <c r="AI16" s="522"/>
      <c r="AJ16" s="283" t="s">
        <v>38</v>
      </c>
      <c r="AK16" s="284" t="s">
        <v>38</v>
      </c>
      <c r="AL16" s="506">
        <v>0</v>
      </c>
      <c r="AM16" s="208"/>
      <c r="AN16" s="283" t="s">
        <v>38</v>
      </c>
      <c r="AO16" s="284" t="s">
        <v>38</v>
      </c>
      <c r="AP16" s="231">
        <v>0</v>
      </c>
      <c r="AQ16" s="231"/>
      <c r="AR16" s="1440">
        <v>72.5</v>
      </c>
      <c r="AS16" s="1441"/>
      <c r="AT16" s="1442">
        <f>AR16/2208</f>
        <v>3.2835144927536232E-2</v>
      </c>
      <c r="AU16" s="1441"/>
      <c r="AV16" s="1089" t="s">
        <v>38</v>
      </c>
      <c r="AW16" s="1443"/>
      <c r="AX16" s="1089">
        <f t="shared" si="5"/>
        <v>0</v>
      </c>
      <c r="AY16" s="1170"/>
      <c r="AZ16" s="1092" t="s">
        <v>38</v>
      </c>
      <c r="BA16" s="1446"/>
      <c r="BB16" s="1173">
        <v>0</v>
      </c>
      <c r="BC16" s="1175"/>
      <c r="BD16" s="1089" t="s">
        <v>38</v>
      </c>
      <c r="BE16" s="1443"/>
      <c r="BF16" s="1173">
        <v>0</v>
      </c>
      <c r="BG16" s="1175"/>
      <c r="BH16" s="1089" t="s">
        <v>38</v>
      </c>
      <c r="BI16" s="1443"/>
      <c r="BJ16" s="1092">
        <f t="shared" si="6"/>
        <v>0</v>
      </c>
      <c r="BK16" s="1092"/>
      <c r="BL16" s="1440">
        <v>72.2</v>
      </c>
      <c r="BM16" s="1441"/>
      <c r="BN16" s="1442">
        <f>BL16/2209</f>
        <v>3.2684472612041646E-2</v>
      </c>
      <c r="BO16" s="1441"/>
      <c r="BP16" s="1089" t="s">
        <v>38</v>
      </c>
      <c r="BQ16" s="1443"/>
      <c r="BR16" s="1089">
        <f t="shared" si="7"/>
        <v>0</v>
      </c>
      <c r="BS16" s="1170"/>
      <c r="BT16" s="1092" t="s">
        <v>38</v>
      </c>
      <c r="BU16" s="1446"/>
      <c r="BV16" s="1173">
        <v>0</v>
      </c>
      <c r="BW16" s="1656"/>
      <c r="BX16" s="1089"/>
      <c r="BY16" s="1443"/>
      <c r="BZ16" s="1173"/>
      <c r="CA16" s="1175"/>
      <c r="CB16" s="1089" t="s">
        <v>38</v>
      </c>
      <c r="CC16" s="1443"/>
      <c r="CD16" s="1092">
        <f t="shared" si="8"/>
        <v>0</v>
      </c>
      <c r="CE16" s="1687"/>
      <c r="CF16" s="1444">
        <f t="shared" si="0"/>
        <v>288.79999999999995</v>
      </c>
      <c r="CG16" s="1092"/>
      <c r="CH16" s="1445">
        <f>CF16/8760</f>
        <v>3.2968036529680361E-2</v>
      </c>
      <c r="CI16" s="1449"/>
      <c r="CJ16" s="1092" t="s">
        <v>38</v>
      </c>
      <c r="CK16" s="1446"/>
      <c r="CL16" s="1173">
        <f t="shared" si="1"/>
        <v>0</v>
      </c>
      <c r="CM16" s="1447"/>
      <c r="CN16" s="1175" t="s">
        <v>38</v>
      </c>
      <c r="CO16" s="1446"/>
      <c r="CP16" s="1173">
        <f t="shared" si="2"/>
        <v>0</v>
      </c>
      <c r="CQ16" s="1175"/>
      <c r="CR16" s="1092" t="s">
        <v>38</v>
      </c>
      <c r="CS16" s="1446"/>
      <c r="CT16" s="1173">
        <f t="shared" si="3"/>
        <v>0</v>
      </c>
      <c r="CU16" s="1175"/>
      <c r="CV16" s="1092" t="s">
        <v>38</v>
      </c>
      <c r="CW16" s="1446"/>
      <c r="CX16" s="1173">
        <f t="shared" si="4"/>
        <v>0</v>
      </c>
      <c r="CY16" s="1352"/>
      <c r="CZ16" s="512"/>
      <c r="DA16" s="513"/>
      <c r="DB16" s="514"/>
      <c r="DC16" s="515"/>
      <c r="DD16" s="506"/>
      <c r="DE16" s="231"/>
      <c r="DF16" s="283"/>
      <c r="DG16" s="284"/>
      <c r="DH16" s="506"/>
      <c r="DI16" s="208"/>
      <c r="DJ16" s="283"/>
      <c r="DK16" s="284"/>
      <c r="DL16" s="506"/>
      <c r="DM16" s="208"/>
      <c r="DN16" s="283"/>
      <c r="DO16" s="284"/>
      <c r="DP16" s="506"/>
      <c r="DQ16" s="516"/>
      <c r="DR16" s="242"/>
      <c r="DS16" s="517"/>
      <c r="DT16" s="283"/>
      <c r="DU16" s="284"/>
      <c r="DV16" s="509"/>
      <c r="DW16" s="510"/>
      <c r="DX16" s="518"/>
      <c r="DY16" s="519"/>
      <c r="DZ16" s="509"/>
      <c r="EA16" s="510"/>
      <c r="EB16" s="283"/>
      <c r="EC16" s="284"/>
      <c r="ED16" s="509"/>
      <c r="EE16" s="517"/>
      <c r="EF16" s="509"/>
      <c r="EG16" s="520"/>
      <c r="EH16" s="298"/>
      <c r="EI16" s="521"/>
    </row>
    <row r="17" spans="1:139" s="204" customFormat="1" x14ac:dyDescent="0.25">
      <c r="A17" s="2242"/>
      <c r="B17" s="523"/>
      <c r="C17" s="524" t="s">
        <v>42</v>
      </c>
      <c r="D17" s="234">
        <v>186.2</v>
      </c>
      <c r="E17" s="228"/>
      <c r="F17" s="246">
        <v>8.5295464956481895E-2</v>
      </c>
      <c r="G17" s="228"/>
      <c r="H17" s="283" t="s">
        <v>38</v>
      </c>
      <c r="I17" s="284" t="s">
        <v>38</v>
      </c>
      <c r="J17" s="286">
        <v>85242</v>
      </c>
      <c r="K17" s="238"/>
      <c r="L17" s="406" t="s">
        <v>38</v>
      </c>
      <c r="M17" s="505" t="s">
        <v>38</v>
      </c>
      <c r="N17" s="506">
        <v>85242</v>
      </c>
      <c r="O17" s="208"/>
      <c r="P17" s="283" t="s">
        <v>38</v>
      </c>
      <c r="Q17" s="284" t="s">
        <v>38</v>
      </c>
      <c r="R17" s="506">
        <v>0</v>
      </c>
      <c r="S17" s="208"/>
      <c r="T17" s="283" t="s">
        <v>38</v>
      </c>
      <c r="U17" s="284" t="s">
        <v>38</v>
      </c>
      <c r="V17" s="231">
        <v>457.79806659505908</v>
      </c>
      <c r="W17" s="231"/>
      <c r="X17" s="234">
        <v>186.2</v>
      </c>
      <c r="Y17" s="228"/>
      <c r="Z17" s="246">
        <v>8.5256410256410245E-2</v>
      </c>
      <c r="AA17" s="228"/>
      <c r="AB17" s="283" t="s">
        <v>38</v>
      </c>
      <c r="AC17" s="284" t="s">
        <v>38</v>
      </c>
      <c r="AD17" s="286">
        <v>66587</v>
      </c>
      <c r="AE17" s="238"/>
      <c r="AF17" s="406" t="s">
        <v>38</v>
      </c>
      <c r="AG17" s="505" t="s">
        <v>38</v>
      </c>
      <c r="AH17" s="506">
        <v>66587</v>
      </c>
      <c r="AI17" s="208"/>
      <c r="AJ17" s="283" t="s">
        <v>38</v>
      </c>
      <c r="AK17" s="284" t="s">
        <v>38</v>
      </c>
      <c r="AL17" s="506">
        <v>0</v>
      </c>
      <c r="AM17" s="208"/>
      <c r="AN17" s="283" t="s">
        <v>38</v>
      </c>
      <c r="AO17" s="284" t="s">
        <v>38</v>
      </c>
      <c r="AP17" s="231">
        <v>357.61009667024706</v>
      </c>
      <c r="AQ17" s="231"/>
      <c r="AR17" s="1440">
        <v>192.4</v>
      </c>
      <c r="AS17" s="1441"/>
      <c r="AT17" s="1442">
        <f>AR17/2208</f>
        <v>8.7137681159420291E-2</v>
      </c>
      <c r="AU17" s="1441"/>
      <c r="AV17" s="1089" t="s">
        <v>38</v>
      </c>
      <c r="AW17" s="1443"/>
      <c r="AX17" s="1089">
        <f t="shared" si="5"/>
        <v>88505</v>
      </c>
      <c r="AY17" s="1170"/>
      <c r="AZ17" s="1092" t="s">
        <v>38</v>
      </c>
      <c r="BA17" s="1446"/>
      <c r="BB17" s="1173">
        <f>80105+8400</f>
        <v>88505</v>
      </c>
      <c r="BC17" s="1175"/>
      <c r="BD17" s="1089" t="s">
        <v>38</v>
      </c>
      <c r="BE17" s="1443"/>
      <c r="BF17" s="1173">
        <v>0</v>
      </c>
      <c r="BG17" s="1175"/>
      <c r="BH17" s="1089" t="s">
        <v>38</v>
      </c>
      <c r="BI17" s="1443"/>
      <c r="BJ17" s="1092">
        <f t="shared" si="6"/>
        <v>460.00519750519749</v>
      </c>
      <c r="BK17" s="1092"/>
      <c r="BL17" s="1440">
        <v>190.1</v>
      </c>
      <c r="BM17" s="1441"/>
      <c r="BN17" s="1442">
        <f>BL17/2209</f>
        <v>8.60570393843368E-2</v>
      </c>
      <c r="BO17" s="1441"/>
      <c r="BP17" s="1089" t="s">
        <v>38</v>
      </c>
      <c r="BQ17" s="1443"/>
      <c r="BR17" s="1089">
        <f t="shared" si="7"/>
        <v>87781.2</v>
      </c>
      <c r="BS17" s="1170"/>
      <c r="BT17" s="1092" t="s">
        <v>38</v>
      </c>
      <c r="BU17" s="1446"/>
      <c r="BV17" s="1173">
        <f>84405*1.04</f>
        <v>87781.2</v>
      </c>
      <c r="BW17" s="1175"/>
      <c r="BX17" s="1089"/>
      <c r="BY17" s="1443"/>
      <c r="BZ17" s="1173"/>
      <c r="CA17" s="1175"/>
      <c r="CB17" s="1089" t="s">
        <v>38</v>
      </c>
      <c r="CC17" s="1443"/>
      <c r="CD17" s="1092">
        <f t="shared" si="8"/>
        <v>461.76328248290372</v>
      </c>
      <c r="CE17" s="1687"/>
      <c r="CF17" s="1444">
        <f t="shared" si="0"/>
        <v>754.90000000000009</v>
      </c>
      <c r="CG17" s="1092"/>
      <c r="CH17" s="1445">
        <f>CF17/8760</f>
        <v>8.6175799086758001E-2</v>
      </c>
      <c r="CI17" s="1449"/>
      <c r="CJ17" s="1092" t="s">
        <v>38</v>
      </c>
      <c r="CK17" s="1446"/>
      <c r="CL17" s="1173">
        <f>BR17+AX17+AD17+J17</f>
        <v>328115.20000000001</v>
      </c>
      <c r="CM17" s="1447"/>
      <c r="CN17" s="1175" t="s">
        <v>38</v>
      </c>
      <c r="CO17" s="1446"/>
      <c r="CP17" s="1173">
        <f t="shared" si="2"/>
        <v>328115.20000000001</v>
      </c>
      <c r="CQ17" s="1175"/>
      <c r="CR17" s="1092" t="s">
        <v>38</v>
      </c>
      <c r="CS17" s="1446"/>
      <c r="CT17" s="1173">
        <f t="shared" si="3"/>
        <v>0</v>
      </c>
      <c r="CU17" s="1175"/>
      <c r="CV17" s="1092" t="s">
        <v>38</v>
      </c>
      <c r="CW17" s="1446"/>
      <c r="CX17" s="1173">
        <f t="shared" si="4"/>
        <v>434.6472380447741</v>
      </c>
      <c r="CY17" s="1450"/>
      <c r="CZ17" s="512"/>
      <c r="DA17" s="513"/>
      <c r="DB17" s="514"/>
      <c r="DC17" s="515"/>
      <c r="DD17" s="506"/>
      <c r="DE17" s="231"/>
      <c r="DF17" s="283"/>
      <c r="DG17" s="284"/>
      <c r="DH17" s="506"/>
      <c r="DI17" s="208"/>
      <c r="DJ17" s="283"/>
      <c r="DK17" s="284"/>
      <c r="DL17" s="506"/>
      <c r="DM17" s="208"/>
      <c r="DN17" s="283"/>
      <c r="DO17" s="284"/>
      <c r="DP17" s="506"/>
      <c r="DQ17" s="516"/>
      <c r="DR17" s="242"/>
      <c r="DS17" s="517"/>
      <c r="DT17" s="283"/>
      <c r="DU17" s="284"/>
      <c r="DV17" s="509"/>
      <c r="DW17" s="510"/>
      <c r="DX17" s="518"/>
      <c r="DY17" s="519"/>
      <c r="DZ17" s="509"/>
      <c r="EA17" s="510"/>
      <c r="EB17" s="283"/>
      <c r="EC17" s="284"/>
      <c r="ED17" s="509"/>
      <c r="EE17" s="517"/>
      <c r="EF17" s="509"/>
      <c r="EG17" s="520"/>
      <c r="EH17" s="285"/>
      <c r="EI17" s="249"/>
    </row>
    <row r="18" spans="1:139" x14ac:dyDescent="0.25">
      <c r="A18" s="2242"/>
      <c r="B18" s="503"/>
      <c r="C18" s="504" t="s">
        <v>43</v>
      </c>
      <c r="D18" s="234">
        <v>17.399999999999999</v>
      </c>
      <c r="E18" s="228"/>
      <c r="F18" s="246">
        <v>7.9706825469537321E-3</v>
      </c>
      <c r="G18" s="228"/>
      <c r="H18" s="283" t="s">
        <v>38</v>
      </c>
      <c r="I18" s="284" t="s">
        <v>38</v>
      </c>
      <c r="J18" s="286">
        <v>1979.1200000000001</v>
      </c>
      <c r="K18" s="238"/>
      <c r="L18" s="406" t="s">
        <v>38</v>
      </c>
      <c r="M18" s="505" t="s">
        <v>38</v>
      </c>
      <c r="N18" s="506">
        <v>1979.1200000000001</v>
      </c>
      <c r="O18" s="522"/>
      <c r="P18" s="283" t="s">
        <v>38</v>
      </c>
      <c r="Q18" s="284" t="s">
        <v>38</v>
      </c>
      <c r="R18" s="506">
        <v>0</v>
      </c>
      <c r="S18" s="208"/>
      <c r="T18" s="283" t="s">
        <v>38</v>
      </c>
      <c r="U18" s="284" t="s">
        <v>38</v>
      </c>
      <c r="V18" s="231">
        <v>113.74252873563221</v>
      </c>
      <c r="W18" s="231"/>
      <c r="X18" s="234">
        <v>17.3</v>
      </c>
      <c r="Y18" s="228"/>
      <c r="Z18" s="246">
        <v>7.9212454212454209E-3</v>
      </c>
      <c r="AA18" s="228"/>
      <c r="AB18" s="283" t="s">
        <v>38</v>
      </c>
      <c r="AC18" s="284" t="s">
        <v>38</v>
      </c>
      <c r="AD18" s="286">
        <v>1970.8</v>
      </c>
      <c r="AE18" s="238"/>
      <c r="AF18" s="406" t="s">
        <v>38</v>
      </c>
      <c r="AG18" s="505" t="s">
        <v>38</v>
      </c>
      <c r="AH18" s="506">
        <v>1970.8</v>
      </c>
      <c r="AI18" s="522"/>
      <c r="AJ18" s="283" t="s">
        <v>38</v>
      </c>
      <c r="AK18" s="284" t="s">
        <v>38</v>
      </c>
      <c r="AL18" s="506">
        <v>0</v>
      </c>
      <c r="AM18" s="208"/>
      <c r="AN18" s="283" t="s">
        <v>38</v>
      </c>
      <c r="AO18" s="284" t="s">
        <v>38</v>
      </c>
      <c r="AP18" s="231">
        <v>113.91907514450867</v>
      </c>
      <c r="AQ18" s="231"/>
      <c r="AR18" s="1440">
        <v>17.8</v>
      </c>
      <c r="AS18" s="1441"/>
      <c r="AT18" s="1442">
        <f>AR18/2208</f>
        <v>8.0615942028985504E-3</v>
      </c>
      <c r="AU18" s="1441"/>
      <c r="AV18" s="1089" t="s">
        <v>38</v>
      </c>
      <c r="AW18" s="1443"/>
      <c r="AX18" s="1089">
        <f t="shared" si="5"/>
        <v>2040</v>
      </c>
      <c r="AY18" s="1170"/>
      <c r="AZ18" s="1092" t="s">
        <v>38</v>
      </c>
      <c r="BA18" s="1446"/>
      <c r="BB18" s="1173">
        <v>2040</v>
      </c>
      <c r="BC18" s="1175"/>
      <c r="BD18" s="1089" t="s">
        <v>38</v>
      </c>
      <c r="BE18" s="1443"/>
      <c r="BF18" s="1173">
        <v>0</v>
      </c>
      <c r="BG18" s="1175"/>
      <c r="BH18" s="1089" t="s">
        <v>38</v>
      </c>
      <c r="BI18" s="1443"/>
      <c r="BJ18" s="1092">
        <f t="shared" si="6"/>
        <v>114.6067415730337</v>
      </c>
      <c r="BK18" s="1092"/>
      <c r="BL18" s="1440">
        <v>17.399999999999999</v>
      </c>
      <c r="BM18" s="1441"/>
      <c r="BN18" s="1442">
        <f>BL18/2209</f>
        <v>7.8768673607967406E-3</v>
      </c>
      <c r="BO18" s="1441"/>
      <c r="BP18" s="1089" t="s">
        <v>38</v>
      </c>
      <c r="BQ18" s="1443"/>
      <c r="BR18" s="1089">
        <f t="shared" si="7"/>
        <v>1973.92</v>
      </c>
      <c r="BS18" s="1170"/>
      <c r="BT18" s="1092" t="s">
        <v>38</v>
      </c>
      <c r="BU18" s="1446"/>
      <c r="BV18" s="1173">
        <f>1898*1.04</f>
        <v>1973.92</v>
      </c>
      <c r="BW18" s="1656"/>
      <c r="BX18" s="1089"/>
      <c r="BY18" s="1443"/>
      <c r="BZ18" s="1173"/>
      <c r="CA18" s="1175"/>
      <c r="CB18" s="1089" t="s">
        <v>38</v>
      </c>
      <c r="CC18" s="1443"/>
      <c r="CD18" s="1092">
        <f t="shared" si="8"/>
        <v>113.44367816091956</v>
      </c>
      <c r="CE18" s="1687"/>
      <c r="CF18" s="1444">
        <f t="shared" si="0"/>
        <v>69.900000000000006</v>
      </c>
      <c r="CG18" s="1092"/>
      <c r="CH18" s="1445">
        <f>CF18/8760</f>
        <v>7.9794520547945211E-3</v>
      </c>
      <c r="CI18" s="1449"/>
      <c r="CJ18" s="1092" t="s">
        <v>38</v>
      </c>
      <c r="CK18" s="1446"/>
      <c r="CL18" s="1173">
        <f t="shared" si="1"/>
        <v>7963.84</v>
      </c>
      <c r="CM18" s="1447"/>
      <c r="CN18" s="1175" t="s">
        <v>38</v>
      </c>
      <c r="CO18" s="1446"/>
      <c r="CP18" s="1173">
        <f t="shared" si="2"/>
        <v>7963.84</v>
      </c>
      <c r="CQ18" s="1175"/>
      <c r="CR18" s="1092" t="s">
        <v>38</v>
      </c>
      <c r="CS18" s="1446"/>
      <c r="CT18" s="1173">
        <f t="shared" si="3"/>
        <v>0</v>
      </c>
      <c r="CU18" s="1175"/>
      <c r="CV18" s="1092" t="s">
        <v>38</v>
      </c>
      <c r="CW18" s="1446"/>
      <c r="CX18" s="1173">
        <f t="shared" si="4"/>
        <v>113.9319027181688</v>
      </c>
      <c r="CY18" s="1352"/>
      <c r="CZ18" s="512"/>
      <c r="DA18" s="513"/>
      <c r="DB18" s="514"/>
      <c r="DC18" s="515"/>
      <c r="DD18" s="506"/>
      <c r="DE18" s="231"/>
      <c r="DF18" s="283"/>
      <c r="DG18" s="284"/>
      <c r="DH18" s="506"/>
      <c r="DI18" s="208"/>
      <c r="DJ18" s="283"/>
      <c r="DK18" s="284"/>
      <c r="DL18" s="506"/>
      <c r="DM18" s="208"/>
      <c r="DN18" s="283"/>
      <c r="DO18" s="284"/>
      <c r="DP18" s="506"/>
      <c r="DQ18" s="516"/>
      <c r="DR18" s="242"/>
      <c r="DS18" s="517"/>
      <c r="DT18" s="283"/>
      <c r="DU18" s="284"/>
      <c r="DV18" s="509"/>
      <c r="DW18" s="510"/>
      <c r="DX18" s="518"/>
      <c r="DY18" s="519"/>
      <c r="DZ18" s="509"/>
      <c r="EA18" s="510"/>
      <c r="EB18" s="283"/>
      <c r="EC18" s="284"/>
      <c r="ED18" s="509"/>
      <c r="EE18" s="517"/>
      <c r="EF18" s="509"/>
      <c r="EG18" s="520"/>
      <c r="EH18" s="298"/>
      <c r="EI18" s="521"/>
    </row>
    <row r="19" spans="1:139" ht="39.6" customHeight="1" x14ac:dyDescent="0.25">
      <c r="A19" s="2242"/>
      <c r="B19" s="2186" t="s">
        <v>44</v>
      </c>
      <c r="C19" s="2187"/>
      <c r="D19" s="287">
        <v>824.30000000000007</v>
      </c>
      <c r="E19" s="288"/>
      <c r="F19" s="289">
        <v>7.4957488019350912E-2</v>
      </c>
      <c r="G19" s="288"/>
      <c r="H19" s="290" t="s">
        <v>38</v>
      </c>
      <c r="I19" s="291" t="s">
        <v>38</v>
      </c>
      <c r="J19" s="292">
        <v>287753.63157894736</v>
      </c>
      <c r="K19" s="525"/>
      <c r="L19" s="407" t="s">
        <v>38</v>
      </c>
      <c r="M19" s="526" t="s">
        <v>38</v>
      </c>
      <c r="N19" s="527">
        <v>287753.63157894736</v>
      </c>
      <c r="O19" s="528"/>
      <c r="P19" s="290" t="s">
        <v>38</v>
      </c>
      <c r="Q19" s="291" t="s">
        <v>38</v>
      </c>
      <c r="R19" s="527">
        <v>0</v>
      </c>
      <c r="S19" s="528"/>
      <c r="T19" s="290" t="s">
        <v>38</v>
      </c>
      <c r="U19" s="291" t="s">
        <v>38</v>
      </c>
      <c r="V19" s="529">
        <v>349.08847698525699</v>
      </c>
      <c r="W19" s="529"/>
      <c r="X19" s="287">
        <v>804.90000000000009</v>
      </c>
      <c r="Y19" s="288"/>
      <c r="Z19" s="289">
        <v>7.316009052981759E-2</v>
      </c>
      <c r="AA19" s="288"/>
      <c r="AB19" s="290" t="s">
        <v>38</v>
      </c>
      <c r="AC19" s="291" t="s">
        <v>38</v>
      </c>
      <c r="AD19" s="292">
        <v>279776.26315789472</v>
      </c>
      <c r="AE19" s="525"/>
      <c r="AF19" s="407" t="s">
        <v>38</v>
      </c>
      <c r="AG19" s="526" t="s">
        <v>38</v>
      </c>
      <c r="AH19" s="527">
        <v>279776.26315789472</v>
      </c>
      <c r="AI19" s="528"/>
      <c r="AJ19" s="290" t="s">
        <v>38</v>
      </c>
      <c r="AK19" s="291" t="s">
        <v>38</v>
      </c>
      <c r="AL19" s="527">
        <v>0</v>
      </c>
      <c r="AM19" s="528"/>
      <c r="AN19" s="290" t="s">
        <v>38</v>
      </c>
      <c r="AO19" s="291" t="s">
        <v>38</v>
      </c>
      <c r="AP19" s="529">
        <v>347.59133203863172</v>
      </c>
      <c r="AQ19" s="529"/>
      <c r="AR19" s="1451">
        <f>SUM(AR20:AR25)</f>
        <v>783.6</v>
      </c>
      <c r="AS19" s="1452"/>
      <c r="AT19" s="1453">
        <f>AR19/11106.9</f>
        <v>7.0550738729978663E-2</v>
      </c>
      <c r="AU19" s="1452"/>
      <c r="AV19" s="1100" t="s">
        <v>38</v>
      </c>
      <c r="AW19" s="1454"/>
      <c r="AX19" s="1100">
        <f t="shared" si="5"/>
        <v>212270</v>
      </c>
      <c r="AY19" s="1460"/>
      <c r="AZ19" s="1103" t="s">
        <v>38</v>
      </c>
      <c r="BA19" s="1457"/>
      <c r="BB19" s="1458">
        <f>SUM(BB20:BB25)</f>
        <v>212270</v>
      </c>
      <c r="BC19" s="1461"/>
      <c r="BD19" s="1100" t="s">
        <v>38</v>
      </c>
      <c r="BE19" s="1454"/>
      <c r="BF19" s="1458">
        <f>SUM(BF20:BF25)</f>
        <v>0</v>
      </c>
      <c r="BG19" s="1461"/>
      <c r="BH19" s="1100" t="s">
        <v>38</v>
      </c>
      <c r="BI19" s="1454"/>
      <c r="BJ19" s="1112">
        <f t="shared" si="6"/>
        <v>270.89076059213886</v>
      </c>
      <c r="BK19" s="1112"/>
      <c r="BL19" s="1451">
        <f>SUM(BL20:BL25)</f>
        <v>994.7</v>
      </c>
      <c r="BM19" s="1452"/>
      <c r="BN19" s="1453">
        <f>BL19/11096.9</f>
        <v>8.9637646549937375E-2</v>
      </c>
      <c r="BO19" s="1452"/>
      <c r="BP19" s="1100" t="s">
        <v>38</v>
      </c>
      <c r="BQ19" s="1454"/>
      <c r="BR19" s="1100">
        <f t="shared" si="7"/>
        <v>247829</v>
      </c>
      <c r="BS19" s="1460"/>
      <c r="BT19" s="1103" t="s">
        <v>38</v>
      </c>
      <c r="BU19" s="1457"/>
      <c r="BV19" s="1458">
        <f>SUM(BV20:BV25)</f>
        <v>247829</v>
      </c>
      <c r="BW19" s="1461"/>
      <c r="BX19" s="1100" t="s">
        <v>38</v>
      </c>
      <c r="BY19" s="1454"/>
      <c r="BZ19" s="1458">
        <f>SUM(BZ20:BZ25)</f>
        <v>0</v>
      </c>
      <c r="CA19" s="1461"/>
      <c r="CB19" s="1100" t="s">
        <v>38</v>
      </c>
      <c r="CC19" s="1454"/>
      <c r="CD19" s="1112">
        <f t="shared" si="8"/>
        <v>249.14949230923895</v>
      </c>
      <c r="CE19" s="1688"/>
      <c r="CF19" s="1455">
        <f t="shared" si="0"/>
        <v>3407.5000000000005</v>
      </c>
      <c r="CG19" s="1112"/>
      <c r="CH19" s="1453">
        <f>CF19/44202.6</f>
        <v>7.7088225579490813E-2</v>
      </c>
      <c r="CI19" s="1456"/>
      <c r="CJ19" s="1103" t="s">
        <v>38</v>
      </c>
      <c r="CK19" s="1457"/>
      <c r="CL19" s="1458">
        <f t="shared" si="1"/>
        <v>1027628.894736842</v>
      </c>
      <c r="CM19" s="1459"/>
      <c r="CN19" s="1460" t="s">
        <v>38</v>
      </c>
      <c r="CO19" s="1457"/>
      <c r="CP19" s="1458">
        <f t="shared" si="2"/>
        <v>1027628.894736842</v>
      </c>
      <c r="CQ19" s="1461"/>
      <c r="CR19" s="1103" t="s">
        <v>38</v>
      </c>
      <c r="CS19" s="1457"/>
      <c r="CT19" s="1458">
        <f t="shared" si="3"/>
        <v>0</v>
      </c>
      <c r="CU19" s="1461"/>
      <c r="CV19" s="1103" t="s">
        <v>38</v>
      </c>
      <c r="CW19" s="1457"/>
      <c r="CX19" s="1458">
        <f t="shared" si="4"/>
        <v>301.57854577750311</v>
      </c>
      <c r="CY19" s="1356"/>
      <c r="CZ19" s="534"/>
      <c r="DA19" s="535"/>
      <c r="DB19" s="536"/>
      <c r="DC19" s="537"/>
      <c r="DD19" s="527"/>
      <c r="DE19" s="529"/>
      <c r="DF19" s="290"/>
      <c r="DG19" s="291"/>
      <c r="DH19" s="527"/>
      <c r="DI19" s="528"/>
      <c r="DJ19" s="290"/>
      <c r="DK19" s="291"/>
      <c r="DL19" s="527"/>
      <c r="DM19" s="528"/>
      <c r="DN19" s="290"/>
      <c r="DO19" s="291"/>
      <c r="DP19" s="527"/>
      <c r="DQ19" s="538"/>
      <c r="DR19" s="539"/>
      <c r="DS19" s="540"/>
      <c r="DT19" s="290"/>
      <c r="DU19" s="291"/>
      <c r="DV19" s="496"/>
      <c r="DW19" s="541"/>
      <c r="DX19" s="533"/>
      <c r="DY19" s="542"/>
      <c r="DZ19" s="496"/>
      <c r="EA19" s="541"/>
      <c r="EB19" s="290"/>
      <c r="EC19" s="291"/>
      <c r="ED19" s="496"/>
      <c r="EE19" s="540"/>
      <c r="EF19" s="496"/>
      <c r="EG19" s="543"/>
      <c r="EH19" s="544"/>
      <c r="EI19" s="545"/>
    </row>
    <row r="20" spans="1:139" x14ac:dyDescent="0.25">
      <c r="A20" s="2242"/>
      <c r="B20" s="503"/>
      <c r="C20" s="504" t="s">
        <v>39</v>
      </c>
      <c r="D20" s="234">
        <v>293.90000000000003</v>
      </c>
      <c r="E20" s="228"/>
      <c r="F20" s="246">
        <v>0.13463124141090244</v>
      </c>
      <c r="G20" s="228"/>
      <c r="H20" s="293" t="s">
        <v>38</v>
      </c>
      <c r="I20" s="230" t="s">
        <v>38</v>
      </c>
      <c r="J20" s="285">
        <v>141869</v>
      </c>
      <c r="K20" s="208"/>
      <c r="L20" s="406" t="s">
        <v>38</v>
      </c>
      <c r="M20" s="505" t="s">
        <v>38</v>
      </c>
      <c r="N20" s="506">
        <v>141869</v>
      </c>
      <c r="O20" s="507"/>
      <c r="P20" s="293" t="s">
        <v>38</v>
      </c>
      <c r="Q20" s="230" t="s">
        <v>38</v>
      </c>
      <c r="R20" s="506">
        <v>0</v>
      </c>
      <c r="S20" s="208"/>
      <c r="T20" s="293" t="s">
        <v>38</v>
      </c>
      <c r="U20" s="230" t="s">
        <v>38</v>
      </c>
      <c r="V20" s="231">
        <v>482.7118067369853</v>
      </c>
      <c r="W20" s="231"/>
      <c r="X20" s="234">
        <v>284.40000000000003</v>
      </c>
      <c r="Y20" s="228"/>
      <c r="Z20" s="246">
        <v>0.13021978021978023</v>
      </c>
      <c r="AA20" s="228"/>
      <c r="AB20" s="293" t="s">
        <v>38</v>
      </c>
      <c r="AC20" s="230" t="s">
        <v>38</v>
      </c>
      <c r="AD20" s="285">
        <v>136201</v>
      </c>
      <c r="AE20" s="208"/>
      <c r="AF20" s="406" t="s">
        <v>38</v>
      </c>
      <c r="AG20" s="505" t="s">
        <v>38</v>
      </c>
      <c r="AH20" s="506">
        <v>136201</v>
      </c>
      <c r="AI20" s="507"/>
      <c r="AJ20" s="293" t="s">
        <v>38</v>
      </c>
      <c r="AK20" s="230" t="s">
        <v>38</v>
      </c>
      <c r="AL20" s="506">
        <v>0</v>
      </c>
      <c r="AM20" s="208"/>
      <c r="AN20" s="293" t="s">
        <v>38</v>
      </c>
      <c r="AO20" s="230" t="s">
        <v>38</v>
      </c>
      <c r="AP20" s="231">
        <v>478.90646976090011</v>
      </c>
      <c r="AQ20" s="231"/>
      <c r="AR20" s="1440">
        <f>256.4-AR27-AR25</f>
        <v>240.79999999999998</v>
      </c>
      <c r="AS20" s="1441"/>
      <c r="AT20" s="1442">
        <f>AR20/2208</f>
        <v>0.10905797101449274</v>
      </c>
      <c r="AU20" s="1441"/>
      <c r="AV20" s="1107" t="s">
        <v>38</v>
      </c>
      <c r="AW20" s="1449"/>
      <c r="AX20" s="1107">
        <f t="shared" si="5"/>
        <v>97680</v>
      </c>
      <c r="AY20" s="1175"/>
      <c r="AZ20" s="1092" t="s">
        <v>38</v>
      </c>
      <c r="BA20" s="1446"/>
      <c r="BB20" s="1173">
        <f>103154-BB25</f>
        <v>97680</v>
      </c>
      <c r="BC20" s="1469"/>
      <c r="BD20" s="1107" t="s">
        <v>38</v>
      </c>
      <c r="BE20" s="1449"/>
      <c r="BF20" s="1173">
        <v>0</v>
      </c>
      <c r="BG20" s="1175"/>
      <c r="BH20" s="1107" t="s">
        <v>38</v>
      </c>
      <c r="BI20" s="1449"/>
      <c r="BJ20" s="1092">
        <f t="shared" si="6"/>
        <v>405.64784053156149</v>
      </c>
      <c r="BK20" s="1092"/>
      <c r="BL20" s="1440">
        <f>309.8-BL27-BL25</f>
        <v>286.70000000000005</v>
      </c>
      <c r="BM20" s="1441"/>
      <c r="BN20" s="1442">
        <f>BL20/2209</f>
        <v>0.12978723404255321</v>
      </c>
      <c r="BO20" s="1441"/>
      <c r="BP20" s="1107" t="s">
        <v>38</v>
      </c>
      <c r="BQ20" s="1449"/>
      <c r="BR20" s="1107">
        <f t="shared" si="7"/>
        <v>127178</v>
      </c>
      <c r="BS20" s="1175"/>
      <c r="BT20" s="1092" t="s">
        <v>38</v>
      </c>
      <c r="BU20" s="1446"/>
      <c r="BV20" s="1173">
        <f>132652-BV25</f>
        <v>127178</v>
      </c>
      <c r="BW20" s="1469"/>
      <c r="BX20" s="1107" t="s">
        <v>38</v>
      </c>
      <c r="BY20" s="1449"/>
      <c r="BZ20" s="1173">
        <v>0</v>
      </c>
      <c r="CA20" s="1175"/>
      <c r="CB20" s="1107" t="s">
        <v>38</v>
      </c>
      <c r="CC20" s="1449"/>
      <c r="CD20" s="1092">
        <f t="shared" si="8"/>
        <v>443.59260551098703</v>
      </c>
      <c r="CE20" s="1687"/>
      <c r="CF20" s="1444">
        <f t="shared" si="0"/>
        <v>1105.8000000000002</v>
      </c>
      <c r="CG20" s="1092"/>
      <c r="CH20" s="1442">
        <f t="shared" ref="CH20:CH61" si="9">CF20/8760</f>
        <v>0.1262328767123288</v>
      </c>
      <c r="CI20" s="1449"/>
      <c r="CJ20" s="1092" t="s">
        <v>38</v>
      </c>
      <c r="CK20" s="1446"/>
      <c r="CL20" s="1173">
        <f t="shared" si="1"/>
        <v>502928</v>
      </c>
      <c r="CM20" s="1447"/>
      <c r="CN20" s="1175" t="s">
        <v>38</v>
      </c>
      <c r="CO20" s="1446"/>
      <c r="CP20" s="1173">
        <f t="shared" si="2"/>
        <v>502928</v>
      </c>
      <c r="CQ20" s="1175"/>
      <c r="CR20" s="1092" t="s">
        <v>38</v>
      </c>
      <c r="CS20" s="1446"/>
      <c r="CT20" s="1173">
        <f t="shared" si="3"/>
        <v>0</v>
      </c>
      <c r="CU20" s="1175"/>
      <c r="CV20" s="1092" t="s">
        <v>38</v>
      </c>
      <c r="CW20" s="1446"/>
      <c r="CX20" s="1173">
        <f t="shared" si="4"/>
        <v>454.80918791824917</v>
      </c>
      <c r="CY20" s="1352"/>
      <c r="CZ20" s="512"/>
      <c r="DA20" s="513"/>
      <c r="DB20" s="514"/>
      <c r="DC20" s="515"/>
      <c r="DD20" s="506"/>
      <c r="DE20" s="231"/>
      <c r="DF20" s="293"/>
      <c r="DG20" s="230"/>
      <c r="DH20" s="506"/>
      <c r="DI20" s="208"/>
      <c r="DJ20" s="293"/>
      <c r="DK20" s="230"/>
      <c r="DL20" s="506"/>
      <c r="DM20" s="208"/>
      <c r="DN20" s="293"/>
      <c r="DO20" s="230"/>
      <c r="DP20" s="506"/>
      <c r="DQ20" s="516"/>
      <c r="DR20" s="242"/>
      <c r="DS20" s="517"/>
      <c r="DT20" s="293"/>
      <c r="DU20" s="230"/>
      <c r="DV20" s="509"/>
      <c r="DW20" s="510"/>
      <c r="DX20" s="518"/>
      <c r="DY20" s="519"/>
      <c r="DZ20" s="509"/>
      <c r="EA20" s="510"/>
      <c r="EB20" s="293"/>
      <c r="EC20" s="230"/>
      <c r="ED20" s="509"/>
      <c r="EE20" s="517"/>
      <c r="EF20" s="509"/>
      <c r="EG20" s="520"/>
      <c r="EH20" s="298"/>
      <c r="EI20" s="521"/>
    </row>
    <row r="21" spans="1:139" x14ac:dyDescent="0.25">
      <c r="A21" s="2242"/>
      <c r="B21" s="523"/>
      <c r="C21" s="524" t="s">
        <v>40</v>
      </c>
      <c r="D21" s="234">
        <v>3.2</v>
      </c>
      <c r="E21" s="228"/>
      <c r="F21" s="246">
        <v>1.4658726523133303E-3</v>
      </c>
      <c r="G21" s="228"/>
      <c r="H21" s="293" t="s">
        <v>38</v>
      </c>
      <c r="I21" s="230" t="s">
        <v>38</v>
      </c>
      <c r="J21" s="285">
        <v>3772.6315789473683</v>
      </c>
      <c r="K21" s="208"/>
      <c r="L21" s="406" t="s">
        <v>38</v>
      </c>
      <c r="M21" s="505" t="s">
        <v>38</v>
      </c>
      <c r="N21" s="506">
        <v>3772.6315789473683</v>
      </c>
      <c r="O21" s="507"/>
      <c r="P21" s="293" t="s">
        <v>38</v>
      </c>
      <c r="Q21" s="230" t="s">
        <v>38</v>
      </c>
      <c r="R21" s="506">
        <v>0</v>
      </c>
      <c r="S21" s="208"/>
      <c r="T21" s="293" t="s">
        <v>38</v>
      </c>
      <c r="U21" s="230" t="s">
        <v>38</v>
      </c>
      <c r="V21" s="231">
        <v>1178.9473684210525</v>
      </c>
      <c r="W21" s="231"/>
      <c r="X21" s="234">
        <v>2.6</v>
      </c>
      <c r="Y21" s="228"/>
      <c r="Z21" s="246">
        <v>1.1904761904761906E-3</v>
      </c>
      <c r="AA21" s="228"/>
      <c r="AB21" s="293" t="s">
        <v>38</v>
      </c>
      <c r="AC21" s="230" t="s">
        <v>38</v>
      </c>
      <c r="AD21" s="285">
        <v>3065.2631578947367</v>
      </c>
      <c r="AE21" s="208"/>
      <c r="AF21" s="406" t="s">
        <v>38</v>
      </c>
      <c r="AG21" s="505" t="s">
        <v>38</v>
      </c>
      <c r="AH21" s="506">
        <v>3065.2631578947367</v>
      </c>
      <c r="AI21" s="507"/>
      <c r="AJ21" s="293" t="s">
        <v>38</v>
      </c>
      <c r="AK21" s="230" t="s">
        <v>38</v>
      </c>
      <c r="AL21" s="506">
        <v>0</v>
      </c>
      <c r="AM21" s="208"/>
      <c r="AN21" s="293" t="s">
        <v>38</v>
      </c>
      <c r="AO21" s="230" t="s">
        <v>38</v>
      </c>
      <c r="AP21" s="231">
        <v>1178.9473684210525</v>
      </c>
      <c r="AQ21" s="231"/>
      <c r="AR21" s="1440">
        <v>2.7</v>
      </c>
      <c r="AS21" s="1441"/>
      <c r="AT21" s="1442">
        <f>AR21/2208</f>
        <v>1.2228260869565218E-3</v>
      </c>
      <c r="AU21" s="1441"/>
      <c r="AV21" s="1107" t="s">
        <v>38</v>
      </c>
      <c r="AW21" s="1449"/>
      <c r="AX21" s="1107">
        <f t="shared" si="5"/>
        <v>3137</v>
      </c>
      <c r="AY21" s="1175"/>
      <c r="AZ21" s="1092" t="s">
        <v>38</v>
      </c>
      <c r="BA21" s="1446"/>
      <c r="BB21" s="1173">
        <v>3137</v>
      </c>
      <c r="BC21" s="1469"/>
      <c r="BD21" s="1107" t="s">
        <v>38</v>
      </c>
      <c r="BE21" s="1449"/>
      <c r="BF21" s="1173">
        <v>0</v>
      </c>
      <c r="BG21" s="1175"/>
      <c r="BH21" s="1107" t="s">
        <v>38</v>
      </c>
      <c r="BI21" s="1449"/>
      <c r="BJ21" s="1092">
        <f t="shared" si="6"/>
        <v>1161.8518518518517</v>
      </c>
      <c r="BK21" s="1092"/>
      <c r="BL21" s="1440">
        <v>2.7</v>
      </c>
      <c r="BM21" s="1441"/>
      <c r="BN21" s="1442">
        <f>BL21/2209</f>
        <v>1.2222725215029426E-3</v>
      </c>
      <c r="BO21" s="1441"/>
      <c r="BP21" s="1107" t="s">
        <v>38</v>
      </c>
      <c r="BQ21" s="1449"/>
      <c r="BR21" s="1107">
        <f t="shared" si="7"/>
        <v>3137</v>
      </c>
      <c r="BS21" s="1175"/>
      <c r="BT21" s="1092" t="s">
        <v>38</v>
      </c>
      <c r="BU21" s="1446"/>
      <c r="BV21" s="1173">
        <v>3137</v>
      </c>
      <c r="BW21" s="1469"/>
      <c r="BX21" s="1107" t="s">
        <v>38</v>
      </c>
      <c r="BY21" s="1449"/>
      <c r="BZ21" s="1173">
        <v>0</v>
      </c>
      <c r="CA21" s="1175"/>
      <c r="CB21" s="1107" t="s">
        <v>38</v>
      </c>
      <c r="CC21" s="1449"/>
      <c r="CD21" s="1092">
        <f t="shared" si="8"/>
        <v>1161.8518518518517</v>
      </c>
      <c r="CE21" s="1687"/>
      <c r="CF21" s="1444">
        <f t="shared" si="0"/>
        <v>11.2</v>
      </c>
      <c r="CG21" s="1092"/>
      <c r="CH21" s="1442">
        <f t="shared" si="9"/>
        <v>1.2785388127853881E-3</v>
      </c>
      <c r="CI21" s="1449"/>
      <c r="CJ21" s="1092" t="s">
        <v>38</v>
      </c>
      <c r="CK21" s="1446"/>
      <c r="CL21" s="1173">
        <f t="shared" si="1"/>
        <v>13111.894736842105</v>
      </c>
      <c r="CM21" s="1447"/>
      <c r="CN21" s="1175" t="s">
        <v>38</v>
      </c>
      <c r="CO21" s="1446"/>
      <c r="CP21" s="1173">
        <f t="shared" si="2"/>
        <v>13111.894736842105</v>
      </c>
      <c r="CQ21" s="1175"/>
      <c r="CR21" s="1092" t="s">
        <v>38</v>
      </c>
      <c r="CS21" s="1446"/>
      <c r="CT21" s="1173">
        <f t="shared" si="3"/>
        <v>0</v>
      </c>
      <c r="CU21" s="1175"/>
      <c r="CV21" s="1092" t="s">
        <v>38</v>
      </c>
      <c r="CW21" s="1446"/>
      <c r="CX21" s="1173">
        <f t="shared" si="4"/>
        <v>1170.7048872180451</v>
      </c>
      <c r="CY21" s="1352"/>
      <c r="CZ21" s="512"/>
      <c r="DA21" s="513"/>
      <c r="DB21" s="514"/>
      <c r="DC21" s="515"/>
      <c r="DD21" s="506"/>
      <c r="DE21" s="231"/>
      <c r="DF21" s="293"/>
      <c r="DG21" s="230"/>
      <c r="DH21" s="506"/>
      <c r="DI21" s="208"/>
      <c r="DJ21" s="293"/>
      <c r="DK21" s="230"/>
      <c r="DL21" s="506"/>
      <c r="DM21" s="208"/>
      <c r="DN21" s="293"/>
      <c r="DO21" s="230"/>
      <c r="DP21" s="506"/>
      <c r="DQ21" s="516"/>
      <c r="DR21" s="242"/>
      <c r="DS21" s="517"/>
      <c r="DT21" s="293"/>
      <c r="DU21" s="230"/>
      <c r="DV21" s="509"/>
      <c r="DW21" s="510"/>
      <c r="DX21" s="518"/>
      <c r="DY21" s="519"/>
      <c r="DZ21" s="509"/>
      <c r="EA21" s="510"/>
      <c r="EB21" s="293"/>
      <c r="EC21" s="230"/>
      <c r="ED21" s="509"/>
      <c r="EE21" s="517"/>
      <c r="EF21" s="509"/>
      <c r="EG21" s="520"/>
      <c r="EH21" s="285"/>
      <c r="EI21" s="249"/>
    </row>
    <row r="22" spans="1:139" x14ac:dyDescent="0.25">
      <c r="A22" s="2242"/>
      <c r="B22" s="523"/>
      <c r="C22" s="524" t="s">
        <v>41</v>
      </c>
      <c r="D22" s="234">
        <v>3</v>
      </c>
      <c r="E22" s="228"/>
      <c r="F22" s="246">
        <v>1.3742556115437471E-3</v>
      </c>
      <c r="G22" s="228"/>
      <c r="H22" s="293" t="s">
        <v>38</v>
      </c>
      <c r="I22" s="230" t="s">
        <v>38</v>
      </c>
      <c r="J22" s="285">
        <v>3563</v>
      </c>
      <c r="K22" s="208"/>
      <c r="L22" s="406" t="s">
        <v>38</v>
      </c>
      <c r="M22" s="505" t="s">
        <v>38</v>
      </c>
      <c r="N22" s="506">
        <v>3563</v>
      </c>
      <c r="O22" s="507"/>
      <c r="P22" s="293" t="s">
        <v>38</v>
      </c>
      <c r="Q22" s="230" t="s">
        <v>38</v>
      </c>
      <c r="R22" s="506">
        <v>0</v>
      </c>
      <c r="S22" s="208"/>
      <c r="T22" s="293" t="s">
        <v>38</v>
      </c>
      <c r="U22" s="230" t="s">
        <v>38</v>
      </c>
      <c r="V22" s="231">
        <v>1187.6666666666667</v>
      </c>
      <c r="W22" s="231"/>
      <c r="X22" s="234">
        <v>2</v>
      </c>
      <c r="Y22" s="228"/>
      <c r="Z22" s="246">
        <v>9.1575091575091575E-4</v>
      </c>
      <c r="AA22" s="228"/>
      <c r="AB22" s="293" t="s">
        <v>38</v>
      </c>
      <c r="AC22" s="230" t="s">
        <v>38</v>
      </c>
      <c r="AD22" s="285">
        <v>2379</v>
      </c>
      <c r="AE22" s="208"/>
      <c r="AF22" s="406" t="s">
        <v>38</v>
      </c>
      <c r="AG22" s="505" t="s">
        <v>38</v>
      </c>
      <c r="AH22" s="506">
        <v>2379</v>
      </c>
      <c r="AI22" s="507"/>
      <c r="AJ22" s="293" t="s">
        <v>38</v>
      </c>
      <c r="AK22" s="230" t="s">
        <v>38</v>
      </c>
      <c r="AL22" s="506">
        <v>0</v>
      </c>
      <c r="AM22" s="208"/>
      <c r="AN22" s="293" t="s">
        <v>38</v>
      </c>
      <c r="AO22" s="230" t="s">
        <v>38</v>
      </c>
      <c r="AP22" s="231">
        <v>1189.5</v>
      </c>
      <c r="AQ22" s="231"/>
      <c r="AR22" s="1440">
        <v>0</v>
      </c>
      <c r="AS22" s="1441"/>
      <c r="AT22" s="1442">
        <f>AR22/2208</f>
        <v>0</v>
      </c>
      <c r="AU22" s="1441"/>
      <c r="AV22" s="1107" t="s">
        <v>38</v>
      </c>
      <c r="AW22" s="1449"/>
      <c r="AX22" s="1107">
        <f t="shared" si="5"/>
        <v>0</v>
      </c>
      <c r="AY22" s="1175"/>
      <c r="AZ22" s="1092" t="s">
        <v>38</v>
      </c>
      <c r="BA22" s="1446"/>
      <c r="BB22" s="1173">
        <v>0</v>
      </c>
      <c r="BC22" s="1469"/>
      <c r="BD22" s="1107" t="s">
        <v>38</v>
      </c>
      <c r="BE22" s="1449"/>
      <c r="BF22" s="1173">
        <v>0</v>
      </c>
      <c r="BG22" s="1175"/>
      <c r="BH22" s="1107" t="s">
        <v>38</v>
      </c>
      <c r="BI22" s="1449"/>
      <c r="BJ22" s="1092" t="s">
        <v>38</v>
      </c>
      <c r="BK22" s="1092"/>
      <c r="BL22" s="1440">
        <v>2</v>
      </c>
      <c r="BM22" s="1441"/>
      <c r="BN22" s="1442">
        <f>BL22/2209</f>
        <v>9.0538705296514259E-4</v>
      </c>
      <c r="BO22" s="1441"/>
      <c r="BP22" s="1107" t="s">
        <v>38</v>
      </c>
      <c r="BQ22" s="1449"/>
      <c r="BR22" s="1107">
        <f t="shared" si="7"/>
        <v>3552</v>
      </c>
      <c r="BS22" s="1175"/>
      <c r="BT22" s="1092" t="s">
        <v>38</v>
      </c>
      <c r="BU22" s="1446"/>
      <c r="BV22" s="1173">
        <v>3552</v>
      </c>
      <c r="BW22" s="1469"/>
      <c r="BX22" s="1107" t="s">
        <v>38</v>
      </c>
      <c r="BY22" s="1449"/>
      <c r="BZ22" s="1173">
        <v>0</v>
      </c>
      <c r="CA22" s="1175"/>
      <c r="CB22" s="1107" t="s">
        <v>38</v>
      </c>
      <c r="CC22" s="1449"/>
      <c r="CD22" s="1092">
        <f t="shared" si="8"/>
        <v>1776</v>
      </c>
      <c r="CE22" s="1687"/>
      <c r="CF22" s="1444">
        <f t="shared" si="0"/>
        <v>7</v>
      </c>
      <c r="CG22" s="1092"/>
      <c r="CH22" s="1442">
        <f t="shared" si="9"/>
        <v>7.9908675799086762E-4</v>
      </c>
      <c r="CI22" s="1449"/>
      <c r="CJ22" s="1092" t="s">
        <v>38</v>
      </c>
      <c r="CK22" s="1446"/>
      <c r="CL22" s="1173">
        <f t="shared" si="1"/>
        <v>9494</v>
      </c>
      <c r="CM22" s="1447"/>
      <c r="CN22" s="1175" t="s">
        <v>38</v>
      </c>
      <c r="CO22" s="1446"/>
      <c r="CP22" s="1173">
        <f t="shared" si="2"/>
        <v>9494</v>
      </c>
      <c r="CQ22" s="1175"/>
      <c r="CR22" s="1092" t="s">
        <v>38</v>
      </c>
      <c r="CS22" s="1446"/>
      <c r="CT22" s="1173">
        <f t="shared" si="3"/>
        <v>0</v>
      </c>
      <c r="CU22" s="1175"/>
      <c r="CV22" s="1092" t="s">
        <v>38</v>
      </c>
      <c r="CW22" s="1446"/>
      <c r="CX22" s="1173">
        <f t="shared" si="4"/>
        <v>1356.2857142857142</v>
      </c>
      <c r="CY22" s="1352"/>
      <c r="CZ22" s="512"/>
      <c r="DA22" s="513"/>
      <c r="DB22" s="514"/>
      <c r="DC22" s="515"/>
      <c r="DD22" s="506"/>
      <c r="DE22" s="231"/>
      <c r="DF22" s="293"/>
      <c r="DG22" s="230"/>
      <c r="DH22" s="506"/>
      <c r="DI22" s="208"/>
      <c r="DJ22" s="293"/>
      <c r="DK22" s="230"/>
      <c r="DL22" s="506"/>
      <c r="DM22" s="208"/>
      <c r="DN22" s="293"/>
      <c r="DO22" s="230"/>
      <c r="DP22" s="506"/>
      <c r="DQ22" s="516"/>
      <c r="DR22" s="242"/>
      <c r="DS22" s="517"/>
      <c r="DT22" s="293"/>
      <c r="DU22" s="230"/>
      <c r="DV22" s="509"/>
      <c r="DW22" s="510"/>
      <c r="DX22" s="518"/>
      <c r="DY22" s="519"/>
      <c r="DZ22" s="509"/>
      <c r="EA22" s="510"/>
      <c r="EB22" s="293"/>
      <c r="EC22" s="230"/>
      <c r="ED22" s="509"/>
      <c r="EE22" s="517"/>
      <c r="EF22" s="509"/>
      <c r="EG22" s="520"/>
      <c r="EH22" s="298"/>
      <c r="EI22" s="521"/>
    </row>
    <row r="23" spans="1:139" x14ac:dyDescent="0.25">
      <c r="A23" s="2242"/>
      <c r="B23" s="21"/>
      <c r="C23" s="524" t="s">
        <v>42</v>
      </c>
      <c r="D23" s="234">
        <v>512.30000000000007</v>
      </c>
      <c r="E23" s="228"/>
      <c r="F23" s="246">
        <v>0.23467704993128724</v>
      </c>
      <c r="G23" s="228"/>
      <c r="H23" s="293" t="s">
        <v>38</v>
      </c>
      <c r="I23" s="230" t="s">
        <v>38</v>
      </c>
      <c r="J23" s="285">
        <v>132653</v>
      </c>
      <c r="K23" s="208"/>
      <c r="L23" s="406" t="s">
        <v>38</v>
      </c>
      <c r="M23" s="505" t="s">
        <v>38</v>
      </c>
      <c r="N23" s="506">
        <v>132653</v>
      </c>
      <c r="O23" s="522"/>
      <c r="P23" s="293" t="s">
        <v>38</v>
      </c>
      <c r="Q23" s="230" t="s">
        <v>38</v>
      </c>
      <c r="R23" s="506">
        <v>0</v>
      </c>
      <c r="S23" s="208"/>
      <c r="T23" s="293" t="s">
        <v>38</v>
      </c>
      <c r="U23" s="230" t="s">
        <v>38</v>
      </c>
      <c r="V23" s="231">
        <v>258.93617021276594</v>
      </c>
      <c r="W23" s="231"/>
      <c r="X23" s="234">
        <v>504.00000000000006</v>
      </c>
      <c r="Y23" s="228"/>
      <c r="Z23" s="246">
        <v>0.23076923076923078</v>
      </c>
      <c r="AA23" s="228"/>
      <c r="AB23" s="293" t="s">
        <v>38</v>
      </c>
      <c r="AC23" s="230" t="s">
        <v>38</v>
      </c>
      <c r="AD23" s="285">
        <v>132250</v>
      </c>
      <c r="AE23" s="208"/>
      <c r="AF23" s="406" t="s">
        <v>38</v>
      </c>
      <c r="AG23" s="505" t="s">
        <v>38</v>
      </c>
      <c r="AH23" s="506">
        <v>132250</v>
      </c>
      <c r="AI23" s="522"/>
      <c r="AJ23" s="293" t="s">
        <v>38</v>
      </c>
      <c r="AK23" s="230" t="s">
        <v>38</v>
      </c>
      <c r="AL23" s="506">
        <v>0</v>
      </c>
      <c r="AM23" s="208"/>
      <c r="AN23" s="293" t="s">
        <v>38</v>
      </c>
      <c r="AO23" s="230" t="s">
        <v>38</v>
      </c>
      <c r="AP23" s="231">
        <v>262.40079365079362</v>
      </c>
      <c r="AQ23" s="231"/>
      <c r="AR23" s="1440">
        <v>528.20000000000005</v>
      </c>
      <c r="AS23" s="1441"/>
      <c r="AT23" s="1442">
        <f>AR23/2208</f>
        <v>0.23922101449275365</v>
      </c>
      <c r="AU23" s="1441"/>
      <c r="AV23" s="1107" t="s">
        <v>38</v>
      </c>
      <c r="AW23" s="1449"/>
      <c r="AX23" s="1107">
        <f t="shared" si="5"/>
        <v>105979</v>
      </c>
      <c r="AY23" s="1175"/>
      <c r="AZ23" s="1092" t="s">
        <v>38</v>
      </c>
      <c r="BA23" s="1446"/>
      <c r="BB23" s="1173">
        <v>105979</v>
      </c>
      <c r="BC23" s="1656"/>
      <c r="BD23" s="1107" t="s">
        <v>38</v>
      </c>
      <c r="BE23" s="1449"/>
      <c r="BF23" s="1173">
        <v>0</v>
      </c>
      <c r="BG23" s="1175"/>
      <c r="BH23" s="1107" t="s">
        <v>38</v>
      </c>
      <c r="BI23" s="1449"/>
      <c r="BJ23" s="1092">
        <f t="shared" ref="BJ23:BJ62" si="10">AX23/AR23</f>
        <v>200.64180234759559</v>
      </c>
      <c r="BK23" s="1092"/>
      <c r="BL23" s="1440">
        <v>526</v>
      </c>
      <c r="BM23" s="1441"/>
      <c r="BN23" s="1442">
        <f>BL23/2209</f>
        <v>0.23811679492983251</v>
      </c>
      <c r="BO23" s="1441"/>
      <c r="BP23" s="1107" t="s">
        <v>38</v>
      </c>
      <c r="BQ23" s="1449"/>
      <c r="BR23" s="1107">
        <f t="shared" si="7"/>
        <v>108488</v>
      </c>
      <c r="BS23" s="1175"/>
      <c r="BT23" s="1092" t="s">
        <v>38</v>
      </c>
      <c r="BU23" s="1446"/>
      <c r="BV23" s="1173">
        <v>108488</v>
      </c>
      <c r="BW23" s="1656"/>
      <c r="BX23" s="1107" t="s">
        <v>38</v>
      </c>
      <c r="BY23" s="1449"/>
      <c r="BZ23" s="1173">
        <v>0</v>
      </c>
      <c r="CA23" s="1175"/>
      <c r="CB23" s="1107" t="s">
        <v>38</v>
      </c>
      <c r="CC23" s="1449"/>
      <c r="CD23" s="1092">
        <f t="shared" si="8"/>
        <v>206.25095057034221</v>
      </c>
      <c r="CE23" s="1687"/>
      <c r="CF23" s="1444">
        <f t="shared" si="0"/>
        <v>2070.5</v>
      </c>
      <c r="CG23" s="1092"/>
      <c r="CH23" s="1442">
        <f t="shared" si="9"/>
        <v>0.23635844748858448</v>
      </c>
      <c r="CI23" s="1449"/>
      <c r="CJ23" s="1092" t="s">
        <v>38</v>
      </c>
      <c r="CK23" s="1446"/>
      <c r="CL23" s="1173">
        <f t="shared" si="1"/>
        <v>479370</v>
      </c>
      <c r="CM23" s="1447"/>
      <c r="CN23" s="1175" t="s">
        <v>38</v>
      </c>
      <c r="CO23" s="1446"/>
      <c r="CP23" s="1173">
        <f t="shared" si="2"/>
        <v>479370</v>
      </c>
      <c r="CQ23" s="1175"/>
      <c r="CR23" s="1092" t="s">
        <v>38</v>
      </c>
      <c r="CS23" s="1446"/>
      <c r="CT23" s="1173">
        <f t="shared" si="3"/>
        <v>0</v>
      </c>
      <c r="CU23" s="1175"/>
      <c r="CV23" s="1092" t="s">
        <v>38</v>
      </c>
      <c r="CW23" s="1446"/>
      <c r="CX23" s="1173">
        <f t="shared" si="4"/>
        <v>231.52378652499397</v>
      </c>
      <c r="CY23" s="1352"/>
      <c r="CZ23" s="512"/>
      <c r="DA23" s="513"/>
      <c r="DB23" s="514"/>
      <c r="DC23" s="515"/>
      <c r="DD23" s="506"/>
      <c r="DE23" s="231"/>
      <c r="DF23" s="293"/>
      <c r="DG23" s="230"/>
      <c r="DH23" s="506"/>
      <c r="DI23" s="208"/>
      <c r="DJ23" s="293"/>
      <c r="DK23" s="230"/>
      <c r="DL23" s="506"/>
      <c r="DM23" s="208"/>
      <c r="DN23" s="293"/>
      <c r="DO23" s="230"/>
      <c r="DP23" s="506"/>
      <c r="DQ23" s="516"/>
      <c r="DR23" s="242"/>
      <c r="DS23" s="517"/>
      <c r="DT23" s="293"/>
      <c r="DU23" s="230"/>
      <c r="DV23" s="509"/>
      <c r="DW23" s="510"/>
      <c r="DX23" s="518"/>
      <c r="DY23" s="519"/>
      <c r="DZ23" s="509"/>
      <c r="EA23" s="510"/>
      <c r="EB23" s="293"/>
      <c r="EC23" s="230"/>
      <c r="ED23" s="509"/>
      <c r="EE23" s="517"/>
      <c r="EF23" s="509"/>
      <c r="EG23" s="520"/>
      <c r="EH23" s="298"/>
      <c r="EI23" s="521"/>
    </row>
    <row r="24" spans="1:139" x14ac:dyDescent="0.25">
      <c r="A24" s="2242"/>
      <c r="B24" s="19"/>
      <c r="C24" s="504" t="s">
        <v>43</v>
      </c>
      <c r="D24" s="234">
        <v>0</v>
      </c>
      <c r="E24" s="228"/>
      <c r="F24" s="246">
        <v>0</v>
      </c>
      <c r="G24" s="228"/>
      <c r="H24" s="293" t="s">
        <v>38</v>
      </c>
      <c r="I24" s="230" t="s">
        <v>38</v>
      </c>
      <c r="J24" s="285">
        <v>0</v>
      </c>
      <c r="K24" s="208"/>
      <c r="L24" s="406" t="s">
        <v>38</v>
      </c>
      <c r="M24" s="505" t="s">
        <v>38</v>
      </c>
      <c r="N24" s="506">
        <v>0</v>
      </c>
      <c r="O24" s="522"/>
      <c r="P24" s="293" t="s">
        <v>38</v>
      </c>
      <c r="Q24" s="230" t="s">
        <v>38</v>
      </c>
      <c r="R24" s="506">
        <v>0</v>
      </c>
      <c r="S24" s="208"/>
      <c r="T24" s="293" t="s">
        <v>38</v>
      </c>
      <c r="U24" s="230" t="s">
        <v>38</v>
      </c>
      <c r="V24" s="231">
        <v>0</v>
      </c>
      <c r="W24" s="231"/>
      <c r="X24" s="234">
        <v>0</v>
      </c>
      <c r="Y24" s="228"/>
      <c r="Z24" s="246">
        <v>0</v>
      </c>
      <c r="AA24" s="228"/>
      <c r="AB24" s="293" t="s">
        <v>38</v>
      </c>
      <c r="AC24" s="230" t="s">
        <v>38</v>
      </c>
      <c r="AD24" s="285">
        <v>0</v>
      </c>
      <c r="AE24" s="208"/>
      <c r="AF24" s="406" t="s">
        <v>38</v>
      </c>
      <c r="AG24" s="505" t="s">
        <v>38</v>
      </c>
      <c r="AH24" s="506"/>
      <c r="AI24" s="522"/>
      <c r="AJ24" s="293" t="s">
        <v>38</v>
      </c>
      <c r="AK24" s="230" t="s">
        <v>38</v>
      </c>
      <c r="AL24" s="506">
        <v>0</v>
      </c>
      <c r="AM24" s="208"/>
      <c r="AN24" s="293" t="s">
        <v>38</v>
      </c>
      <c r="AO24" s="230" t="s">
        <v>38</v>
      </c>
      <c r="AP24" s="231">
        <v>0</v>
      </c>
      <c r="AQ24" s="231"/>
      <c r="AR24" s="1440">
        <v>0</v>
      </c>
      <c r="AS24" s="1441"/>
      <c r="AT24" s="1442">
        <f>AR24/2208</f>
        <v>0</v>
      </c>
      <c r="AU24" s="1441"/>
      <c r="AV24" s="1107" t="s">
        <v>38</v>
      </c>
      <c r="AW24" s="1449"/>
      <c r="AX24" s="1107">
        <f t="shared" si="5"/>
        <v>0</v>
      </c>
      <c r="AY24" s="1175"/>
      <c r="AZ24" s="1092" t="s">
        <v>38</v>
      </c>
      <c r="BA24" s="1446"/>
      <c r="BB24" s="1173">
        <v>0</v>
      </c>
      <c r="BC24" s="1656"/>
      <c r="BD24" s="1107" t="s">
        <v>38</v>
      </c>
      <c r="BE24" s="1449"/>
      <c r="BF24" s="1173">
        <v>0</v>
      </c>
      <c r="BG24" s="1175"/>
      <c r="BH24" s="1107" t="s">
        <v>38</v>
      </c>
      <c r="BI24" s="1449"/>
      <c r="BJ24" s="1092" t="s">
        <v>38</v>
      </c>
      <c r="BK24" s="1092"/>
      <c r="BL24" s="1440">
        <v>165.4</v>
      </c>
      <c r="BM24" s="1441"/>
      <c r="BN24" s="1442">
        <f>BL24/2209</f>
        <v>7.4875509280217301E-2</v>
      </c>
      <c r="BO24" s="1441"/>
      <c r="BP24" s="1107" t="s">
        <v>38</v>
      </c>
      <c r="BQ24" s="1449"/>
      <c r="BR24" s="1107">
        <f t="shared" si="7"/>
        <v>0</v>
      </c>
      <c r="BS24" s="1175"/>
      <c r="BT24" s="1092" t="s">
        <v>38</v>
      </c>
      <c r="BU24" s="1446"/>
      <c r="BV24" s="1173">
        <v>0</v>
      </c>
      <c r="BW24" s="1656"/>
      <c r="BX24" s="1107" t="s">
        <v>38</v>
      </c>
      <c r="BY24" s="1449"/>
      <c r="BZ24" s="1173">
        <v>0</v>
      </c>
      <c r="CA24" s="1175"/>
      <c r="CB24" s="1107" t="s">
        <v>38</v>
      </c>
      <c r="CC24" s="1449"/>
      <c r="CD24" s="1092" t="s">
        <v>38</v>
      </c>
      <c r="CE24" s="1687"/>
      <c r="CF24" s="1444">
        <f t="shared" si="0"/>
        <v>165.4</v>
      </c>
      <c r="CG24" s="1092"/>
      <c r="CH24" s="1442">
        <f t="shared" si="9"/>
        <v>1.8881278538812787E-2</v>
      </c>
      <c r="CI24" s="1449"/>
      <c r="CJ24" s="1092" t="s">
        <v>38</v>
      </c>
      <c r="CK24" s="1446"/>
      <c r="CL24" s="1173">
        <f t="shared" si="1"/>
        <v>0</v>
      </c>
      <c r="CM24" s="1447"/>
      <c r="CN24" s="1175" t="s">
        <v>38</v>
      </c>
      <c r="CO24" s="1446"/>
      <c r="CP24" s="1173">
        <f t="shared" si="2"/>
        <v>0</v>
      </c>
      <c r="CQ24" s="1175"/>
      <c r="CR24" s="1092" t="s">
        <v>38</v>
      </c>
      <c r="CS24" s="1446"/>
      <c r="CT24" s="1173">
        <f t="shared" si="3"/>
        <v>0</v>
      </c>
      <c r="CU24" s="1175"/>
      <c r="CV24" s="1092" t="s">
        <v>38</v>
      </c>
      <c r="CW24" s="1446"/>
      <c r="CX24" s="1173" t="s">
        <v>38</v>
      </c>
      <c r="CY24" s="1352"/>
      <c r="CZ24" s="512"/>
      <c r="DA24" s="513"/>
      <c r="DB24" s="514"/>
      <c r="DC24" s="515"/>
      <c r="DD24" s="506"/>
      <c r="DE24" s="231"/>
      <c r="DF24" s="293"/>
      <c r="DG24" s="230"/>
      <c r="DH24" s="506"/>
      <c r="DI24" s="208"/>
      <c r="DJ24" s="293"/>
      <c r="DK24" s="230"/>
      <c r="DL24" s="506"/>
      <c r="DM24" s="208"/>
      <c r="DN24" s="293"/>
      <c r="DO24" s="230"/>
      <c r="DP24" s="506"/>
      <c r="DQ24" s="516"/>
      <c r="DR24" s="242"/>
      <c r="DS24" s="517"/>
      <c r="DT24" s="293"/>
      <c r="DU24" s="230"/>
      <c r="DV24" s="509"/>
      <c r="DW24" s="510"/>
      <c r="DX24" s="518"/>
      <c r="DY24" s="519"/>
      <c r="DZ24" s="509"/>
      <c r="EA24" s="510"/>
      <c r="EB24" s="293"/>
      <c r="EC24" s="230"/>
      <c r="ED24" s="509"/>
      <c r="EE24" s="517"/>
      <c r="EF24" s="509"/>
      <c r="EG24" s="520"/>
      <c r="EH24" s="298"/>
      <c r="EI24" s="521"/>
    </row>
    <row r="25" spans="1:139" x14ac:dyDescent="0.25">
      <c r="A25" s="2242"/>
      <c r="B25" s="19"/>
      <c r="C25" s="256" t="s">
        <v>45</v>
      </c>
      <c r="D25" s="234">
        <v>11.9</v>
      </c>
      <c r="E25" s="228"/>
      <c r="F25" s="246">
        <v>1</v>
      </c>
      <c r="G25" s="228"/>
      <c r="H25" s="293" t="s">
        <v>38</v>
      </c>
      <c r="I25" s="230" t="s">
        <v>38</v>
      </c>
      <c r="J25" s="285">
        <v>5896</v>
      </c>
      <c r="K25" s="208"/>
      <c r="L25" s="406" t="s">
        <v>38</v>
      </c>
      <c r="M25" s="505" t="s">
        <v>38</v>
      </c>
      <c r="N25" s="506">
        <v>5896</v>
      </c>
      <c r="O25" s="208"/>
      <c r="P25" s="293" t="s">
        <v>38</v>
      </c>
      <c r="Q25" s="230" t="s">
        <v>38</v>
      </c>
      <c r="R25" s="506">
        <v>0</v>
      </c>
      <c r="S25" s="208"/>
      <c r="T25" s="293" t="s">
        <v>38</v>
      </c>
      <c r="U25" s="230" t="s">
        <v>38</v>
      </c>
      <c r="V25" s="231">
        <v>495.46218487394958</v>
      </c>
      <c r="W25" s="231"/>
      <c r="X25" s="234">
        <v>11.9</v>
      </c>
      <c r="Y25" s="228"/>
      <c r="Z25" s="246">
        <v>1</v>
      </c>
      <c r="AA25" s="228"/>
      <c r="AB25" s="293" t="s">
        <v>38</v>
      </c>
      <c r="AC25" s="230" t="s">
        <v>38</v>
      </c>
      <c r="AD25" s="285">
        <v>5881</v>
      </c>
      <c r="AE25" s="208"/>
      <c r="AF25" s="406" t="s">
        <v>38</v>
      </c>
      <c r="AG25" s="505" t="s">
        <v>38</v>
      </c>
      <c r="AH25" s="506">
        <v>5881</v>
      </c>
      <c r="AI25" s="208"/>
      <c r="AJ25" s="293" t="s">
        <v>38</v>
      </c>
      <c r="AK25" s="230" t="s">
        <v>38</v>
      </c>
      <c r="AL25" s="506">
        <v>0</v>
      </c>
      <c r="AM25" s="208"/>
      <c r="AN25" s="293" t="s">
        <v>38</v>
      </c>
      <c r="AO25" s="230" t="s">
        <v>38</v>
      </c>
      <c r="AP25" s="231">
        <v>494.20168067226888</v>
      </c>
      <c r="AQ25" s="231"/>
      <c r="AR25" s="1440">
        <v>11.9</v>
      </c>
      <c r="AS25" s="1441"/>
      <c r="AT25" s="1442">
        <f>AR25/11.9</f>
        <v>1</v>
      </c>
      <c r="AU25" s="1441"/>
      <c r="AV25" s="1107" t="s">
        <v>38</v>
      </c>
      <c r="AW25" s="1449"/>
      <c r="AX25" s="1107">
        <f t="shared" si="5"/>
        <v>5474</v>
      </c>
      <c r="AY25" s="1175"/>
      <c r="AZ25" s="1092" t="s">
        <v>38</v>
      </c>
      <c r="BA25" s="1446"/>
      <c r="BB25" s="1173">
        <v>5474</v>
      </c>
      <c r="BC25" s="1175"/>
      <c r="BD25" s="1107" t="s">
        <v>38</v>
      </c>
      <c r="BE25" s="1449"/>
      <c r="BF25" s="1173">
        <v>0</v>
      </c>
      <c r="BG25" s="1175"/>
      <c r="BH25" s="1107" t="s">
        <v>38</v>
      </c>
      <c r="BI25" s="1449"/>
      <c r="BJ25" s="1092">
        <f t="shared" si="10"/>
        <v>460</v>
      </c>
      <c r="BK25" s="1092"/>
      <c r="BL25" s="1440">
        <v>11.9</v>
      </c>
      <c r="BM25" s="1441"/>
      <c r="BN25" s="1442">
        <f>BL25/11.9</f>
        <v>1</v>
      </c>
      <c r="BO25" s="1441"/>
      <c r="BP25" s="1107" t="s">
        <v>38</v>
      </c>
      <c r="BQ25" s="1449"/>
      <c r="BR25" s="1107">
        <f t="shared" si="7"/>
        <v>5474</v>
      </c>
      <c r="BS25" s="1175"/>
      <c r="BT25" s="1092" t="s">
        <v>38</v>
      </c>
      <c r="BU25" s="1446"/>
      <c r="BV25" s="1173">
        <v>5474</v>
      </c>
      <c r="BW25" s="1175"/>
      <c r="BX25" s="1107" t="s">
        <v>38</v>
      </c>
      <c r="BY25" s="1449"/>
      <c r="BZ25" s="1173">
        <v>0</v>
      </c>
      <c r="CA25" s="1175"/>
      <c r="CB25" s="1107" t="s">
        <v>38</v>
      </c>
      <c r="CC25" s="1449"/>
      <c r="CD25" s="1092">
        <f t="shared" si="8"/>
        <v>460</v>
      </c>
      <c r="CE25" s="1687"/>
      <c r="CF25" s="1444">
        <f t="shared" si="0"/>
        <v>47.6</v>
      </c>
      <c r="CG25" s="1092"/>
      <c r="CH25" s="1442">
        <f>CF25/CF102</f>
        <v>5.4189435336976302E-3</v>
      </c>
      <c r="CI25" s="1449"/>
      <c r="CJ25" s="1092" t="s">
        <v>38</v>
      </c>
      <c r="CK25" s="1446"/>
      <c r="CL25" s="1173">
        <f t="shared" si="1"/>
        <v>22725</v>
      </c>
      <c r="CM25" s="1447"/>
      <c r="CN25" s="1175" t="s">
        <v>38</v>
      </c>
      <c r="CO25" s="1446"/>
      <c r="CP25" s="1173">
        <f t="shared" si="2"/>
        <v>22725</v>
      </c>
      <c r="CQ25" s="1175"/>
      <c r="CR25" s="1092" t="s">
        <v>38</v>
      </c>
      <c r="CS25" s="1446"/>
      <c r="CT25" s="1173">
        <f t="shared" si="3"/>
        <v>0</v>
      </c>
      <c r="CU25" s="1175"/>
      <c r="CV25" s="1092" t="s">
        <v>38</v>
      </c>
      <c r="CW25" s="1446"/>
      <c r="CX25" s="1173">
        <f t="shared" si="4"/>
        <v>477.4159663865546</v>
      </c>
      <c r="CY25" s="1352"/>
      <c r="CZ25" s="546"/>
      <c r="DA25" s="513"/>
      <c r="DB25" s="514"/>
      <c r="DC25" s="515"/>
      <c r="DD25" s="506"/>
      <c r="DE25" s="231"/>
      <c r="DF25" s="293"/>
      <c r="DG25" s="230"/>
      <c r="DH25" s="506"/>
      <c r="DI25" s="208"/>
      <c r="DJ25" s="293"/>
      <c r="DK25" s="230"/>
      <c r="DL25" s="506"/>
      <c r="DM25" s="208"/>
      <c r="DN25" s="293"/>
      <c r="DO25" s="230"/>
      <c r="DP25" s="506"/>
      <c r="DQ25" s="516"/>
      <c r="DR25" s="242"/>
      <c r="DS25" s="517"/>
      <c r="DT25" s="293"/>
      <c r="DU25" s="230"/>
      <c r="DV25" s="509"/>
      <c r="DW25" s="510"/>
      <c r="DX25" s="518"/>
      <c r="DY25" s="519"/>
      <c r="DZ25" s="509"/>
      <c r="EA25" s="510"/>
      <c r="EB25" s="293"/>
      <c r="EC25" s="230"/>
      <c r="ED25" s="509"/>
      <c r="EE25" s="517"/>
      <c r="EF25" s="509"/>
      <c r="EG25" s="520"/>
      <c r="EH25" s="298"/>
      <c r="EI25" s="521"/>
    </row>
    <row r="26" spans="1:139" x14ac:dyDescent="0.25">
      <c r="A26" s="2242"/>
      <c r="B26" s="2186" t="s">
        <v>46</v>
      </c>
      <c r="C26" s="2187"/>
      <c r="D26" s="287">
        <v>11.7</v>
      </c>
      <c r="E26" s="288"/>
      <c r="F26" s="289">
        <v>1.063936200201875E-3</v>
      </c>
      <c r="G26" s="288"/>
      <c r="H26" s="290" t="s">
        <v>38</v>
      </c>
      <c r="I26" s="291" t="s">
        <v>38</v>
      </c>
      <c r="J26" s="292">
        <v>46582</v>
      </c>
      <c r="K26" s="525"/>
      <c r="L26" s="407" t="s">
        <v>38</v>
      </c>
      <c r="M26" s="526" t="s">
        <v>38</v>
      </c>
      <c r="N26" s="527">
        <v>46582</v>
      </c>
      <c r="O26" s="528"/>
      <c r="P26" s="290" t="s">
        <v>38</v>
      </c>
      <c r="Q26" s="291" t="s">
        <v>38</v>
      </c>
      <c r="R26" s="527">
        <v>0</v>
      </c>
      <c r="S26" s="528"/>
      <c r="T26" s="290" t="s">
        <v>38</v>
      </c>
      <c r="U26" s="291" t="s">
        <v>38</v>
      </c>
      <c r="V26" s="529">
        <v>3981.3675213675215</v>
      </c>
      <c r="W26" s="529"/>
      <c r="X26" s="287">
        <v>11.2</v>
      </c>
      <c r="Y26" s="288"/>
      <c r="Z26" s="289">
        <v>1.0180059807851371E-3</v>
      </c>
      <c r="AA26" s="288"/>
      <c r="AB26" s="290" t="s">
        <v>38</v>
      </c>
      <c r="AC26" s="291" t="s">
        <v>38</v>
      </c>
      <c r="AD26" s="292">
        <v>45560</v>
      </c>
      <c r="AE26" s="525"/>
      <c r="AF26" s="407" t="s">
        <v>38</v>
      </c>
      <c r="AG26" s="526" t="s">
        <v>38</v>
      </c>
      <c r="AH26" s="527">
        <v>45560</v>
      </c>
      <c r="AI26" s="528"/>
      <c r="AJ26" s="290" t="s">
        <v>38</v>
      </c>
      <c r="AK26" s="291" t="s">
        <v>38</v>
      </c>
      <c r="AL26" s="527">
        <v>0</v>
      </c>
      <c r="AM26" s="528"/>
      <c r="AN26" s="290" t="s">
        <v>38</v>
      </c>
      <c r="AO26" s="291" t="s">
        <v>38</v>
      </c>
      <c r="AP26" s="529">
        <v>4067.8571428571431</v>
      </c>
      <c r="AQ26" s="529"/>
      <c r="AR26" s="1451">
        <f>AR27</f>
        <v>3.7</v>
      </c>
      <c r="AS26" s="1452"/>
      <c r="AT26" s="1453">
        <f>AR26/11106.9</f>
        <v>3.3312625485058838E-4</v>
      </c>
      <c r="AU26" s="1452"/>
      <c r="AV26" s="1100" t="s">
        <v>38</v>
      </c>
      <c r="AW26" s="1454"/>
      <c r="AX26" s="1100">
        <f t="shared" si="5"/>
        <v>42274</v>
      </c>
      <c r="AY26" s="1460"/>
      <c r="AZ26" s="1103" t="s">
        <v>38</v>
      </c>
      <c r="BA26" s="1457"/>
      <c r="BB26" s="1458">
        <f>BB27</f>
        <v>42274</v>
      </c>
      <c r="BC26" s="1461"/>
      <c r="BD26" s="1100" t="s">
        <v>38</v>
      </c>
      <c r="BE26" s="1454"/>
      <c r="BF26" s="1458">
        <v>0</v>
      </c>
      <c r="BG26" s="1461"/>
      <c r="BH26" s="1100" t="s">
        <v>38</v>
      </c>
      <c r="BI26" s="1454"/>
      <c r="BJ26" s="1112">
        <f t="shared" si="10"/>
        <v>11425.405405405405</v>
      </c>
      <c r="BK26" s="1112"/>
      <c r="BL26" s="1451">
        <f>BL27</f>
        <v>11.2</v>
      </c>
      <c r="BM26" s="1452"/>
      <c r="BN26" s="1453">
        <f>BL26/11096.9</f>
        <v>1.0092908830394074E-3</v>
      </c>
      <c r="BO26" s="1452"/>
      <c r="BP26" s="1100" t="s">
        <v>38</v>
      </c>
      <c r="BQ26" s="1454"/>
      <c r="BR26" s="1100">
        <f t="shared" si="7"/>
        <v>42689</v>
      </c>
      <c r="BS26" s="1460"/>
      <c r="BT26" s="1103" t="s">
        <v>38</v>
      </c>
      <c r="BU26" s="1457"/>
      <c r="BV26" s="1458">
        <f>BV27</f>
        <v>42689</v>
      </c>
      <c r="BW26" s="1461"/>
      <c r="BX26" s="1100" t="s">
        <v>38</v>
      </c>
      <c r="BY26" s="1454"/>
      <c r="BZ26" s="1458">
        <v>0</v>
      </c>
      <c r="CA26" s="1461"/>
      <c r="CB26" s="1100" t="s">
        <v>38</v>
      </c>
      <c r="CC26" s="1454"/>
      <c r="CD26" s="1112">
        <f t="shared" si="8"/>
        <v>3811.5178571428573</v>
      </c>
      <c r="CE26" s="1688"/>
      <c r="CF26" s="1455">
        <f t="shared" si="0"/>
        <v>37.799999999999997</v>
      </c>
      <c r="CG26" s="1112"/>
      <c r="CH26" s="1453">
        <f>CF26/44202.6</f>
        <v>8.5515331677322147E-4</v>
      </c>
      <c r="CI26" s="1456"/>
      <c r="CJ26" s="1103" t="s">
        <v>38</v>
      </c>
      <c r="CK26" s="1457"/>
      <c r="CL26" s="1458">
        <f t="shared" si="1"/>
        <v>177105</v>
      </c>
      <c r="CM26" s="1459"/>
      <c r="CN26" s="1460" t="s">
        <v>38</v>
      </c>
      <c r="CO26" s="1457"/>
      <c r="CP26" s="1458">
        <f t="shared" si="2"/>
        <v>177105</v>
      </c>
      <c r="CQ26" s="1461"/>
      <c r="CR26" s="1103" t="s">
        <v>38</v>
      </c>
      <c r="CS26" s="1457"/>
      <c r="CT26" s="1458">
        <f t="shared" si="3"/>
        <v>0</v>
      </c>
      <c r="CU26" s="1461"/>
      <c r="CV26" s="1103" t="s">
        <v>38</v>
      </c>
      <c r="CW26" s="1457"/>
      <c r="CX26" s="1458">
        <f t="shared" si="4"/>
        <v>4685.3174603174602</v>
      </c>
      <c r="CY26" s="1356"/>
      <c r="CZ26" s="534"/>
      <c r="DA26" s="535"/>
      <c r="DB26" s="536"/>
      <c r="DC26" s="537"/>
      <c r="DD26" s="527"/>
      <c r="DE26" s="529"/>
      <c r="DF26" s="290"/>
      <c r="DG26" s="291"/>
      <c r="DH26" s="527"/>
      <c r="DI26" s="528"/>
      <c r="DJ26" s="290"/>
      <c r="DK26" s="291"/>
      <c r="DL26" s="527"/>
      <c r="DM26" s="528"/>
      <c r="DN26" s="290"/>
      <c r="DO26" s="291"/>
      <c r="DP26" s="527"/>
      <c r="DQ26" s="538"/>
      <c r="DR26" s="539"/>
      <c r="DS26" s="540"/>
      <c r="DT26" s="290"/>
      <c r="DU26" s="291"/>
      <c r="DV26" s="496"/>
      <c r="DW26" s="541"/>
      <c r="DX26" s="533"/>
      <c r="DY26" s="542"/>
      <c r="DZ26" s="496"/>
      <c r="EA26" s="541"/>
      <c r="EB26" s="290"/>
      <c r="EC26" s="291"/>
      <c r="ED26" s="496"/>
      <c r="EE26" s="540"/>
      <c r="EF26" s="496"/>
      <c r="EG26" s="543"/>
      <c r="EH26" s="544"/>
      <c r="EI26" s="545"/>
    </row>
    <row r="27" spans="1:139" x14ac:dyDescent="0.25">
      <c r="A27" s="2242"/>
      <c r="B27" s="503"/>
      <c r="C27" s="504" t="s">
        <v>39</v>
      </c>
      <c r="D27" s="234">
        <v>11.7</v>
      </c>
      <c r="E27" s="228"/>
      <c r="F27" s="246">
        <v>5.3595968850206135E-3</v>
      </c>
      <c r="G27" s="228"/>
      <c r="H27" s="294" t="s">
        <v>38</v>
      </c>
      <c r="I27" s="230" t="s">
        <v>38</v>
      </c>
      <c r="J27" s="285">
        <v>46582</v>
      </c>
      <c r="K27" s="208"/>
      <c r="L27" s="406" t="s">
        <v>38</v>
      </c>
      <c r="M27" s="505" t="s">
        <v>38</v>
      </c>
      <c r="N27" s="506">
        <v>46582</v>
      </c>
      <c r="O27" s="507"/>
      <c r="P27" s="294" t="s">
        <v>38</v>
      </c>
      <c r="Q27" s="230" t="s">
        <v>38</v>
      </c>
      <c r="R27" s="506">
        <v>0</v>
      </c>
      <c r="S27" s="208"/>
      <c r="T27" s="294" t="s">
        <v>38</v>
      </c>
      <c r="U27" s="230" t="s">
        <v>38</v>
      </c>
      <c r="V27" s="231">
        <v>3981.3675213675215</v>
      </c>
      <c r="W27" s="231"/>
      <c r="X27" s="234">
        <v>11.2</v>
      </c>
      <c r="Y27" s="228"/>
      <c r="Z27" s="246">
        <v>5.1282051282051282E-3</v>
      </c>
      <c r="AA27" s="228"/>
      <c r="AB27" s="294" t="s">
        <v>38</v>
      </c>
      <c r="AC27" s="230" t="s">
        <v>38</v>
      </c>
      <c r="AD27" s="285">
        <v>45560</v>
      </c>
      <c r="AE27" s="208"/>
      <c r="AF27" s="406" t="s">
        <v>38</v>
      </c>
      <c r="AG27" s="505" t="s">
        <v>38</v>
      </c>
      <c r="AH27" s="506">
        <v>45560</v>
      </c>
      <c r="AI27" s="507"/>
      <c r="AJ27" s="294" t="s">
        <v>38</v>
      </c>
      <c r="AK27" s="230" t="s">
        <v>38</v>
      </c>
      <c r="AL27" s="506">
        <v>0</v>
      </c>
      <c r="AM27" s="208"/>
      <c r="AN27" s="294" t="s">
        <v>38</v>
      </c>
      <c r="AO27" s="230" t="s">
        <v>38</v>
      </c>
      <c r="AP27" s="231">
        <v>4067.8571428571431</v>
      </c>
      <c r="AQ27" s="231"/>
      <c r="AR27" s="1440">
        <v>3.7</v>
      </c>
      <c r="AS27" s="1441"/>
      <c r="AT27" s="1442">
        <f>AR27/2208</f>
        <v>1.6757246376811596E-3</v>
      </c>
      <c r="AU27" s="1441"/>
      <c r="AV27" s="1109" t="s">
        <v>38</v>
      </c>
      <c r="AW27" s="1449"/>
      <c r="AX27" s="1107">
        <f t="shared" si="5"/>
        <v>42274</v>
      </c>
      <c r="AY27" s="1175"/>
      <c r="AZ27" s="1092" t="s">
        <v>38</v>
      </c>
      <c r="BA27" s="1446"/>
      <c r="BB27" s="1173">
        <v>42274</v>
      </c>
      <c r="BC27" s="1469"/>
      <c r="BD27" s="1109" t="s">
        <v>38</v>
      </c>
      <c r="BE27" s="1449"/>
      <c r="BF27" s="1173">
        <v>0</v>
      </c>
      <c r="BG27" s="1175"/>
      <c r="BH27" s="1109" t="s">
        <v>38</v>
      </c>
      <c r="BI27" s="1449"/>
      <c r="BJ27" s="1092">
        <f t="shared" si="10"/>
        <v>11425.405405405405</v>
      </c>
      <c r="BK27" s="1092"/>
      <c r="BL27" s="1440">
        <v>11.2</v>
      </c>
      <c r="BM27" s="1441"/>
      <c r="BN27" s="1442">
        <f>BL27/2209</f>
        <v>5.0701674966047985E-3</v>
      </c>
      <c r="BO27" s="1441"/>
      <c r="BP27" s="1109" t="s">
        <v>38</v>
      </c>
      <c r="BQ27" s="1449"/>
      <c r="BR27" s="1107">
        <f t="shared" si="7"/>
        <v>42689</v>
      </c>
      <c r="BS27" s="1175"/>
      <c r="BT27" s="1092" t="s">
        <v>38</v>
      </c>
      <c r="BU27" s="1446"/>
      <c r="BV27" s="1173">
        <v>42689</v>
      </c>
      <c r="BW27" s="1469"/>
      <c r="BX27" s="1109" t="s">
        <v>38</v>
      </c>
      <c r="BY27" s="1449"/>
      <c r="BZ27" s="1173">
        <v>0</v>
      </c>
      <c r="CA27" s="1175"/>
      <c r="CB27" s="1109" t="s">
        <v>38</v>
      </c>
      <c r="CC27" s="1449"/>
      <c r="CD27" s="1092">
        <f t="shared" si="8"/>
        <v>3811.5178571428573</v>
      </c>
      <c r="CE27" s="1687"/>
      <c r="CF27" s="1444">
        <f t="shared" si="0"/>
        <v>37.799999999999997</v>
      </c>
      <c r="CG27" s="1092"/>
      <c r="CH27" s="1442">
        <f t="shared" si="9"/>
        <v>4.3150684931506844E-3</v>
      </c>
      <c r="CI27" s="1449"/>
      <c r="CJ27" s="1092" t="s">
        <v>38</v>
      </c>
      <c r="CK27" s="1446"/>
      <c r="CL27" s="1173">
        <f t="shared" si="1"/>
        <v>177105</v>
      </c>
      <c r="CM27" s="1447"/>
      <c r="CN27" s="1175" t="s">
        <v>38</v>
      </c>
      <c r="CO27" s="1446"/>
      <c r="CP27" s="1173">
        <f t="shared" si="2"/>
        <v>177105</v>
      </c>
      <c r="CQ27" s="1175"/>
      <c r="CR27" s="1092" t="s">
        <v>38</v>
      </c>
      <c r="CS27" s="1446"/>
      <c r="CT27" s="1173">
        <f t="shared" si="3"/>
        <v>0</v>
      </c>
      <c r="CU27" s="1175"/>
      <c r="CV27" s="1092" t="s">
        <v>38</v>
      </c>
      <c r="CW27" s="1446"/>
      <c r="CX27" s="1173">
        <f t="shared" si="4"/>
        <v>4685.3174603174602</v>
      </c>
      <c r="CY27" s="1352"/>
      <c r="CZ27" s="512"/>
      <c r="DA27" s="513"/>
      <c r="DB27" s="514"/>
      <c r="DC27" s="515"/>
      <c r="DD27" s="506"/>
      <c r="DE27" s="231"/>
      <c r="DF27" s="294"/>
      <c r="DG27" s="230"/>
      <c r="DH27" s="506"/>
      <c r="DI27" s="208"/>
      <c r="DJ27" s="294"/>
      <c r="DK27" s="230"/>
      <c r="DL27" s="506"/>
      <c r="DM27" s="208"/>
      <c r="DN27" s="294"/>
      <c r="DO27" s="230"/>
      <c r="DP27" s="506"/>
      <c r="DQ27" s="516"/>
      <c r="DR27" s="242"/>
      <c r="DS27" s="517"/>
      <c r="DT27" s="547"/>
      <c r="DU27" s="230"/>
      <c r="DV27" s="509"/>
      <c r="DW27" s="510"/>
      <c r="DX27" s="518"/>
      <c r="DY27" s="519"/>
      <c r="DZ27" s="509"/>
      <c r="EA27" s="510"/>
      <c r="EB27" s="294"/>
      <c r="EC27" s="230"/>
      <c r="ED27" s="509"/>
      <c r="EE27" s="517"/>
      <c r="EF27" s="509"/>
      <c r="EG27" s="520"/>
      <c r="EH27" s="298"/>
      <c r="EI27" s="521"/>
    </row>
    <row r="28" spans="1:139" x14ac:dyDescent="0.25">
      <c r="A28" s="2242"/>
      <c r="B28" s="2184" t="s">
        <v>47</v>
      </c>
      <c r="C28" s="2185"/>
      <c r="D28" s="287">
        <v>65.5</v>
      </c>
      <c r="E28" s="288"/>
      <c r="F28" s="289">
        <v>5.9562240267711812E-3</v>
      </c>
      <c r="G28" s="288"/>
      <c r="H28" s="290" t="s">
        <v>38</v>
      </c>
      <c r="I28" s="291" t="s">
        <v>38</v>
      </c>
      <c r="J28" s="292">
        <v>28797.547836053542</v>
      </c>
      <c r="K28" s="525"/>
      <c r="L28" s="407" t="s">
        <v>38</v>
      </c>
      <c r="M28" s="526" t="s">
        <v>38</v>
      </c>
      <c r="N28" s="527">
        <v>28797.547836053542</v>
      </c>
      <c r="O28" s="528"/>
      <c r="P28" s="290" t="s">
        <v>38</v>
      </c>
      <c r="Q28" s="291" t="s">
        <v>38</v>
      </c>
      <c r="R28" s="527">
        <v>0</v>
      </c>
      <c r="S28" s="528"/>
      <c r="T28" s="290" t="s">
        <v>38</v>
      </c>
      <c r="U28" s="291" t="s">
        <v>38</v>
      </c>
      <c r="V28" s="529">
        <v>439.65721887104644</v>
      </c>
      <c r="W28" s="529"/>
      <c r="X28" s="287">
        <v>64.8</v>
      </c>
      <c r="Y28" s="288"/>
      <c r="Z28" s="289">
        <v>5.8898917459711507E-3</v>
      </c>
      <c r="AA28" s="288"/>
      <c r="AB28" s="290" t="s">
        <v>38</v>
      </c>
      <c r="AC28" s="291" t="s">
        <v>38</v>
      </c>
      <c r="AD28" s="292">
        <v>28921.693971208508</v>
      </c>
      <c r="AE28" s="525"/>
      <c r="AF28" s="407" t="s">
        <v>38</v>
      </c>
      <c r="AG28" s="526" t="s">
        <v>38</v>
      </c>
      <c r="AH28" s="527">
        <v>28921.693971208508</v>
      </c>
      <c r="AI28" s="528"/>
      <c r="AJ28" s="290" t="s">
        <v>38</v>
      </c>
      <c r="AK28" s="291" t="s">
        <v>38</v>
      </c>
      <c r="AL28" s="527">
        <v>0</v>
      </c>
      <c r="AM28" s="528"/>
      <c r="AN28" s="290" t="s">
        <v>38</v>
      </c>
      <c r="AO28" s="291" t="s">
        <v>38</v>
      </c>
      <c r="AP28" s="529">
        <v>446.32243782729182</v>
      </c>
      <c r="AQ28" s="529"/>
      <c r="AR28" s="1451">
        <f>SUM(AR29:AR32)</f>
        <v>60.3</v>
      </c>
      <c r="AS28" s="1452"/>
      <c r="AT28" s="1453">
        <f>AR28/11106.9</f>
        <v>5.4290576128352645E-3</v>
      </c>
      <c r="AU28" s="1452"/>
      <c r="AV28" s="1100" t="s">
        <v>38</v>
      </c>
      <c r="AW28" s="1454"/>
      <c r="AX28" s="1100">
        <f t="shared" si="5"/>
        <v>25357</v>
      </c>
      <c r="AY28" s="1460"/>
      <c r="AZ28" s="1103" t="s">
        <v>38</v>
      </c>
      <c r="BA28" s="1457"/>
      <c r="BB28" s="1458">
        <f>SUM(BB29:BB32)</f>
        <v>25357</v>
      </c>
      <c r="BC28" s="1461"/>
      <c r="BD28" s="1100" t="s">
        <v>38</v>
      </c>
      <c r="BE28" s="1454"/>
      <c r="BF28" s="1458">
        <v>0</v>
      </c>
      <c r="BG28" s="1461"/>
      <c r="BH28" s="1100" t="s">
        <v>38</v>
      </c>
      <c r="BI28" s="1454"/>
      <c r="BJ28" s="1112">
        <f t="shared" si="10"/>
        <v>420.51409618573797</v>
      </c>
      <c r="BK28" s="1112"/>
      <c r="BL28" s="1451">
        <f>SUM(BL29:BL32)</f>
        <v>66.400000000000006</v>
      </c>
      <c r="BM28" s="1452"/>
      <c r="BN28" s="1453">
        <f>BL28/11096.9</f>
        <v>5.9836530923050588E-3</v>
      </c>
      <c r="BO28" s="1452"/>
      <c r="BP28" s="1100" t="s">
        <v>38</v>
      </c>
      <c r="BQ28" s="1454"/>
      <c r="BR28" s="1100">
        <f t="shared" si="7"/>
        <v>28727.978947368421</v>
      </c>
      <c r="BS28" s="1460"/>
      <c r="BT28" s="1103" t="s">
        <v>38</v>
      </c>
      <c r="BU28" s="1457"/>
      <c r="BV28" s="1458">
        <f>SUM(BV29:BV32)</f>
        <v>28727.978947368421</v>
      </c>
      <c r="BW28" s="1461"/>
      <c r="BX28" s="1100" t="s">
        <v>38</v>
      </c>
      <c r="BY28" s="1454"/>
      <c r="BZ28" s="1458">
        <v>0</v>
      </c>
      <c r="CA28" s="1461"/>
      <c r="CB28" s="1100" t="s">
        <v>38</v>
      </c>
      <c r="CC28" s="1454"/>
      <c r="CD28" s="1112">
        <f t="shared" si="8"/>
        <v>432.65028535193403</v>
      </c>
      <c r="CE28" s="1688"/>
      <c r="CF28" s="1455">
        <f t="shared" si="0"/>
        <v>257</v>
      </c>
      <c r="CG28" s="1112"/>
      <c r="CH28" s="1453">
        <f>CF28/44202.6</f>
        <v>5.8141376299131724E-3</v>
      </c>
      <c r="CI28" s="1456"/>
      <c r="CJ28" s="1103" t="s">
        <v>38</v>
      </c>
      <c r="CK28" s="1457"/>
      <c r="CL28" s="1458">
        <f t="shared" si="1"/>
        <v>111804.22075463046</v>
      </c>
      <c r="CM28" s="1459"/>
      <c r="CN28" s="1460" t="s">
        <v>38</v>
      </c>
      <c r="CO28" s="1457"/>
      <c r="CP28" s="1458">
        <f t="shared" si="2"/>
        <v>111804.22075463046</v>
      </c>
      <c r="CQ28" s="1461"/>
      <c r="CR28" s="1103" t="s">
        <v>38</v>
      </c>
      <c r="CS28" s="1457"/>
      <c r="CT28" s="1458">
        <f t="shared" si="3"/>
        <v>0</v>
      </c>
      <c r="CU28" s="1461"/>
      <c r="CV28" s="1103" t="s">
        <v>38</v>
      </c>
      <c r="CW28" s="1457"/>
      <c r="CX28" s="1458">
        <f t="shared" si="4"/>
        <v>435.03587842268661</v>
      </c>
      <c r="CY28" s="1356"/>
      <c r="CZ28" s="534"/>
      <c r="DA28" s="535"/>
      <c r="DB28" s="536"/>
      <c r="DC28" s="537"/>
      <c r="DD28" s="527"/>
      <c r="DE28" s="529"/>
      <c r="DF28" s="290"/>
      <c r="DG28" s="291"/>
      <c r="DH28" s="527"/>
      <c r="DI28" s="528"/>
      <c r="DJ28" s="290"/>
      <c r="DK28" s="291"/>
      <c r="DL28" s="527"/>
      <c r="DM28" s="528"/>
      <c r="DN28" s="290"/>
      <c r="DO28" s="291"/>
      <c r="DP28" s="527"/>
      <c r="DQ28" s="538"/>
      <c r="DR28" s="539"/>
      <c r="DS28" s="540"/>
      <c r="DT28" s="290"/>
      <c r="DU28" s="291"/>
      <c r="DV28" s="496"/>
      <c r="DW28" s="541"/>
      <c r="DX28" s="533"/>
      <c r="DY28" s="542"/>
      <c r="DZ28" s="496"/>
      <c r="EA28" s="541"/>
      <c r="EB28" s="290"/>
      <c r="EC28" s="291"/>
      <c r="ED28" s="496"/>
      <c r="EE28" s="540"/>
      <c r="EF28" s="496"/>
      <c r="EG28" s="543"/>
      <c r="EH28" s="544"/>
      <c r="EI28" s="545"/>
    </row>
    <row r="29" spans="1:139" x14ac:dyDescent="0.25">
      <c r="A29" s="2242"/>
      <c r="B29" s="523"/>
      <c r="C29" s="524" t="s">
        <v>39</v>
      </c>
      <c r="D29" s="234">
        <v>38.599999999999994</v>
      </c>
      <c r="E29" s="228"/>
      <c r="F29" s="246">
        <v>1.7682088868529545E-2</v>
      </c>
      <c r="G29" s="228"/>
      <c r="H29" s="293" t="s">
        <v>38</v>
      </c>
      <c r="I29" s="230" t="s">
        <v>38</v>
      </c>
      <c r="J29" s="285">
        <v>24976.739473684203</v>
      </c>
      <c r="K29" s="208"/>
      <c r="L29" s="244" t="s">
        <v>38</v>
      </c>
      <c r="M29" s="548" t="s">
        <v>38</v>
      </c>
      <c r="N29" s="506">
        <v>24976.739473684203</v>
      </c>
      <c r="O29" s="507"/>
      <c r="P29" s="293" t="s">
        <v>38</v>
      </c>
      <c r="Q29" s="230" t="s">
        <v>38</v>
      </c>
      <c r="R29" s="506">
        <v>0</v>
      </c>
      <c r="S29" s="208"/>
      <c r="T29" s="293" t="s">
        <v>38</v>
      </c>
      <c r="U29" s="230" t="s">
        <v>38</v>
      </c>
      <c r="V29" s="231">
        <v>647.06578947368416</v>
      </c>
      <c r="W29" s="231"/>
      <c r="X29" s="234">
        <v>39.1</v>
      </c>
      <c r="Y29" s="228"/>
      <c r="Z29" s="246">
        <v>1.7902930402930405E-2</v>
      </c>
      <c r="AA29" s="228"/>
      <c r="AB29" s="293" t="s">
        <v>38</v>
      </c>
      <c r="AC29" s="230" t="s">
        <v>38</v>
      </c>
      <c r="AD29" s="285">
        <v>25300.27236842105</v>
      </c>
      <c r="AE29" s="208"/>
      <c r="AF29" s="244" t="s">
        <v>38</v>
      </c>
      <c r="AG29" s="548" t="s">
        <v>38</v>
      </c>
      <c r="AH29" s="506">
        <v>25300.27236842105</v>
      </c>
      <c r="AI29" s="507"/>
      <c r="AJ29" s="293" t="s">
        <v>38</v>
      </c>
      <c r="AK29" s="230" t="s">
        <v>38</v>
      </c>
      <c r="AL29" s="506">
        <v>0</v>
      </c>
      <c r="AM29" s="208"/>
      <c r="AN29" s="293" t="s">
        <v>38</v>
      </c>
      <c r="AO29" s="230" t="s">
        <v>38</v>
      </c>
      <c r="AP29" s="231">
        <v>647.06578947368416</v>
      </c>
      <c r="AQ29" s="231"/>
      <c r="AR29" s="1440">
        <v>34.5</v>
      </c>
      <c r="AS29" s="1441"/>
      <c r="AT29" s="1442">
        <f>AR29/2208</f>
        <v>1.5625E-2</v>
      </c>
      <c r="AU29" s="1441"/>
      <c r="AV29" s="1107" t="s">
        <v>38</v>
      </c>
      <c r="AW29" s="1449"/>
      <c r="AX29" s="1107">
        <f t="shared" si="5"/>
        <v>22324</v>
      </c>
      <c r="AY29" s="1175"/>
      <c r="AZ29" s="1110" t="s">
        <v>38</v>
      </c>
      <c r="BA29" s="1462"/>
      <c r="BB29" s="1173">
        <f>16593+5731</f>
        <v>22324</v>
      </c>
      <c r="BC29" s="1469"/>
      <c r="BD29" s="1107" t="s">
        <v>38</v>
      </c>
      <c r="BE29" s="1449"/>
      <c r="BF29" s="1173">
        <v>0</v>
      </c>
      <c r="BG29" s="1175"/>
      <c r="BH29" s="1107" t="s">
        <v>38</v>
      </c>
      <c r="BI29" s="1449"/>
      <c r="BJ29" s="1092">
        <f t="shared" si="10"/>
        <v>647.07246376811599</v>
      </c>
      <c r="BK29" s="1092"/>
      <c r="BL29" s="1440">
        <v>39.200000000000003</v>
      </c>
      <c r="BM29" s="1441"/>
      <c r="BN29" s="1442">
        <f>BL29/2209</f>
        <v>1.7745586238116798E-2</v>
      </c>
      <c r="BO29" s="1441"/>
      <c r="BP29" s="1107" t="s">
        <v>38</v>
      </c>
      <c r="BQ29" s="1449"/>
      <c r="BR29" s="1107">
        <f t="shared" si="7"/>
        <v>25364.978947368421</v>
      </c>
      <c r="BS29" s="1175"/>
      <c r="BT29" s="1110" t="s">
        <v>38</v>
      </c>
      <c r="BU29" s="1462"/>
      <c r="BV29" s="1173">
        <f>98354/152*BL29</f>
        <v>25364.978947368421</v>
      </c>
      <c r="BW29" s="1469"/>
      <c r="BX29" s="1107" t="s">
        <v>38</v>
      </c>
      <c r="BY29" s="1449"/>
      <c r="BZ29" s="1173">
        <v>0</v>
      </c>
      <c r="CA29" s="1175"/>
      <c r="CB29" s="1107" t="s">
        <v>38</v>
      </c>
      <c r="CC29" s="1449"/>
      <c r="CD29" s="1092">
        <f t="shared" si="8"/>
        <v>647.06578947368416</v>
      </c>
      <c r="CE29" s="1687"/>
      <c r="CF29" s="1444">
        <f t="shared" si="0"/>
        <v>151.4</v>
      </c>
      <c r="CG29" s="1092"/>
      <c r="CH29" s="1442">
        <f t="shared" si="9"/>
        <v>1.728310502283105E-2</v>
      </c>
      <c r="CI29" s="1449"/>
      <c r="CJ29" s="1110" t="s">
        <v>38</v>
      </c>
      <c r="CK29" s="1462"/>
      <c r="CL29" s="1173">
        <f t="shared" si="1"/>
        <v>97965.990789473668</v>
      </c>
      <c r="CM29" s="1447"/>
      <c r="CN29" s="1170" t="s">
        <v>38</v>
      </c>
      <c r="CO29" s="1462"/>
      <c r="CP29" s="1173">
        <f t="shared" si="2"/>
        <v>97965.990789473668</v>
      </c>
      <c r="CQ29" s="1175"/>
      <c r="CR29" s="1110" t="s">
        <v>38</v>
      </c>
      <c r="CS29" s="1462"/>
      <c r="CT29" s="1173">
        <f t="shared" si="3"/>
        <v>0</v>
      </c>
      <c r="CU29" s="1175"/>
      <c r="CV29" s="1110" t="s">
        <v>38</v>
      </c>
      <c r="CW29" s="1462"/>
      <c r="CX29" s="1173">
        <f t="shared" si="4"/>
        <v>647.06731036640463</v>
      </c>
      <c r="CY29" s="1352"/>
      <c r="CZ29" s="512"/>
      <c r="DA29" s="513"/>
      <c r="DB29" s="514"/>
      <c r="DC29" s="515"/>
      <c r="DD29" s="506"/>
      <c r="DE29" s="231"/>
      <c r="DF29" s="293"/>
      <c r="DG29" s="230"/>
      <c r="DH29" s="506"/>
      <c r="DI29" s="208"/>
      <c r="DJ29" s="293"/>
      <c r="DK29" s="230"/>
      <c r="DL29" s="506"/>
      <c r="DM29" s="208"/>
      <c r="DN29" s="293"/>
      <c r="DO29" s="230"/>
      <c r="DP29" s="506"/>
      <c r="DQ29" s="516"/>
      <c r="DR29" s="242"/>
      <c r="DS29" s="517"/>
      <c r="DT29" s="293"/>
      <c r="DU29" s="230"/>
      <c r="DV29" s="509"/>
      <c r="DW29" s="510"/>
      <c r="DX29" s="518"/>
      <c r="DY29" s="519"/>
      <c r="DZ29" s="509"/>
      <c r="EA29" s="510"/>
      <c r="EB29" s="293"/>
      <c r="EC29" s="230"/>
      <c r="ED29" s="509"/>
      <c r="EE29" s="517"/>
      <c r="EF29" s="509"/>
      <c r="EG29" s="520"/>
      <c r="EH29" s="285"/>
      <c r="EI29" s="249"/>
    </row>
    <row r="30" spans="1:139" x14ac:dyDescent="0.25">
      <c r="A30" s="2242"/>
      <c r="B30" s="503"/>
      <c r="C30" s="504" t="s">
        <v>40</v>
      </c>
      <c r="D30" s="234">
        <v>7.3</v>
      </c>
      <c r="E30" s="228"/>
      <c r="F30" s="246">
        <v>3.3440219880897844E-3</v>
      </c>
      <c r="G30" s="228"/>
      <c r="H30" s="293" t="s">
        <v>38</v>
      </c>
      <c r="I30" s="230" t="s">
        <v>38</v>
      </c>
      <c r="J30" s="285">
        <v>1813.8083623693381</v>
      </c>
      <c r="K30" s="208"/>
      <c r="L30" s="244" t="s">
        <v>38</v>
      </c>
      <c r="M30" s="548" t="s">
        <v>38</v>
      </c>
      <c r="N30" s="506">
        <v>1813.8083623693381</v>
      </c>
      <c r="O30" s="507"/>
      <c r="P30" s="293" t="s">
        <v>38</v>
      </c>
      <c r="Q30" s="230" t="s">
        <v>38</v>
      </c>
      <c r="R30" s="506">
        <v>0</v>
      </c>
      <c r="S30" s="208"/>
      <c r="T30" s="293" t="s">
        <v>38</v>
      </c>
      <c r="U30" s="230" t="s">
        <v>38</v>
      </c>
      <c r="V30" s="231">
        <v>248.46689895470385</v>
      </c>
      <c r="W30" s="231"/>
      <c r="X30" s="234">
        <v>6.9</v>
      </c>
      <c r="Y30" s="228"/>
      <c r="Z30" s="246">
        <v>3.1593406593406594E-3</v>
      </c>
      <c r="AA30" s="228"/>
      <c r="AB30" s="293" t="s">
        <v>38</v>
      </c>
      <c r="AC30" s="230" t="s">
        <v>38</v>
      </c>
      <c r="AD30" s="285">
        <v>1714.4216027874565</v>
      </c>
      <c r="AE30" s="208"/>
      <c r="AF30" s="244" t="s">
        <v>38</v>
      </c>
      <c r="AG30" s="548" t="s">
        <v>38</v>
      </c>
      <c r="AH30" s="506">
        <v>1714.4216027874565</v>
      </c>
      <c r="AI30" s="507"/>
      <c r="AJ30" s="293" t="s">
        <v>38</v>
      </c>
      <c r="AK30" s="230" t="s">
        <v>38</v>
      </c>
      <c r="AL30" s="506">
        <v>0</v>
      </c>
      <c r="AM30" s="208"/>
      <c r="AN30" s="293" t="s">
        <v>38</v>
      </c>
      <c r="AO30" s="230" t="s">
        <v>38</v>
      </c>
      <c r="AP30" s="231">
        <v>248.46689895470382</v>
      </c>
      <c r="AQ30" s="231"/>
      <c r="AR30" s="1440">
        <v>7.8</v>
      </c>
      <c r="AS30" s="1441"/>
      <c r="AT30" s="1442">
        <f>AR30/2208</f>
        <v>3.5326086956521739E-3</v>
      </c>
      <c r="AU30" s="1441"/>
      <c r="AV30" s="1107" t="s">
        <v>38</v>
      </c>
      <c r="AW30" s="1449"/>
      <c r="AX30" s="1107">
        <f t="shared" si="5"/>
        <v>1368</v>
      </c>
      <c r="AY30" s="1175"/>
      <c r="AZ30" s="1110" t="s">
        <v>38</v>
      </c>
      <c r="BA30" s="1462"/>
      <c r="BB30" s="1173">
        <v>1368</v>
      </c>
      <c r="BC30" s="1469"/>
      <c r="BD30" s="1107" t="s">
        <v>38</v>
      </c>
      <c r="BE30" s="1449"/>
      <c r="BF30" s="1173">
        <v>0</v>
      </c>
      <c r="BG30" s="1175"/>
      <c r="BH30" s="1107" t="s">
        <v>38</v>
      </c>
      <c r="BI30" s="1449"/>
      <c r="BJ30" s="1092">
        <f t="shared" si="10"/>
        <v>175.38461538461539</v>
      </c>
      <c r="BK30" s="1092"/>
      <c r="BL30" s="1440">
        <v>7.7</v>
      </c>
      <c r="BM30" s="1441"/>
      <c r="BN30" s="1442">
        <f>BL30/2209</f>
        <v>3.4857401539157991E-3</v>
      </c>
      <c r="BO30" s="1441"/>
      <c r="BP30" s="1107" t="s">
        <v>38</v>
      </c>
      <c r="BQ30" s="1449"/>
      <c r="BR30" s="1107">
        <f t="shared" si="7"/>
        <v>1429</v>
      </c>
      <c r="BS30" s="1175"/>
      <c r="BT30" s="1110" t="s">
        <v>38</v>
      </c>
      <c r="BU30" s="1462"/>
      <c r="BV30" s="1173">
        <v>1429</v>
      </c>
      <c r="BW30" s="1469"/>
      <c r="BX30" s="1107" t="s">
        <v>38</v>
      </c>
      <c r="BY30" s="1449"/>
      <c r="BZ30" s="1173">
        <v>0</v>
      </c>
      <c r="CA30" s="1175"/>
      <c r="CB30" s="1107" t="s">
        <v>38</v>
      </c>
      <c r="CC30" s="1449"/>
      <c r="CD30" s="1092">
        <f t="shared" si="8"/>
        <v>185.58441558441558</v>
      </c>
      <c r="CE30" s="1687"/>
      <c r="CF30" s="1444">
        <f t="shared" si="0"/>
        <v>29.7</v>
      </c>
      <c r="CG30" s="1092"/>
      <c r="CH30" s="1442">
        <f t="shared" si="9"/>
        <v>3.3904109589041097E-3</v>
      </c>
      <c r="CI30" s="1449"/>
      <c r="CJ30" s="1110" t="s">
        <v>38</v>
      </c>
      <c r="CK30" s="1462"/>
      <c r="CL30" s="1173">
        <f t="shared" si="1"/>
        <v>6325.2299651567946</v>
      </c>
      <c r="CM30" s="1447"/>
      <c r="CN30" s="1170" t="s">
        <v>38</v>
      </c>
      <c r="CO30" s="1462"/>
      <c r="CP30" s="1173">
        <f t="shared" si="2"/>
        <v>6325.2299651567946</v>
      </c>
      <c r="CQ30" s="1175"/>
      <c r="CR30" s="1110" t="s">
        <v>38</v>
      </c>
      <c r="CS30" s="1462"/>
      <c r="CT30" s="1173">
        <f t="shared" si="3"/>
        <v>0</v>
      </c>
      <c r="CU30" s="1175"/>
      <c r="CV30" s="1110" t="s">
        <v>38</v>
      </c>
      <c r="CW30" s="1462"/>
      <c r="CX30" s="1173">
        <f t="shared" si="4"/>
        <v>212.97070589753517</v>
      </c>
      <c r="CY30" s="1352"/>
      <c r="CZ30" s="512"/>
      <c r="DA30" s="513"/>
      <c r="DB30" s="514"/>
      <c r="DC30" s="515"/>
      <c r="DD30" s="506"/>
      <c r="DE30" s="231"/>
      <c r="DF30" s="293"/>
      <c r="DG30" s="230"/>
      <c r="DH30" s="506"/>
      <c r="DI30" s="208"/>
      <c r="DJ30" s="293"/>
      <c r="DK30" s="230"/>
      <c r="DL30" s="506"/>
      <c r="DM30" s="208"/>
      <c r="DN30" s="293"/>
      <c r="DO30" s="230"/>
      <c r="DP30" s="506"/>
      <c r="DQ30" s="516"/>
      <c r="DR30" s="242"/>
      <c r="DS30" s="517"/>
      <c r="DT30" s="293"/>
      <c r="DU30" s="230"/>
      <c r="DV30" s="509"/>
      <c r="DW30" s="510"/>
      <c r="DX30" s="518"/>
      <c r="DY30" s="519"/>
      <c r="DZ30" s="509"/>
      <c r="EA30" s="510"/>
      <c r="EB30" s="293"/>
      <c r="EC30" s="230"/>
      <c r="ED30" s="509"/>
      <c r="EE30" s="517"/>
      <c r="EF30" s="509"/>
      <c r="EG30" s="520"/>
      <c r="EH30" s="298"/>
      <c r="EI30" s="521"/>
    </row>
    <row r="31" spans="1:139" x14ac:dyDescent="0.25">
      <c r="A31" s="2242"/>
      <c r="B31" s="20"/>
      <c r="C31" s="504" t="s">
        <v>42</v>
      </c>
      <c r="D31" s="234">
        <v>19.600000000000001</v>
      </c>
      <c r="E31" s="228"/>
      <c r="F31" s="246">
        <v>8.9784699954191492E-3</v>
      </c>
      <c r="G31" s="228"/>
      <c r="H31" s="293" t="s">
        <v>38</v>
      </c>
      <c r="I31" s="230" t="s">
        <v>38</v>
      </c>
      <c r="J31" s="285">
        <v>2007</v>
      </c>
      <c r="K31" s="208"/>
      <c r="L31" s="244" t="s">
        <v>38</v>
      </c>
      <c r="M31" s="548" t="s">
        <v>38</v>
      </c>
      <c r="N31" s="506">
        <v>2007</v>
      </c>
      <c r="O31" s="522"/>
      <c r="P31" s="293" t="s">
        <v>38</v>
      </c>
      <c r="Q31" s="230" t="s">
        <v>38</v>
      </c>
      <c r="R31" s="506">
        <v>0</v>
      </c>
      <c r="S31" s="208"/>
      <c r="T31" s="293" t="s">
        <v>38</v>
      </c>
      <c r="U31" s="230" t="s">
        <v>38</v>
      </c>
      <c r="V31" s="231">
        <v>102.39795918367346</v>
      </c>
      <c r="W31" s="231"/>
      <c r="X31" s="234">
        <v>18.8</v>
      </c>
      <c r="Y31" s="228"/>
      <c r="Z31" s="246">
        <v>8.6080586080586087E-3</v>
      </c>
      <c r="AA31" s="228"/>
      <c r="AB31" s="293" t="s">
        <v>38</v>
      </c>
      <c r="AC31" s="230" t="s">
        <v>38</v>
      </c>
      <c r="AD31" s="285">
        <v>1907</v>
      </c>
      <c r="AE31" s="208"/>
      <c r="AF31" s="244" t="s">
        <v>38</v>
      </c>
      <c r="AG31" s="548" t="s">
        <v>38</v>
      </c>
      <c r="AH31" s="506">
        <v>1907</v>
      </c>
      <c r="AI31" s="522"/>
      <c r="AJ31" s="293" t="s">
        <v>38</v>
      </c>
      <c r="AK31" s="230" t="s">
        <v>38</v>
      </c>
      <c r="AL31" s="506">
        <v>0</v>
      </c>
      <c r="AM31" s="208"/>
      <c r="AN31" s="293" t="s">
        <v>38</v>
      </c>
      <c r="AO31" s="230" t="s">
        <v>38</v>
      </c>
      <c r="AP31" s="231">
        <v>101.43617021276596</v>
      </c>
      <c r="AQ31" s="231"/>
      <c r="AR31" s="1440">
        <v>18</v>
      </c>
      <c r="AS31" s="1441"/>
      <c r="AT31" s="1442">
        <f>AR31/2208</f>
        <v>8.152173913043478E-3</v>
      </c>
      <c r="AU31" s="1441"/>
      <c r="AV31" s="1107" t="s">
        <v>38</v>
      </c>
      <c r="AW31" s="1449"/>
      <c r="AX31" s="1107">
        <f t="shared" si="5"/>
        <v>1665</v>
      </c>
      <c r="AY31" s="1175"/>
      <c r="AZ31" s="1110" t="s">
        <v>38</v>
      </c>
      <c r="BA31" s="1462"/>
      <c r="BB31" s="1173">
        <v>1665</v>
      </c>
      <c r="BC31" s="1656"/>
      <c r="BD31" s="1107" t="s">
        <v>38</v>
      </c>
      <c r="BE31" s="1449"/>
      <c r="BF31" s="1173">
        <v>0</v>
      </c>
      <c r="BG31" s="1175"/>
      <c r="BH31" s="1107" t="s">
        <v>38</v>
      </c>
      <c r="BI31" s="1449"/>
      <c r="BJ31" s="1092">
        <f t="shared" si="10"/>
        <v>92.5</v>
      </c>
      <c r="BK31" s="1092"/>
      <c r="BL31" s="1440">
        <v>19.5</v>
      </c>
      <c r="BM31" s="1441"/>
      <c r="BN31" s="1442">
        <f>BL31/2209</f>
        <v>8.8275237664101405E-3</v>
      </c>
      <c r="BO31" s="1441"/>
      <c r="BP31" s="1107" t="s">
        <v>38</v>
      </c>
      <c r="BQ31" s="1449"/>
      <c r="BR31" s="1107">
        <f t="shared" si="7"/>
        <v>1934</v>
      </c>
      <c r="BS31" s="1175"/>
      <c r="BT31" s="1110" t="s">
        <v>38</v>
      </c>
      <c r="BU31" s="1462"/>
      <c r="BV31" s="1173">
        <v>1934</v>
      </c>
      <c r="BW31" s="1656"/>
      <c r="BX31" s="1107" t="s">
        <v>38</v>
      </c>
      <c r="BY31" s="1449"/>
      <c r="BZ31" s="1173">
        <v>0</v>
      </c>
      <c r="CA31" s="1175"/>
      <c r="CB31" s="1107" t="s">
        <v>38</v>
      </c>
      <c r="CC31" s="1449"/>
      <c r="CD31" s="1092">
        <f t="shared" si="8"/>
        <v>99.179487179487182</v>
      </c>
      <c r="CE31" s="1687"/>
      <c r="CF31" s="1444">
        <f t="shared" si="0"/>
        <v>75.900000000000006</v>
      </c>
      <c r="CG31" s="1092"/>
      <c r="CH31" s="1442">
        <f t="shared" si="9"/>
        <v>8.6643835616438368E-3</v>
      </c>
      <c r="CI31" s="1449"/>
      <c r="CJ31" s="1110" t="s">
        <v>38</v>
      </c>
      <c r="CK31" s="1462"/>
      <c r="CL31" s="1173">
        <f t="shared" si="1"/>
        <v>7513</v>
      </c>
      <c r="CM31" s="1447"/>
      <c r="CN31" s="1170" t="s">
        <v>38</v>
      </c>
      <c r="CO31" s="1462"/>
      <c r="CP31" s="1173">
        <f t="shared" si="2"/>
        <v>7513</v>
      </c>
      <c r="CQ31" s="1175"/>
      <c r="CR31" s="1110" t="s">
        <v>38</v>
      </c>
      <c r="CS31" s="1462"/>
      <c r="CT31" s="1173">
        <f t="shared" si="3"/>
        <v>0</v>
      </c>
      <c r="CU31" s="1175"/>
      <c r="CV31" s="1110" t="s">
        <v>38</v>
      </c>
      <c r="CW31" s="1462"/>
      <c r="CX31" s="1173">
        <f t="shared" si="4"/>
        <v>98.985507246376798</v>
      </c>
      <c r="CY31" s="1352"/>
      <c r="CZ31" s="512"/>
      <c r="DA31" s="513"/>
      <c r="DB31" s="514"/>
      <c r="DC31" s="515"/>
      <c r="DD31" s="506"/>
      <c r="DE31" s="231"/>
      <c r="DF31" s="293"/>
      <c r="DG31" s="230"/>
      <c r="DH31" s="506"/>
      <c r="DI31" s="208"/>
      <c r="DJ31" s="293"/>
      <c r="DK31" s="230"/>
      <c r="DL31" s="506"/>
      <c r="DM31" s="208"/>
      <c r="DN31" s="293"/>
      <c r="DO31" s="230"/>
      <c r="DP31" s="506"/>
      <c r="DQ31" s="516"/>
      <c r="DR31" s="242"/>
      <c r="DS31" s="517"/>
      <c r="DT31" s="293"/>
      <c r="DU31" s="230"/>
      <c r="DV31" s="509"/>
      <c r="DW31" s="510"/>
      <c r="DX31" s="518"/>
      <c r="DY31" s="519"/>
      <c r="DZ31" s="509"/>
      <c r="EA31" s="510"/>
      <c r="EB31" s="293"/>
      <c r="EC31" s="230"/>
      <c r="ED31" s="509"/>
      <c r="EE31" s="517"/>
      <c r="EF31" s="509"/>
      <c r="EG31" s="520"/>
      <c r="EH31" s="298"/>
      <c r="EI31" s="521"/>
    </row>
    <row r="32" spans="1:139" x14ac:dyDescent="0.25">
      <c r="A32" s="2242"/>
      <c r="B32" s="20"/>
      <c r="C32" s="504" t="s">
        <v>43</v>
      </c>
      <c r="D32" s="234">
        <v>0</v>
      </c>
      <c r="E32" s="228"/>
      <c r="F32" s="246">
        <v>0</v>
      </c>
      <c r="G32" s="228"/>
      <c r="H32" s="293" t="s">
        <v>38</v>
      </c>
      <c r="I32" s="230" t="s">
        <v>38</v>
      </c>
      <c r="J32" s="285">
        <v>0</v>
      </c>
      <c r="K32" s="208"/>
      <c r="L32" s="244" t="s">
        <v>38</v>
      </c>
      <c r="M32" s="548" t="s">
        <v>38</v>
      </c>
      <c r="N32" s="506">
        <v>0</v>
      </c>
      <c r="O32" s="522"/>
      <c r="P32" s="293" t="s">
        <v>38</v>
      </c>
      <c r="Q32" s="230" t="s">
        <v>38</v>
      </c>
      <c r="R32" s="506">
        <v>0</v>
      </c>
      <c r="S32" s="208"/>
      <c r="T32" s="293" t="s">
        <v>38</v>
      </c>
      <c r="U32" s="230" t="s">
        <v>38</v>
      </c>
      <c r="V32" s="231">
        <v>0</v>
      </c>
      <c r="W32" s="231"/>
      <c r="X32" s="234">
        <v>0</v>
      </c>
      <c r="Y32" s="228"/>
      <c r="Z32" s="246">
        <v>0</v>
      </c>
      <c r="AA32" s="228"/>
      <c r="AB32" s="293" t="s">
        <v>38</v>
      </c>
      <c r="AC32" s="230" t="s">
        <v>38</v>
      </c>
      <c r="AD32" s="285">
        <v>0</v>
      </c>
      <c r="AE32" s="208"/>
      <c r="AF32" s="244" t="s">
        <v>38</v>
      </c>
      <c r="AG32" s="548" t="s">
        <v>38</v>
      </c>
      <c r="AH32" s="506">
        <v>0</v>
      </c>
      <c r="AI32" s="522"/>
      <c r="AJ32" s="293" t="s">
        <v>38</v>
      </c>
      <c r="AK32" s="230" t="s">
        <v>38</v>
      </c>
      <c r="AL32" s="506">
        <v>0</v>
      </c>
      <c r="AM32" s="208"/>
      <c r="AN32" s="293" t="s">
        <v>38</v>
      </c>
      <c r="AO32" s="230" t="s">
        <v>38</v>
      </c>
      <c r="AP32" s="231">
        <v>0</v>
      </c>
      <c r="AQ32" s="231"/>
      <c r="AR32" s="1440">
        <v>0</v>
      </c>
      <c r="AS32" s="1441"/>
      <c r="AT32" s="1442">
        <f>AR32/2208</f>
        <v>0</v>
      </c>
      <c r="AU32" s="1441"/>
      <c r="AV32" s="1107" t="s">
        <v>38</v>
      </c>
      <c r="AW32" s="1449"/>
      <c r="AX32" s="1107">
        <f t="shared" si="5"/>
        <v>0</v>
      </c>
      <c r="AY32" s="1175"/>
      <c r="AZ32" s="1110" t="s">
        <v>38</v>
      </c>
      <c r="BA32" s="1462"/>
      <c r="BB32" s="1173">
        <v>0</v>
      </c>
      <c r="BC32" s="1656"/>
      <c r="BD32" s="1107" t="s">
        <v>38</v>
      </c>
      <c r="BE32" s="1449"/>
      <c r="BF32" s="1173">
        <v>0</v>
      </c>
      <c r="BG32" s="1175"/>
      <c r="BH32" s="1107" t="s">
        <v>38</v>
      </c>
      <c r="BI32" s="1449"/>
      <c r="BJ32" s="1092" t="s">
        <v>38</v>
      </c>
      <c r="BK32" s="1092"/>
      <c r="BL32" s="1440">
        <v>0</v>
      </c>
      <c r="BM32" s="1441"/>
      <c r="BN32" s="1442">
        <f>BL32/2209</f>
        <v>0</v>
      </c>
      <c r="BO32" s="1441"/>
      <c r="BP32" s="1107" t="s">
        <v>38</v>
      </c>
      <c r="BQ32" s="1449"/>
      <c r="BR32" s="1107">
        <f t="shared" si="7"/>
        <v>0</v>
      </c>
      <c r="BS32" s="1175"/>
      <c r="BT32" s="1110" t="s">
        <v>38</v>
      </c>
      <c r="BU32" s="1462"/>
      <c r="BV32" s="1173">
        <v>0</v>
      </c>
      <c r="BW32" s="1656"/>
      <c r="BX32" s="1107" t="s">
        <v>38</v>
      </c>
      <c r="BY32" s="1449"/>
      <c r="BZ32" s="1173">
        <v>0</v>
      </c>
      <c r="CA32" s="1175"/>
      <c r="CB32" s="1107" t="s">
        <v>38</v>
      </c>
      <c r="CC32" s="1449"/>
      <c r="CD32" s="1092" t="s">
        <v>38</v>
      </c>
      <c r="CE32" s="1687"/>
      <c r="CF32" s="1444">
        <f t="shared" si="0"/>
        <v>0</v>
      </c>
      <c r="CG32" s="1092"/>
      <c r="CH32" s="1442">
        <f t="shared" si="9"/>
        <v>0</v>
      </c>
      <c r="CI32" s="1449"/>
      <c r="CJ32" s="1110" t="s">
        <v>38</v>
      </c>
      <c r="CK32" s="1462"/>
      <c r="CL32" s="1173">
        <f t="shared" si="1"/>
        <v>0</v>
      </c>
      <c r="CM32" s="1447"/>
      <c r="CN32" s="1170" t="s">
        <v>38</v>
      </c>
      <c r="CO32" s="1462"/>
      <c r="CP32" s="1173">
        <f t="shared" si="2"/>
        <v>0</v>
      </c>
      <c r="CQ32" s="1175"/>
      <c r="CR32" s="1110" t="s">
        <v>38</v>
      </c>
      <c r="CS32" s="1462"/>
      <c r="CT32" s="1173">
        <f t="shared" si="3"/>
        <v>0</v>
      </c>
      <c r="CU32" s="1175"/>
      <c r="CV32" s="1110" t="s">
        <v>38</v>
      </c>
      <c r="CW32" s="1462"/>
      <c r="CX32" s="1173">
        <v>0</v>
      </c>
      <c r="CY32" s="1352"/>
      <c r="CZ32" s="512"/>
      <c r="DA32" s="513"/>
      <c r="DB32" s="514"/>
      <c r="DC32" s="515"/>
      <c r="DD32" s="506"/>
      <c r="DE32" s="231"/>
      <c r="DF32" s="293"/>
      <c r="DG32" s="230"/>
      <c r="DH32" s="506"/>
      <c r="DI32" s="208"/>
      <c r="DJ32" s="293"/>
      <c r="DK32" s="230"/>
      <c r="DL32" s="506"/>
      <c r="DM32" s="208"/>
      <c r="DN32" s="293"/>
      <c r="DO32" s="230"/>
      <c r="DP32" s="506"/>
      <c r="DQ32" s="516"/>
      <c r="DR32" s="242"/>
      <c r="DS32" s="517"/>
      <c r="DT32" s="293"/>
      <c r="DU32" s="230"/>
      <c r="DV32" s="509"/>
      <c r="DW32" s="510"/>
      <c r="DX32" s="518"/>
      <c r="DY32" s="519"/>
      <c r="DZ32" s="509"/>
      <c r="EA32" s="510"/>
      <c r="EB32" s="293"/>
      <c r="EC32" s="230"/>
      <c r="ED32" s="509"/>
      <c r="EE32" s="517"/>
      <c r="EF32" s="509"/>
      <c r="EG32" s="520"/>
      <c r="EH32" s="298"/>
      <c r="EI32" s="521"/>
    </row>
    <row r="33" spans="1:139" ht="26.45" customHeight="1" x14ac:dyDescent="0.25">
      <c r="A33" s="2242"/>
      <c r="B33" s="2184" t="s">
        <v>48</v>
      </c>
      <c r="C33" s="2185"/>
      <c r="D33" s="287">
        <v>237.1</v>
      </c>
      <c r="E33" s="288"/>
      <c r="F33" s="289">
        <v>2.1560621629732015E-2</v>
      </c>
      <c r="G33" s="288"/>
      <c r="H33" s="290" t="s">
        <v>38</v>
      </c>
      <c r="I33" s="291" t="s">
        <v>38</v>
      </c>
      <c r="J33" s="292">
        <v>30018</v>
      </c>
      <c r="K33" s="525"/>
      <c r="L33" s="408" t="s">
        <v>38</v>
      </c>
      <c r="M33" s="549" t="s">
        <v>38</v>
      </c>
      <c r="N33" s="527">
        <v>30018</v>
      </c>
      <c r="O33" s="528"/>
      <c r="P33" s="290" t="s">
        <v>38</v>
      </c>
      <c r="Q33" s="291" t="s">
        <v>38</v>
      </c>
      <c r="R33" s="527">
        <v>0</v>
      </c>
      <c r="S33" s="528"/>
      <c r="T33" s="290" t="s">
        <v>38</v>
      </c>
      <c r="U33" s="291" t="s">
        <v>38</v>
      </c>
      <c r="V33" s="529">
        <v>126.60480809784902</v>
      </c>
      <c r="W33" s="529"/>
      <c r="X33" s="287">
        <v>224.89999999999998</v>
      </c>
      <c r="Y33" s="288"/>
      <c r="Z33" s="289">
        <v>2.0441923667730118E-2</v>
      </c>
      <c r="AA33" s="288"/>
      <c r="AB33" s="290" t="s">
        <v>38</v>
      </c>
      <c r="AC33" s="291" t="s">
        <v>38</v>
      </c>
      <c r="AD33" s="292">
        <v>28434</v>
      </c>
      <c r="AE33" s="525"/>
      <c r="AF33" s="408" t="s">
        <v>38</v>
      </c>
      <c r="AG33" s="549" t="s">
        <v>38</v>
      </c>
      <c r="AH33" s="527">
        <v>28434</v>
      </c>
      <c r="AI33" s="528"/>
      <c r="AJ33" s="290" t="s">
        <v>38</v>
      </c>
      <c r="AK33" s="291" t="s">
        <v>38</v>
      </c>
      <c r="AL33" s="527">
        <v>0</v>
      </c>
      <c r="AM33" s="528"/>
      <c r="AN33" s="290" t="s">
        <v>38</v>
      </c>
      <c r="AO33" s="291" t="s">
        <v>38</v>
      </c>
      <c r="AP33" s="529">
        <v>126.42952423299245</v>
      </c>
      <c r="AQ33" s="529"/>
      <c r="AR33" s="1451">
        <f>SUM(AR34:AR38)</f>
        <v>241.8</v>
      </c>
      <c r="AS33" s="1452"/>
      <c r="AT33" s="1453">
        <f>AR33/11106.9</f>
        <v>2.1770250925100616E-2</v>
      </c>
      <c r="AU33" s="1452"/>
      <c r="AV33" s="1100" t="s">
        <v>38</v>
      </c>
      <c r="AW33" s="1454"/>
      <c r="AX33" s="1100">
        <f t="shared" si="5"/>
        <v>20258</v>
      </c>
      <c r="AY33" s="1460"/>
      <c r="AZ33" s="1112" t="s">
        <v>38</v>
      </c>
      <c r="BA33" s="1463"/>
      <c r="BB33" s="1458">
        <f>SUM(BB34:BB38)</f>
        <v>20258</v>
      </c>
      <c r="BC33" s="1461"/>
      <c r="BD33" s="1100" t="s">
        <v>38</v>
      </c>
      <c r="BE33" s="1454"/>
      <c r="BF33" s="1458">
        <v>0</v>
      </c>
      <c r="BG33" s="1461"/>
      <c r="BH33" s="1100" t="s">
        <v>38</v>
      </c>
      <c r="BI33" s="1454"/>
      <c r="BJ33" s="1112">
        <f t="shared" si="10"/>
        <v>83.779983457402807</v>
      </c>
      <c r="BK33" s="1112"/>
      <c r="BL33" s="1451">
        <f>SUM(BL34:BL38)</f>
        <v>217.7</v>
      </c>
      <c r="BM33" s="1452"/>
      <c r="BN33" s="1453">
        <f>BL33/11096.9</f>
        <v>1.961809153907848E-2</v>
      </c>
      <c r="BO33" s="1452"/>
      <c r="BP33" s="1100" t="s">
        <v>38</v>
      </c>
      <c r="BQ33" s="1454"/>
      <c r="BR33" s="1100">
        <f t="shared" si="7"/>
        <v>27662</v>
      </c>
      <c r="BS33" s="1460"/>
      <c r="BT33" s="1112" t="s">
        <v>38</v>
      </c>
      <c r="BU33" s="1463"/>
      <c r="BV33" s="1458">
        <f>SUM(BV34:BV38)</f>
        <v>27662</v>
      </c>
      <c r="BW33" s="1461"/>
      <c r="BX33" s="1100" t="s">
        <v>38</v>
      </c>
      <c r="BY33" s="1454"/>
      <c r="BZ33" s="1458">
        <v>0</v>
      </c>
      <c r="CA33" s="1461"/>
      <c r="CB33" s="1100" t="s">
        <v>38</v>
      </c>
      <c r="CC33" s="1454"/>
      <c r="CD33" s="1112">
        <f t="shared" si="8"/>
        <v>127.06476802939827</v>
      </c>
      <c r="CE33" s="1688"/>
      <c r="CF33" s="1455">
        <f t="shared" si="0"/>
        <v>921.5</v>
      </c>
      <c r="CG33" s="1112"/>
      <c r="CH33" s="1453">
        <f>CF33/44202.6</f>
        <v>2.0847189984299568E-2</v>
      </c>
      <c r="CI33" s="1456"/>
      <c r="CJ33" s="1112" t="s">
        <v>38</v>
      </c>
      <c r="CK33" s="1463"/>
      <c r="CL33" s="1458">
        <f t="shared" si="1"/>
        <v>106372</v>
      </c>
      <c r="CM33" s="1459"/>
      <c r="CN33" s="1461" t="s">
        <v>38</v>
      </c>
      <c r="CO33" s="1463"/>
      <c r="CP33" s="1458">
        <f t="shared" si="2"/>
        <v>106372</v>
      </c>
      <c r="CQ33" s="1461"/>
      <c r="CR33" s="1112" t="s">
        <v>38</v>
      </c>
      <c r="CS33" s="1463"/>
      <c r="CT33" s="1458">
        <f t="shared" si="3"/>
        <v>0</v>
      </c>
      <c r="CU33" s="1461"/>
      <c r="CV33" s="1112" t="s">
        <v>38</v>
      </c>
      <c r="CW33" s="1463"/>
      <c r="CX33" s="1458">
        <f t="shared" si="4"/>
        <v>115.43353228431904</v>
      </c>
      <c r="CY33" s="1356"/>
      <c r="CZ33" s="534"/>
      <c r="DA33" s="535"/>
      <c r="DB33" s="536"/>
      <c r="DC33" s="537"/>
      <c r="DD33" s="527"/>
      <c r="DE33" s="529"/>
      <c r="DF33" s="290"/>
      <c r="DG33" s="291"/>
      <c r="DH33" s="527"/>
      <c r="DI33" s="528"/>
      <c r="DJ33" s="290"/>
      <c r="DK33" s="291"/>
      <c r="DL33" s="527"/>
      <c r="DM33" s="528"/>
      <c r="DN33" s="290"/>
      <c r="DO33" s="291"/>
      <c r="DP33" s="527"/>
      <c r="DQ33" s="538"/>
      <c r="DR33" s="539"/>
      <c r="DS33" s="540"/>
      <c r="DT33" s="290"/>
      <c r="DU33" s="291"/>
      <c r="DV33" s="496"/>
      <c r="DW33" s="541"/>
      <c r="DX33" s="533"/>
      <c r="DY33" s="542"/>
      <c r="DZ33" s="496"/>
      <c r="EA33" s="541"/>
      <c r="EB33" s="290"/>
      <c r="EC33" s="291"/>
      <c r="ED33" s="496"/>
      <c r="EE33" s="540"/>
      <c r="EF33" s="496"/>
      <c r="EG33" s="543"/>
      <c r="EH33" s="544"/>
      <c r="EI33" s="545"/>
    </row>
    <row r="34" spans="1:139" x14ac:dyDescent="0.25">
      <c r="A34" s="2242"/>
      <c r="B34" s="21"/>
      <c r="C34" s="524" t="s">
        <v>39</v>
      </c>
      <c r="D34" s="234">
        <v>31.699999999999996</v>
      </c>
      <c r="E34" s="228"/>
      <c r="F34" s="246">
        <v>1.4521300961978926E-2</v>
      </c>
      <c r="G34" s="228"/>
      <c r="H34" s="293" t="s">
        <v>38</v>
      </c>
      <c r="I34" s="230" t="s">
        <v>38</v>
      </c>
      <c r="J34" s="285">
        <v>16447</v>
      </c>
      <c r="K34" s="208"/>
      <c r="L34" s="406" t="s">
        <v>38</v>
      </c>
      <c r="M34" s="505" t="s">
        <v>38</v>
      </c>
      <c r="N34" s="506">
        <v>16447</v>
      </c>
      <c r="O34" s="522"/>
      <c r="P34" s="293" t="s">
        <v>38</v>
      </c>
      <c r="Q34" s="230" t="s">
        <v>38</v>
      </c>
      <c r="R34" s="506">
        <v>0</v>
      </c>
      <c r="S34" s="208"/>
      <c r="T34" s="293" t="s">
        <v>38</v>
      </c>
      <c r="U34" s="230" t="s">
        <v>38</v>
      </c>
      <c r="V34" s="231">
        <v>518.83280757097793</v>
      </c>
      <c r="W34" s="231"/>
      <c r="X34" s="234">
        <v>29.4</v>
      </c>
      <c r="Y34" s="228"/>
      <c r="Z34" s="246">
        <v>1.3461538461538461E-2</v>
      </c>
      <c r="AA34" s="228"/>
      <c r="AB34" s="293" t="s">
        <v>38</v>
      </c>
      <c r="AC34" s="230" t="s">
        <v>38</v>
      </c>
      <c r="AD34" s="285">
        <v>15863</v>
      </c>
      <c r="AE34" s="208"/>
      <c r="AF34" s="406" t="s">
        <v>38</v>
      </c>
      <c r="AG34" s="505" t="s">
        <v>38</v>
      </c>
      <c r="AH34" s="506">
        <v>15863</v>
      </c>
      <c r="AI34" s="522"/>
      <c r="AJ34" s="293" t="s">
        <v>38</v>
      </c>
      <c r="AK34" s="230" t="s">
        <v>38</v>
      </c>
      <c r="AL34" s="506">
        <v>0</v>
      </c>
      <c r="AM34" s="208"/>
      <c r="AN34" s="293" t="s">
        <v>38</v>
      </c>
      <c r="AO34" s="230" t="s">
        <v>38</v>
      </c>
      <c r="AP34" s="231">
        <v>539.55782312925169</v>
      </c>
      <c r="AQ34" s="231"/>
      <c r="AR34" s="1440">
        <v>29.9</v>
      </c>
      <c r="AS34" s="1441"/>
      <c r="AT34" s="1442">
        <f>AR34/2208</f>
        <v>1.3541666666666665E-2</v>
      </c>
      <c r="AU34" s="1441"/>
      <c r="AV34" s="1107" t="s">
        <v>38</v>
      </c>
      <c r="AW34" s="1449"/>
      <c r="AX34" s="1107">
        <f t="shared" si="5"/>
        <v>13123</v>
      </c>
      <c r="AY34" s="1175"/>
      <c r="AZ34" s="1092" t="s">
        <v>38</v>
      </c>
      <c r="BA34" s="1446"/>
      <c r="BB34" s="1173">
        <v>13123</v>
      </c>
      <c r="BC34" s="1656"/>
      <c r="BD34" s="1107" t="s">
        <v>38</v>
      </c>
      <c r="BE34" s="1449"/>
      <c r="BF34" s="1173">
        <v>0</v>
      </c>
      <c r="BG34" s="1175"/>
      <c r="BH34" s="1107" t="s">
        <v>38</v>
      </c>
      <c r="BI34" s="1449"/>
      <c r="BJ34" s="1092">
        <f t="shared" si="10"/>
        <v>438.89632107023414</v>
      </c>
      <c r="BK34" s="1092"/>
      <c r="BL34" s="1440">
        <v>29.2</v>
      </c>
      <c r="BM34" s="1441"/>
      <c r="BN34" s="1442">
        <f>BL34/2209</f>
        <v>1.3218650973291082E-2</v>
      </c>
      <c r="BO34" s="1441"/>
      <c r="BP34" s="1107" t="s">
        <v>38</v>
      </c>
      <c r="BQ34" s="1449"/>
      <c r="BR34" s="1107">
        <f t="shared" si="7"/>
        <v>15904</v>
      </c>
      <c r="BS34" s="1175"/>
      <c r="BT34" s="1092" t="s">
        <v>38</v>
      </c>
      <c r="BU34" s="1446"/>
      <c r="BV34" s="1173">
        <v>15904</v>
      </c>
      <c r="BW34" s="1656"/>
      <c r="BX34" s="1107" t="s">
        <v>38</v>
      </c>
      <c r="BY34" s="1449"/>
      <c r="BZ34" s="1173">
        <v>0</v>
      </c>
      <c r="CA34" s="1175"/>
      <c r="CB34" s="1107" t="s">
        <v>38</v>
      </c>
      <c r="CC34" s="1449"/>
      <c r="CD34" s="1092">
        <f t="shared" si="8"/>
        <v>544.65753424657532</v>
      </c>
      <c r="CE34" s="1687"/>
      <c r="CF34" s="1444">
        <f t="shared" si="0"/>
        <v>120.19999999999999</v>
      </c>
      <c r="CG34" s="1092"/>
      <c r="CH34" s="1442">
        <f t="shared" si="9"/>
        <v>1.3721461187214611E-2</v>
      </c>
      <c r="CI34" s="1449"/>
      <c r="CJ34" s="1092" t="s">
        <v>38</v>
      </c>
      <c r="CK34" s="1446"/>
      <c r="CL34" s="1173">
        <f t="shared" si="1"/>
        <v>61337</v>
      </c>
      <c r="CM34" s="1447"/>
      <c r="CN34" s="1175" t="s">
        <v>38</v>
      </c>
      <c r="CO34" s="1446"/>
      <c r="CP34" s="1173">
        <f t="shared" si="2"/>
        <v>61337</v>
      </c>
      <c r="CQ34" s="1175"/>
      <c r="CR34" s="1092" t="s">
        <v>38</v>
      </c>
      <c r="CS34" s="1446"/>
      <c r="CT34" s="1173">
        <f t="shared" si="3"/>
        <v>0</v>
      </c>
      <c r="CU34" s="1175"/>
      <c r="CV34" s="1092" t="s">
        <v>38</v>
      </c>
      <c r="CW34" s="1446"/>
      <c r="CX34" s="1173">
        <f t="shared" si="4"/>
        <v>510.29118136439274</v>
      </c>
      <c r="CY34" s="1352"/>
      <c r="CZ34" s="512"/>
      <c r="DA34" s="513"/>
      <c r="DB34" s="514"/>
      <c r="DC34" s="515"/>
      <c r="DD34" s="506"/>
      <c r="DE34" s="231"/>
      <c r="DF34" s="293"/>
      <c r="DG34" s="230"/>
      <c r="DH34" s="506"/>
      <c r="DI34" s="208"/>
      <c r="DJ34" s="293"/>
      <c r="DK34" s="230"/>
      <c r="DL34" s="506"/>
      <c r="DM34" s="208"/>
      <c r="DN34" s="293"/>
      <c r="DO34" s="230"/>
      <c r="DP34" s="506"/>
      <c r="DQ34" s="516"/>
      <c r="DR34" s="242"/>
      <c r="DS34" s="517"/>
      <c r="DT34" s="293"/>
      <c r="DU34" s="230"/>
      <c r="DV34" s="509"/>
      <c r="DW34" s="510"/>
      <c r="DX34" s="518"/>
      <c r="DY34" s="519"/>
      <c r="DZ34" s="509"/>
      <c r="EA34" s="510"/>
      <c r="EB34" s="293"/>
      <c r="EC34" s="230"/>
      <c r="ED34" s="509"/>
      <c r="EE34" s="517"/>
      <c r="EF34" s="509"/>
      <c r="EG34" s="520"/>
      <c r="EH34" s="285"/>
      <c r="EI34" s="249"/>
    </row>
    <row r="35" spans="1:139" x14ac:dyDescent="0.25">
      <c r="A35" s="2242"/>
      <c r="B35" s="21"/>
      <c r="C35" s="524" t="s">
        <v>40</v>
      </c>
      <c r="D35" s="234">
        <v>0</v>
      </c>
      <c r="E35" s="228"/>
      <c r="F35" s="246">
        <v>0</v>
      </c>
      <c r="G35" s="228"/>
      <c r="H35" s="293" t="s">
        <v>38</v>
      </c>
      <c r="I35" s="230" t="s">
        <v>38</v>
      </c>
      <c r="J35" s="285">
        <v>0</v>
      </c>
      <c r="K35" s="208"/>
      <c r="L35" s="406" t="s">
        <v>38</v>
      </c>
      <c r="M35" s="505" t="s">
        <v>38</v>
      </c>
      <c r="N35" s="506">
        <v>0</v>
      </c>
      <c r="O35" s="522"/>
      <c r="P35" s="293" t="s">
        <v>38</v>
      </c>
      <c r="Q35" s="230" t="s">
        <v>38</v>
      </c>
      <c r="R35" s="506">
        <v>0</v>
      </c>
      <c r="S35" s="208"/>
      <c r="T35" s="293" t="s">
        <v>38</v>
      </c>
      <c r="U35" s="230" t="s">
        <v>38</v>
      </c>
      <c r="V35" s="231">
        <v>0</v>
      </c>
      <c r="W35" s="231"/>
      <c r="X35" s="234">
        <v>0</v>
      </c>
      <c r="Y35" s="228"/>
      <c r="Z35" s="246">
        <v>0</v>
      </c>
      <c r="AA35" s="228"/>
      <c r="AB35" s="293" t="s">
        <v>38</v>
      </c>
      <c r="AC35" s="230" t="s">
        <v>38</v>
      </c>
      <c r="AD35" s="285">
        <v>0</v>
      </c>
      <c r="AE35" s="208"/>
      <c r="AF35" s="406" t="s">
        <v>38</v>
      </c>
      <c r="AG35" s="505" t="s">
        <v>38</v>
      </c>
      <c r="AH35" s="506">
        <v>0</v>
      </c>
      <c r="AI35" s="522"/>
      <c r="AJ35" s="293" t="s">
        <v>38</v>
      </c>
      <c r="AK35" s="230" t="s">
        <v>38</v>
      </c>
      <c r="AL35" s="506">
        <v>0</v>
      </c>
      <c r="AM35" s="208"/>
      <c r="AN35" s="293" t="s">
        <v>38</v>
      </c>
      <c r="AO35" s="230" t="s">
        <v>38</v>
      </c>
      <c r="AP35" s="231">
        <v>0</v>
      </c>
      <c r="AQ35" s="231"/>
      <c r="AR35" s="1440">
        <v>0</v>
      </c>
      <c r="AS35" s="1441"/>
      <c r="AT35" s="1442">
        <f>AR35/2208</f>
        <v>0</v>
      </c>
      <c r="AU35" s="1441"/>
      <c r="AV35" s="1107" t="s">
        <v>38</v>
      </c>
      <c r="AW35" s="1449"/>
      <c r="AX35" s="1107">
        <f t="shared" si="5"/>
        <v>0</v>
      </c>
      <c r="AY35" s="1175"/>
      <c r="AZ35" s="1092" t="s">
        <v>38</v>
      </c>
      <c r="BA35" s="1446"/>
      <c r="BB35" s="1173">
        <v>0</v>
      </c>
      <c r="BC35" s="1656"/>
      <c r="BD35" s="1107" t="s">
        <v>38</v>
      </c>
      <c r="BE35" s="1449"/>
      <c r="BF35" s="1173">
        <v>0</v>
      </c>
      <c r="BG35" s="1175"/>
      <c r="BH35" s="1107" t="s">
        <v>38</v>
      </c>
      <c r="BI35" s="1449"/>
      <c r="BJ35" s="1092" t="s">
        <v>38</v>
      </c>
      <c r="BK35" s="1092"/>
      <c r="BL35" s="1440">
        <v>0</v>
      </c>
      <c r="BM35" s="1441"/>
      <c r="BN35" s="1442">
        <f>BL35/2209</f>
        <v>0</v>
      </c>
      <c r="BO35" s="1441"/>
      <c r="BP35" s="1107" t="s">
        <v>38</v>
      </c>
      <c r="BQ35" s="1449"/>
      <c r="BR35" s="1107">
        <f t="shared" si="7"/>
        <v>0</v>
      </c>
      <c r="BS35" s="1175"/>
      <c r="BT35" s="1092" t="s">
        <v>38</v>
      </c>
      <c r="BU35" s="1446"/>
      <c r="BV35" s="1173">
        <v>0</v>
      </c>
      <c r="BW35" s="1656"/>
      <c r="BX35" s="1107" t="s">
        <v>38</v>
      </c>
      <c r="BY35" s="1449"/>
      <c r="BZ35" s="1173">
        <v>0</v>
      </c>
      <c r="CA35" s="1175"/>
      <c r="CB35" s="1107" t="s">
        <v>38</v>
      </c>
      <c r="CC35" s="1449"/>
      <c r="CD35" s="1092" t="s">
        <v>38</v>
      </c>
      <c r="CE35" s="1687"/>
      <c r="CF35" s="1444">
        <f t="shared" si="0"/>
        <v>0</v>
      </c>
      <c r="CG35" s="1092"/>
      <c r="CH35" s="1442">
        <f t="shared" si="9"/>
        <v>0</v>
      </c>
      <c r="CI35" s="1449"/>
      <c r="CJ35" s="1092" t="s">
        <v>38</v>
      </c>
      <c r="CK35" s="1446"/>
      <c r="CL35" s="1173">
        <f t="shared" si="1"/>
        <v>0</v>
      </c>
      <c r="CM35" s="1447"/>
      <c r="CN35" s="1175" t="s">
        <v>38</v>
      </c>
      <c r="CO35" s="1446"/>
      <c r="CP35" s="1173">
        <f t="shared" si="2"/>
        <v>0</v>
      </c>
      <c r="CQ35" s="1175"/>
      <c r="CR35" s="1092" t="s">
        <v>38</v>
      </c>
      <c r="CS35" s="1446"/>
      <c r="CT35" s="1173">
        <f t="shared" si="3"/>
        <v>0</v>
      </c>
      <c r="CU35" s="1175"/>
      <c r="CV35" s="1092" t="s">
        <v>38</v>
      </c>
      <c r="CW35" s="1446"/>
      <c r="CX35" s="1173">
        <v>0</v>
      </c>
      <c r="CY35" s="1352"/>
      <c r="CZ35" s="512"/>
      <c r="DA35" s="513"/>
      <c r="DB35" s="514"/>
      <c r="DC35" s="515"/>
      <c r="DD35" s="506"/>
      <c r="DE35" s="231"/>
      <c r="DF35" s="293"/>
      <c r="DG35" s="230"/>
      <c r="DH35" s="506"/>
      <c r="DI35" s="208"/>
      <c r="DJ35" s="293"/>
      <c r="DK35" s="230"/>
      <c r="DL35" s="506"/>
      <c r="DM35" s="208"/>
      <c r="DN35" s="293"/>
      <c r="DO35" s="230"/>
      <c r="DP35" s="506"/>
      <c r="DQ35" s="516"/>
      <c r="DR35" s="242"/>
      <c r="DS35" s="517"/>
      <c r="DT35" s="293"/>
      <c r="DU35" s="230"/>
      <c r="DV35" s="509"/>
      <c r="DW35" s="510"/>
      <c r="DX35" s="518"/>
      <c r="DY35" s="519"/>
      <c r="DZ35" s="509"/>
      <c r="EA35" s="510"/>
      <c r="EB35" s="293"/>
      <c r="EC35" s="230"/>
      <c r="ED35" s="509"/>
      <c r="EE35" s="517"/>
      <c r="EF35" s="509"/>
      <c r="EG35" s="520"/>
      <c r="EH35" s="298"/>
      <c r="EI35" s="521"/>
    </row>
    <row r="36" spans="1:139" x14ac:dyDescent="0.25">
      <c r="A36" s="2242"/>
      <c r="B36" s="21"/>
      <c r="C36" s="524" t="s">
        <v>41</v>
      </c>
      <c r="D36" s="234">
        <v>2.5</v>
      </c>
      <c r="E36" s="228"/>
      <c r="F36" s="246">
        <v>1.1452130096197893E-3</v>
      </c>
      <c r="G36" s="228"/>
      <c r="H36" s="293" t="s">
        <v>38</v>
      </c>
      <c r="I36" s="230" t="s">
        <v>38</v>
      </c>
      <c r="J36" s="285">
        <v>4914</v>
      </c>
      <c r="K36" s="208"/>
      <c r="L36" s="406" t="s">
        <v>38</v>
      </c>
      <c r="M36" s="505" t="s">
        <v>38</v>
      </c>
      <c r="N36" s="506">
        <v>4914</v>
      </c>
      <c r="O36" s="522"/>
      <c r="P36" s="293" t="s">
        <v>38</v>
      </c>
      <c r="Q36" s="230" t="s">
        <v>38</v>
      </c>
      <c r="R36" s="506">
        <v>0</v>
      </c>
      <c r="S36" s="208"/>
      <c r="T36" s="293" t="s">
        <v>38</v>
      </c>
      <c r="U36" s="230" t="s">
        <v>38</v>
      </c>
      <c r="V36" s="231">
        <v>1965.6</v>
      </c>
      <c r="W36" s="231"/>
      <c r="X36" s="234">
        <v>4.5</v>
      </c>
      <c r="Y36" s="228"/>
      <c r="Z36" s="246">
        <v>2.0604395604395605E-3</v>
      </c>
      <c r="AA36" s="228"/>
      <c r="AB36" s="293" t="s">
        <v>38</v>
      </c>
      <c r="AC36" s="230" t="s">
        <v>38</v>
      </c>
      <c r="AD36" s="285">
        <v>4949</v>
      </c>
      <c r="AE36" s="208"/>
      <c r="AF36" s="406" t="s">
        <v>38</v>
      </c>
      <c r="AG36" s="505" t="s">
        <v>38</v>
      </c>
      <c r="AH36" s="506">
        <v>4949</v>
      </c>
      <c r="AI36" s="522"/>
      <c r="AJ36" s="293" t="s">
        <v>38</v>
      </c>
      <c r="AK36" s="230" t="s">
        <v>38</v>
      </c>
      <c r="AL36" s="506">
        <v>0</v>
      </c>
      <c r="AM36" s="208"/>
      <c r="AN36" s="293" t="s">
        <v>38</v>
      </c>
      <c r="AO36" s="230" t="s">
        <v>38</v>
      </c>
      <c r="AP36" s="231">
        <v>1099.7777777777778</v>
      </c>
      <c r="AQ36" s="231"/>
      <c r="AR36" s="1440">
        <v>0</v>
      </c>
      <c r="AS36" s="1441"/>
      <c r="AT36" s="1442">
        <f>AR36/2208</f>
        <v>0</v>
      </c>
      <c r="AU36" s="1441"/>
      <c r="AV36" s="1107" t="s">
        <v>38</v>
      </c>
      <c r="AW36" s="1449"/>
      <c r="AX36" s="1107">
        <f t="shared" si="5"/>
        <v>0</v>
      </c>
      <c r="AY36" s="1175"/>
      <c r="AZ36" s="1092" t="s">
        <v>38</v>
      </c>
      <c r="BA36" s="1446"/>
      <c r="BB36" s="1173">
        <v>0</v>
      </c>
      <c r="BC36" s="1175"/>
      <c r="BD36" s="1107" t="s">
        <v>38</v>
      </c>
      <c r="BE36" s="1449"/>
      <c r="BF36" s="1173">
        <v>0</v>
      </c>
      <c r="BG36" s="1175"/>
      <c r="BH36" s="1107" t="s">
        <v>38</v>
      </c>
      <c r="BI36" s="1449"/>
      <c r="BJ36" s="1092" t="s">
        <v>38</v>
      </c>
      <c r="BK36" s="1092"/>
      <c r="BL36" s="1440">
        <v>3.5</v>
      </c>
      <c r="BM36" s="1441"/>
      <c r="BN36" s="1442">
        <f>BL36/2209</f>
        <v>1.5844273426889996E-3</v>
      </c>
      <c r="BO36" s="1441"/>
      <c r="BP36" s="1107" t="s">
        <v>38</v>
      </c>
      <c r="BQ36" s="1449"/>
      <c r="BR36" s="1107">
        <f t="shared" si="7"/>
        <v>4915</v>
      </c>
      <c r="BS36" s="1175"/>
      <c r="BT36" s="1092" t="s">
        <v>38</v>
      </c>
      <c r="BU36" s="1446"/>
      <c r="BV36" s="1173">
        <v>4915</v>
      </c>
      <c r="BW36" s="1175"/>
      <c r="BX36" s="1107" t="s">
        <v>38</v>
      </c>
      <c r="BY36" s="1449"/>
      <c r="BZ36" s="1173">
        <v>0</v>
      </c>
      <c r="CA36" s="1175"/>
      <c r="CB36" s="1107" t="s">
        <v>38</v>
      </c>
      <c r="CC36" s="1449"/>
      <c r="CD36" s="1092">
        <f t="shared" si="8"/>
        <v>1404.2857142857142</v>
      </c>
      <c r="CE36" s="1687"/>
      <c r="CF36" s="1444">
        <f t="shared" si="0"/>
        <v>10.5</v>
      </c>
      <c r="CG36" s="1092"/>
      <c r="CH36" s="1442">
        <f t="shared" si="9"/>
        <v>1.1986301369863014E-3</v>
      </c>
      <c r="CI36" s="1449"/>
      <c r="CJ36" s="1092" t="s">
        <v>38</v>
      </c>
      <c r="CK36" s="1446"/>
      <c r="CL36" s="1173">
        <f t="shared" si="1"/>
        <v>14778</v>
      </c>
      <c r="CM36" s="1447"/>
      <c r="CN36" s="1175" t="s">
        <v>38</v>
      </c>
      <c r="CO36" s="1446"/>
      <c r="CP36" s="1173">
        <f t="shared" si="2"/>
        <v>14778</v>
      </c>
      <c r="CQ36" s="1175"/>
      <c r="CR36" s="1092" t="s">
        <v>38</v>
      </c>
      <c r="CS36" s="1446"/>
      <c r="CT36" s="1173">
        <f t="shared" si="3"/>
        <v>0</v>
      </c>
      <c r="CU36" s="1175"/>
      <c r="CV36" s="1092" t="s">
        <v>38</v>
      </c>
      <c r="CW36" s="1446"/>
      <c r="CX36" s="1173">
        <f t="shared" si="4"/>
        <v>1407.4285714285713</v>
      </c>
      <c r="CY36" s="1464"/>
      <c r="CZ36" s="512"/>
      <c r="DA36" s="513"/>
      <c r="DB36" s="514"/>
      <c r="DC36" s="515"/>
      <c r="DD36" s="506"/>
      <c r="DE36" s="231"/>
      <c r="DF36" s="293"/>
      <c r="DG36" s="230"/>
      <c r="DH36" s="506"/>
      <c r="DI36" s="208"/>
      <c r="DJ36" s="293"/>
      <c r="DK36" s="230"/>
      <c r="DL36" s="506"/>
      <c r="DM36" s="208"/>
      <c r="DN36" s="293"/>
      <c r="DO36" s="230"/>
      <c r="DP36" s="506"/>
      <c r="DQ36" s="516"/>
      <c r="DR36" s="242"/>
      <c r="DS36" s="517"/>
      <c r="DT36" s="293"/>
      <c r="DU36" s="230"/>
      <c r="DV36" s="509"/>
      <c r="DW36" s="510"/>
      <c r="DX36" s="518"/>
      <c r="DY36" s="519"/>
      <c r="DZ36" s="509"/>
      <c r="EA36" s="510"/>
      <c r="EB36" s="293"/>
      <c r="EC36" s="230"/>
      <c r="ED36" s="509"/>
      <c r="EE36" s="517"/>
      <c r="EF36" s="509"/>
      <c r="EG36" s="520"/>
      <c r="EH36" s="298"/>
      <c r="EI36" s="521"/>
    </row>
    <row r="37" spans="1:139" x14ac:dyDescent="0.25">
      <c r="A37" s="2242"/>
      <c r="B37" s="21"/>
      <c r="C37" s="524" t="s">
        <v>42</v>
      </c>
      <c r="D37" s="234">
        <v>17.399999999999999</v>
      </c>
      <c r="E37" s="228"/>
      <c r="F37" s="246">
        <v>7.9706825469537321E-3</v>
      </c>
      <c r="G37" s="228"/>
      <c r="H37" s="293" t="s">
        <v>38</v>
      </c>
      <c r="I37" s="230" t="s">
        <v>38</v>
      </c>
      <c r="J37" s="285">
        <v>2854</v>
      </c>
      <c r="K37" s="208"/>
      <c r="L37" s="406" t="s">
        <v>38</v>
      </c>
      <c r="M37" s="505" t="s">
        <v>38</v>
      </c>
      <c r="N37" s="506">
        <v>2854</v>
      </c>
      <c r="O37" s="522"/>
      <c r="P37" s="293" t="s">
        <v>38</v>
      </c>
      <c r="Q37" s="230" t="s">
        <v>38</v>
      </c>
      <c r="R37" s="506">
        <v>0</v>
      </c>
      <c r="S37" s="208"/>
      <c r="T37" s="293" t="s">
        <v>38</v>
      </c>
      <c r="U37" s="230" t="s">
        <v>38</v>
      </c>
      <c r="V37" s="231">
        <v>164.02298850574715</v>
      </c>
      <c r="W37" s="231"/>
      <c r="X37" s="234">
        <v>17.3</v>
      </c>
      <c r="Y37" s="228"/>
      <c r="Z37" s="246">
        <v>7.9212454212454209E-3</v>
      </c>
      <c r="AA37" s="228"/>
      <c r="AB37" s="293" t="s">
        <v>38</v>
      </c>
      <c r="AC37" s="230" t="s">
        <v>38</v>
      </c>
      <c r="AD37" s="285">
        <v>2192</v>
      </c>
      <c r="AE37" s="208"/>
      <c r="AF37" s="406" t="s">
        <v>38</v>
      </c>
      <c r="AG37" s="505" t="s">
        <v>38</v>
      </c>
      <c r="AH37" s="506">
        <v>2192</v>
      </c>
      <c r="AI37" s="522"/>
      <c r="AJ37" s="293" t="s">
        <v>38</v>
      </c>
      <c r="AK37" s="230" t="s">
        <v>38</v>
      </c>
      <c r="AL37" s="506">
        <v>0</v>
      </c>
      <c r="AM37" s="208"/>
      <c r="AN37" s="293" t="s">
        <v>38</v>
      </c>
      <c r="AO37" s="230" t="s">
        <v>38</v>
      </c>
      <c r="AP37" s="231">
        <v>126.70520231213872</v>
      </c>
      <c r="AQ37" s="231"/>
      <c r="AR37" s="1440">
        <v>17.5</v>
      </c>
      <c r="AS37" s="1441"/>
      <c r="AT37" s="1442">
        <f>AR37/2208</f>
        <v>7.9257246376811599E-3</v>
      </c>
      <c r="AU37" s="1441"/>
      <c r="AV37" s="1107" t="s">
        <v>38</v>
      </c>
      <c r="AW37" s="1449"/>
      <c r="AX37" s="1107">
        <f t="shared" si="5"/>
        <v>2098</v>
      </c>
      <c r="AY37" s="1175"/>
      <c r="AZ37" s="1092" t="s">
        <v>38</v>
      </c>
      <c r="BA37" s="1446"/>
      <c r="BB37" s="1173">
        <v>2098</v>
      </c>
      <c r="BC37" s="1656"/>
      <c r="BD37" s="1107" t="s">
        <v>38</v>
      </c>
      <c r="BE37" s="1449"/>
      <c r="BF37" s="1173">
        <v>0</v>
      </c>
      <c r="BG37" s="1175"/>
      <c r="BH37" s="1107" t="s">
        <v>38</v>
      </c>
      <c r="BI37" s="1449"/>
      <c r="BJ37" s="1092">
        <f t="shared" si="10"/>
        <v>119.88571428571429</v>
      </c>
      <c r="BK37" s="1092"/>
      <c r="BL37" s="1440">
        <v>17.5</v>
      </c>
      <c r="BM37" s="1441"/>
      <c r="BN37" s="1442">
        <f>BL37/2209</f>
        <v>7.9221367134449973E-3</v>
      </c>
      <c r="BO37" s="1441"/>
      <c r="BP37" s="1107" t="s">
        <v>38</v>
      </c>
      <c r="BQ37" s="1449"/>
      <c r="BR37" s="1107">
        <f t="shared" si="7"/>
        <v>2098</v>
      </c>
      <c r="BS37" s="1175"/>
      <c r="BT37" s="1092" t="s">
        <v>38</v>
      </c>
      <c r="BU37" s="1446"/>
      <c r="BV37" s="1173">
        <v>2098</v>
      </c>
      <c r="BW37" s="1656"/>
      <c r="BX37" s="1107" t="s">
        <v>38</v>
      </c>
      <c r="BY37" s="1449"/>
      <c r="BZ37" s="1173">
        <v>0</v>
      </c>
      <c r="CA37" s="1175"/>
      <c r="CB37" s="1107" t="s">
        <v>38</v>
      </c>
      <c r="CC37" s="1449"/>
      <c r="CD37" s="1092">
        <f t="shared" si="8"/>
        <v>119.88571428571429</v>
      </c>
      <c r="CE37" s="1687"/>
      <c r="CF37" s="1444">
        <f t="shared" si="0"/>
        <v>69.699999999999989</v>
      </c>
      <c r="CG37" s="1092"/>
      <c r="CH37" s="1442">
        <f t="shared" si="9"/>
        <v>7.956621004566209E-3</v>
      </c>
      <c r="CI37" s="1449"/>
      <c r="CJ37" s="1092" t="s">
        <v>38</v>
      </c>
      <c r="CK37" s="1446"/>
      <c r="CL37" s="1173">
        <f t="shared" si="1"/>
        <v>9242</v>
      </c>
      <c r="CM37" s="1447"/>
      <c r="CN37" s="1175" t="s">
        <v>38</v>
      </c>
      <c r="CO37" s="1446"/>
      <c r="CP37" s="1173">
        <f t="shared" si="2"/>
        <v>9242</v>
      </c>
      <c r="CQ37" s="1175"/>
      <c r="CR37" s="1092" t="s">
        <v>38</v>
      </c>
      <c r="CS37" s="1446"/>
      <c r="CT37" s="1173">
        <f t="shared" si="3"/>
        <v>0</v>
      </c>
      <c r="CU37" s="1175"/>
      <c r="CV37" s="1092" t="s">
        <v>38</v>
      </c>
      <c r="CW37" s="1446"/>
      <c r="CX37" s="1173">
        <f t="shared" si="4"/>
        <v>132.596843615495</v>
      </c>
      <c r="CY37" s="1464"/>
      <c r="CZ37" s="512"/>
      <c r="DA37" s="513"/>
      <c r="DB37" s="514"/>
      <c r="DC37" s="515"/>
      <c r="DD37" s="506"/>
      <c r="DE37" s="231"/>
      <c r="DF37" s="293"/>
      <c r="DG37" s="230"/>
      <c r="DH37" s="506"/>
      <c r="DI37" s="208"/>
      <c r="DJ37" s="293"/>
      <c r="DK37" s="230"/>
      <c r="DL37" s="506"/>
      <c r="DM37" s="208"/>
      <c r="DN37" s="293"/>
      <c r="DO37" s="230"/>
      <c r="DP37" s="506"/>
      <c r="DQ37" s="516"/>
      <c r="DR37" s="242"/>
      <c r="DS37" s="517"/>
      <c r="DT37" s="293"/>
      <c r="DU37" s="230"/>
      <c r="DV37" s="509"/>
      <c r="DW37" s="510"/>
      <c r="DX37" s="518"/>
      <c r="DY37" s="519"/>
      <c r="DZ37" s="509"/>
      <c r="EA37" s="510"/>
      <c r="EB37" s="293"/>
      <c r="EC37" s="230"/>
      <c r="ED37" s="509"/>
      <c r="EE37" s="517"/>
      <c r="EF37" s="509"/>
      <c r="EG37" s="520"/>
      <c r="EH37" s="285"/>
      <c r="EI37" s="249"/>
    </row>
    <row r="38" spans="1:139" s="204" customFormat="1" x14ac:dyDescent="0.25">
      <c r="A38" s="2242"/>
      <c r="B38" s="23"/>
      <c r="C38" s="524" t="s">
        <v>43</v>
      </c>
      <c r="D38" s="234">
        <v>185.5</v>
      </c>
      <c r="E38" s="228"/>
      <c r="F38" s="246">
        <v>8.4974805313788371E-2</v>
      </c>
      <c r="G38" s="228"/>
      <c r="H38" s="293" t="s">
        <v>38</v>
      </c>
      <c r="I38" s="230" t="s">
        <v>38</v>
      </c>
      <c r="J38" s="285">
        <v>5803</v>
      </c>
      <c r="K38" s="208"/>
      <c r="L38" s="406" t="s">
        <v>38</v>
      </c>
      <c r="M38" s="505" t="s">
        <v>38</v>
      </c>
      <c r="N38" s="506">
        <v>5803</v>
      </c>
      <c r="O38" s="208"/>
      <c r="P38" s="293" t="s">
        <v>38</v>
      </c>
      <c r="Q38" s="230" t="s">
        <v>38</v>
      </c>
      <c r="R38" s="506">
        <v>0</v>
      </c>
      <c r="S38" s="208"/>
      <c r="T38" s="293" t="s">
        <v>38</v>
      </c>
      <c r="U38" s="230" t="s">
        <v>38</v>
      </c>
      <c r="V38" s="231">
        <v>31.283018867924529</v>
      </c>
      <c r="W38" s="231"/>
      <c r="X38" s="234">
        <v>173.7</v>
      </c>
      <c r="Y38" s="228"/>
      <c r="Z38" s="246">
        <v>7.9532967032967028E-2</v>
      </c>
      <c r="AA38" s="228"/>
      <c r="AB38" s="293" t="s">
        <v>38</v>
      </c>
      <c r="AC38" s="230" t="s">
        <v>38</v>
      </c>
      <c r="AD38" s="285">
        <v>5430</v>
      </c>
      <c r="AE38" s="208"/>
      <c r="AF38" s="406" t="s">
        <v>38</v>
      </c>
      <c r="AG38" s="505" t="s">
        <v>38</v>
      </c>
      <c r="AH38" s="506">
        <v>5430</v>
      </c>
      <c r="AI38" s="208"/>
      <c r="AJ38" s="293" t="s">
        <v>38</v>
      </c>
      <c r="AK38" s="230" t="s">
        <v>38</v>
      </c>
      <c r="AL38" s="506">
        <v>0</v>
      </c>
      <c r="AM38" s="208"/>
      <c r="AN38" s="293" t="s">
        <v>38</v>
      </c>
      <c r="AO38" s="230" t="s">
        <v>38</v>
      </c>
      <c r="AP38" s="231">
        <v>31.260794473229709</v>
      </c>
      <c r="AQ38" s="231"/>
      <c r="AR38" s="1440">
        <v>194.4</v>
      </c>
      <c r="AS38" s="1441"/>
      <c r="AT38" s="1442">
        <f>AR38/2208</f>
        <v>8.804347826086957E-2</v>
      </c>
      <c r="AU38" s="1441"/>
      <c r="AV38" s="1107" t="s">
        <v>38</v>
      </c>
      <c r="AW38" s="1449"/>
      <c r="AX38" s="1107">
        <f t="shared" si="5"/>
        <v>5037</v>
      </c>
      <c r="AY38" s="1175"/>
      <c r="AZ38" s="1092" t="s">
        <v>38</v>
      </c>
      <c r="BA38" s="1446"/>
      <c r="BB38" s="1173">
        <v>5037</v>
      </c>
      <c r="BC38" s="1175"/>
      <c r="BD38" s="1107" t="s">
        <v>38</v>
      </c>
      <c r="BE38" s="1449"/>
      <c r="BF38" s="1173">
        <v>0</v>
      </c>
      <c r="BG38" s="1175"/>
      <c r="BH38" s="1107" t="s">
        <v>38</v>
      </c>
      <c r="BI38" s="1449"/>
      <c r="BJ38" s="1092">
        <f t="shared" si="10"/>
        <v>25.910493827160494</v>
      </c>
      <c r="BK38" s="1092"/>
      <c r="BL38" s="1440">
        <f>182.5-15</f>
        <v>167.5</v>
      </c>
      <c r="BM38" s="1441"/>
      <c r="BN38" s="1442">
        <f>BL38/2209</f>
        <v>7.5826165685830699E-2</v>
      </c>
      <c r="BO38" s="1441"/>
      <c r="BP38" s="1107" t="s">
        <v>38</v>
      </c>
      <c r="BQ38" s="1449"/>
      <c r="BR38" s="1107">
        <f t="shared" si="7"/>
        <v>4745</v>
      </c>
      <c r="BS38" s="1175"/>
      <c r="BT38" s="1092" t="s">
        <v>38</v>
      </c>
      <c r="BU38" s="1446"/>
      <c r="BV38" s="1173">
        <v>4745</v>
      </c>
      <c r="BW38" s="1175"/>
      <c r="BX38" s="1107" t="s">
        <v>38</v>
      </c>
      <c r="BY38" s="1449"/>
      <c r="BZ38" s="1173">
        <v>0</v>
      </c>
      <c r="CA38" s="1175"/>
      <c r="CB38" s="1107" t="s">
        <v>38</v>
      </c>
      <c r="CC38" s="1449"/>
      <c r="CD38" s="1092">
        <f t="shared" si="8"/>
        <v>28.328358208955223</v>
      </c>
      <c r="CE38" s="1687"/>
      <c r="CF38" s="1444">
        <f t="shared" si="0"/>
        <v>721.09999999999991</v>
      </c>
      <c r="CG38" s="1092"/>
      <c r="CH38" s="1442">
        <f t="shared" si="9"/>
        <v>8.2317351598173508E-2</v>
      </c>
      <c r="CI38" s="1449"/>
      <c r="CJ38" s="1092" t="s">
        <v>38</v>
      </c>
      <c r="CK38" s="1446"/>
      <c r="CL38" s="1173">
        <f t="shared" si="1"/>
        <v>21015</v>
      </c>
      <c r="CM38" s="1447"/>
      <c r="CN38" s="1175" t="s">
        <v>38</v>
      </c>
      <c r="CO38" s="1446"/>
      <c r="CP38" s="1173">
        <f t="shared" si="2"/>
        <v>21015</v>
      </c>
      <c r="CQ38" s="1175"/>
      <c r="CR38" s="1092" t="s">
        <v>38</v>
      </c>
      <c r="CS38" s="1446"/>
      <c r="CT38" s="1173">
        <f t="shared" si="3"/>
        <v>0</v>
      </c>
      <c r="CU38" s="1175"/>
      <c r="CV38" s="1092" t="s">
        <v>38</v>
      </c>
      <c r="CW38" s="1446"/>
      <c r="CX38" s="1173">
        <f t="shared" si="4"/>
        <v>29.142976008875333</v>
      </c>
      <c r="CY38" s="1465"/>
      <c r="CZ38" s="512"/>
      <c r="DA38" s="513"/>
      <c r="DB38" s="514"/>
      <c r="DC38" s="515"/>
      <c r="DD38" s="506"/>
      <c r="DE38" s="231"/>
      <c r="DF38" s="293"/>
      <c r="DG38" s="230"/>
      <c r="DH38" s="506"/>
      <c r="DI38" s="208"/>
      <c r="DJ38" s="293"/>
      <c r="DK38" s="230"/>
      <c r="DL38" s="506"/>
      <c r="DM38" s="208"/>
      <c r="DN38" s="293"/>
      <c r="DO38" s="230"/>
      <c r="DP38" s="506"/>
      <c r="DQ38" s="516"/>
      <c r="DR38" s="242"/>
      <c r="DS38" s="517"/>
      <c r="DT38" s="293"/>
      <c r="DU38" s="230"/>
      <c r="DV38" s="509"/>
      <c r="DW38" s="510"/>
      <c r="DX38" s="518"/>
      <c r="DY38" s="519"/>
      <c r="DZ38" s="509"/>
      <c r="EA38" s="510"/>
      <c r="EB38" s="293"/>
      <c r="EC38" s="230"/>
      <c r="ED38" s="509"/>
      <c r="EE38" s="517"/>
      <c r="EF38" s="509"/>
      <c r="EG38" s="520"/>
      <c r="EH38" s="285"/>
      <c r="EI38" s="249"/>
    </row>
    <row r="39" spans="1:139" ht="26.45" customHeight="1" x14ac:dyDescent="0.25">
      <c r="A39" s="2242"/>
      <c r="B39" s="2184" t="s">
        <v>49</v>
      </c>
      <c r="C39" s="2185"/>
      <c r="D39" s="287">
        <v>1322.6999999999998</v>
      </c>
      <c r="E39" s="288"/>
      <c r="F39" s="289">
        <v>0.12027935145359145</v>
      </c>
      <c r="G39" s="288"/>
      <c r="H39" s="290" t="s">
        <v>38</v>
      </c>
      <c r="I39" s="291" t="s">
        <v>38</v>
      </c>
      <c r="J39" s="292">
        <v>257780.48318317259</v>
      </c>
      <c r="K39" s="525"/>
      <c r="L39" s="407" t="s">
        <v>38</v>
      </c>
      <c r="M39" s="526" t="s">
        <v>38</v>
      </c>
      <c r="N39" s="527">
        <v>245915.48318317259</v>
      </c>
      <c r="O39" s="528"/>
      <c r="P39" s="290" t="s">
        <v>38</v>
      </c>
      <c r="Q39" s="291" t="s">
        <v>38</v>
      </c>
      <c r="R39" s="527">
        <v>11865</v>
      </c>
      <c r="S39" s="528"/>
      <c r="T39" s="290" t="s">
        <v>38</v>
      </c>
      <c r="U39" s="291" t="s">
        <v>38</v>
      </c>
      <c r="V39" s="529">
        <v>194.88960700323022</v>
      </c>
      <c r="W39" s="529"/>
      <c r="X39" s="287">
        <v>1295</v>
      </c>
      <c r="Y39" s="288"/>
      <c r="Z39" s="289">
        <v>0.11770694152828148</v>
      </c>
      <c r="AA39" s="288"/>
      <c r="AB39" s="290" t="s">
        <v>38</v>
      </c>
      <c r="AC39" s="291" t="s">
        <v>38</v>
      </c>
      <c r="AD39" s="292">
        <v>234300</v>
      </c>
      <c r="AE39" s="525"/>
      <c r="AF39" s="407" t="s">
        <v>38</v>
      </c>
      <c r="AG39" s="526" t="s">
        <v>38</v>
      </c>
      <c r="AH39" s="527">
        <v>222435</v>
      </c>
      <c r="AI39" s="528"/>
      <c r="AJ39" s="290" t="s">
        <v>38</v>
      </c>
      <c r="AK39" s="291" t="s">
        <v>38</v>
      </c>
      <c r="AL39" s="527">
        <v>11865</v>
      </c>
      <c r="AM39" s="528"/>
      <c r="AN39" s="290" t="s">
        <v>38</v>
      </c>
      <c r="AO39" s="291" t="s">
        <v>38</v>
      </c>
      <c r="AP39" s="529">
        <v>180.92664092664091</v>
      </c>
      <c r="AQ39" s="529"/>
      <c r="AR39" s="1451">
        <f>SUM(AR40:AR44)</f>
        <v>1299.1000000000001</v>
      </c>
      <c r="AS39" s="1452"/>
      <c r="AT39" s="1453">
        <f>AR39/11106.9</f>
        <v>0.11696332910172957</v>
      </c>
      <c r="AU39" s="1452"/>
      <c r="AV39" s="1100" t="s">
        <v>38</v>
      </c>
      <c r="AW39" s="1454"/>
      <c r="AX39" s="1100">
        <f t="shared" si="5"/>
        <v>198349</v>
      </c>
      <c r="AY39" s="1460"/>
      <c r="AZ39" s="1103" t="s">
        <v>38</v>
      </c>
      <c r="BA39" s="1457"/>
      <c r="BB39" s="1458">
        <f>SUM(BB40:BB44)</f>
        <v>178123</v>
      </c>
      <c r="BC39" s="1461"/>
      <c r="BD39" s="1100" t="s">
        <v>38</v>
      </c>
      <c r="BE39" s="1454"/>
      <c r="BF39" s="1458">
        <f>SUM(BF40:BF44)</f>
        <v>20226</v>
      </c>
      <c r="BG39" s="1461"/>
      <c r="BH39" s="1100" t="s">
        <v>38</v>
      </c>
      <c r="BI39" s="1454"/>
      <c r="BJ39" s="1112">
        <f t="shared" si="10"/>
        <v>152.6818566700023</v>
      </c>
      <c r="BK39" s="1112"/>
      <c r="BL39" s="1451">
        <f>SUM(BL40:BL44)</f>
        <v>1298.8</v>
      </c>
      <c r="BM39" s="1452"/>
      <c r="BN39" s="1453">
        <f>BL39/11096.9</f>
        <v>0.11704169632960557</v>
      </c>
      <c r="BO39" s="1452"/>
      <c r="BP39" s="1100" t="s">
        <v>38</v>
      </c>
      <c r="BQ39" s="1454"/>
      <c r="BR39" s="1100">
        <f t="shared" si="7"/>
        <v>200085</v>
      </c>
      <c r="BS39" s="1460"/>
      <c r="BT39" s="1103" t="s">
        <v>38</v>
      </c>
      <c r="BU39" s="1457"/>
      <c r="BV39" s="1458">
        <f>SUM(BV40:BV44)</f>
        <v>188220</v>
      </c>
      <c r="BW39" s="1461"/>
      <c r="BX39" s="1100" t="s">
        <v>38</v>
      </c>
      <c r="BY39" s="1454"/>
      <c r="BZ39" s="1458">
        <f>SUM(BZ40:BZ44)</f>
        <v>11865</v>
      </c>
      <c r="CA39" s="1461"/>
      <c r="CB39" s="1100" t="s">
        <v>38</v>
      </c>
      <c r="CC39" s="1454"/>
      <c r="CD39" s="1112">
        <f t="shared" si="8"/>
        <v>154.05374191561441</v>
      </c>
      <c r="CE39" s="1688"/>
      <c r="CF39" s="1455">
        <f t="shared" si="0"/>
        <v>5215.6000000000004</v>
      </c>
      <c r="CG39" s="1112"/>
      <c r="CH39" s="1453">
        <f>CF39/44202.6</f>
        <v>0.1179930592318099</v>
      </c>
      <c r="CI39" s="1456"/>
      <c r="CJ39" s="1103" t="s">
        <v>38</v>
      </c>
      <c r="CK39" s="1457"/>
      <c r="CL39" s="1458">
        <f t="shared" si="1"/>
        <v>890514.48318317253</v>
      </c>
      <c r="CM39" s="1459"/>
      <c r="CN39" s="1460" t="s">
        <v>38</v>
      </c>
      <c r="CO39" s="1457"/>
      <c r="CP39" s="1458">
        <f t="shared" si="2"/>
        <v>834693.48318317253</v>
      </c>
      <c r="CQ39" s="1461"/>
      <c r="CR39" s="1103" t="s">
        <v>38</v>
      </c>
      <c r="CS39" s="1457"/>
      <c r="CT39" s="1458">
        <f t="shared" si="3"/>
        <v>55821</v>
      </c>
      <c r="CU39" s="1461"/>
      <c r="CV39" s="1103" t="s">
        <v>38</v>
      </c>
      <c r="CW39" s="1457"/>
      <c r="CX39" s="1458">
        <f t="shared" si="4"/>
        <v>170.74056353692239</v>
      </c>
      <c r="CY39" s="1466"/>
      <c r="CZ39" s="534"/>
      <c r="DA39" s="535"/>
      <c r="DB39" s="536"/>
      <c r="DC39" s="537"/>
      <c r="DD39" s="527"/>
      <c r="DE39" s="529"/>
      <c r="DF39" s="290"/>
      <c r="DG39" s="291"/>
      <c r="DH39" s="527"/>
      <c r="DI39" s="528"/>
      <c r="DJ39" s="290"/>
      <c r="DK39" s="291"/>
      <c r="DL39" s="527"/>
      <c r="DM39" s="528"/>
      <c r="DN39" s="290"/>
      <c r="DO39" s="291"/>
      <c r="DP39" s="527"/>
      <c r="DQ39" s="538"/>
      <c r="DR39" s="539"/>
      <c r="DS39" s="540"/>
      <c r="DT39" s="290"/>
      <c r="DU39" s="291"/>
      <c r="DV39" s="496"/>
      <c r="DW39" s="541"/>
      <c r="DX39" s="533"/>
      <c r="DY39" s="542"/>
      <c r="DZ39" s="496"/>
      <c r="EA39" s="541"/>
      <c r="EB39" s="290"/>
      <c r="EC39" s="291"/>
      <c r="ED39" s="496"/>
      <c r="EE39" s="540"/>
      <c r="EF39" s="496"/>
      <c r="EG39" s="543"/>
      <c r="EH39" s="544"/>
      <c r="EI39" s="545"/>
    </row>
    <row r="40" spans="1:139" x14ac:dyDescent="0.25">
      <c r="A40" s="2242"/>
      <c r="B40" s="523"/>
      <c r="C40" s="524" t="s">
        <v>39</v>
      </c>
      <c r="D40" s="234">
        <v>270.70000000000005</v>
      </c>
      <c r="E40" s="228"/>
      <c r="F40" s="246">
        <v>0.12400366468163081</v>
      </c>
      <c r="G40" s="228"/>
      <c r="H40" s="293" t="s">
        <v>38</v>
      </c>
      <c r="I40" s="230" t="s">
        <v>38</v>
      </c>
      <c r="J40" s="285">
        <v>89636.48318317259</v>
      </c>
      <c r="K40" s="208"/>
      <c r="L40" s="406" t="s">
        <v>38</v>
      </c>
      <c r="M40" s="505" t="s">
        <v>38</v>
      </c>
      <c r="N40" s="506">
        <v>83580.48318317259</v>
      </c>
      <c r="O40" s="507"/>
      <c r="P40" s="293" t="s">
        <v>38</v>
      </c>
      <c r="Q40" s="230" t="s">
        <v>38</v>
      </c>
      <c r="R40" s="506">
        <v>6056</v>
      </c>
      <c r="S40" s="208"/>
      <c r="T40" s="293" t="s">
        <v>38</v>
      </c>
      <c r="U40" s="230" t="s">
        <v>38</v>
      </c>
      <c r="V40" s="231">
        <v>331.12849347311629</v>
      </c>
      <c r="W40" s="231"/>
      <c r="X40" s="234">
        <v>276.39999999999998</v>
      </c>
      <c r="Y40" s="228"/>
      <c r="Z40" s="246">
        <v>0.12655677655677655</v>
      </c>
      <c r="AA40" s="228"/>
      <c r="AB40" s="293" t="s">
        <v>38</v>
      </c>
      <c r="AC40" s="230" t="s">
        <v>38</v>
      </c>
      <c r="AD40" s="285">
        <v>98576</v>
      </c>
      <c r="AE40" s="208"/>
      <c r="AF40" s="406" t="s">
        <v>38</v>
      </c>
      <c r="AG40" s="505" t="s">
        <v>38</v>
      </c>
      <c r="AH40" s="506">
        <v>92520</v>
      </c>
      <c r="AI40" s="507"/>
      <c r="AJ40" s="293" t="s">
        <v>38</v>
      </c>
      <c r="AK40" s="230" t="s">
        <v>38</v>
      </c>
      <c r="AL40" s="506">
        <v>6056</v>
      </c>
      <c r="AM40" s="208"/>
      <c r="AN40" s="293" t="s">
        <v>38</v>
      </c>
      <c r="AO40" s="230" t="s">
        <v>38</v>
      </c>
      <c r="AP40" s="231">
        <v>356.6425470332851</v>
      </c>
      <c r="AQ40" s="231"/>
      <c r="AR40" s="1440">
        <v>324.8</v>
      </c>
      <c r="AS40" s="1441"/>
      <c r="AT40" s="1442">
        <f>AR40/2208</f>
        <v>0.14710144927536231</v>
      </c>
      <c r="AU40" s="1441"/>
      <c r="AV40" s="1107" t="s">
        <v>38</v>
      </c>
      <c r="AW40" s="1449"/>
      <c r="AX40" s="1107">
        <f t="shared" si="5"/>
        <v>89509</v>
      </c>
      <c r="AY40" s="1175"/>
      <c r="AZ40" s="1092" t="s">
        <v>38</v>
      </c>
      <c r="BA40" s="1446"/>
      <c r="BB40" s="1173">
        <f>67375+10000</f>
        <v>77375</v>
      </c>
      <c r="BC40" s="1175"/>
      <c r="BD40" s="1107" t="s">
        <v>38</v>
      </c>
      <c r="BE40" s="1449"/>
      <c r="BF40" s="1173">
        <f>11231+903</f>
        <v>12134</v>
      </c>
      <c r="BG40" s="1175"/>
      <c r="BH40" s="1107" t="s">
        <v>38</v>
      </c>
      <c r="BI40" s="1449"/>
      <c r="BJ40" s="1092">
        <f t="shared" si="10"/>
        <v>275.58189655172413</v>
      </c>
      <c r="BK40" s="1092"/>
      <c r="BL40" s="1440">
        <v>304.7</v>
      </c>
      <c r="BM40" s="1441"/>
      <c r="BN40" s="1442">
        <f>BL40/2209</f>
        <v>0.13793571751923947</v>
      </c>
      <c r="BO40" s="1441"/>
      <c r="BP40" s="1107" t="s">
        <v>38</v>
      </c>
      <c r="BQ40" s="1449"/>
      <c r="BR40" s="1107">
        <f t="shared" si="7"/>
        <v>83972</v>
      </c>
      <c r="BS40" s="1175"/>
      <c r="BT40" s="1092" t="s">
        <v>38</v>
      </c>
      <c r="BU40" s="1446"/>
      <c r="BV40" s="1173">
        <f>67916+10000</f>
        <v>77916</v>
      </c>
      <c r="BW40" s="1175"/>
      <c r="BX40" s="1107" t="s">
        <v>38</v>
      </c>
      <c r="BY40" s="1449"/>
      <c r="BZ40" s="1173">
        <v>6056</v>
      </c>
      <c r="CA40" s="1175"/>
      <c r="CB40" s="1107" t="s">
        <v>38</v>
      </c>
      <c r="CC40" s="1449"/>
      <c r="CD40" s="1092">
        <f t="shared" si="8"/>
        <v>275.58910403675748</v>
      </c>
      <c r="CE40" s="1687"/>
      <c r="CF40" s="1444">
        <f t="shared" si="0"/>
        <v>1176.5999999999999</v>
      </c>
      <c r="CG40" s="1092"/>
      <c r="CH40" s="1442">
        <f t="shared" si="9"/>
        <v>0.13431506849315067</v>
      </c>
      <c r="CI40" s="1449"/>
      <c r="CJ40" s="1092" t="s">
        <v>38</v>
      </c>
      <c r="CK40" s="1446"/>
      <c r="CL40" s="1173">
        <f t="shared" si="1"/>
        <v>361693.48318317259</v>
      </c>
      <c r="CM40" s="1447"/>
      <c r="CN40" s="1175" t="s">
        <v>38</v>
      </c>
      <c r="CO40" s="1446"/>
      <c r="CP40" s="1173">
        <f t="shared" si="2"/>
        <v>331391.48318317259</v>
      </c>
      <c r="CQ40" s="1175"/>
      <c r="CR40" s="1092" t="s">
        <v>38</v>
      </c>
      <c r="CS40" s="1446"/>
      <c r="CT40" s="1173">
        <f t="shared" si="3"/>
        <v>30302</v>
      </c>
      <c r="CU40" s="1175"/>
      <c r="CV40" s="1092" t="s">
        <v>38</v>
      </c>
      <c r="CW40" s="1446"/>
      <c r="CX40" s="1173">
        <f t="shared" si="4"/>
        <v>307.40564608462739</v>
      </c>
      <c r="CY40" s="1464"/>
      <c r="CZ40" s="512"/>
      <c r="DA40" s="513"/>
      <c r="DB40" s="514"/>
      <c r="DC40" s="515"/>
      <c r="DD40" s="506"/>
      <c r="DE40" s="231"/>
      <c r="DF40" s="293"/>
      <c r="DG40" s="230"/>
      <c r="DH40" s="506"/>
      <c r="DI40" s="208"/>
      <c r="DJ40" s="293"/>
      <c r="DK40" s="230"/>
      <c r="DL40" s="506"/>
      <c r="DM40" s="208"/>
      <c r="DN40" s="293"/>
      <c r="DO40" s="230"/>
      <c r="DP40" s="506"/>
      <c r="DQ40" s="516"/>
      <c r="DR40" s="242"/>
      <c r="DS40" s="517"/>
      <c r="DT40" s="293"/>
      <c r="DU40" s="230"/>
      <c r="DV40" s="509"/>
      <c r="DW40" s="510"/>
      <c r="DX40" s="518"/>
      <c r="DY40" s="519"/>
      <c r="DZ40" s="509"/>
      <c r="EA40" s="510"/>
      <c r="EB40" s="293"/>
      <c r="EC40" s="230"/>
      <c r="ED40" s="509"/>
      <c r="EE40" s="517"/>
      <c r="EF40" s="509"/>
      <c r="EG40" s="520"/>
      <c r="EH40" s="285"/>
      <c r="EI40" s="249"/>
    </row>
    <row r="41" spans="1:139" x14ac:dyDescent="0.25">
      <c r="A41" s="2242"/>
      <c r="B41" s="20"/>
      <c r="C41" s="504" t="s">
        <v>40</v>
      </c>
      <c r="D41" s="234">
        <v>144.30000000000001</v>
      </c>
      <c r="E41" s="228"/>
      <c r="F41" s="246">
        <v>6.6101694915254236E-2</v>
      </c>
      <c r="G41" s="228"/>
      <c r="H41" s="293" t="s">
        <v>38</v>
      </c>
      <c r="I41" s="230" t="s">
        <v>38</v>
      </c>
      <c r="J41" s="285">
        <v>11741</v>
      </c>
      <c r="K41" s="208"/>
      <c r="L41" s="406" t="s">
        <v>38</v>
      </c>
      <c r="M41" s="505" t="s">
        <v>38</v>
      </c>
      <c r="N41" s="506">
        <v>11741</v>
      </c>
      <c r="O41" s="522"/>
      <c r="P41" s="293" t="s">
        <v>38</v>
      </c>
      <c r="Q41" s="230" t="s">
        <v>38</v>
      </c>
      <c r="R41" s="506">
        <v>0</v>
      </c>
      <c r="S41" s="208"/>
      <c r="T41" s="293" t="s">
        <v>38</v>
      </c>
      <c r="U41" s="230" t="s">
        <v>38</v>
      </c>
      <c r="V41" s="231">
        <v>81.365211365211366</v>
      </c>
      <c r="W41" s="231"/>
      <c r="X41" s="234">
        <v>144.1</v>
      </c>
      <c r="Y41" s="228"/>
      <c r="Z41" s="246">
        <v>6.5979853479853481E-2</v>
      </c>
      <c r="AA41" s="228"/>
      <c r="AB41" s="293" t="s">
        <v>38</v>
      </c>
      <c r="AC41" s="230" t="s">
        <v>38</v>
      </c>
      <c r="AD41" s="285">
        <v>12552</v>
      </c>
      <c r="AE41" s="208"/>
      <c r="AF41" s="406" t="s">
        <v>38</v>
      </c>
      <c r="AG41" s="505" t="s">
        <v>38</v>
      </c>
      <c r="AH41" s="506">
        <v>12552</v>
      </c>
      <c r="AI41" s="522"/>
      <c r="AJ41" s="293" t="s">
        <v>38</v>
      </c>
      <c r="AK41" s="230" t="s">
        <v>38</v>
      </c>
      <c r="AL41" s="506">
        <v>0</v>
      </c>
      <c r="AM41" s="208"/>
      <c r="AN41" s="293" t="s">
        <v>38</v>
      </c>
      <c r="AO41" s="230" t="s">
        <v>38</v>
      </c>
      <c r="AP41" s="231">
        <v>87.106176266481611</v>
      </c>
      <c r="AQ41" s="231"/>
      <c r="AR41" s="1440">
        <v>146.9</v>
      </c>
      <c r="AS41" s="1441"/>
      <c r="AT41" s="1442">
        <f>AR41/2208</f>
        <v>6.6530797101449282E-2</v>
      </c>
      <c r="AU41" s="1441"/>
      <c r="AV41" s="1107" t="s">
        <v>38</v>
      </c>
      <c r="AW41" s="1449"/>
      <c r="AX41" s="1107">
        <f t="shared" si="5"/>
        <v>10884</v>
      </c>
      <c r="AY41" s="1175"/>
      <c r="AZ41" s="1092" t="s">
        <v>38</v>
      </c>
      <c r="BA41" s="1446"/>
      <c r="BB41" s="1173">
        <v>10884</v>
      </c>
      <c r="BC41" s="1656"/>
      <c r="BD41" s="1107" t="s">
        <v>38</v>
      </c>
      <c r="BE41" s="1449"/>
      <c r="BF41" s="1173">
        <v>0</v>
      </c>
      <c r="BG41" s="1175"/>
      <c r="BH41" s="1107" t="s">
        <v>38</v>
      </c>
      <c r="BI41" s="1449"/>
      <c r="BJ41" s="1092">
        <f t="shared" si="10"/>
        <v>74.091218515997269</v>
      </c>
      <c r="BK41" s="1092"/>
      <c r="BL41" s="1440">
        <v>146.9</v>
      </c>
      <c r="BM41" s="1441"/>
      <c r="BN41" s="1442">
        <f>BL41/2209</f>
        <v>6.6500679040289723E-2</v>
      </c>
      <c r="BO41" s="1441"/>
      <c r="BP41" s="1107" t="s">
        <v>38</v>
      </c>
      <c r="BQ41" s="1449"/>
      <c r="BR41" s="1107">
        <f t="shared" si="7"/>
        <v>10884</v>
      </c>
      <c r="BS41" s="1175"/>
      <c r="BT41" s="1092" t="s">
        <v>38</v>
      </c>
      <c r="BU41" s="1446"/>
      <c r="BV41" s="1173">
        <v>10884</v>
      </c>
      <c r="BW41" s="1656"/>
      <c r="BX41" s="1107" t="s">
        <v>38</v>
      </c>
      <c r="BY41" s="1449"/>
      <c r="BZ41" s="1173">
        <v>0</v>
      </c>
      <c r="CA41" s="1175"/>
      <c r="CB41" s="1107" t="s">
        <v>38</v>
      </c>
      <c r="CC41" s="1449"/>
      <c r="CD41" s="1092">
        <f t="shared" si="8"/>
        <v>74.091218515997269</v>
      </c>
      <c r="CE41" s="1687"/>
      <c r="CF41" s="1444">
        <f t="shared" si="0"/>
        <v>582.20000000000005</v>
      </c>
      <c r="CG41" s="1092"/>
      <c r="CH41" s="1442">
        <f t="shared" si="9"/>
        <v>6.6461187214611875E-2</v>
      </c>
      <c r="CI41" s="1449"/>
      <c r="CJ41" s="1092" t="s">
        <v>38</v>
      </c>
      <c r="CK41" s="1446"/>
      <c r="CL41" s="1173">
        <f t="shared" si="1"/>
        <v>46061</v>
      </c>
      <c r="CM41" s="1447"/>
      <c r="CN41" s="1175" t="s">
        <v>38</v>
      </c>
      <c r="CO41" s="1446"/>
      <c r="CP41" s="1173">
        <f t="shared" si="2"/>
        <v>46061</v>
      </c>
      <c r="CQ41" s="1175"/>
      <c r="CR41" s="1092" t="s">
        <v>38</v>
      </c>
      <c r="CS41" s="1446"/>
      <c r="CT41" s="1173">
        <f t="shared" si="3"/>
        <v>0</v>
      </c>
      <c r="CU41" s="1175"/>
      <c r="CV41" s="1092" t="s">
        <v>38</v>
      </c>
      <c r="CW41" s="1446"/>
      <c r="CX41" s="1173">
        <f t="shared" si="4"/>
        <v>79.115424252834075</v>
      </c>
      <c r="CY41" s="1464"/>
      <c r="CZ41" s="512"/>
      <c r="DA41" s="513"/>
      <c r="DB41" s="514"/>
      <c r="DC41" s="515"/>
      <c r="DD41" s="506"/>
      <c r="DE41" s="231"/>
      <c r="DF41" s="293"/>
      <c r="DG41" s="230"/>
      <c r="DH41" s="506"/>
      <c r="DI41" s="208"/>
      <c r="DJ41" s="293"/>
      <c r="DK41" s="230"/>
      <c r="DL41" s="506"/>
      <c r="DM41" s="208"/>
      <c r="DN41" s="293"/>
      <c r="DO41" s="230"/>
      <c r="DP41" s="506"/>
      <c r="DQ41" s="516"/>
      <c r="DR41" s="242"/>
      <c r="DS41" s="517"/>
      <c r="DT41" s="293"/>
      <c r="DU41" s="230"/>
      <c r="DV41" s="509"/>
      <c r="DW41" s="510"/>
      <c r="DX41" s="518"/>
      <c r="DY41" s="519"/>
      <c r="DZ41" s="509"/>
      <c r="EA41" s="510"/>
      <c r="EB41" s="293"/>
      <c r="EC41" s="230"/>
      <c r="ED41" s="509"/>
      <c r="EE41" s="517"/>
      <c r="EF41" s="509"/>
      <c r="EG41" s="520"/>
      <c r="EH41" s="298"/>
      <c r="EI41" s="521"/>
    </row>
    <row r="42" spans="1:139" x14ac:dyDescent="0.25">
      <c r="A42" s="2242"/>
      <c r="B42" s="23"/>
      <c r="C42" s="524" t="s">
        <v>41</v>
      </c>
      <c r="D42" s="234">
        <v>581.20000000000005</v>
      </c>
      <c r="E42" s="228"/>
      <c r="F42" s="246">
        <v>0.26623912047640863</v>
      </c>
      <c r="G42" s="228"/>
      <c r="H42" s="293" t="s">
        <v>38</v>
      </c>
      <c r="I42" s="230" t="s">
        <v>38</v>
      </c>
      <c r="J42" s="285">
        <v>132213</v>
      </c>
      <c r="K42" s="208"/>
      <c r="L42" s="406" t="s">
        <v>38</v>
      </c>
      <c r="M42" s="505" t="s">
        <v>38</v>
      </c>
      <c r="N42" s="506">
        <v>132213</v>
      </c>
      <c r="O42" s="522"/>
      <c r="P42" s="293" t="s">
        <v>38</v>
      </c>
      <c r="Q42" s="230" t="s">
        <v>38</v>
      </c>
      <c r="R42" s="506">
        <v>0</v>
      </c>
      <c r="S42" s="208"/>
      <c r="T42" s="293" t="s">
        <v>38</v>
      </c>
      <c r="U42" s="230" t="s">
        <v>38</v>
      </c>
      <c r="V42" s="231">
        <v>227.48279421885752</v>
      </c>
      <c r="W42" s="231"/>
      <c r="X42" s="234">
        <v>558.4</v>
      </c>
      <c r="Y42" s="228"/>
      <c r="Z42" s="246">
        <v>0.25567765567765566</v>
      </c>
      <c r="AA42" s="228"/>
      <c r="AB42" s="293" t="s">
        <v>38</v>
      </c>
      <c r="AC42" s="230" t="s">
        <v>38</v>
      </c>
      <c r="AD42" s="285">
        <v>96293</v>
      </c>
      <c r="AE42" s="208"/>
      <c r="AF42" s="406" t="s">
        <v>38</v>
      </c>
      <c r="AG42" s="505" t="s">
        <v>38</v>
      </c>
      <c r="AH42" s="506">
        <v>96293</v>
      </c>
      <c r="AI42" s="522"/>
      <c r="AJ42" s="293" t="s">
        <v>38</v>
      </c>
      <c r="AK42" s="230" t="s">
        <v>38</v>
      </c>
      <c r="AL42" s="506">
        <v>0</v>
      </c>
      <c r="AM42" s="208"/>
      <c r="AN42" s="293" t="s">
        <v>38</v>
      </c>
      <c r="AO42" s="230" t="s">
        <v>38</v>
      </c>
      <c r="AP42" s="231">
        <v>172.4444842406877</v>
      </c>
      <c r="AQ42" s="231"/>
      <c r="AR42" s="1440">
        <v>563.20000000000005</v>
      </c>
      <c r="AS42" s="1441"/>
      <c r="AT42" s="1442">
        <f>AR42/2208</f>
        <v>0.25507246376811599</v>
      </c>
      <c r="AU42" s="1441"/>
      <c r="AV42" s="1107" t="s">
        <v>38</v>
      </c>
      <c r="AW42" s="1449"/>
      <c r="AX42" s="1107">
        <f t="shared" si="5"/>
        <v>72407</v>
      </c>
      <c r="AY42" s="1175"/>
      <c r="AZ42" s="1092" t="s">
        <v>38</v>
      </c>
      <c r="BA42" s="1446"/>
      <c r="BB42" s="1173">
        <v>72407</v>
      </c>
      <c r="BC42" s="1656"/>
      <c r="BD42" s="1107" t="s">
        <v>38</v>
      </c>
      <c r="BE42" s="1449"/>
      <c r="BF42" s="1173">
        <v>0</v>
      </c>
      <c r="BG42" s="1175"/>
      <c r="BH42" s="1107" t="s">
        <v>38</v>
      </c>
      <c r="BI42" s="1449"/>
      <c r="BJ42" s="1092">
        <f t="shared" si="10"/>
        <v>128.56356534090909</v>
      </c>
      <c r="BK42" s="1092"/>
      <c r="BL42" s="1440">
        <v>586.6</v>
      </c>
      <c r="BM42" s="1441"/>
      <c r="BN42" s="1442">
        <f>BL42/2209</f>
        <v>0.26555002263467631</v>
      </c>
      <c r="BO42" s="1441"/>
      <c r="BP42" s="1107" t="s">
        <v>38</v>
      </c>
      <c r="BQ42" s="1449"/>
      <c r="BR42" s="1107">
        <f t="shared" si="7"/>
        <v>82029</v>
      </c>
      <c r="BS42" s="1175"/>
      <c r="BT42" s="1092" t="s">
        <v>38</v>
      </c>
      <c r="BU42" s="1446"/>
      <c r="BV42" s="1173">
        <v>82029</v>
      </c>
      <c r="BW42" s="1656"/>
      <c r="BX42" s="1107" t="s">
        <v>38</v>
      </c>
      <c r="BY42" s="1449"/>
      <c r="BZ42" s="1173">
        <v>0</v>
      </c>
      <c r="CA42" s="1175"/>
      <c r="CB42" s="1107" t="s">
        <v>38</v>
      </c>
      <c r="CC42" s="1449"/>
      <c r="CD42" s="1092">
        <f t="shared" si="8"/>
        <v>139.83804977838389</v>
      </c>
      <c r="CE42" s="1687"/>
      <c r="CF42" s="1444">
        <f t="shared" si="0"/>
        <v>2289.4000000000005</v>
      </c>
      <c r="CG42" s="1092"/>
      <c r="CH42" s="1442">
        <f t="shared" si="9"/>
        <v>0.26134703196347037</v>
      </c>
      <c r="CI42" s="1449"/>
      <c r="CJ42" s="1092" t="s">
        <v>38</v>
      </c>
      <c r="CK42" s="1446"/>
      <c r="CL42" s="1173">
        <f t="shared" si="1"/>
        <v>382942</v>
      </c>
      <c r="CM42" s="1447"/>
      <c r="CN42" s="1175" t="s">
        <v>38</v>
      </c>
      <c r="CO42" s="1446"/>
      <c r="CP42" s="1173">
        <f t="shared" si="2"/>
        <v>382942</v>
      </c>
      <c r="CQ42" s="1175"/>
      <c r="CR42" s="1092" t="s">
        <v>38</v>
      </c>
      <c r="CS42" s="1446"/>
      <c r="CT42" s="1173">
        <f t="shared" si="3"/>
        <v>0</v>
      </c>
      <c r="CU42" s="1175"/>
      <c r="CV42" s="1092" t="s">
        <v>38</v>
      </c>
      <c r="CW42" s="1446"/>
      <c r="CX42" s="1173">
        <f t="shared" si="4"/>
        <v>167.2674063073294</v>
      </c>
      <c r="CY42" s="1464"/>
      <c r="CZ42" s="512"/>
      <c r="DA42" s="513"/>
      <c r="DB42" s="229"/>
      <c r="DC42" s="515"/>
      <c r="DD42" s="506"/>
      <c r="DE42" s="231"/>
      <c r="DF42" s="293"/>
      <c r="DG42" s="230"/>
      <c r="DH42" s="506"/>
      <c r="DI42" s="208"/>
      <c r="DJ42" s="293"/>
      <c r="DK42" s="230"/>
      <c r="DL42" s="506"/>
      <c r="DM42" s="208"/>
      <c r="DN42" s="293"/>
      <c r="DO42" s="230"/>
      <c r="DP42" s="506"/>
      <c r="DQ42" s="516"/>
      <c r="DR42" s="242"/>
      <c r="DS42" s="517"/>
      <c r="DT42" s="293"/>
      <c r="DU42" s="230"/>
      <c r="DV42" s="509"/>
      <c r="DW42" s="510"/>
      <c r="DX42" s="518"/>
      <c r="DY42" s="519"/>
      <c r="DZ42" s="509"/>
      <c r="EA42" s="510"/>
      <c r="EB42" s="293"/>
      <c r="EC42" s="230"/>
      <c r="ED42" s="509"/>
      <c r="EE42" s="517"/>
      <c r="EF42" s="509"/>
      <c r="EG42" s="520"/>
      <c r="EH42" s="298"/>
      <c r="EI42" s="521"/>
    </row>
    <row r="43" spans="1:139" x14ac:dyDescent="0.25">
      <c r="A43" s="2242"/>
      <c r="B43" s="20"/>
      <c r="C43" s="504" t="s">
        <v>42</v>
      </c>
      <c r="D43" s="234">
        <v>180.89999999999998</v>
      </c>
      <c r="E43" s="228"/>
      <c r="F43" s="246">
        <v>8.2867613376087945E-2</v>
      </c>
      <c r="G43" s="228"/>
      <c r="H43" s="293" t="s">
        <v>38</v>
      </c>
      <c r="I43" s="230" t="s">
        <v>38</v>
      </c>
      <c r="J43" s="285">
        <v>21359</v>
      </c>
      <c r="K43" s="208"/>
      <c r="L43" s="406" t="s">
        <v>38</v>
      </c>
      <c r="M43" s="505" t="s">
        <v>38</v>
      </c>
      <c r="N43" s="506">
        <v>15550</v>
      </c>
      <c r="O43" s="522"/>
      <c r="P43" s="293" t="s">
        <v>38</v>
      </c>
      <c r="Q43" s="230" t="s">
        <v>38</v>
      </c>
      <c r="R43" s="506">
        <v>5809</v>
      </c>
      <c r="S43" s="208"/>
      <c r="T43" s="293" t="s">
        <v>38</v>
      </c>
      <c r="U43" s="230" t="s">
        <v>38</v>
      </c>
      <c r="V43" s="231">
        <v>118.07075732448868</v>
      </c>
      <c r="W43" s="231"/>
      <c r="X43" s="234">
        <v>170.5</v>
      </c>
      <c r="Y43" s="228"/>
      <c r="Z43" s="246">
        <v>7.8067765567765568E-2</v>
      </c>
      <c r="AA43" s="228"/>
      <c r="AB43" s="293" t="s">
        <v>38</v>
      </c>
      <c r="AC43" s="230" t="s">
        <v>38</v>
      </c>
      <c r="AD43" s="285">
        <v>24141</v>
      </c>
      <c r="AE43" s="208"/>
      <c r="AF43" s="406" t="s">
        <v>38</v>
      </c>
      <c r="AG43" s="505" t="s">
        <v>38</v>
      </c>
      <c r="AH43" s="506">
        <v>18332</v>
      </c>
      <c r="AI43" s="522"/>
      <c r="AJ43" s="293" t="s">
        <v>38</v>
      </c>
      <c r="AK43" s="230" t="s">
        <v>38</v>
      </c>
      <c r="AL43" s="506">
        <v>5809</v>
      </c>
      <c r="AM43" s="208"/>
      <c r="AN43" s="293" t="s">
        <v>38</v>
      </c>
      <c r="AO43" s="230" t="s">
        <v>38</v>
      </c>
      <c r="AP43" s="231">
        <v>141.58944281524927</v>
      </c>
      <c r="AQ43" s="231"/>
      <c r="AR43" s="1440">
        <f>160.7+0.5</f>
        <v>161.19999999999999</v>
      </c>
      <c r="AS43" s="1441"/>
      <c r="AT43" s="1442">
        <f>AR43/2208</f>
        <v>7.3007246376811594E-2</v>
      </c>
      <c r="AU43" s="1441"/>
      <c r="AV43" s="1107" t="s">
        <v>38</v>
      </c>
      <c r="AW43" s="1449"/>
      <c r="AX43" s="1107">
        <f t="shared" si="5"/>
        <v>23515</v>
      </c>
      <c r="AY43" s="1175"/>
      <c r="AZ43" s="1092" t="s">
        <v>38</v>
      </c>
      <c r="BA43" s="1446"/>
      <c r="BB43" s="1173">
        <v>15423</v>
      </c>
      <c r="BC43" s="1656"/>
      <c r="BD43" s="1107" t="s">
        <v>38</v>
      </c>
      <c r="BE43" s="1449"/>
      <c r="BF43" s="1173">
        <f>5487+2605</f>
        <v>8092</v>
      </c>
      <c r="BG43" s="1175"/>
      <c r="BH43" s="1107" t="s">
        <v>38</v>
      </c>
      <c r="BI43" s="1449"/>
      <c r="BJ43" s="1092">
        <f t="shared" si="10"/>
        <v>145.87468982630273</v>
      </c>
      <c r="BK43" s="1092"/>
      <c r="BL43" s="1440">
        <v>168.5</v>
      </c>
      <c r="BM43" s="1441"/>
      <c r="BN43" s="1442">
        <f>BL43/2209</f>
        <v>7.6278859212313269E-2</v>
      </c>
      <c r="BO43" s="1441"/>
      <c r="BP43" s="1107" t="s">
        <v>38</v>
      </c>
      <c r="BQ43" s="1449"/>
      <c r="BR43" s="1107">
        <f t="shared" si="7"/>
        <v>21279</v>
      </c>
      <c r="BS43" s="1175"/>
      <c r="BT43" s="1092" t="s">
        <v>38</v>
      </c>
      <c r="BU43" s="1446"/>
      <c r="BV43" s="1173">
        <v>15470</v>
      </c>
      <c r="BW43" s="1656"/>
      <c r="BX43" s="1107" t="s">
        <v>38</v>
      </c>
      <c r="BY43" s="1449"/>
      <c r="BZ43" s="1173">
        <v>5809</v>
      </c>
      <c r="CA43" s="1175"/>
      <c r="CB43" s="1107" t="s">
        <v>38</v>
      </c>
      <c r="CC43" s="1449"/>
      <c r="CD43" s="1092">
        <f t="shared" si="8"/>
        <v>126.28486646884274</v>
      </c>
      <c r="CE43" s="1687"/>
      <c r="CF43" s="1444">
        <f t="shared" si="0"/>
        <v>681.09999999999991</v>
      </c>
      <c r="CG43" s="1092"/>
      <c r="CH43" s="1442">
        <f t="shared" si="9"/>
        <v>7.7751141552511407E-2</v>
      </c>
      <c r="CI43" s="1449"/>
      <c r="CJ43" s="1092" t="s">
        <v>38</v>
      </c>
      <c r="CK43" s="1446"/>
      <c r="CL43" s="1173">
        <f t="shared" si="1"/>
        <v>90294</v>
      </c>
      <c r="CM43" s="1447"/>
      <c r="CN43" s="1175" t="s">
        <v>38</v>
      </c>
      <c r="CO43" s="1446"/>
      <c r="CP43" s="1173">
        <f t="shared" si="2"/>
        <v>64775</v>
      </c>
      <c r="CQ43" s="1175"/>
      <c r="CR43" s="1092" t="s">
        <v>38</v>
      </c>
      <c r="CS43" s="1446"/>
      <c r="CT43" s="1173">
        <f t="shared" si="3"/>
        <v>25519</v>
      </c>
      <c r="CU43" s="1175"/>
      <c r="CV43" s="1092" t="s">
        <v>38</v>
      </c>
      <c r="CW43" s="1446"/>
      <c r="CX43" s="1173">
        <f t="shared" si="4"/>
        <v>132.57084128615477</v>
      </c>
      <c r="CY43" s="1464"/>
      <c r="CZ43" s="512"/>
      <c r="DA43" s="513"/>
      <c r="DB43" s="229"/>
      <c r="DC43" s="515"/>
      <c r="DD43" s="506"/>
      <c r="DE43" s="231"/>
      <c r="DF43" s="293"/>
      <c r="DG43" s="230"/>
      <c r="DH43" s="506"/>
      <c r="DI43" s="208"/>
      <c r="DJ43" s="293"/>
      <c r="DK43" s="230"/>
      <c r="DL43" s="506"/>
      <c r="DM43" s="208"/>
      <c r="DN43" s="293"/>
      <c r="DO43" s="230"/>
      <c r="DP43" s="506"/>
      <c r="DQ43" s="516"/>
      <c r="DR43" s="242"/>
      <c r="DS43" s="517"/>
      <c r="DT43" s="293"/>
      <c r="DU43" s="230"/>
      <c r="DV43" s="509"/>
      <c r="DW43" s="510"/>
      <c r="DX43" s="518"/>
      <c r="DY43" s="519"/>
      <c r="DZ43" s="509"/>
      <c r="EA43" s="510"/>
      <c r="EB43" s="293"/>
      <c r="EC43" s="230"/>
      <c r="ED43" s="509"/>
      <c r="EE43" s="517"/>
      <c r="EF43" s="509"/>
      <c r="EG43" s="520"/>
      <c r="EH43" s="298"/>
      <c r="EI43" s="521"/>
    </row>
    <row r="44" spans="1:139" x14ac:dyDescent="0.25">
      <c r="A44" s="2242"/>
      <c r="B44" s="20"/>
      <c r="C44" s="504" t="s">
        <v>43</v>
      </c>
      <c r="D44" s="234">
        <v>145.6</v>
      </c>
      <c r="E44" s="228"/>
      <c r="F44" s="246">
        <v>6.6697205680256527E-2</v>
      </c>
      <c r="G44" s="228"/>
      <c r="H44" s="293" t="s">
        <v>38</v>
      </c>
      <c r="I44" s="230" t="s">
        <v>38</v>
      </c>
      <c r="J44" s="285">
        <v>2831</v>
      </c>
      <c r="K44" s="208"/>
      <c r="L44" s="406" t="s">
        <v>38</v>
      </c>
      <c r="M44" s="505" t="s">
        <v>38</v>
      </c>
      <c r="N44" s="506">
        <v>2831</v>
      </c>
      <c r="O44" s="522"/>
      <c r="P44" s="293" t="s">
        <v>38</v>
      </c>
      <c r="Q44" s="230" t="s">
        <v>38</v>
      </c>
      <c r="R44" s="506">
        <v>0</v>
      </c>
      <c r="S44" s="208"/>
      <c r="T44" s="293" t="s">
        <v>38</v>
      </c>
      <c r="U44" s="230" t="s">
        <v>38</v>
      </c>
      <c r="V44" s="231">
        <v>19.443681318681321</v>
      </c>
      <c r="W44" s="231"/>
      <c r="X44" s="234">
        <v>145.6</v>
      </c>
      <c r="Y44" s="228"/>
      <c r="Z44" s="246">
        <v>6.6666666666666666E-2</v>
      </c>
      <c r="AA44" s="228"/>
      <c r="AB44" s="293" t="s">
        <v>38</v>
      </c>
      <c r="AC44" s="230" t="s">
        <v>38</v>
      </c>
      <c r="AD44" s="285">
        <v>2738</v>
      </c>
      <c r="AE44" s="208"/>
      <c r="AF44" s="406" t="s">
        <v>38</v>
      </c>
      <c r="AG44" s="505" t="s">
        <v>38</v>
      </c>
      <c r="AH44" s="506">
        <v>2738</v>
      </c>
      <c r="AI44" s="522"/>
      <c r="AJ44" s="293" t="s">
        <v>38</v>
      </c>
      <c r="AK44" s="230" t="s">
        <v>38</v>
      </c>
      <c r="AL44" s="506">
        <v>0</v>
      </c>
      <c r="AM44" s="208"/>
      <c r="AN44" s="293" t="s">
        <v>38</v>
      </c>
      <c r="AO44" s="230" t="s">
        <v>38</v>
      </c>
      <c r="AP44" s="231">
        <v>18.804945054945055</v>
      </c>
      <c r="AQ44" s="231"/>
      <c r="AR44" s="1440">
        <v>103</v>
      </c>
      <c r="AS44" s="1441"/>
      <c r="AT44" s="1442">
        <f>AR44/2208</f>
        <v>4.664855072463768E-2</v>
      </c>
      <c r="AU44" s="1441"/>
      <c r="AV44" s="1107" t="s">
        <v>38</v>
      </c>
      <c r="AW44" s="1449"/>
      <c r="AX44" s="1107">
        <f t="shared" si="5"/>
        <v>2034</v>
      </c>
      <c r="AY44" s="1175"/>
      <c r="AZ44" s="1092" t="s">
        <v>38</v>
      </c>
      <c r="BA44" s="1446"/>
      <c r="BB44" s="1173">
        <v>2034</v>
      </c>
      <c r="BC44" s="1656"/>
      <c r="BD44" s="1107" t="s">
        <v>38</v>
      </c>
      <c r="BE44" s="1449"/>
      <c r="BF44" s="1173">
        <v>0</v>
      </c>
      <c r="BG44" s="1175"/>
      <c r="BH44" s="1107" t="s">
        <v>38</v>
      </c>
      <c r="BI44" s="1449"/>
      <c r="BJ44" s="1092">
        <f t="shared" si="10"/>
        <v>19.747572815533982</v>
      </c>
      <c r="BK44" s="1092"/>
      <c r="BL44" s="1440">
        <f>100.1-8</f>
        <v>92.1</v>
      </c>
      <c r="BM44" s="1441"/>
      <c r="BN44" s="1442">
        <f>BL44/2209</f>
        <v>4.1693073789044813E-2</v>
      </c>
      <c r="BO44" s="1441"/>
      <c r="BP44" s="1107" t="s">
        <v>38</v>
      </c>
      <c r="BQ44" s="1449"/>
      <c r="BR44" s="1107">
        <f t="shared" si="7"/>
        <v>1921</v>
      </c>
      <c r="BS44" s="1175"/>
      <c r="BT44" s="1092" t="s">
        <v>38</v>
      </c>
      <c r="BU44" s="1446"/>
      <c r="BV44" s="1173">
        <v>1921</v>
      </c>
      <c r="BW44" s="1656"/>
      <c r="BX44" s="1107" t="s">
        <v>38</v>
      </c>
      <c r="BY44" s="1449"/>
      <c r="BZ44" s="1173">
        <v>0</v>
      </c>
      <c r="CA44" s="1175"/>
      <c r="CB44" s="1107" t="s">
        <v>38</v>
      </c>
      <c r="CC44" s="1449"/>
      <c r="CD44" s="1092">
        <f t="shared" si="8"/>
        <v>20.857763300760045</v>
      </c>
      <c r="CE44" s="1687"/>
      <c r="CF44" s="1444">
        <f t="shared" si="0"/>
        <v>486.29999999999995</v>
      </c>
      <c r="CG44" s="1092"/>
      <c r="CH44" s="1442">
        <f t="shared" si="9"/>
        <v>5.5513698630136984E-2</v>
      </c>
      <c r="CI44" s="1449"/>
      <c r="CJ44" s="1092" t="s">
        <v>38</v>
      </c>
      <c r="CK44" s="1446"/>
      <c r="CL44" s="1173">
        <f t="shared" si="1"/>
        <v>9524</v>
      </c>
      <c r="CM44" s="1447"/>
      <c r="CN44" s="1175" t="s">
        <v>38</v>
      </c>
      <c r="CO44" s="1446"/>
      <c r="CP44" s="1173">
        <f t="shared" si="2"/>
        <v>9524</v>
      </c>
      <c r="CQ44" s="1175"/>
      <c r="CR44" s="1092" t="s">
        <v>38</v>
      </c>
      <c r="CS44" s="1446"/>
      <c r="CT44" s="1173">
        <f t="shared" si="3"/>
        <v>0</v>
      </c>
      <c r="CU44" s="1175"/>
      <c r="CV44" s="1092" t="s">
        <v>38</v>
      </c>
      <c r="CW44" s="1446"/>
      <c r="CX44" s="1173">
        <f t="shared" si="4"/>
        <v>19.584618548221265</v>
      </c>
      <c r="CY44" s="1464"/>
      <c r="CZ44" s="512"/>
      <c r="DA44" s="513"/>
      <c r="DB44" s="229"/>
      <c r="DC44" s="515"/>
      <c r="DD44" s="506"/>
      <c r="DE44" s="231"/>
      <c r="DF44" s="293"/>
      <c r="DG44" s="230"/>
      <c r="DH44" s="506"/>
      <c r="DI44" s="208"/>
      <c r="DJ44" s="293"/>
      <c r="DK44" s="230"/>
      <c r="DL44" s="506"/>
      <c r="DM44" s="208"/>
      <c r="DN44" s="293"/>
      <c r="DO44" s="230"/>
      <c r="DP44" s="506"/>
      <c r="DQ44" s="516"/>
      <c r="DR44" s="242"/>
      <c r="DS44" s="517"/>
      <c r="DT44" s="293"/>
      <c r="DU44" s="230"/>
      <c r="DV44" s="509"/>
      <c r="DW44" s="510"/>
      <c r="DX44" s="518"/>
      <c r="DY44" s="519"/>
      <c r="DZ44" s="509"/>
      <c r="EA44" s="510"/>
      <c r="EB44" s="293"/>
      <c r="EC44" s="230"/>
      <c r="ED44" s="509"/>
      <c r="EE44" s="517"/>
      <c r="EF44" s="509"/>
      <c r="EG44" s="520"/>
      <c r="EH44" s="298"/>
      <c r="EI44" s="521"/>
    </row>
    <row r="45" spans="1:139" ht="26.45" customHeight="1" x14ac:dyDescent="0.25">
      <c r="A45" s="2242"/>
      <c r="B45" s="2184" t="s">
        <v>50</v>
      </c>
      <c r="C45" s="2185"/>
      <c r="D45" s="287">
        <v>667.8</v>
      </c>
      <c r="E45" s="288"/>
      <c r="F45" s="289">
        <v>6.0726204657676253E-2</v>
      </c>
      <c r="G45" s="288"/>
      <c r="H45" s="290" t="s">
        <v>38</v>
      </c>
      <c r="I45" s="291" t="s">
        <v>38</v>
      </c>
      <c r="J45" s="292">
        <v>132813</v>
      </c>
      <c r="K45" s="525"/>
      <c r="L45" s="407" t="s">
        <v>38</v>
      </c>
      <c r="M45" s="526" t="s">
        <v>38</v>
      </c>
      <c r="N45" s="527">
        <v>132813</v>
      </c>
      <c r="O45" s="528"/>
      <c r="P45" s="290" t="s">
        <v>38</v>
      </c>
      <c r="Q45" s="291" t="s">
        <v>38</v>
      </c>
      <c r="R45" s="527">
        <v>0</v>
      </c>
      <c r="S45" s="528"/>
      <c r="T45" s="290" t="s">
        <v>38</v>
      </c>
      <c r="U45" s="291" t="s">
        <v>38</v>
      </c>
      <c r="V45" s="529">
        <v>198.88140161725067</v>
      </c>
      <c r="W45" s="529"/>
      <c r="X45" s="287">
        <v>632.20000000000005</v>
      </c>
      <c r="Y45" s="288"/>
      <c r="Z45" s="289">
        <v>5.7462801879675333E-2</v>
      </c>
      <c r="AA45" s="288"/>
      <c r="AB45" s="290" t="s">
        <v>38</v>
      </c>
      <c r="AC45" s="291" t="s">
        <v>38</v>
      </c>
      <c r="AD45" s="292">
        <v>131445</v>
      </c>
      <c r="AE45" s="525"/>
      <c r="AF45" s="407" t="s">
        <v>38</v>
      </c>
      <c r="AG45" s="526" t="s">
        <v>38</v>
      </c>
      <c r="AH45" s="527">
        <v>131445</v>
      </c>
      <c r="AI45" s="528"/>
      <c r="AJ45" s="290" t="s">
        <v>38</v>
      </c>
      <c r="AK45" s="291" t="s">
        <v>38</v>
      </c>
      <c r="AL45" s="527">
        <v>0</v>
      </c>
      <c r="AM45" s="528"/>
      <c r="AN45" s="290" t="s">
        <v>38</v>
      </c>
      <c r="AO45" s="291" t="s">
        <v>38</v>
      </c>
      <c r="AP45" s="529">
        <v>207.91679848149317</v>
      </c>
      <c r="AQ45" s="529"/>
      <c r="AR45" s="1451">
        <f>SUM(AR46:AR49)</f>
        <v>594.6</v>
      </c>
      <c r="AS45" s="1452"/>
      <c r="AT45" s="1453">
        <f>AR45/11106.9</f>
        <v>5.3534289495718881E-2</v>
      </c>
      <c r="AU45" s="1452"/>
      <c r="AV45" s="1100" t="s">
        <v>38</v>
      </c>
      <c r="AW45" s="1454"/>
      <c r="AX45" s="1100">
        <f t="shared" si="5"/>
        <v>121984</v>
      </c>
      <c r="AY45" s="1460"/>
      <c r="AZ45" s="1103" t="s">
        <v>38</v>
      </c>
      <c r="BA45" s="1457"/>
      <c r="BB45" s="1458">
        <f>SUM(BB46:BB49)</f>
        <v>121984</v>
      </c>
      <c r="BC45" s="1461"/>
      <c r="BD45" s="1100" t="s">
        <v>38</v>
      </c>
      <c r="BE45" s="1454"/>
      <c r="BF45" s="1458">
        <v>0</v>
      </c>
      <c r="BG45" s="1461"/>
      <c r="BH45" s="1100" t="s">
        <v>38</v>
      </c>
      <c r="BI45" s="1454"/>
      <c r="BJ45" s="1112">
        <f t="shared" si="10"/>
        <v>205.15304406323577</v>
      </c>
      <c r="BK45" s="1112"/>
      <c r="BL45" s="1451">
        <f>SUM(BL46:BL49)</f>
        <v>614.5</v>
      </c>
      <c r="BM45" s="1452"/>
      <c r="BN45" s="1453">
        <f>BL45/11096.9</f>
        <v>5.5375825681046056E-2</v>
      </c>
      <c r="BO45" s="1452"/>
      <c r="BP45" s="1100" t="s">
        <v>38</v>
      </c>
      <c r="BQ45" s="1454"/>
      <c r="BR45" s="1100">
        <f t="shared" si="7"/>
        <v>128440</v>
      </c>
      <c r="BS45" s="1460"/>
      <c r="BT45" s="1103" t="s">
        <v>38</v>
      </c>
      <c r="BU45" s="1457"/>
      <c r="BV45" s="1458">
        <f>SUM(BV46:BV49)</f>
        <v>128440</v>
      </c>
      <c r="BW45" s="1461"/>
      <c r="BX45" s="1100" t="s">
        <v>38</v>
      </c>
      <c r="BY45" s="1454"/>
      <c r="BZ45" s="1458">
        <v>0</v>
      </c>
      <c r="CA45" s="1461"/>
      <c r="CB45" s="1100" t="s">
        <v>38</v>
      </c>
      <c r="CC45" s="1454"/>
      <c r="CD45" s="1112">
        <f t="shared" si="8"/>
        <v>209.01545972335231</v>
      </c>
      <c r="CE45" s="1688"/>
      <c r="CF45" s="1455">
        <f t="shared" si="0"/>
        <v>2509.1</v>
      </c>
      <c r="CG45" s="1112"/>
      <c r="CH45" s="1453">
        <f>CF45/44202.6</f>
        <v>5.6763629288774868E-2</v>
      </c>
      <c r="CI45" s="1456"/>
      <c r="CJ45" s="1103" t="s">
        <v>38</v>
      </c>
      <c r="CK45" s="1457"/>
      <c r="CL45" s="1458">
        <f t="shared" si="1"/>
        <v>514682</v>
      </c>
      <c r="CM45" s="1459"/>
      <c r="CN45" s="1460" t="s">
        <v>38</v>
      </c>
      <c r="CO45" s="1457"/>
      <c r="CP45" s="1458">
        <f t="shared" si="2"/>
        <v>514682</v>
      </c>
      <c r="CQ45" s="1461"/>
      <c r="CR45" s="1103" t="s">
        <v>38</v>
      </c>
      <c r="CS45" s="1457"/>
      <c r="CT45" s="1458">
        <f t="shared" si="3"/>
        <v>0</v>
      </c>
      <c r="CU45" s="1461"/>
      <c r="CV45" s="1103" t="s">
        <v>38</v>
      </c>
      <c r="CW45" s="1457"/>
      <c r="CX45" s="1458">
        <f t="shared" si="4"/>
        <v>205.12614084731578</v>
      </c>
      <c r="CY45" s="1466"/>
      <c r="CZ45" s="534"/>
      <c r="DA45" s="535"/>
      <c r="DB45" s="553"/>
      <c r="DC45" s="537"/>
      <c r="DD45" s="527"/>
      <c r="DE45" s="529"/>
      <c r="DF45" s="290"/>
      <c r="DG45" s="291"/>
      <c r="DH45" s="527"/>
      <c r="DI45" s="528"/>
      <c r="DJ45" s="290"/>
      <c r="DK45" s="291"/>
      <c r="DL45" s="527"/>
      <c r="DM45" s="528"/>
      <c r="DN45" s="290"/>
      <c r="DO45" s="291"/>
      <c r="DP45" s="527"/>
      <c r="DQ45" s="538"/>
      <c r="DR45" s="539"/>
      <c r="DS45" s="540"/>
      <c r="DT45" s="290"/>
      <c r="DU45" s="291"/>
      <c r="DV45" s="496"/>
      <c r="DW45" s="541"/>
      <c r="DX45" s="533"/>
      <c r="DY45" s="542"/>
      <c r="DZ45" s="496"/>
      <c r="EA45" s="541"/>
      <c r="EB45" s="290"/>
      <c r="EC45" s="291"/>
      <c r="ED45" s="496"/>
      <c r="EE45" s="540"/>
      <c r="EF45" s="496"/>
      <c r="EG45" s="543"/>
      <c r="EH45" s="544"/>
      <c r="EI45" s="545"/>
    </row>
    <row r="46" spans="1:139" s="204" customFormat="1" x14ac:dyDescent="0.25">
      <c r="A46" s="2242"/>
      <c r="B46" s="23"/>
      <c r="C46" s="524" t="s">
        <v>39</v>
      </c>
      <c r="D46" s="234">
        <v>457.4</v>
      </c>
      <c r="E46" s="228"/>
      <c r="F46" s="246">
        <v>0.20952817224003664</v>
      </c>
      <c r="G46" s="228"/>
      <c r="H46" s="293" t="s">
        <v>38</v>
      </c>
      <c r="I46" s="230" t="s">
        <v>38</v>
      </c>
      <c r="J46" s="285">
        <v>101544</v>
      </c>
      <c r="K46" s="208"/>
      <c r="L46" s="406" t="s">
        <v>38</v>
      </c>
      <c r="M46" s="505" t="s">
        <v>38</v>
      </c>
      <c r="N46" s="506">
        <v>101544</v>
      </c>
      <c r="O46" s="208"/>
      <c r="P46" s="293" t="s">
        <v>38</v>
      </c>
      <c r="Q46" s="230" t="s">
        <v>38</v>
      </c>
      <c r="R46" s="506">
        <v>0</v>
      </c>
      <c r="S46" s="208"/>
      <c r="T46" s="293" t="s">
        <v>38</v>
      </c>
      <c r="U46" s="230" t="s">
        <v>38</v>
      </c>
      <c r="V46" s="231">
        <v>222.00262352426762</v>
      </c>
      <c r="W46" s="231"/>
      <c r="X46" s="234">
        <v>430.90000000000003</v>
      </c>
      <c r="Y46" s="228"/>
      <c r="Z46" s="246">
        <v>0.19729853479853482</v>
      </c>
      <c r="AA46" s="228"/>
      <c r="AB46" s="293" t="s">
        <v>38</v>
      </c>
      <c r="AC46" s="230" t="s">
        <v>38</v>
      </c>
      <c r="AD46" s="285">
        <v>100220</v>
      </c>
      <c r="AE46" s="208"/>
      <c r="AF46" s="406" t="s">
        <v>38</v>
      </c>
      <c r="AG46" s="505" t="s">
        <v>38</v>
      </c>
      <c r="AH46" s="506">
        <v>100220</v>
      </c>
      <c r="AI46" s="208"/>
      <c r="AJ46" s="293" t="s">
        <v>38</v>
      </c>
      <c r="AK46" s="230" t="s">
        <v>38</v>
      </c>
      <c r="AL46" s="506">
        <v>0</v>
      </c>
      <c r="AM46" s="208"/>
      <c r="AN46" s="293" t="s">
        <v>38</v>
      </c>
      <c r="AO46" s="230" t="s">
        <v>38</v>
      </c>
      <c r="AP46" s="231">
        <v>232.5829658853562</v>
      </c>
      <c r="AQ46" s="231"/>
      <c r="AR46" s="1440">
        <v>421.1</v>
      </c>
      <c r="AS46" s="1441"/>
      <c r="AT46" s="1442">
        <f>AR46/2208</f>
        <v>0.19071557971014494</v>
      </c>
      <c r="AU46" s="1441"/>
      <c r="AV46" s="1107" t="s">
        <v>38</v>
      </c>
      <c r="AW46" s="1449"/>
      <c r="AX46" s="1107">
        <f t="shared" si="5"/>
        <v>87184</v>
      </c>
      <c r="AY46" s="1175"/>
      <c r="AZ46" s="1092" t="s">
        <v>38</v>
      </c>
      <c r="BA46" s="1446"/>
      <c r="BB46" s="1173">
        <v>87184</v>
      </c>
      <c r="BC46" s="1175"/>
      <c r="BD46" s="1107" t="s">
        <v>38</v>
      </c>
      <c r="BE46" s="1449"/>
      <c r="BF46" s="1173">
        <v>0</v>
      </c>
      <c r="BG46" s="1175"/>
      <c r="BH46" s="1107" t="s">
        <v>38</v>
      </c>
      <c r="BI46" s="1449"/>
      <c r="BJ46" s="1092">
        <f t="shared" si="10"/>
        <v>207.03870814533363</v>
      </c>
      <c r="BK46" s="1092"/>
      <c r="BL46" s="1440">
        <v>429.4</v>
      </c>
      <c r="BM46" s="1441"/>
      <c r="BN46" s="1442">
        <f>BL46/2209</f>
        <v>0.19438660027161611</v>
      </c>
      <c r="BO46" s="1441"/>
      <c r="BP46" s="1107" t="s">
        <v>38</v>
      </c>
      <c r="BQ46" s="1449"/>
      <c r="BR46" s="1107">
        <f t="shared" si="7"/>
        <v>93593</v>
      </c>
      <c r="BS46" s="1175"/>
      <c r="BT46" s="1092" t="s">
        <v>38</v>
      </c>
      <c r="BU46" s="1446"/>
      <c r="BV46" s="1173">
        <v>93593</v>
      </c>
      <c r="BW46" s="1175"/>
      <c r="BX46" s="1107" t="s">
        <v>38</v>
      </c>
      <c r="BY46" s="1449"/>
      <c r="BZ46" s="1173">
        <v>0</v>
      </c>
      <c r="CA46" s="1175"/>
      <c r="CB46" s="1107" t="s">
        <v>38</v>
      </c>
      <c r="CC46" s="1449"/>
      <c r="CD46" s="1092">
        <f t="shared" si="8"/>
        <v>217.96227293898465</v>
      </c>
      <c r="CE46" s="1687"/>
      <c r="CF46" s="1444">
        <f t="shared" si="0"/>
        <v>1738.8000000000002</v>
      </c>
      <c r="CG46" s="1092"/>
      <c r="CH46" s="1442">
        <f t="shared" si="9"/>
        <v>0.19849315068493154</v>
      </c>
      <c r="CI46" s="1449"/>
      <c r="CJ46" s="1092" t="s">
        <v>38</v>
      </c>
      <c r="CK46" s="1446"/>
      <c r="CL46" s="1173">
        <f t="shared" si="1"/>
        <v>382541</v>
      </c>
      <c r="CM46" s="1447"/>
      <c r="CN46" s="1175" t="s">
        <v>38</v>
      </c>
      <c r="CO46" s="1446"/>
      <c r="CP46" s="1173">
        <f t="shared" si="2"/>
        <v>382541</v>
      </c>
      <c r="CQ46" s="1175"/>
      <c r="CR46" s="1092" t="s">
        <v>38</v>
      </c>
      <c r="CS46" s="1446"/>
      <c r="CT46" s="1173">
        <f t="shared" si="3"/>
        <v>0</v>
      </c>
      <c r="CU46" s="1175"/>
      <c r="CV46" s="1092" t="s">
        <v>38</v>
      </c>
      <c r="CW46" s="1446"/>
      <c r="CX46" s="1173">
        <f t="shared" si="4"/>
        <v>220.00287554635378</v>
      </c>
      <c r="CY46" s="1465"/>
      <c r="CZ46" s="512"/>
      <c r="DA46" s="513"/>
      <c r="DB46" s="229"/>
      <c r="DC46" s="515"/>
      <c r="DD46" s="506"/>
      <c r="DE46" s="231"/>
      <c r="DF46" s="293"/>
      <c r="DG46" s="230"/>
      <c r="DH46" s="506"/>
      <c r="DI46" s="208"/>
      <c r="DJ46" s="293"/>
      <c r="DK46" s="230"/>
      <c r="DL46" s="506"/>
      <c r="DM46" s="208"/>
      <c r="DN46" s="293"/>
      <c r="DO46" s="230"/>
      <c r="DP46" s="506"/>
      <c r="DQ46" s="516"/>
      <c r="DR46" s="242"/>
      <c r="DS46" s="517"/>
      <c r="DT46" s="293"/>
      <c r="DU46" s="230"/>
      <c r="DV46" s="509"/>
      <c r="DW46" s="510"/>
      <c r="DX46" s="518"/>
      <c r="DY46" s="519"/>
      <c r="DZ46" s="509"/>
      <c r="EA46" s="510"/>
      <c r="EB46" s="293"/>
      <c r="EC46" s="230"/>
      <c r="ED46" s="509"/>
      <c r="EE46" s="517"/>
      <c r="EF46" s="509"/>
      <c r="EG46" s="520"/>
      <c r="EH46" s="285"/>
      <c r="EI46" s="249"/>
    </row>
    <row r="47" spans="1:139" x14ac:dyDescent="0.25">
      <c r="A47" s="2242"/>
      <c r="B47" s="23"/>
      <c r="C47" s="524" t="s">
        <v>40</v>
      </c>
      <c r="D47" s="234">
        <v>54.5</v>
      </c>
      <c r="E47" s="228"/>
      <c r="F47" s="246">
        <v>2.4965643609711406E-2</v>
      </c>
      <c r="G47" s="228"/>
      <c r="H47" s="293" t="s">
        <v>38</v>
      </c>
      <c r="I47" s="230" t="s">
        <v>38</v>
      </c>
      <c r="J47" s="285">
        <v>10842</v>
      </c>
      <c r="K47" s="208"/>
      <c r="L47" s="406" t="s">
        <v>38</v>
      </c>
      <c r="M47" s="505" t="s">
        <v>38</v>
      </c>
      <c r="N47" s="506">
        <v>10842</v>
      </c>
      <c r="O47" s="208"/>
      <c r="P47" s="293" t="s">
        <v>38</v>
      </c>
      <c r="Q47" s="230" t="s">
        <v>38</v>
      </c>
      <c r="R47" s="506">
        <v>0</v>
      </c>
      <c r="S47" s="208"/>
      <c r="T47" s="293" t="s">
        <v>38</v>
      </c>
      <c r="U47" s="230" t="s">
        <v>38</v>
      </c>
      <c r="V47" s="231">
        <v>198.93577981651376</v>
      </c>
      <c r="W47" s="231"/>
      <c r="X47" s="234">
        <v>52.4</v>
      </c>
      <c r="Y47" s="228"/>
      <c r="Z47" s="246">
        <v>2.3992673992673991E-2</v>
      </c>
      <c r="AA47" s="228"/>
      <c r="AB47" s="293" t="s">
        <v>38</v>
      </c>
      <c r="AC47" s="230" t="s">
        <v>38</v>
      </c>
      <c r="AD47" s="285">
        <v>10359</v>
      </c>
      <c r="AE47" s="208"/>
      <c r="AF47" s="406" t="s">
        <v>38</v>
      </c>
      <c r="AG47" s="505" t="s">
        <v>38</v>
      </c>
      <c r="AH47" s="506">
        <v>10359</v>
      </c>
      <c r="AI47" s="208"/>
      <c r="AJ47" s="293" t="s">
        <v>38</v>
      </c>
      <c r="AK47" s="230" t="s">
        <v>38</v>
      </c>
      <c r="AL47" s="506">
        <v>0</v>
      </c>
      <c r="AM47" s="208"/>
      <c r="AN47" s="293" t="s">
        <v>38</v>
      </c>
      <c r="AO47" s="230" t="s">
        <v>38</v>
      </c>
      <c r="AP47" s="231">
        <v>197.69083969465649</v>
      </c>
      <c r="AQ47" s="231"/>
      <c r="AR47" s="1440">
        <v>55.7</v>
      </c>
      <c r="AS47" s="1441"/>
      <c r="AT47" s="1442">
        <f>AR47/2208</f>
        <v>2.5226449275362321E-2</v>
      </c>
      <c r="AU47" s="1441"/>
      <c r="AV47" s="1107" t="s">
        <v>38</v>
      </c>
      <c r="AW47" s="1449"/>
      <c r="AX47" s="1107">
        <f t="shared" si="5"/>
        <v>11002</v>
      </c>
      <c r="AY47" s="1175"/>
      <c r="AZ47" s="1092" t="s">
        <v>38</v>
      </c>
      <c r="BA47" s="1446"/>
      <c r="BB47" s="1173">
        <v>11002</v>
      </c>
      <c r="BC47" s="1175"/>
      <c r="BD47" s="1107" t="s">
        <v>38</v>
      </c>
      <c r="BE47" s="1449"/>
      <c r="BF47" s="1173">
        <v>0</v>
      </c>
      <c r="BG47" s="1175"/>
      <c r="BH47" s="1107" t="s">
        <v>38</v>
      </c>
      <c r="BI47" s="1449"/>
      <c r="BJ47" s="1092">
        <f t="shared" si="10"/>
        <v>197.52244165170555</v>
      </c>
      <c r="BK47" s="1092"/>
      <c r="BL47" s="1440">
        <v>56.1</v>
      </c>
      <c r="BM47" s="1441"/>
      <c r="BN47" s="1442">
        <f>BL47/2209</f>
        <v>2.5396106835672252E-2</v>
      </c>
      <c r="BO47" s="1441"/>
      <c r="BP47" s="1107" t="s">
        <v>38</v>
      </c>
      <c r="BQ47" s="1449"/>
      <c r="BR47" s="1107">
        <f t="shared" si="7"/>
        <v>11066</v>
      </c>
      <c r="BS47" s="1175"/>
      <c r="BT47" s="1092" t="s">
        <v>38</v>
      </c>
      <c r="BU47" s="1446"/>
      <c r="BV47" s="1173">
        <v>11066</v>
      </c>
      <c r="BW47" s="1175"/>
      <c r="BX47" s="1107" t="s">
        <v>38</v>
      </c>
      <c r="BY47" s="1449"/>
      <c r="BZ47" s="1173">
        <v>0</v>
      </c>
      <c r="CA47" s="1175"/>
      <c r="CB47" s="1107" t="s">
        <v>38</v>
      </c>
      <c r="CC47" s="1449"/>
      <c r="CD47" s="1092">
        <f t="shared" si="8"/>
        <v>197.25490196078431</v>
      </c>
      <c r="CE47" s="1687"/>
      <c r="CF47" s="1444">
        <f t="shared" si="0"/>
        <v>218.70000000000002</v>
      </c>
      <c r="CG47" s="1092"/>
      <c r="CH47" s="1442">
        <f t="shared" si="9"/>
        <v>2.4965753424657535E-2</v>
      </c>
      <c r="CI47" s="1467"/>
      <c r="CJ47" s="1092" t="s">
        <v>38</v>
      </c>
      <c r="CK47" s="1446"/>
      <c r="CL47" s="1173">
        <f t="shared" si="1"/>
        <v>43269</v>
      </c>
      <c r="CM47" s="1447"/>
      <c r="CN47" s="1175" t="s">
        <v>38</v>
      </c>
      <c r="CO47" s="1446"/>
      <c r="CP47" s="1173">
        <f t="shared" si="2"/>
        <v>43269</v>
      </c>
      <c r="CQ47" s="1175"/>
      <c r="CR47" s="1092" t="s">
        <v>38</v>
      </c>
      <c r="CS47" s="1446"/>
      <c r="CT47" s="1173">
        <f t="shared" si="3"/>
        <v>0</v>
      </c>
      <c r="CU47" s="1175"/>
      <c r="CV47" s="1092" t="s">
        <v>38</v>
      </c>
      <c r="CW47" s="1446"/>
      <c r="CX47" s="1173">
        <f t="shared" si="4"/>
        <v>197.84636488340192</v>
      </c>
      <c r="CY47" s="1360"/>
      <c r="CZ47" s="512"/>
      <c r="DA47" s="513"/>
      <c r="DB47" s="229"/>
      <c r="DC47" s="515"/>
      <c r="DD47" s="506"/>
      <c r="DE47" s="231"/>
      <c r="DF47" s="293"/>
      <c r="DG47" s="230"/>
      <c r="DH47" s="506"/>
      <c r="DI47" s="208"/>
      <c r="DJ47" s="293"/>
      <c r="DK47" s="230"/>
      <c r="DL47" s="506"/>
      <c r="DM47" s="208"/>
      <c r="DN47" s="293"/>
      <c r="DO47" s="230"/>
      <c r="DP47" s="506"/>
      <c r="DQ47" s="516"/>
      <c r="DR47" s="242"/>
      <c r="DS47" s="517"/>
      <c r="DT47" s="293"/>
      <c r="DU47" s="230"/>
      <c r="DV47" s="509"/>
      <c r="DW47" s="510"/>
      <c r="DX47" s="518"/>
      <c r="DY47" s="519"/>
      <c r="DZ47" s="509"/>
      <c r="EA47" s="510"/>
      <c r="EB47" s="293"/>
      <c r="EC47" s="230"/>
      <c r="ED47" s="509"/>
      <c r="EE47" s="517"/>
      <c r="EF47" s="509"/>
      <c r="EG47" s="520"/>
      <c r="EH47" s="298"/>
      <c r="EI47" s="521"/>
    </row>
    <row r="48" spans="1:139" s="204" customFormat="1" x14ac:dyDescent="0.25">
      <c r="A48" s="2242"/>
      <c r="B48" s="523"/>
      <c r="C48" s="524" t="s">
        <v>42</v>
      </c>
      <c r="D48" s="234">
        <v>155.9</v>
      </c>
      <c r="E48" s="228"/>
      <c r="F48" s="246">
        <v>7.1415483279890057E-2</v>
      </c>
      <c r="G48" s="228"/>
      <c r="H48" s="293" t="s">
        <v>38</v>
      </c>
      <c r="I48" s="230" t="s">
        <v>38</v>
      </c>
      <c r="J48" s="285">
        <v>20427</v>
      </c>
      <c r="K48" s="208"/>
      <c r="L48" s="406" t="s">
        <v>38</v>
      </c>
      <c r="M48" s="505" t="s">
        <v>38</v>
      </c>
      <c r="N48" s="506">
        <v>20427</v>
      </c>
      <c r="O48" s="208"/>
      <c r="P48" s="293" t="s">
        <v>38</v>
      </c>
      <c r="Q48" s="230" t="s">
        <v>38</v>
      </c>
      <c r="R48" s="506">
        <v>0</v>
      </c>
      <c r="S48" s="208"/>
      <c r="T48" s="293" t="s">
        <v>38</v>
      </c>
      <c r="U48" s="230" t="s">
        <v>38</v>
      </c>
      <c r="V48" s="231">
        <v>131.0262989095574</v>
      </c>
      <c r="W48" s="231"/>
      <c r="X48" s="234">
        <v>148.9</v>
      </c>
      <c r="Y48" s="228"/>
      <c r="Z48" s="246">
        <v>6.8177655677655685E-2</v>
      </c>
      <c r="AA48" s="228"/>
      <c r="AB48" s="293" t="s">
        <v>38</v>
      </c>
      <c r="AC48" s="230" t="s">
        <v>38</v>
      </c>
      <c r="AD48" s="285">
        <v>20866</v>
      </c>
      <c r="AE48" s="208"/>
      <c r="AF48" s="406" t="s">
        <v>38</v>
      </c>
      <c r="AG48" s="505" t="s">
        <v>38</v>
      </c>
      <c r="AH48" s="506">
        <v>20866</v>
      </c>
      <c r="AI48" s="208"/>
      <c r="AJ48" s="293" t="s">
        <v>38</v>
      </c>
      <c r="AK48" s="230" t="s">
        <v>38</v>
      </c>
      <c r="AL48" s="506">
        <v>0</v>
      </c>
      <c r="AM48" s="208"/>
      <c r="AN48" s="293" t="s">
        <v>38</v>
      </c>
      <c r="AO48" s="230" t="s">
        <v>38</v>
      </c>
      <c r="AP48" s="231">
        <v>140.13431833445264</v>
      </c>
      <c r="AQ48" s="231"/>
      <c r="AR48" s="1440">
        <v>117.8</v>
      </c>
      <c r="AS48" s="1441"/>
      <c r="AT48" s="1442">
        <f>AR48/2208</f>
        <v>5.3351449275362318E-2</v>
      </c>
      <c r="AU48" s="1441"/>
      <c r="AV48" s="1107" t="s">
        <v>38</v>
      </c>
      <c r="AW48" s="1449"/>
      <c r="AX48" s="1107">
        <f t="shared" si="5"/>
        <v>23798</v>
      </c>
      <c r="AY48" s="1175"/>
      <c r="AZ48" s="1092" t="s">
        <v>38</v>
      </c>
      <c r="BA48" s="1446"/>
      <c r="BB48" s="1173">
        <v>23798</v>
      </c>
      <c r="BC48" s="1175"/>
      <c r="BD48" s="1107" t="s">
        <v>38</v>
      </c>
      <c r="BE48" s="1449"/>
      <c r="BF48" s="1173">
        <v>0</v>
      </c>
      <c r="BG48" s="1175"/>
      <c r="BH48" s="1107" t="s">
        <v>38</v>
      </c>
      <c r="BI48" s="1449"/>
      <c r="BJ48" s="1092">
        <f t="shared" si="10"/>
        <v>202.02037351443124</v>
      </c>
      <c r="BK48" s="1092"/>
      <c r="BL48" s="1440">
        <v>129</v>
      </c>
      <c r="BM48" s="1441"/>
      <c r="BN48" s="1442">
        <f>BL48/2209</f>
        <v>5.8397464916251696E-2</v>
      </c>
      <c r="BO48" s="1441"/>
      <c r="BP48" s="1107" t="s">
        <v>38</v>
      </c>
      <c r="BQ48" s="1449"/>
      <c r="BR48" s="1107">
        <f t="shared" si="7"/>
        <v>23781</v>
      </c>
      <c r="BS48" s="1175"/>
      <c r="BT48" s="1092" t="s">
        <v>38</v>
      </c>
      <c r="BU48" s="1446"/>
      <c r="BV48" s="1173">
        <v>23781</v>
      </c>
      <c r="BW48" s="1175"/>
      <c r="BX48" s="1107" t="s">
        <v>38</v>
      </c>
      <c r="BY48" s="1449"/>
      <c r="BZ48" s="1173">
        <v>0</v>
      </c>
      <c r="CA48" s="1175"/>
      <c r="CB48" s="1107" t="s">
        <v>38</v>
      </c>
      <c r="CC48" s="1449"/>
      <c r="CD48" s="1092">
        <f t="shared" si="8"/>
        <v>184.34883720930233</v>
      </c>
      <c r="CE48" s="1687"/>
      <c r="CF48" s="1444">
        <f t="shared" si="0"/>
        <v>551.6</v>
      </c>
      <c r="CG48" s="1092"/>
      <c r="CH48" s="1442">
        <f t="shared" si="9"/>
        <v>6.2968036529680374E-2</v>
      </c>
      <c r="CI48" s="1449"/>
      <c r="CJ48" s="1092" t="s">
        <v>38</v>
      </c>
      <c r="CK48" s="1446"/>
      <c r="CL48" s="1173">
        <f t="shared" si="1"/>
        <v>88872</v>
      </c>
      <c r="CM48" s="1447"/>
      <c r="CN48" s="1175" t="s">
        <v>38</v>
      </c>
      <c r="CO48" s="1446"/>
      <c r="CP48" s="1173">
        <f t="shared" si="2"/>
        <v>88872</v>
      </c>
      <c r="CQ48" s="1175"/>
      <c r="CR48" s="1092" t="s">
        <v>38</v>
      </c>
      <c r="CS48" s="1446"/>
      <c r="CT48" s="1173">
        <f t="shared" si="3"/>
        <v>0</v>
      </c>
      <c r="CU48" s="1175"/>
      <c r="CV48" s="1092" t="s">
        <v>38</v>
      </c>
      <c r="CW48" s="1446"/>
      <c r="CX48" s="1173">
        <f t="shared" si="4"/>
        <v>161.11675126903552</v>
      </c>
      <c r="CY48" s="1465"/>
      <c r="CZ48" s="512"/>
      <c r="DA48" s="513"/>
      <c r="DB48" s="229"/>
      <c r="DC48" s="515"/>
      <c r="DD48" s="506"/>
      <c r="DE48" s="231"/>
      <c r="DF48" s="293"/>
      <c r="DG48" s="230"/>
      <c r="DH48" s="506"/>
      <c r="DI48" s="208"/>
      <c r="DJ48" s="293"/>
      <c r="DK48" s="230"/>
      <c r="DL48" s="506"/>
      <c r="DM48" s="208"/>
      <c r="DN48" s="293"/>
      <c r="DO48" s="230"/>
      <c r="DP48" s="506"/>
      <c r="DQ48" s="516"/>
      <c r="DR48" s="242"/>
      <c r="DS48" s="517"/>
      <c r="DT48" s="293"/>
      <c r="DU48" s="230"/>
      <c r="DV48" s="509"/>
      <c r="DW48" s="510"/>
      <c r="DX48" s="518"/>
      <c r="DY48" s="519"/>
      <c r="DZ48" s="509"/>
      <c r="EA48" s="510"/>
      <c r="EB48" s="293"/>
      <c r="EC48" s="230"/>
      <c r="ED48" s="509"/>
      <c r="EE48" s="517"/>
      <c r="EF48" s="509"/>
      <c r="EG48" s="520"/>
      <c r="EH48" s="285"/>
      <c r="EI48" s="249"/>
    </row>
    <row r="49" spans="1:139" x14ac:dyDescent="0.25">
      <c r="A49" s="2242"/>
      <c r="B49" s="503"/>
      <c r="C49" s="555" t="s">
        <v>43</v>
      </c>
      <c r="D49" s="234">
        <v>0</v>
      </c>
      <c r="E49" s="295"/>
      <c r="F49" s="246">
        <v>0</v>
      </c>
      <c r="G49" s="228"/>
      <c r="H49" s="293" t="s">
        <v>38</v>
      </c>
      <c r="I49" s="230" t="s">
        <v>38</v>
      </c>
      <c r="J49" s="285">
        <v>0</v>
      </c>
      <c r="K49" s="208"/>
      <c r="L49" s="406" t="s">
        <v>38</v>
      </c>
      <c r="M49" s="505" t="s">
        <v>38</v>
      </c>
      <c r="N49" s="506">
        <v>0</v>
      </c>
      <c r="O49" s="507"/>
      <c r="P49" s="293" t="s">
        <v>38</v>
      </c>
      <c r="Q49" s="230" t="s">
        <v>38</v>
      </c>
      <c r="R49" s="556">
        <v>0</v>
      </c>
      <c r="S49" s="507"/>
      <c r="T49" s="293" t="s">
        <v>38</v>
      </c>
      <c r="U49" s="230" t="s">
        <v>38</v>
      </c>
      <c r="V49" s="231">
        <v>0</v>
      </c>
      <c r="W49" s="231"/>
      <c r="X49" s="234">
        <v>0</v>
      </c>
      <c r="Y49" s="295"/>
      <c r="Z49" s="246">
        <v>0</v>
      </c>
      <c r="AA49" s="228"/>
      <c r="AB49" s="293" t="s">
        <v>38</v>
      </c>
      <c r="AC49" s="230" t="s">
        <v>38</v>
      </c>
      <c r="AD49" s="285">
        <v>0</v>
      </c>
      <c r="AE49" s="208"/>
      <c r="AF49" s="406" t="s">
        <v>38</v>
      </c>
      <c r="AG49" s="505" t="s">
        <v>38</v>
      </c>
      <c r="AH49" s="506">
        <v>0</v>
      </c>
      <c r="AI49" s="507"/>
      <c r="AJ49" s="293" t="s">
        <v>38</v>
      </c>
      <c r="AK49" s="230" t="s">
        <v>38</v>
      </c>
      <c r="AL49" s="556">
        <v>0</v>
      </c>
      <c r="AM49" s="507"/>
      <c r="AN49" s="293" t="s">
        <v>38</v>
      </c>
      <c r="AO49" s="230" t="s">
        <v>38</v>
      </c>
      <c r="AP49" s="231">
        <v>0</v>
      </c>
      <c r="AQ49" s="231"/>
      <c r="AR49" s="1440">
        <v>0</v>
      </c>
      <c r="AS49" s="1441"/>
      <c r="AT49" s="1442">
        <f>AR49/2208</f>
        <v>0</v>
      </c>
      <c r="AU49" s="1441"/>
      <c r="AV49" s="1107" t="s">
        <v>38</v>
      </c>
      <c r="AW49" s="1449"/>
      <c r="AX49" s="1107">
        <f t="shared" si="5"/>
        <v>0</v>
      </c>
      <c r="AY49" s="1175"/>
      <c r="AZ49" s="1092" t="s">
        <v>38</v>
      </c>
      <c r="BA49" s="1446"/>
      <c r="BB49" s="1173">
        <v>0</v>
      </c>
      <c r="BC49" s="1469"/>
      <c r="BD49" s="1107" t="s">
        <v>38</v>
      </c>
      <c r="BE49" s="1449"/>
      <c r="BF49" s="1657">
        <v>0</v>
      </c>
      <c r="BG49" s="1469"/>
      <c r="BH49" s="1107" t="s">
        <v>38</v>
      </c>
      <c r="BI49" s="1449"/>
      <c r="BJ49" s="1092" t="s">
        <v>38</v>
      </c>
      <c r="BK49" s="1092"/>
      <c r="BL49" s="1440">
        <v>0</v>
      </c>
      <c r="BM49" s="1635"/>
      <c r="BN49" s="1442">
        <f>BL49/2209</f>
        <v>0</v>
      </c>
      <c r="BO49" s="1441"/>
      <c r="BP49" s="1107" t="s">
        <v>38</v>
      </c>
      <c r="BQ49" s="1449"/>
      <c r="BR49" s="1107">
        <f t="shared" si="7"/>
        <v>0</v>
      </c>
      <c r="BS49" s="1175"/>
      <c r="BT49" s="1092" t="s">
        <v>38</v>
      </c>
      <c r="BU49" s="1446"/>
      <c r="BV49" s="1173">
        <v>0</v>
      </c>
      <c r="BW49" s="1469"/>
      <c r="BX49" s="1107" t="s">
        <v>38</v>
      </c>
      <c r="BY49" s="1449"/>
      <c r="BZ49" s="1657">
        <v>0</v>
      </c>
      <c r="CA49" s="1469"/>
      <c r="CB49" s="1107" t="s">
        <v>38</v>
      </c>
      <c r="CC49" s="1449"/>
      <c r="CD49" s="1092" t="s">
        <v>38</v>
      </c>
      <c r="CE49" s="1687"/>
      <c r="CF49" s="1444">
        <f t="shared" si="0"/>
        <v>0</v>
      </c>
      <c r="CG49" s="1092"/>
      <c r="CH49" s="1442">
        <f t="shared" si="9"/>
        <v>0</v>
      </c>
      <c r="CI49" s="1467"/>
      <c r="CJ49" s="1092" t="s">
        <v>38</v>
      </c>
      <c r="CK49" s="1446"/>
      <c r="CL49" s="1173">
        <f t="shared" si="1"/>
        <v>0</v>
      </c>
      <c r="CM49" s="1447"/>
      <c r="CN49" s="1175" t="s">
        <v>38</v>
      </c>
      <c r="CO49" s="1446"/>
      <c r="CP49" s="1173">
        <f t="shared" si="2"/>
        <v>0</v>
      </c>
      <c r="CQ49" s="1175"/>
      <c r="CR49" s="1092" t="s">
        <v>38</v>
      </c>
      <c r="CS49" s="1446"/>
      <c r="CT49" s="1173">
        <f t="shared" si="3"/>
        <v>0</v>
      </c>
      <c r="CU49" s="1175"/>
      <c r="CV49" s="1092" t="s">
        <v>38</v>
      </c>
      <c r="CW49" s="1446"/>
      <c r="CX49" s="1173">
        <v>0</v>
      </c>
      <c r="CY49" s="1464"/>
      <c r="CZ49" s="512"/>
      <c r="DA49" s="513"/>
      <c r="DB49" s="229"/>
      <c r="DC49" s="515"/>
      <c r="DD49" s="506"/>
      <c r="DE49" s="231"/>
      <c r="DF49" s="293"/>
      <c r="DG49" s="230"/>
      <c r="DH49" s="506"/>
      <c r="DI49" s="208"/>
      <c r="DJ49" s="293"/>
      <c r="DK49" s="230"/>
      <c r="DL49" s="506"/>
      <c r="DM49" s="208"/>
      <c r="DN49" s="293"/>
      <c r="DO49" s="230"/>
      <c r="DP49" s="506"/>
      <c r="DQ49" s="516"/>
      <c r="DR49" s="242"/>
      <c r="DS49" s="517"/>
      <c r="DT49" s="293"/>
      <c r="DU49" s="230"/>
      <c r="DV49" s="509"/>
      <c r="DW49" s="510"/>
      <c r="DX49" s="518"/>
      <c r="DY49" s="519"/>
      <c r="DZ49" s="509"/>
      <c r="EA49" s="510"/>
      <c r="EB49" s="293"/>
      <c r="EC49" s="230"/>
      <c r="ED49" s="509"/>
      <c r="EE49" s="517"/>
      <c r="EF49" s="509"/>
      <c r="EG49" s="520"/>
      <c r="EH49" s="298"/>
      <c r="EI49" s="521"/>
    </row>
    <row r="50" spans="1:139" x14ac:dyDescent="0.25">
      <c r="A50" s="2242"/>
      <c r="B50" s="2184" t="s">
        <v>51</v>
      </c>
      <c r="C50" s="2185"/>
      <c r="D50" s="287">
        <v>1562.7</v>
      </c>
      <c r="E50" s="288"/>
      <c r="F50" s="289">
        <v>0.14210368376542482</v>
      </c>
      <c r="G50" s="288"/>
      <c r="H50" s="290" t="s">
        <v>38</v>
      </c>
      <c r="I50" s="291" t="s">
        <v>38</v>
      </c>
      <c r="J50" s="292">
        <v>126211</v>
      </c>
      <c r="K50" s="525"/>
      <c r="L50" s="407" t="s">
        <v>38</v>
      </c>
      <c r="M50" s="526" t="s">
        <v>38</v>
      </c>
      <c r="N50" s="527">
        <v>126211</v>
      </c>
      <c r="O50" s="528"/>
      <c r="P50" s="290" t="s">
        <v>38</v>
      </c>
      <c r="Q50" s="291" t="s">
        <v>38</v>
      </c>
      <c r="R50" s="527">
        <v>0</v>
      </c>
      <c r="S50" s="528"/>
      <c r="T50" s="290" t="s">
        <v>38</v>
      </c>
      <c r="U50" s="291" t="s">
        <v>38</v>
      </c>
      <c r="V50" s="529">
        <v>80.764702118128881</v>
      </c>
      <c r="W50" s="529"/>
      <c r="X50" s="287">
        <v>1541.2</v>
      </c>
      <c r="Y50" s="288"/>
      <c r="Z50" s="289">
        <v>0.14008489442732619</v>
      </c>
      <c r="AA50" s="288"/>
      <c r="AB50" s="290" t="s">
        <v>38</v>
      </c>
      <c r="AC50" s="291" t="s">
        <v>38</v>
      </c>
      <c r="AD50" s="292">
        <v>129042</v>
      </c>
      <c r="AE50" s="525"/>
      <c r="AF50" s="407" t="s">
        <v>38</v>
      </c>
      <c r="AG50" s="526" t="s">
        <v>38</v>
      </c>
      <c r="AH50" s="527">
        <v>129042</v>
      </c>
      <c r="AI50" s="528"/>
      <c r="AJ50" s="290" t="s">
        <v>38</v>
      </c>
      <c r="AK50" s="291" t="s">
        <v>38</v>
      </c>
      <c r="AL50" s="527">
        <v>0</v>
      </c>
      <c r="AM50" s="528"/>
      <c r="AN50" s="290" t="s">
        <v>38</v>
      </c>
      <c r="AO50" s="291" t="s">
        <v>38</v>
      </c>
      <c r="AP50" s="529">
        <v>83.728263690630669</v>
      </c>
      <c r="AQ50" s="529"/>
      <c r="AR50" s="1451">
        <f>SUM(AR51:AR55)</f>
        <v>1562.1</v>
      </c>
      <c r="AS50" s="1452"/>
      <c r="AT50" s="1453">
        <f>AR50/11106.9</f>
        <v>0.1406423034330011</v>
      </c>
      <c r="AU50" s="1452"/>
      <c r="AV50" s="1100" t="s">
        <v>38</v>
      </c>
      <c r="AW50" s="1454"/>
      <c r="AX50" s="1100">
        <f t="shared" si="5"/>
        <v>123982</v>
      </c>
      <c r="AY50" s="1460"/>
      <c r="AZ50" s="1103" t="s">
        <v>38</v>
      </c>
      <c r="BA50" s="1457"/>
      <c r="BB50" s="1458">
        <f>SUM(BB51:BB55)</f>
        <v>123982</v>
      </c>
      <c r="BC50" s="1461"/>
      <c r="BD50" s="1100" t="s">
        <v>38</v>
      </c>
      <c r="BE50" s="1454"/>
      <c r="BF50" s="1458">
        <v>0</v>
      </c>
      <c r="BG50" s="1461"/>
      <c r="BH50" s="1100" t="s">
        <v>38</v>
      </c>
      <c r="BI50" s="1454"/>
      <c r="BJ50" s="1112">
        <f t="shared" si="10"/>
        <v>79.368798412393573</v>
      </c>
      <c r="BK50" s="1112"/>
      <c r="BL50" s="1451">
        <f>SUM(BL51:BL55)</f>
        <v>1499</v>
      </c>
      <c r="BM50" s="1452"/>
      <c r="BN50" s="1453">
        <f>BL50/11096.9</f>
        <v>0.13508277086393497</v>
      </c>
      <c r="BO50" s="1452"/>
      <c r="BP50" s="1100" t="s">
        <v>38</v>
      </c>
      <c r="BQ50" s="1454"/>
      <c r="BR50" s="1100">
        <f t="shared" si="7"/>
        <v>123530</v>
      </c>
      <c r="BS50" s="1460"/>
      <c r="BT50" s="1103" t="s">
        <v>38</v>
      </c>
      <c r="BU50" s="1457"/>
      <c r="BV50" s="1458">
        <f>SUM(BV51:BV55)</f>
        <v>123530</v>
      </c>
      <c r="BW50" s="1461"/>
      <c r="BX50" s="1100" t="s">
        <v>38</v>
      </c>
      <c r="BY50" s="1454"/>
      <c r="BZ50" s="1458">
        <v>0</v>
      </c>
      <c r="CA50" s="1461"/>
      <c r="CB50" s="1100" t="s">
        <v>38</v>
      </c>
      <c r="CC50" s="1454"/>
      <c r="CD50" s="1112">
        <f t="shared" si="8"/>
        <v>82.408272181454308</v>
      </c>
      <c r="CE50" s="1688"/>
      <c r="CF50" s="1455">
        <f t="shared" si="0"/>
        <v>6165</v>
      </c>
      <c r="CG50" s="1112"/>
      <c r="CH50" s="1453">
        <f>CF50/44202.6</f>
        <v>0.13947143380706112</v>
      </c>
      <c r="CI50" s="1456"/>
      <c r="CJ50" s="1103" t="s">
        <v>38</v>
      </c>
      <c r="CK50" s="1457"/>
      <c r="CL50" s="1458">
        <f t="shared" si="1"/>
        <v>502765</v>
      </c>
      <c r="CM50" s="1459"/>
      <c r="CN50" s="1460" t="s">
        <v>38</v>
      </c>
      <c r="CO50" s="1457"/>
      <c r="CP50" s="1458">
        <f t="shared" si="2"/>
        <v>502765</v>
      </c>
      <c r="CQ50" s="1461"/>
      <c r="CR50" s="1103" t="s">
        <v>38</v>
      </c>
      <c r="CS50" s="1457"/>
      <c r="CT50" s="1458">
        <f t="shared" si="3"/>
        <v>0</v>
      </c>
      <c r="CU50" s="1461"/>
      <c r="CV50" s="1103" t="s">
        <v>38</v>
      </c>
      <c r="CW50" s="1457"/>
      <c r="CX50" s="1458">
        <f t="shared" si="4"/>
        <v>81.551500405515</v>
      </c>
      <c r="CY50" s="1466"/>
      <c r="CZ50" s="534"/>
      <c r="DA50" s="535"/>
      <c r="DB50" s="553"/>
      <c r="DC50" s="537"/>
      <c r="DD50" s="527"/>
      <c r="DE50" s="529"/>
      <c r="DF50" s="290"/>
      <c r="DG50" s="291"/>
      <c r="DH50" s="527"/>
      <c r="DI50" s="528"/>
      <c r="DJ50" s="290"/>
      <c r="DK50" s="291"/>
      <c r="DL50" s="527"/>
      <c r="DM50" s="528"/>
      <c r="DN50" s="290"/>
      <c r="DO50" s="291"/>
      <c r="DP50" s="527"/>
      <c r="DQ50" s="538"/>
      <c r="DR50" s="539"/>
      <c r="DS50" s="540"/>
      <c r="DT50" s="290"/>
      <c r="DU50" s="291"/>
      <c r="DV50" s="496"/>
      <c r="DW50" s="541"/>
      <c r="DX50" s="533"/>
      <c r="DY50" s="542"/>
      <c r="DZ50" s="496"/>
      <c r="EA50" s="541"/>
      <c r="EB50" s="290"/>
      <c r="EC50" s="291"/>
      <c r="ED50" s="496"/>
      <c r="EE50" s="540"/>
      <c r="EF50" s="496"/>
      <c r="EG50" s="543"/>
      <c r="EH50" s="544"/>
      <c r="EI50" s="545"/>
    </row>
    <row r="51" spans="1:139" x14ac:dyDescent="0.25">
      <c r="A51" s="2242"/>
      <c r="B51" s="503"/>
      <c r="C51" s="504" t="s">
        <v>39</v>
      </c>
      <c r="D51" s="234">
        <v>142.1</v>
      </c>
      <c r="E51" s="228"/>
      <c r="F51" s="246">
        <v>6.5093907466788822E-2</v>
      </c>
      <c r="G51" s="228"/>
      <c r="H51" s="293" t="s">
        <v>38</v>
      </c>
      <c r="I51" s="230" t="s">
        <v>38</v>
      </c>
      <c r="J51" s="285">
        <v>21551</v>
      </c>
      <c r="K51" s="208"/>
      <c r="L51" s="406" t="s">
        <v>38</v>
      </c>
      <c r="M51" s="505" t="s">
        <v>38</v>
      </c>
      <c r="N51" s="506">
        <v>21551</v>
      </c>
      <c r="O51" s="507"/>
      <c r="P51" s="293" t="s">
        <v>38</v>
      </c>
      <c r="Q51" s="230" t="s">
        <v>38</v>
      </c>
      <c r="R51" s="506">
        <v>0</v>
      </c>
      <c r="S51" s="208"/>
      <c r="T51" s="293" t="s">
        <v>38</v>
      </c>
      <c r="U51" s="230" t="s">
        <v>38</v>
      </c>
      <c r="V51" s="231">
        <v>151.66080225193525</v>
      </c>
      <c r="W51" s="231"/>
      <c r="X51" s="234">
        <v>141.5</v>
      </c>
      <c r="Y51" s="228"/>
      <c r="Z51" s="246">
        <v>6.4789377289377295E-2</v>
      </c>
      <c r="AA51" s="228"/>
      <c r="AB51" s="293" t="s">
        <v>38</v>
      </c>
      <c r="AC51" s="230" t="s">
        <v>38</v>
      </c>
      <c r="AD51" s="285">
        <v>21485</v>
      </c>
      <c r="AE51" s="208"/>
      <c r="AF51" s="406" t="s">
        <v>38</v>
      </c>
      <c r="AG51" s="505" t="s">
        <v>38</v>
      </c>
      <c r="AH51" s="506">
        <v>21485</v>
      </c>
      <c r="AI51" s="507"/>
      <c r="AJ51" s="293" t="s">
        <v>38</v>
      </c>
      <c r="AK51" s="230" t="s">
        <v>38</v>
      </c>
      <c r="AL51" s="506">
        <v>0</v>
      </c>
      <c r="AM51" s="208"/>
      <c r="AN51" s="293" t="s">
        <v>38</v>
      </c>
      <c r="AO51" s="230" t="s">
        <v>38</v>
      </c>
      <c r="AP51" s="231">
        <v>151.83745583038871</v>
      </c>
      <c r="AQ51" s="231"/>
      <c r="AR51" s="1440">
        <v>146.6</v>
      </c>
      <c r="AS51" s="1441"/>
      <c r="AT51" s="1442">
        <f>AR51/2208</f>
        <v>6.6394927536231885E-2</v>
      </c>
      <c r="AU51" s="1441"/>
      <c r="AV51" s="1107" t="s">
        <v>38</v>
      </c>
      <c r="AW51" s="1449"/>
      <c r="AX51" s="1107">
        <f t="shared" si="5"/>
        <v>19569</v>
      </c>
      <c r="AY51" s="1175"/>
      <c r="AZ51" s="1092" t="s">
        <v>38</v>
      </c>
      <c r="BA51" s="1446"/>
      <c r="BB51" s="1173">
        <v>19569</v>
      </c>
      <c r="BC51" s="1175"/>
      <c r="BD51" s="1107" t="s">
        <v>38</v>
      </c>
      <c r="BE51" s="1449"/>
      <c r="BF51" s="1173">
        <v>0</v>
      </c>
      <c r="BG51" s="1175"/>
      <c r="BH51" s="1107" t="s">
        <v>38</v>
      </c>
      <c r="BI51" s="1449"/>
      <c r="BJ51" s="1092">
        <f t="shared" si="10"/>
        <v>133.48567530695772</v>
      </c>
      <c r="BK51" s="1092"/>
      <c r="BL51" s="1440">
        <v>136.80000000000001</v>
      </c>
      <c r="BM51" s="1441"/>
      <c r="BN51" s="1442">
        <f>BL51/2209</f>
        <v>6.1928474422815759E-2</v>
      </c>
      <c r="BO51" s="1441"/>
      <c r="BP51" s="1107" t="s">
        <v>38</v>
      </c>
      <c r="BQ51" s="1449"/>
      <c r="BR51" s="1107">
        <f t="shared" si="7"/>
        <v>19314</v>
      </c>
      <c r="BS51" s="1175"/>
      <c r="BT51" s="1092" t="s">
        <v>38</v>
      </c>
      <c r="BU51" s="1446"/>
      <c r="BV51" s="1173">
        <v>19314</v>
      </c>
      <c r="BW51" s="1175"/>
      <c r="BX51" s="1107" t="s">
        <v>38</v>
      </c>
      <c r="BY51" s="1449"/>
      <c r="BZ51" s="1173">
        <v>0</v>
      </c>
      <c r="CA51" s="1175"/>
      <c r="CB51" s="1107" t="s">
        <v>38</v>
      </c>
      <c r="CC51" s="1449"/>
      <c r="CD51" s="1092">
        <f t="shared" si="8"/>
        <v>141.18421052631578</v>
      </c>
      <c r="CE51" s="1687"/>
      <c r="CF51" s="1444">
        <f t="shared" si="0"/>
        <v>567</v>
      </c>
      <c r="CG51" s="1092"/>
      <c r="CH51" s="1442">
        <f t="shared" si="9"/>
        <v>6.4726027397260272E-2</v>
      </c>
      <c r="CI51" s="1467"/>
      <c r="CJ51" s="1092" t="s">
        <v>38</v>
      </c>
      <c r="CK51" s="1446"/>
      <c r="CL51" s="1173">
        <f t="shared" si="1"/>
        <v>81919</v>
      </c>
      <c r="CM51" s="1447"/>
      <c r="CN51" s="1175" t="s">
        <v>38</v>
      </c>
      <c r="CO51" s="1446"/>
      <c r="CP51" s="1173">
        <f t="shared" si="2"/>
        <v>81919</v>
      </c>
      <c r="CQ51" s="1175"/>
      <c r="CR51" s="1092" t="s">
        <v>38</v>
      </c>
      <c r="CS51" s="1446"/>
      <c r="CT51" s="1173">
        <f t="shared" si="3"/>
        <v>0</v>
      </c>
      <c r="CU51" s="1175"/>
      <c r="CV51" s="1092" t="s">
        <v>38</v>
      </c>
      <c r="CW51" s="1446"/>
      <c r="CX51" s="1173">
        <f t="shared" si="4"/>
        <v>144.47795414462081</v>
      </c>
      <c r="CY51" s="1464"/>
      <c r="CZ51" s="512"/>
      <c r="DA51" s="513"/>
      <c r="DB51" s="229"/>
      <c r="DC51" s="515"/>
      <c r="DD51" s="506"/>
      <c r="DE51" s="231"/>
      <c r="DF51" s="293"/>
      <c r="DG51" s="230"/>
      <c r="DH51" s="506"/>
      <c r="DI51" s="208"/>
      <c r="DJ51" s="293"/>
      <c r="DK51" s="230"/>
      <c r="DL51" s="506"/>
      <c r="DM51" s="208"/>
      <c r="DN51" s="293"/>
      <c r="DO51" s="230"/>
      <c r="DP51" s="506"/>
      <c r="DQ51" s="516"/>
      <c r="DR51" s="242"/>
      <c r="DS51" s="517"/>
      <c r="DT51" s="293"/>
      <c r="DU51" s="230"/>
      <c r="DV51" s="509"/>
      <c r="DW51" s="510"/>
      <c r="DX51" s="518"/>
      <c r="DY51" s="519"/>
      <c r="DZ51" s="509"/>
      <c r="EA51" s="510"/>
      <c r="EB51" s="293"/>
      <c r="EC51" s="230"/>
      <c r="ED51" s="509"/>
      <c r="EE51" s="517"/>
      <c r="EF51" s="509"/>
      <c r="EG51" s="520"/>
      <c r="EH51" s="298"/>
      <c r="EI51" s="521"/>
    </row>
    <row r="52" spans="1:139" x14ac:dyDescent="0.25">
      <c r="A52" s="2242"/>
      <c r="B52" s="19"/>
      <c r="C52" s="504" t="s">
        <v>40</v>
      </c>
      <c r="D52" s="234">
        <v>611.70000000000005</v>
      </c>
      <c r="E52" s="228"/>
      <c r="F52" s="246">
        <v>0.28021071919377005</v>
      </c>
      <c r="G52" s="228"/>
      <c r="H52" s="293" t="s">
        <v>38</v>
      </c>
      <c r="I52" s="230" t="s">
        <v>38</v>
      </c>
      <c r="J52" s="285">
        <v>44383</v>
      </c>
      <c r="K52" s="208"/>
      <c r="L52" s="406" t="s">
        <v>38</v>
      </c>
      <c r="M52" s="505" t="s">
        <v>38</v>
      </c>
      <c r="N52" s="506">
        <v>44383</v>
      </c>
      <c r="O52" s="522"/>
      <c r="P52" s="293" t="s">
        <v>38</v>
      </c>
      <c r="Q52" s="230" t="s">
        <v>38</v>
      </c>
      <c r="R52" s="506">
        <v>0</v>
      </c>
      <c r="S52" s="208"/>
      <c r="T52" s="293" t="s">
        <v>38</v>
      </c>
      <c r="U52" s="230" t="s">
        <v>38</v>
      </c>
      <c r="V52" s="231">
        <v>72.556808893248316</v>
      </c>
      <c r="W52" s="231"/>
      <c r="X52" s="234">
        <v>615.4</v>
      </c>
      <c r="Y52" s="228"/>
      <c r="Z52" s="246">
        <v>0.28177655677655677</v>
      </c>
      <c r="AA52" s="228"/>
      <c r="AB52" s="293" t="s">
        <v>38</v>
      </c>
      <c r="AC52" s="230" t="s">
        <v>38</v>
      </c>
      <c r="AD52" s="285">
        <v>47707</v>
      </c>
      <c r="AE52" s="208"/>
      <c r="AF52" s="406" t="s">
        <v>38</v>
      </c>
      <c r="AG52" s="505" t="s">
        <v>38</v>
      </c>
      <c r="AH52" s="506">
        <v>47707</v>
      </c>
      <c r="AI52" s="522"/>
      <c r="AJ52" s="293" t="s">
        <v>38</v>
      </c>
      <c r="AK52" s="230" t="s">
        <v>38</v>
      </c>
      <c r="AL52" s="506">
        <v>0</v>
      </c>
      <c r="AM52" s="208"/>
      <c r="AN52" s="293" t="s">
        <v>38</v>
      </c>
      <c r="AO52" s="230" t="s">
        <v>38</v>
      </c>
      <c r="AP52" s="231">
        <v>77.521936951576208</v>
      </c>
      <c r="AQ52" s="231"/>
      <c r="AR52" s="1440">
        <v>620.5</v>
      </c>
      <c r="AS52" s="1441"/>
      <c r="AT52" s="1442">
        <f>AR52/2208</f>
        <v>0.28102355072463769</v>
      </c>
      <c r="AU52" s="1441"/>
      <c r="AV52" s="1107" t="s">
        <v>38</v>
      </c>
      <c r="AW52" s="1449"/>
      <c r="AX52" s="1107">
        <f t="shared" si="5"/>
        <v>45105</v>
      </c>
      <c r="AY52" s="1175"/>
      <c r="AZ52" s="1092" t="s">
        <v>38</v>
      </c>
      <c r="BA52" s="1446"/>
      <c r="BB52" s="1173">
        <v>45105</v>
      </c>
      <c r="BC52" s="1656"/>
      <c r="BD52" s="1107" t="s">
        <v>38</v>
      </c>
      <c r="BE52" s="1449"/>
      <c r="BF52" s="1173">
        <v>0</v>
      </c>
      <c r="BG52" s="1175"/>
      <c r="BH52" s="1107" t="s">
        <v>38</v>
      </c>
      <c r="BI52" s="1449"/>
      <c r="BJ52" s="1092">
        <f t="shared" si="10"/>
        <v>72.691377921031432</v>
      </c>
      <c r="BK52" s="1092"/>
      <c r="BL52" s="1440">
        <v>621.1</v>
      </c>
      <c r="BM52" s="1441"/>
      <c r="BN52" s="1442">
        <f>BL52/2209</f>
        <v>0.28116794929832506</v>
      </c>
      <c r="BO52" s="1441"/>
      <c r="BP52" s="1107" t="s">
        <v>38</v>
      </c>
      <c r="BQ52" s="1449"/>
      <c r="BR52" s="1107">
        <f t="shared" si="7"/>
        <v>45197</v>
      </c>
      <c r="BS52" s="1175"/>
      <c r="BT52" s="1092" t="s">
        <v>38</v>
      </c>
      <c r="BU52" s="1446"/>
      <c r="BV52" s="1173">
        <v>45197</v>
      </c>
      <c r="BW52" s="1656"/>
      <c r="BX52" s="1107" t="s">
        <v>38</v>
      </c>
      <c r="BY52" s="1449"/>
      <c r="BZ52" s="1173">
        <v>0</v>
      </c>
      <c r="CA52" s="1175"/>
      <c r="CB52" s="1107" t="s">
        <v>38</v>
      </c>
      <c r="CC52" s="1449"/>
      <c r="CD52" s="1092">
        <f t="shared" si="8"/>
        <v>72.769280309128959</v>
      </c>
      <c r="CE52" s="1687"/>
      <c r="CF52" s="1444">
        <f t="shared" si="0"/>
        <v>2468.6999999999998</v>
      </c>
      <c r="CG52" s="1092"/>
      <c r="CH52" s="1442">
        <f t="shared" si="9"/>
        <v>0.28181506849315069</v>
      </c>
      <c r="CI52" s="1467"/>
      <c r="CJ52" s="1092" t="s">
        <v>38</v>
      </c>
      <c r="CK52" s="1446"/>
      <c r="CL52" s="1173">
        <f t="shared" si="1"/>
        <v>182392</v>
      </c>
      <c r="CM52" s="1447"/>
      <c r="CN52" s="1175" t="s">
        <v>38</v>
      </c>
      <c r="CO52" s="1446"/>
      <c r="CP52" s="1173">
        <f t="shared" si="2"/>
        <v>182392</v>
      </c>
      <c r="CQ52" s="1175"/>
      <c r="CR52" s="1092" t="s">
        <v>38</v>
      </c>
      <c r="CS52" s="1446"/>
      <c r="CT52" s="1173">
        <f t="shared" si="3"/>
        <v>0</v>
      </c>
      <c r="CU52" s="1175"/>
      <c r="CV52" s="1092" t="s">
        <v>38</v>
      </c>
      <c r="CW52" s="1446"/>
      <c r="CX52" s="1173">
        <f t="shared" si="4"/>
        <v>73.881800137724312</v>
      </c>
      <c r="CY52" s="1464"/>
      <c r="CZ52" s="512"/>
      <c r="DA52" s="513"/>
      <c r="DB52" s="229"/>
      <c r="DC52" s="515"/>
      <c r="DD52" s="506"/>
      <c r="DE52" s="231"/>
      <c r="DF52" s="293"/>
      <c r="DG52" s="230"/>
      <c r="DH52" s="506"/>
      <c r="DI52" s="208"/>
      <c r="DJ52" s="293"/>
      <c r="DK52" s="230"/>
      <c r="DL52" s="506"/>
      <c r="DM52" s="208"/>
      <c r="DN52" s="293"/>
      <c r="DO52" s="230"/>
      <c r="DP52" s="506"/>
      <c r="DQ52" s="516"/>
      <c r="DR52" s="242"/>
      <c r="DS52" s="517"/>
      <c r="DT52" s="293"/>
      <c r="DU52" s="230"/>
      <c r="DV52" s="509"/>
      <c r="DW52" s="510"/>
      <c r="DX52" s="518"/>
      <c r="DY52" s="519"/>
      <c r="DZ52" s="509"/>
      <c r="EA52" s="510"/>
      <c r="EB52" s="293"/>
      <c r="EC52" s="230"/>
      <c r="ED52" s="509"/>
      <c r="EE52" s="517"/>
      <c r="EF52" s="509"/>
      <c r="EG52" s="520"/>
      <c r="EH52" s="298"/>
      <c r="EI52" s="521"/>
    </row>
    <row r="53" spans="1:139" s="204" customFormat="1" x14ac:dyDescent="0.25">
      <c r="A53" s="2242"/>
      <c r="B53" s="23"/>
      <c r="C53" s="524" t="s">
        <v>41</v>
      </c>
      <c r="D53" s="234">
        <v>185</v>
      </c>
      <c r="E53" s="228"/>
      <c r="F53" s="246">
        <v>8.4745762711864403E-2</v>
      </c>
      <c r="G53" s="228"/>
      <c r="H53" s="293" t="s">
        <v>38</v>
      </c>
      <c r="I53" s="230" t="s">
        <v>38</v>
      </c>
      <c r="J53" s="285">
        <v>35538</v>
      </c>
      <c r="K53" s="208"/>
      <c r="L53" s="406" t="s">
        <v>38</v>
      </c>
      <c r="M53" s="505" t="s">
        <v>38</v>
      </c>
      <c r="N53" s="506">
        <v>35538</v>
      </c>
      <c r="O53" s="208"/>
      <c r="P53" s="293" t="s">
        <v>38</v>
      </c>
      <c r="Q53" s="230" t="s">
        <v>38</v>
      </c>
      <c r="R53" s="506">
        <v>0</v>
      </c>
      <c r="S53" s="208"/>
      <c r="T53" s="293" t="s">
        <v>38</v>
      </c>
      <c r="U53" s="230" t="s">
        <v>38</v>
      </c>
      <c r="V53" s="231">
        <v>192.0972972972973</v>
      </c>
      <c r="W53" s="231"/>
      <c r="X53" s="234">
        <v>177.5</v>
      </c>
      <c r="Y53" s="228"/>
      <c r="Z53" s="246">
        <v>8.1272893772893776E-2</v>
      </c>
      <c r="AA53" s="228"/>
      <c r="AB53" s="293" t="s">
        <v>38</v>
      </c>
      <c r="AC53" s="230" t="s">
        <v>38</v>
      </c>
      <c r="AD53" s="285">
        <v>36051</v>
      </c>
      <c r="AE53" s="208"/>
      <c r="AF53" s="406" t="s">
        <v>38</v>
      </c>
      <c r="AG53" s="505" t="s">
        <v>38</v>
      </c>
      <c r="AH53" s="506">
        <v>36051</v>
      </c>
      <c r="AI53" s="208"/>
      <c r="AJ53" s="293" t="s">
        <v>38</v>
      </c>
      <c r="AK53" s="230" t="s">
        <v>38</v>
      </c>
      <c r="AL53" s="506">
        <v>0</v>
      </c>
      <c r="AM53" s="208"/>
      <c r="AN53" s="293" t="s">
        <v>38</v>
      </c>
      <c r="AO53" s="230" t="s">
        <v>38</v>
      </c>
      <c r="AP53" s="231">
        <v>203.10422535211268</v>
      </c>
      <c r="AQ53" s="231"/>
      <c r="AR53" s="1440">
        <v>144.4</v>
      </c>
      <c r="AS53" s="1441"/>
      <c r="AT53" s="1442">
        <f>AR53/2208</f>
        <v>6.5398550724637683E-2</v>
      </c>
      <c r="AU53" s="1441"/>
      <c r="AV53" s="1107" t="s">
        <v>38</v>
      </c>
      <c r="AW53" s="1449"/>
      <c r="AX53" s="1107">
        <f t="shared" si="5"/>
        <v>32507</v>
      </c>
      <c r="AY53" s="1175"/>
      <c r="AZ53" s="1092" t="s">
        <v>38</v>
      </c>
      <c r="BA53" s="1446"/>
      <c r="BB53" s="1173">
        <v>32507</v>
      </c>
      <c r="BC53" s="1175"/>
      <c r="BD53" s="1107" t="s">
        <v>38</v>
      </c>
      <c r="BE53" s="1449"/>
      <c r="BF53" s="1173">
        <v>0</v>
      </c>
      <c r="BG53" s="1175"/>
      <c r="BH53" s="1107" t="s">
        <v>38</v>
      </c>
      <c r="BI53" s="1449"/>
      <c r="BJ53" s="1092">
        <f t="shared" si="10"/>
        <v>225.11772853185596</v>
      </c>
      <c r="BK53" s="1092"/>
      <c r="BL53" s="1440">
        <v>178.8</v>
      </c>
      <c r="BM53" s="1441"/>
      <c r="BN53" s="1442">
        <f>BL53/2209</f>
        <v>8.0941602535083756E-2</v>
      </c>
      <c r="BO53" s="1441"/>
      <c r="BP53" s="1107" t="s">
        <v>38</v>
      </c>
      <c r="BQ53" s="1449"/>
      <c r="BR53" s="1107">
        <f t="shared" si="7"/>
        <v>32365</v>
      </c>
      <c r="BS53" s="1175"/>
      <c r="BT53" s="1092" t="s">
        <v>38</v>
      </c>
      <c r="BU53" s="1446"/>
      <c r="BV53" s="1173">
        <v>32365</v>
      </c>
      <c r="BW53" s="1175"/>
      <c r="BX53" s="1107" t="s">
        <v>38</v>
      </c>
      <c r="BY53" s="1449"/>
      <c r="BZ53" s="1173">
        <v>0</v>
      </c>
      <c r="CA53" s="1175"/>
      <c r="CB53" s="1107" t="s">
        <v>38</v>
      </c>
      <c r="CC53" s="1449"/>
      <c r="CD53" s="1092">
        <f t="shared" si="8"/>
        <v>181.01230425055928</v>
      </c>
      <c r="CE53" s="1687"/>
      <c r="CF53" s="1444">
        <f t="shared" si="0"/>
        <v>685.7</v>
      </c>
      <c r="CG53" s="1092"/>
      <c r="CH53" s="1442">
        <f t="shared" si="9"/>
        <v>7.827625570776256E-2</v>
      </c>
      <c r="CI53" s="1449"/>
      <c r="CJ53" s="1092" t="s">
        <v>38</v>
      </c>
      <c r="CK53" s="1446"/>
      <c r="CL53" s="1173">
        <f t="shared" si="1"/>
        <v>136461</v>
      </c>
      <c r="CM53" s="1447"/>
      <c r="CN53" s="1175" t="s">
        <v>38</v>
      </c>
      <c r="CO53" s="1446"/>
      <c r="CP53" s="1173">
        <f t="shared" si="2"/>
        <v>136461</v>
      </c>
      <c r="CQ53" s="1175"/>
      <c r="CR53" s="1092" t="s">
        <v>38</v>
      </c>
      <c r="CS53" s="1446"/>
      <c r="CT53" s="1173">
        <f t="shared" si="3"/>
        <v>0</v>
      </c>
      <c r="CU53" s="1175"/>
      <c r="CV53" s="1092" t="s">
        <v>38</v>
      </c>
      <c r="CW53" s="1446"/>
      <c r="CX53" s="1173">
        <f t="shared" si="4"/>
        <v>199.00977103689658</v>
      </c>
      <c r="CY53" s="1465"/>
      <c r="CZ53" s="512"/>
      <c r="DA53" s="513"/>
      <c r="DB53" s="229"/>
      <c r="DC53" s="515"/>
      <c r="DD53" s="506"/>
      <c r="DE53" s="231"/>
      <c r="DF53" s="293"/>
      <c r="DG53" s="230"/>
      <c r="DH53" s="506"/>
      <c r="DI53" s="208"/>
      <c r="DJ53" s="293"/>
      <c r="DK53" s="230"/>
      <c r="DL53" s="506"/>
      <c r="DM53" s="208"/>
      <c r="DN53" s="293"/>
      <c r="DO53" s="230"/>
      <c r="DP53" s="506"/>
      <c r="DQ53" s="516"/>
      <c r="DR53" s="242"/>
      <c r="DS53" s="517"/>
      <c r="DT53" s="293"/>
      <c r="DU53" s="230"/>
      <c r="DV53" s="509"/>
      <c r="DW53" s="510"/>
      <c r="DX53" s="518"/>
      <c r="DY53" s="519"/>
      <c r="DZ53" s="509"/>
      <c r="EA53" s="510"/>
      <c r="EB53" s="293"/>
      <c r="EC53" s="230"/>
      <c r="ED53" s="509"/>
      <c r="EE53" s="517"/>
      <c r="EF53" s="244"/>
      <c r="EG53" s="557"/>
      <c r="EH53" s="285"/>
      <c r="EI53" s="249"/>
    </row>
    <row r="54" spans="1:139" s="204" customFormat="1" x14ac:dyDescent="0.25">
      <c r="A54" s="2242"/>
      <c r="B54" s="23"/>
      <c r="C54" s="524" t="s">
        <v>42</v>
      </c>
      <c r="D54" s="234">
        <v>72.099999999999994</v>
      </c>
      <c r="E54" s="228"/>
      <c r="F54" s="246">
        <v>3.3027943197434718E-2</v>
      </c>
      <c r="G54" s="228"/>
      <c r="H54" s="293" t="s">
        <v>38</v>
      </c>
      <c r="I54" s="230" t="s">
        <v>38</v>
      </c>
      <c r="J54" s="285">
        <v>6306</v>
      </c>
      <c r="K54" s="208"/>
      <c r="L54" s="406" t="s">
        <v>38</v>
      </c>
      <c r="M54" s="505" t="s">
        <v>38</v>
      </c>
      <c r="N54" s="506">
        <v>6306</v>
      </c>
      <c r="O54" s="208"/>
      <c r="P54" s="293" t="s">
        <v>38</v>
      </c>
      <c r="Q54" s="230" t="s">
        <v>38</v>
      </c>
      <c r="R54" s="506">
        <v>0</v>
      </c>
      <c r="S54" s="208"/>
      <c r="T54" s="293" t="s">
        <v>38</v>
      </c>
      <c r="U54" s="230" t="s">
        <v>38</v>
      </c>
      <c r="V54" s="231">
        <v>87.461858529819708</v>
      </c>
      <c r="W54" s="231"/>
      <c r="X54" s="234">
        <v>72.599999999999994</v>
      </c>
      <c r="Y54" s="228"/>
      <c r="Z54" s="246">
        <v>3.3241758241758242E-2</v>
      </c>
      <c r="AA54" s="228"/>
      <c r="AB54" s="293" t="s">
        <v>38</v>
      </c>
      <c r="AC54" s="230" t="s">
        <v>38</v>
      </c>
      <c r="AD54" s="285">
        <v>6437</v>
      </c>
      <c r="AE54" s="208"/>
      <c r="AF54" s="406" t="s">
        <v>38</v>
      </c>
      <c r="AG54" s="505" t="s">
        <v>38</v>
      </c>
      <c r="AH54" s="506">
        <v>6437</v>
      </c>
      <c r="AI54" s="208"/>
      <c r="AJ54" s="293" t="s">
        <v>38</v>
      </c>
      <c r="AK54" s="230" t="s">
        <v>38</v>
      </c>
      <c r="AL54" s="506">
        <v>0</v>
      </c>
      <c r="AM54" s="208"/>
      <c r="AN54" s="293" t="s">
        <v>38</v>
      </c>
      <c r="AO54" s="230" t="s">
        <v>38</v>
      </c>
      <c r="AP54" s="231">
        <v>88.663911845730041</v>
      </c>
      <c r="AQ54" s="231"/>
      <c r="AR54" s="1440">
        <f>73.5-1</f>
        <v>72.5</v>
      </c>
      <c r="AS54" s="1441"/>
      <c r="AT54" s="1442">
        <f>AR54/2208</f>
        <v>3.2835144927536232E-2</v>
      </c>
      <c r="AU54" s="1441"/>
      <c r="AV54" s="1107" t="s">
        <v>38</v>
      </c>
      <c r="AW54" s="1449"/>
      <c r="AX54" s="1107">
        <f t="shared" si="5"/>
        <v>6045</v>
      </c>
      <c r="AY54" s="1175"/>
      <c r="AZ54" s="1092" t="s">
        <v>38</v>
      </c>
      <c r="BA54" s="1446"/>
      <c r="BB54" s="1173">
        <v>6045</v>
      </c>
      <c r="BC54" s="1175"/>
      <c r="BD54" s="1107" t="s">
        <v>38</v>
      </c>
      <c r="BE54" s="1449"/>
      <c r="BF54" s="1173">
        <v>0</v>
      </c>
      <c r="BG54" s="1175"/>
      <c r="BH54" s="1107" t="s">
        <v>38</v>
      </c>
      <c r="BI54" s="1449"/>
      <c r="BJ54" s="1092">
        <f t="shared" si="10"/>
        <v>83.379310344827587</v>
      </c>
      <c r="BK54" s="1092"/>
      <c r="BL54" s="1440">
        <f>74-1</f>
        <v>73</v>
      </c>
      <c r="BM54" s="1441"/>
      <c r="BN54" s="1442">
        <f>BL54/2209</f>
        <v>3.3046627433227706E-2</v>
      </c>
      <c r="BO54" s="1441"/>
      <c r="BP54" s="1107" t="s">
        <v>38</v>
      </c>
      <c r="BQ54" s="1449"/>
      <c r="BR54" s="1107">
        <f t="shared" si="7"/>
        <v>6120</v>
      </c>
      <c r="BS54" s="1175"/>
      <c r="BT54" s="1092" t="s">
        <v>38</v>
      </c>
      <c r="BU54" s="1446"/>
      <c r="BV54" s="1173">
        <v>6120</v>
      </c>
      <c r="BW54" s="1175"/>
      <c r="BX54" s="1107" t="s">
        <v>38</v>
      </c>
      <c r="BY54" s="1449"/>
      <c r="BZ54" s="1173">
        <v>0</v>
      </c>
      <c r="CA54" s="1175"/>
      <c r="CB54" s="1107" t="s">
        <v>38</v>
      </c>
      <c r="CC54" s="1449"/>
      <c r="CD54" s="1092">
        <f t="shared" si="8"/>
        <v>83.835616438356169</v>
      </c>
      <c r="CE54" s="1687"/>
      <c r="CF54" s="1444">
        <f t="shared" si="0"/>
        <v>290.2</v>
      </c>
      <c r="CG54" s="1092"/>
      <c r="CH54" s="1442">
        <f t="shared" si="9"/>
        <v>3.3127853881278535E-2</v>
      </c>
      <c r="CI54" s="1449"/>
      <c r="CJ54" s="1092" t="s">
        <v>38</v>
      </c>
      <c r="CK54" s="1446"/>
      <c r="CL54" s="1173">
        <f t="shared" si="1"/>
        <v>24908</v>
      </c>
      <c r="CM54" s="1447"/>
      <c r="CN54" s="1175" t="s">
        <v>38</v>
      </c>
      <c r="CO54" s="1446"/>
      <c r="CP54" s="1173">
        <f t="shared" si="2"/>
        <v>24908</v>
      </c>
      <c r="CQ54" s="1175"/>
      <c r="CR54" s="1092" t="s">
        <v>38</v>
      </c>
      <c r="CS54" s="1446"/>
      <c r="CT54" s="1173">
        <f t="shared" si="3"/>
        <v>0</v>
      </c>
      <c r="CU54" s="1175"/>
      <c r="CV54" s="1092" t="s">
        <v>38</v>
      </c>
      <c r="CW54" s="1446"/>
      <c r="CX54" s="1173">
        <f t="shared" si="4"/>
        <v>85.830461750516889</v>
      </c>
      <c r="CY54" s="1465"/>
      <c r="CZ54" s="512"/>
      <c r="DA54" s="513"/>
      <c r="DB54" s="229"/>
      <c r="DC54" s="515"/>
      <c r="DD54" s="506"/>
      <c r="DE54" s="231"/>
      <c r="DF54" s="293"/>
      <c r="DG54" s="230"/>
      <c r="DH54" s="506"/>
      <c r="DI54" s="208"/>
      <c r="DJ54" s="293"/>
      <c r="DK54" s="230"/>
      <c r="DL54" s="506"/>
      <c r="DM54" s="208"/>
      <c r="DN54" s="293"/>
      <c r="DO54" s="230"/>
      <c r="DP54" s="506"/>
      <c r="DQ54" s="516"/>
      <c r="DR54" s="242"/>
      <c r="DS54" s="517"/>
      <c r="DT54" s="293"/>
      <c r="DU54" s="230"/>
      <c r="DV54" s="509"/>
      <c r="DW54" s="510"/>
      <c r="DX54" s="518"/>
      <c r="DY54" s="519"/>
      <c r="DZ54" s="509"/>
      <c r="EA54" s="510"/>
      <c r="EB54" s="293"/>
      <c r="EC54" s="230"/>
      <c r="ED54" s="509"/>
      <c r="EE54" s="517"/>
      <c r="EF54" s="244"/>
      <c r="EG54" s="557"/>
      <c r="EH54" s="285"/>
      <c r="EI54" s="249"/>
    </row>
    <row r="55" spans="1:139" x14ac:dyDescent="0.25">
      <c r="A55" s="2242"/>
      <c r="B55" s="20"/>
      <c r="C55" s="504" t="s">
        <v>43</v>
      </c>
      <c r="D55" s="234">
        <v>551.79999999999995</v>
      </c>
      <c r="E55" s="228"/>
      <c r="F55" s="246">
        <v>0.25277141548327986</v>
      </c>
      <c r="G55" s="228"/>
      <c r="H55" s="293" t="s">
        <v>38</v>
      </c>
      <c r="I55" s="230" t="s">
        <v>38</v>
      </c>
      <c r="J55" s="285">
        <v>18433</v>
      </c>
      <c r="K55" s="208"/>
      <c r="L55" s="406" t="s">
        <v>38</v>
      </c>
      <c r="M55" s="505" t="s">
        <v>38</v>
      </c>
      <c r="N55" s="506">
        <v>18433</v>
      </c>
      <c r="O55" s="522"/>
      <c r="P55" s="293" t="s">
        <v>38</v>
      </c>
      <c r="Q55" s="230" t="s">
        <v>38</v>
      </c>
      <c r="R55" s="506">
        <v>0</v>
      </c>
      <c r="S55" s="208"/>
      <c r="T55" s="293" t="s">
        <v>38</v>
      </c>
      <c r="U55" s="230" t="s">
        <v>38</v>
      </c>
      <c r="V55" s="231">
        <v>33.405219282348682</v>
      </c>
      <c r="W55" s="231"/>
      <c r="X55" s="234">
        <v>534.20000000000005</v>
      </c>
      <c r="Y55" s="228"/>
      <c r="Z55" s="246">
        <v>0.24459706959706962</v>
      </c>
      <c r="AA55" s="228"/>
      <c r="AB55" s="293" t="s">
        <v>38</v>
      </c>
      <c r="AC55" s="230" t="s">
        <v>38</v>
      </c>
      <c r="AD55" s="285">
        <v>17362</v>
      </c>
      <c r="AE55" s="208"/>
      <c r="AF55" s="406" t="s">
        <v>38</v>
      </c>
      <c r="AG55" s="505" t="s">
        <v>38</v>
      </c>
      <c r="AH55" s="506">
        <v>17362</v>
      </c>
      <c r="AI55" s="522"/>
      <c r="AJ55" s="293" t="s">
        <v>38</v>
      </c>
      <c r="AK55" s="230" t="s">
        <v>38</v>
      </c>
      <c r="AL55" s="506">
        <v>0</v>
      </c>
      <c r="AM55" s="208"/>
      <c r="AN55" s="293" t="s">
        <v>38</v>
      </c>
      <c r="AO55" s="230" t="s">
        <v>38</v>
      </c>
      <c r="AP55" s="231">
        <v>32.500935979034068</v>
      </c>
      <c r="AQ55" s="231"/>
      <c r="AR55" s="1440">
        <v>578.1</v>
      </c>
      <c r="AS55" s="1441"/>
      <c r="AT55" s="1442">
        <f>AR55/2208</f>
        <v>0.26182065217391304</v>
      </c>
      <c r="AU55" s="1441"/>
      <c r="AV55" s="1107" t="s">
        <v>38</v>
      </c>
      <c r="AW55" s="1449"/>
      <c r="AX55" s="1107">
        <f t="shared" si="5"/>
        <v>20756</v>
      </c>
      <c r="AY55" s="1175"/>
      <c r="AZ55" s="1092" t="s">
        <v>38</v>
      </c>
      <c r="BA55" s="1446"/>
      <c r="BB55" s="1173">
        <v>20756</v>
      </c>
      <c r="BC55" s="1656"/>
      <c r="BD55" s="1107" t="s">
        <v>38</v>
      </c>
      <c r="BE55" s="1449"/>
      <c r="BF55" s="1173">
        <v>0</v>
      </c>
      <c r="BG55" s="1175"/>
      <c r="BH55" s="1107" t="s">
        <v>38</v>
      </c>
      <c r="BI55" s="1449"/>
      <c r="BJ55" s="1092">
        <f t="shared" si="10"/>
        <v>35.903822868015915</v>
      </c>
      <c r="BK55" s="1092"/>
      <c r="BL55" s="1440">
        <f>534.3-45</f>
        <v>489.29999999999995</v>
      </c>
      <c r="BM55" s="1441"/>
      <c r="BN55" s="1442">
        <f>BL55/2209</f>
        <v>0.22150294250792213</v>
      </c>
      <c r="BO55" s="1441"/>
      <c r="BP55" s="1107" t="s">
        <v>38</v>
      </c>
      <c r="BQ55" s="1449"/>
      <c r="BR55" s="1107">
        <f t="shared" si="7"/>
        <v>20534</v>
      </c>
      <c r="BS55" s="1175"/>
      <c r="BT55" s="1092" t="s">
        <v>38</v>
      </c>
      <c r="BU55" s="1446"/>
      <c r="BV55" s="1173">
        <v>20534</v>
      </c>
      <c r="BW55" s="1656"/>
      <c r="BX55" s="1107" t="s">
        <v>38</v>
      </c>
      <c r="BY55" s="1449"/>
      <c r="BZ55" s="1173">
        <v>0</v>
      </c>
      <c r="CA55" s="1175"/>
      <c r="CB55" s="1107" t="s">
        <v>38</v>
      </c>
      <c r="CC55" s="1449"/>
      <c r="CD55" s="1092">
        <f t="shared" si="8"/>
        <v>41.966073983241373</v>
      </c>
      <c r="CE55" s="1687"/>
      <c r="CF55" s="1444">
        <f t="shared" si="0"/>
        <v>2153.4</v>
      </c>
      <c r="CG55" s="1092"/>
      <c r="CH55" s="1442">
        <f t="shared" si="9"/>
        <v>0.24582191780821919</v>
      </c>
      <c r="CI55" s="1467"/>
      <c r="CJ55" s="1092" t="s">
        <v>38</v>
      </c>
      <c r="CK55" s="1446"/>
      <c r="CL55" s="1173">
        <f t="shared" si="1"/>
        <v>77085</v>
      </c>
      <c r="CM55" s="1447"/>
      <c r="CN55" s="1175" t="s">
        <v>38</v>
      </c>
      <c r="CO55" s="1446"/>
      <c r="CP55" s="1173">
        <f t="shared" si="2"/>
        <v>77085</v>
      </c>
      <c r="CQ55" s="1175"/>
      <c r="CR55" s="1092" t="s">
        <v>38</v>
      </c>
      <c r="CS55" s="1446"/>
      <c r="CT55" s="1173">
        <f t="shared" si="3"/>
        <v>0</v>
      </c>
      <c r="CU55" s="1175"/>
      <c r="CV55" s="1092" t="s">
        <v>38</v>
      </c>
      <c r="CW55" s="1446"/>
      <c r="CX55" s="1173">
        <f t="shared" si="4"/>
        <v>35.79687935358038</v>
      </c>
      <c r="CY55" s="1464"/>
      <c r="CZ55" s="512"/>
      <c r="DA55" s="513"/>
      <c r="DB55" s="229"/>
      <c r="DC55" s="515"/>
      <c r="DD55" s="506"/>
      <c r="DE55" s="231"/>
      <c r="DF55" s="293"/>
      <c r="DG55" s="230"/>
      <c r="DH55" s="506"/>
      <c r="DI55" s="208"/>
      <c r="DJ55" s="293"/>
      <c r="DK55" s="230"/>
      <c r="DL55" s="506"/>
      <c r="DM55" s="208"/>
      <c r="DN55" s="293"/>
      <c r="DO55" s="230"/>
      <c r="DP55" s="506"/>
      <c r="DQ55" s="516"/>
      <c r="DR55" s="242"/>
      <c r="DS55" s="517"/>
      <c r="DT55" s="293"/>
      <c r="DU55" s="230"/>
      <c r="DV55" s="509"/>
      <c r="DW55" s="510"/>
      <c r="DX55" s="518"/>
      <c r="DY55" s="519"/>
      <c r="DZ55" s="509"/>
      <c r="EA55" s="510"/>
      <c r="EB55" s="293"/>
      <c r="EC55" s="230"/>
      <c r="ED55" s="509"/>
      <c r="EE55" s="517"/>
      <c r="EF55" s="244"/>
      <c r="EG55" s="557"/>
      <c r="EH55" s="298"/>
      <c r="EI55" s="521"/>
    </row>
    <row r="56" spans="1:139" x14ac:dyDescent="0.25">
      <c r="A56" s="2242"/>
      <c r="B56" s="2184" t="s">
        <v>52</v>
      </c>
      <c r="C56" s="2185"/>
      <c r="D56" s="287">
        <v>4716.8</v>
      </c>
      <c r="E56" s="288"/>
      <c r="F56" s="289">
        <v>0.42892087770189785</v>
      </c>
      <c r="G56" s="288"/>
      <c r="H56" s="290" t="s">
        <v>38</v>
      </c>
      <c r="I56" s="291" t="s">
        <v>38</v>
      </c>
      <c r="J56" s="292">
        <v>94414</v>
      </c>
      <c r="K56" s="525"/>
      <c r="L56" s="407" t="s">
        <v>38</v>
      </c>
      <c r="M56" s="526" t="s">
        <v>38</v>
      </c>
      <c r="N56" s="527">
        <v>94414</v>
      </c>
      <c r="O56" s="528"/>
      <c r="P56" s="290" t="s">
        <v>38</v>
      </c>
      <c r="Q56" s="291" t="s">
        <v>38</v>
      </c>
      <c r="R56" s="527">
        <v>0</v>
      </c>
      <c r="S56" s="528"/>
      <c r="T56" s="290" t="s">
        <v>38</v>
      </c>
      <c r="U56" s="291" t="s">
        <v>38</v>
      </c>
      <c r="V56" s="529">
        <v>20.016536635006783</v>
      </c>
      <c r="W56" s="529"/>
      <c r="X56" s="287">
        <v>4630.8999999999996</v>
      </c>
      <c r="Y56" s="288"/>
      <c r="Z56" s="289">
        <v>0.4209182050373117</v>
      </c>
      <c r="AA56" s="288"/>
      <c r="AB56" s="290" t="s">
        <v>38</v>
      </c>
      <c r="AC56" s="291" t="s">
        <v>38</v>
      </c>
      <c r="AD56" s="292">
        <v>101596</v>
      </c>
      <c r="AE56" s="525"/>
      <c r="AF56" s="407" t="s">
        <v>38</v>
      </c>
      <c r="AG56" s="526" t="s">
        <v>38</v>
      </c>
      <c r="AH56" s="527">
        <v>101596</v>
      </c>
      <c r="AI56" s="528"/>
      <c r="AJ56" s="290" t="s">
        <v>38</v>
      </c>
      <c r="AK56" s="291" t="s">
        <v>38</v>
      </c>
      <c r="AL56" s="527">
        <v>0</v>
      </c>
      <c r="AM56" s="528"/>
      <c r="AN56" s="290" t="s">
        <v>38</v>
      </c>
      <c r="AO56" s="291" t="s">
        <v>38</v>
      </c>
      <c r="AP56" s="529">
        <v>21.938716016325124</v>
      </c>
      <c r="AQ56" s="529"/>
      <c r="AR56" s="1451">
        <f>SUM(AR57:AR61)</f>
        <v>4371.1000000000004</v>
      </c>
      <c r="AS56" s="1452"/>
      <c r="AT56" s="1453">
        <f>AR56/11106.9</f>
        <v>0.39354815475065053</v>
      </c>
      <c r="AU56" s="1452"/>
      <c r="AV56" s="1100" t="s">
        <v>38</v>
      </c>
      <c r="AW56" s="1454"/>
      <c r="AX56" s="1100">
        <f t="shared" si="5"/>
        <v>75846</v>
      </c>
      <c r="AY56" s="1460"/>
      <c r="AZ56" s="1103" t="s">
        <v>38</v>
      </c>
      <c r="BA56" s="1457"/>
      <c r="BB56" s="1458">
        <f>SUM(BB57:BB61)</f>
        <v>75846</v>
      </c>
      <c r="BC56" s="1461"/>
      <c r="BD56" s="1100" t="s">
        <v>38</v>
      </c>
      <c r="BE56" s="1454"/>
      <c r="BF56" s="1458">
        <v>0</v>
      </c>
      <c r="BG56" s="1461"/>
      <c r="BH56" s="1100" t="s">
        <v>38</v>
      </c>
      <c r="BI56" s="1454"/>
      <c r="BJ56" s="1112">
        <f t="shared" si="10"/>
        <v>17.351696369334949</v>
      </c>
      <c r="BK56" s="1112"/>
      <c r="BL56" s="1451">
        <f>SUM(BL57:BL61)</f>
        <v>4775.8999999999996</v>
      </c>
      <c r="BM56" s="1452"/>
      <c r="BN56" s="1453">
        <f>BL56/11096.9</f>
        <v>0.43038145788463444</v>
      </c>
      <c r="BO56" s="1452"/>
      <c r="BP56" s="1100" t="s">
        <v>38</v>
      </c>
      <c r="BQ56" s="1454"/>
      <c r="BR56" s="1100">
        <f t="shared" si="7"/>
        <v>78975</v>
      </c>
      <c r="BS56" s="1460"/>
      <c r="BT56" s="1103" t="s">
        <v>38</v>
      </c>
      <c r="BU56" s="1457"/>
      <c r="BV56" s="1458">
        <f>SUM(BV57:BV61)</f>
        <v>78975</v>
      </c>
      <c r="BW56" s="1461"/>
      <c r="BX56" s="1100" t="s">
        <v>38</v>
      </c>
      <c r="BY56" s="1454"/>
      <c r="BZ56" s="1458">
        <v>0</v>
      </c>
      <c r="CA56" s="1461"/>
      <c r="CB56" s="1100" t="s">
        <v>38</v>
      </c>
      <c r="CC56" s="1454"/>
      <c r="CD56" s="1112">
        <f t="shared" si="8"/>
        <v>16.536150254402312</v>
      </c>
      <c r="CE56" s="1688"/>
      <c r="CF56" s="1455">
        <f t="shared" si="0"/>
        <v>18494.7</v>
      </c>
      <c r="CG56" s="1112"/>
      <c r="CH56" s="1453">
        <f>CF56/44202.6</f>
        <v>0.41840751449009789</v>
      </c>
      <c r="CI56" s="1456"/>
      <c r="CJ56" s="1103" t="s">
        <v>38</v>
      </c>
      <c r="CK56" s="1457"/>
      <c r="CL56" s="1458">
        <f t="shared" si="1"/>
        <v>350831</v>
      </c>
      <c r="CM56" s="1459"/>
      <c r="CN56" s="1460" t="s">
        <v>38</v>
      </c>
      <c r="CO56" s="1457"/>
      <c r="CP56" s="1458">
        <f t="shared" si="2"/>
        <v>350831</v>
      </c>
      <c r="CQ56" s="1461"/>
      <c r="CR56" s="1103" t="s">
        <v>38</v>
      </c>
      <c r="CS56" s="1457"/>
      <c r="CT56" s="1458">
        <f t="shared" si="3"/>
        <v>0</v>
      </c>
      <c r="CU56" s="1461"/>
      <c r="CV56" s="1103" t="s">
        <v>38</v>
      </c>
      <c r="CW56" s="1457"/>
      <c r="CX56" s="1458">
        <f t="shared" si="4"/>
        <v>18.969272278003967</v>
      </c>
      <c r="CY56" s="1466"/>
      <c r="CZ56" s="534"/>
      <c r="DA56" s="535"/>
      <c r="DB56" s="553"/>
      <c r="DC56" s="537"/>
      <c r="DD56" s="527"/>
      <c r="DE56" s="529"/>
      <c r="DF56" s="290"/>
      <c r="DG56" s="291"/>
      <c r="DH56" s="527"/>
      <c r="DI56" s="528"/>
      <c r="DJ56" s="290"/>
      <c r="DK56" s="291"/>
      <c r="DL56" s="527"/>
      <c r="DM56" s="528"/>
      <c r="DN56" s="290"/>
      <c r="DO56" s="291"/>
      <c r="DP56" s="527"/>
      <c r="DQ56" s="538"/>
      <c r="DR56" s="539"/>
      <c r="DS56" s="540"/>
      <c r="DT56" s="290"/>
      <c r="DU56" s="291"/>
      <c r="DV56" s="496"/>
      <c r="DW56" s="541"/>
      <c r="DX56" s="533"/>
      <c r="DY56" s="542"/>
      <c r="DZ56" s="496"/>
      <c r="EA56" s="541"/>
      <c r="EB56" s="290"/>
      <c r="EC56" s="291"/>
      <c r="ED56" s="496"/>
      <c r="EE56" s="540"/>
      <c r="EF56" s="407"/>
      <c r="EG56" s="558"/>
      <c r="EH56" s="544"/>
      <c r="EI56" s="545"/>
    </row>
    <row r="57" spans="1:139" x14ac:dyDescent="0.25">
      <c r="A57" s="2242"/>
      <c r="B57" s="503"/>
      <c r="C57" s="504" t="s">
        <v>39</v>
      </c>
      <c r="D57" s="234">
        <v>228.20000000000002</v>
      </c>
      <c r="E57" s="228"/>
      <c r="F57" s="246">
        <v>0.10453504351809437</v>
      </c>
      <c r="G57" s="228"/>
      <c r="H57" s="296" t="s">
        <v>38</v>
      </c>
      <c r="I57" s="297" t="s">
        <v>38</v>
      </c>
      <c r="J57" s="298">
        <v>6524</v>
      </c>
      <c r="K57" s="507"/>
      <c r="L57" s="409" t="s">
        <v>38</v>
      </c>
      <c r="M57" s="559" t="s">
        <v>38</v>
      </c>
      <c r="N57" s="556">
        <v>6524</v>
      </c>
      <c r="O57" s="507"/>
      <c r="P57" s="296" t="s">
        <v>38</v>
      </c>
      <c r="Q57" s="297" t="s">
        <v>38</v>
      </c>
      <c r="R57" s="556">
        <v>0</v>
      </c>
      <c r="S57" s="507"/>
      <c r="T57" s="296" t="s">
        <v>38</v>
      </c>
      <c r="U57" s="297" t="s">
        <v>38</v>
      </c>
      <c r="V57" s="231">
        <v>28.588957055214721</v>
      </c>
      <c r="W57" s="231"/>
      <c r="X57" s="234">
        <v>238.3</v>
      </c>
      <c r="Y57" s="228"/>
      <c r="Z57" s="246">
        <v>0.10911172161172161</v>
      </c>
      <c r="AA57" s="228"/>
      <c r="AB57" s="296" t="s">
        <v>38</v>
      </c>
      <c r="AC57" s="297" t="s">
        <v>38</v>
      </c>
      <c r="AD57" s="298">
        <v>6314</v>
      </c>
      <c r="AE57" s="507"/>
      <c r="AF57" s="409" t="s">
        <v>38</v>
      </c>
      <c r="AG57" s="559" t="s">
        <v>38</v>
      </c>
      <c r="AH57" s="556">
        <v>6314</v>
      </c>
      <c r="AI57" s="507"/>
      <c r="AJ57" s="296" t="s">
        <v>38</v>
      </c>
      <c r="AK57" s="297" t="s">
        <v>38</v>
      </c>
      <c r="AL57" s="556">
        <v>0</v>
      </c>
      <c r="AM57" s="507"/>
      <c r="AN57" s="296" t="s">
        <v>38</v>
      </c>
      <c r="AO57" s="297" t="s">
        <v>38</v>
      </c>
      <c r="AP57" s="231">
        <v>26.49601342845153</v>
      </c>
      <c r="AQ57" s="231"/>
      <c r="AR57" s="1440">
        <v>225</v>
      </c>
      <c r="AS57" s="1441"/>
      <c r="AT57" s="1442">
        <f>AR57/2208</f>
        <v>0.10190217391304347</v>
      </c>
      <c r="AU57" s="1441"/>
      <c r="AV57" s="1107" t="s">
        <v>38</v>
      </c>
      <c r="AW57" s="1449"/>
      <c r="AX57" s="1107">
        <f t="shared" si="5"/>
        <v>5365</v>
      </c>
      <c r="AY57" s="1175"/>
      <c r="AZ57" s="1092" t="s">
        <v>38</v>
      </c>
      <c r="BA57" s="1446"/>
      <c r="BB57" s="1173">
        <v>5365</v>
      </c>
      <c r="BC57" s="1469"/>
      <c r="BD57" s="1115" t="s">
        <v>38</v>
      </c>
      <c r="BE57" s="1658"/>
      <c r="BF57" s="1657">
        <v>0</v>
      </c>
      <c r="BG57" s="1469"/>
      <c r="BH57" s="1115" t="s">
        <v>38</v>
      </c>
      <c r="BI57" s="1658"/>
      <c r="BJ57" s="1092">
        <f t="shared" si="10"/>
        <v>23.844444444444445</v>
      </c>
      <c r="BK57" s="1092"/>
      <c r="BL57" s="1440">
        <v>238.3</v>
      </c>
      <c r="BM57" s="1441"/>
      <c r="BN57" s="1442">
        <f>BL57/2209</f>
        <v>0.10787686736079674</v>
      </c>
      <c r="BO57" s="1441"/>
      <c r="BP57" s="1115" t="s">
        <v>38</v>
      </c>
      <c r="BQ57" s="1658"/>
      <c r="BR57" s="1115">
        <f t="shared" si="7"/>
        <v>5433</v>
      </c>
      <c r="BS57" s="1469"/>
      <c r="BT57" s="1117" t="s">
        <v>38</v>
      </c>
      <c r="BU57" s="1468"/>
      <c r="BV57" s="1173">
        <v>5433</v>
      </c>
      <c r="BW57" s="1469"/>
      <c r="BX57" s="1115" t="s">
        <v>38</v>
      </c>
      <c r="BY57" s="1658"/>
      <c r="BZ57" s="1657">
        <v>0</v>
      </c>
      <c r="CA57" s="1469"/>
      <c r="CB57" s="1115" t="s">
        <v>38</v>
      </c>
      <c r="CC57" s="1658"/>
      <c r="CD57" s="1092">
        <f t="shared" si="8"/>
        <v>22.798992866135123</v>
      </c>
      <c r="CE57" s="1687"/>
      <c r="CF57" s="1444">
        <f t="shared" si="0"/>
        <v>929.80000000000007</v>
      </c>
      <c r="CG57" s="1092"/>
      <c r="CH57" s="1442">
        <f t="shared" si="9"/>
        <v>0.10614155251141554</v>
      </c>
      <c r="CI57" s="1467"/>
      <c r="CJ57" s="1117" t="s">
        <v>38</v>
      </c>
      <c r="CK57" s="1468"/>
      <c r="CL57" s="1173">
        <f t="shared" si="1"/>
        <v>23636</v>
      </c>
      <c r="CM57" s="1447"/>
      <c r="CN57" s="1469" t="s">
        <v>38</v>
      </c>
      <c r="CO57" s="1468"/>
      <c r="CP57" s="1173">
        <f t="shared" si="2"/>
        <v>23636</v>
      </c>
      <c r="CQ57" s="1175"/>
      <c r="CR57" s="1117" t="s">
        <v>38</v>
      </c>
      <c r="CS57" s="1468"/>
      <c r="CT57" s="1173">
        <f t="shared" si="3"/>
        <v>0</v>
      </c>
      <c r="CU57" s="1175"/>
      <c r="CV57" s="1117" t="s">
        <v>38</v>
      </c>
      <c r="CW57" s="1468"/>
      <c r="CX57" s="1173">
        <f t="shared" si="4"/>
        <v>25.420520542052053</v>
      </c>
      <c r="CY57" s="1464"/>
      <c r="CZ57" s="512"/>
      <c r="DA57" s="513"/>
      <c r="DB57" s="229"/>
      <c r="DC57" s="515"/>
      <c r="DD57" s="506"/>
      <c r="DE57" s="231"/>
      <c r="DF57" s="296"/>
      <c r="DG57" s="297"/>
      <c r="DH57" s="506"/>
      <c r="DI57" s="208"/>
      <c r="DJ57" s="296"/>
      <c r="DK57" s="297"/>
      <c r="DL57" s="506"/>
      <c r="DM57" s="208"/>
      <c r="DN57" s="296"/>
      <c r="DO57" s="297"/>
      <c r="DP57" s="506"/>
      <c r="DQ57" s="516"/>
      <c r="DR57" s="242"/>
      <c r="DS57" s="517"/>
      <c r="DT57" s="296"/>
      <c r="DU57" s="297"/>
      <c r="DV57" s="509"/>
      <c r="DW57" s="510"/>
      <c r="DX57" s="518"/>
      <c r="DY57" s="519"/>
      <c r="DZ57" s="509"/>
      <c r="EA57" s="510"/>
      <c r="EB57" s="296"/>
      <c r="EC57" s="297"/>
      <c r="ED57" s="509"/>
      <c r="EE57" s="517"/>
      <c r="EF57" s="244"/>
      <c r="EG57" s="557"/>
      <c r="EH57" s="298"/>
      <c r="EI57" s="521"/>
    </row>
    <row r="58" spans="1:139" x14ac:dyDescent="0.25">
      <c r="A58" s="2242"/>
      <c r="B58" s="23"/>
      <c r="C58" s="524" t="s">
        <v>40</v>
      </c>
      <c r="D58" s="234">
        <v>1232.5999999999999</v>
      </c>
      <c r="E58" s="228"/>
      <c r="F58" s="246">
        <v>0.56463582226294085</v>
      </c>
      <c r="G58" s="228"/>
      <c r="H58" s="296" t="s">
        <v>38</v>
      </c>
      <c r="I58" s="297" t="s">
        <v>38</v>
      </c>
      <c r="J58" s="298">
        <v>21849</v>
      </c>
      <c r="K58" s="507"/>
      <c r="L58" s="409" t="s">
        <v>38</v>
      </c>
      <c r="M58" s="559" t="s">
        <v>38</v>
      </c>
      <c r="N58" s="506">
        <v>21849</v>
      </c>
      <c r="O58" s="208"/>
      <c r="P58" s="296" t="s">
        <v>38</v>
      </c>
      <c r="Q58" s="297" t="s">
        <v>38</v>
      </c>
      <c r="R58" s="506">
        <v>0</v>
      </c>
      <c r="S58" s="208"/>
      <c r="T58" s="296" t="s">
        <v>38</v>
      </c>
      <c r="U58" s="297" t="s">
        <v>38</v>
      </c>
      <c r="V58" s="231">
        <v>17.725945156579588</v>
      </c>
      <c r="W58" s="231"/>
      <c r="X58" s="234">
        <v>1230.5999999999999</v>
      </c>
      <c r="Y58" s="228"/>
      <c r="Z58" s="246">
        <v>0.56346153846153846</v>
      </c>
      <c r="AA58" s="228"/>
      <c r="AB58" s="296" t="s">
        <v>38</v>
      </c>
      <c r="AC58" s="297" t="s">
        <v>38</v>
      </c>
      <c r="AD58" s="298">
        <v>24923</v>
      </c>
      <c r="AE58" s="507"/>
      <c r="AF58" s="409" t="s">
        <v>38</v>
      </c>
      <c r="AG58" s="559" t="s">
        <v>38</v>
      </c>
      <c r="AH58" s="506">
        <v>24923</v>
      </c>
      <c r="AI58" s="208"/>
      <c r="AJ58" s="296" t="s">
        <v>38</v>
      </c>
      <c r="AK58" s="297" t="s">
        <v>38</v>
      </c>
      <c r="AL58" s="506">
        <v>0</v>
      </c>
      <c r="AM58" s="208"/>
      <c r="AN58" s="296" t="s">
        <v>38</v>
      </c>
      <c r="AO58" s="297" t="s">
        <v>38</v>
      </c>
      <c r="AP58" s="231">
        <v>20.252722249309283</v>
      </c>
      <c r="AQ58" s="231"/>
      <c r="AR58" s="1440">
        <v>1241.2</v>
      </c>
      <c r="AS58" s="1441"/>
      <c r="AT58" s="1442">
        <f>AR58/2208</f>
        <v>0.56213768115942031</v>
      </c>
      <c r="AU58" s="1441"/>
      <c r="AV58" s="1107" t="s">
        <v>38</v>
      </c>
      <c r="AW58" s="1449"/>
      <c r="AX58" s="1107">
        <f t="shared" si="5"/>
        <v>16787</v>
      </c>
      <c r="AY58" s="1175"/>
      <c r="AZ58" s="1092" t="s">
        <v>38</v>
      </c>
      <c r="BA58" s="1446"/>
      <c r="BB58" s="1173">
        <v>16787</v>
      </c>
      <c r="BC58" s="1175"/>
      <c r="BD58" s="1115" t="s">
        <v>38</v>
      </c>
      <c r="BE58" s="1658"/>
      <c r="BF58" s="1173">
        <v>0</v>
      </c>
      <c r="BG58" s="1175"/>
      <c r="BH58" s="1115" t="s">
        <v>38</v>
      </c>
      <c r="BI58" s="1658"/>
      <c r="BJ58" s="1092">
        <f t="shared" si="10"/>
        <v>13.52481469545601</v>
      </c>
      <c r="BK58" s="1092"/>
      <c r="BL58" s="1440">
        <f>1240.4+0.8</f>
        <v>1241.2</v>
      </c>
      <c r="BM58" s="1441"/>
      <c r="BN58" s="1442">
        <f>BL58/2209</f>
        <v>0.56188320507016754</v>
      </c>
      <c r="BO58" s="1441"/>
      <c r="BP58" s="1115" t="s">
        <v>38</v>
      </c>
      <c r="BQ58" s="1658"/>
      <c r="BR58" s="1115">
        <f t="shared" si="7"/>
        <v>16787</v>
      </c>
      <c r="BS58" s="1469"/>
      <c r="BT58" s="1117" t="s">
        <v>38</v>
      </c>
      <c r="BU58" s="1468"/>
      <c r="BV58" s="1173">
        <v>16787</v>
      </c>
      <c r="BW58" s="1175"/>
      <c r="BX58" s="1115" t="s">
        <v>38</v>
      </c>
      <c r="BY58" s="1658"/>
      <c r="BZ58" s="1173">
        <v>0</v>
      </c>
      <c r="CA58" s="1175"/>
      <c r="CB58" s="1115" t="s">
        <v>38</v>
      </c>
      <c r="CC58" s="1658"/>
      <c r="CD58" s="1092">
        <f t="shared" si="8"/>
        <v>13.52481469545601</v>
      </c>
      <c r="CE58" s="1687"/>
      <c r="CF58" s="1444">
        <f t="shared" si="0"/>
        <v>4945.6000000000004</v>
      </c>
      <c r="CG58" s="1092"/>
      <c r="CH58" s="1442">
        <f t="shared" si="9"/>
        <v>0.5645662100456621</v>
      </c>
      <c r="CI58" s="1467"/>
      <c r="CJ58" s="1117" t="s">
        <v>38</v>
      </c>
      <c r="CK58" s="1468"/>
      <c r="CL58" s="1173">
        <f t="shared" si="1"/>
        <v>80346</v>
      </c>
      <c r="CM58" s="1447"/>
      <c r="CN58" s="1469" t="s">
        <v>38</v>
      </c>
      <c r="CO58" s="1468"/>
      <c r="CP58" s="1173">
        <f t="shared" si="2"/>
        <v>80346</v>
      </c>
      <c r="CQ58" s="1175"/>
      <c r="CR58" s="1117" t="s">
        <v>38</v>
      </c>
      <c r="CS58" s="1468"/>
      <c r="CT58" s="1173">
        <f t="shared" si="3"/>
        <v>0</v>
      </c>
      <c r="CU58" s="1175"/>
      <c r="CV58" s="1117" t="s">
        <v>38</v>
      </c>
      <c r="CW58" s="1468"/>
      <c r="CX58" s="1173">
        <f t="shared" si="4"/>
        <v>16.245956001294079</v>
      </c>
      <c r="CY58" s="1464"/>
      <c r="CZ58" s="512"/>
      <c r="DA58" s="513"/>
      <c r="DB58" s="229"/>
      <c r="DC58" s="515"/>
      <c r="DD58" s="506"/>
      <c r="DE58" s="231"/>
      <c r="DF58" s="296"/>
      <c r="DG58" s="297"/>
      <c r="DH58" s="506"/>
      <c r="DI58" s="208"/>
      <c r="DJ58" s="296"/>
      <c r="DK58" s="297"/>
      <c r="DL58" s="506"/>
      <c r="DM58" s="208"/>
      <c r="DN58" s="296"/>
      <c r="DO58" s="297"/>
      <c r="DP58" s="506"/>
      <c r="DQ58" s="516"/>
      <c r="DR58" s="242"/>
      <c r="DS58" s="517"/>
      <c r="DT58" s="296"/>
      <c r="DU58" s="297"/>
      <c r="DV58" s="509"/>
      <c r="DW58" s="510"/>
      <c r="DX58" s="518"/>
      <c r="DY58" s="519"/>
      <c r="DZ58" s="509"/>
      <c r="EA58" s="510"/>
      <c r="EB58" s="296"/>
      <c r="EC58" s="297"/>
      <c r="ED58" s="509"/>
      <c r="EE58" s="517"/>
      <c r="EF58" s="244"/>
      <c r="EG58" s="557"/>
      <c r="EH58" s="298"/>
      <c r="EI58" s="521"/>
    </row>
    <row r="59" spans="1:139" s="204" customFormat="1" x14ac:dyDescent="0.25">
      <c r="A59" s="2242"/>
      <c r="B59" s="23"/>
      <c r="C59" s="524" t="s">
        <v>41</v>
      </c>
      <c r="D59" s="234">
        <v>1018.1</v>
      </c>
      <c r="E59" s="228"/>
      <c r="F59" s="246">
        <v>0.46637654603756301</v>
      </c>
      <c r="G59" s="228"/>
      <c r="H59" s="293" t="s">
        <v>38</v>
      </c>
      <c r="I59" s="230" t="s">
        <v>38</v>
      </c>
      <c r="J59" s="285">
        <v>28894</v>
      </c>
      <c r="K59" s="208"/>
      <c r="L59" s="406" t="s">
        <v>38</v>
      </c>
      <c r="M59" s="505" t="s">
        <v>38</v>
      </c>
      <c r="N59" s="506">
        <v>28894</v>
      </c>
      <c r="O59" s="208"/>
      <c r="P59" s="293" t="s">
        <v>38</v>
      </c>
      <c r="Q59" s="230" t="s">
        <v>38</v>
      </c>
      <c r="R59" s="506">
        <v>0</v>
      </c>
      <c r="S59" s="208"/>
      <c r="T59" s="293" t="s">
        <v>38</v>
      </c>
      <c r="U59" s="230" t="s">
        <v>38</v>
      </c>
      <c r="V59" s="231">
        <v>28.380316275414987</v>
      </c>
      <c r="W59" s="231"/>
      <c r="X59" s="234">
        <v>892.2</v>
      </c>
      <c r="Y59" s="228"/>
      <c r="Z59" s="246">
        <v>0.40851648351648356</v>
      </c>
      <c r="AA59" s="228"/>
      <c r="AB59" s="293" t="s">
        <v>38</v>
      </c>
      <c r="AC59" s="230" t="s">
        <v>38</v>
      </c>
      <c r="AD59" s="285">
        <v>32212</v>
      </c>
      <c r="AE59" s="208"/>
      <c r="AF59" s="406" t="s">
        <v>38</v>
      </c>
      <c r="AG59" s="505" t="s">
        <v>38</v>
      </c>
      <c r="AH59" s="506">
        <v>32212</v>
      </c>
      <c r="AI59" s="208"/>
      <c r="AJ59" s="293" t="s">
        <v>38</v>
      </c>
      <c r="AK59" s="230" t="s">
        <v>38</v>
      </c>
      <c r="AL59" s="506">
        <v>0</v>
      </c>
      <c r="AM59" s="208"/>
      <c r="AN59" s="293" t="s">
        <v>38</v>
      </c>
      <c r="AO59" s="230" t="s">
        <v>38</v>
      </c>
      <c r="AP59" s="231">
        <v>36.10401255323918</v>
      </c>
      <c r="AQ59" s="231"/>
      <c r="AR59" s="1440">
        <v>625.5</v>
      </c>
      <c r="AS59" s="1441"/>
      <c r="AT59" s="1442">
        <f>AR59/2208</f>
        <v>0.28328804347826086</v>
      </c>
      <c r="AU59" s="1441"/>
      <c r="AV59" s="1107" t="s">
        <v>38</v>
      </c>
      <c r="AW59" s="1449"/>
      <c r="AX59" s="1107">
        <f t="shared" si="5"/>
        <v>21294</v>
      </c>
      <c r="AY59" s="1175"/>
      <c r="AZ59" s="1092" t="s">
        <v>38</v>
      </c>
      <c r="BA59" s="1446"/>
      <c r="BB59" s="1173">
        <v>21294</v>
      </c>
      <c r="BC59" s="1175"/>
      <c r="BD59" s="1107" t="s">
        <v>38</v>
      </c>
      <c r="BE59" s="1449"/>
      <c r="BF59" s="1173">
        <v>0</v>
      </c>
      <c r="BG59" s="1175"/>
      <c r="BH59" s="1107" t="s">
        <v>38</v>
      </c>
      <c r="BI59" s="1449"/>
      <c r="BJ59" s="1092">
        <f t="shared" si="10"/>
        <v>34.043165467625897</v>
      </c>
      <c r="BK59" s="1092"/>
      <c r="BL59" s="1440">
        <v>1053.9000000000001</v>
      </c>
      <c r="BM59" s="1441"/>
      <c r="BN59" s="1442">
        <f>BL59/2209</f>
        <v>0.47709370755998193</v>
      </c>
      <c r="BO59" s="1441"/>
      <c r="BP59" s="1107" t="s">
        <v>38</v>
      </c>
      <c r="BQ59" s="1449"/>
      <c r="BR59" s="1107">
        <f t="shared" si="7"/>
        <v>24368</v>
      </c>
      <c r="BS59" s="1175"/>
      <c r="BT59" s="1092" t="s">
        <v>38</v>
      </c>
      <c r="BU59" s="1446"/>
      <c r="BV59" s="1173">
        <v>24368</v>
      </c>
      <c r="BW59" s="1175"/>
      <c r="BX59" s="1107" t="s">
        <v>38</v>
      </c>
      <c r="BY59" s="1449"/>
      <c r="BZ59" s="1173">
        <v>0</v>
      </c>
      <c r="CA59" s="1175"/>
      <c r="CB59" s="1107" t="s">
        <v>38</v>
      </c>
      <c r="CC59" s="1449"/>
      <c r="CD59" s="1092">
        <f t="shared" si="8"/>
        <v>23.12173830534206</v>
      </c>
      <c r="CE59" s="1687"/>
      <c r="CF59" s="1444">
        <f t="shared" si="0"/>
        <v>3589.7000000000003</v>
      </c>
      <c r="CG59" s="1092"/>
      <c r="CH59" s="1442">
        <f t="shared" si="9"/>
        <v>0.40978310502283111</v>
      </c>
      <c r="CI59" s="1449"/>
      <c r="CJ59" s="1092" t="s">
        <v>38</v>
      </c>
      <c r="CK59" s="1446"/>
      <c r="CL59" s="1173">
        <f t="shared" si="1"/>
        <v>106768</v>
      </c>
      <c r="CM59" s="1447"/>
      <c r="CN59" s="1175" t="s">
        <v>38</v>
      </c>
      <c r="CO59" s="1446"/>
      <c r="CP59" s="1173">
        <f t="shared" si="2"/>
        <v>106768</v>
      </c>
      <c r="CQ59" s="1175"/>
      <c r="CR59" s="1092" t="s">
        <v>38</v>
      </c>
      <c r="CS59" s="1446"/>
      <c r="CT59" s="1173">
        <f t="shared" si="3"/>
        <v>0</v>
      </c>
      <c r="CU59" s="1175"/>
      <c r="CV59" s="1092" t="s">
        <v>38</v>
      </c>
      <c r="CW59" s="1446"/>
      <c r="CX59" s="1173">
        <f t="shared" si="4"/>
        <v>29.742875449201883</v>
      </c>
      <c r="CY59" s="1465"/>
      <c r="CZ59" s="512"/>
      <c r="DA59" s="513"/>
      <c r="DB59" s="229"/>
      <c r="DC59" s="515"/>
      <c r="DD59" s="506"/>
      <c r="DE59" s="231"/>
      <c r="DF59" s="293"/>
      <c r="DG59" s="230"/>
      <c r="DH59" s="506"/>
      <c r="DI59" s="208"/>
      <c r="DJ59" s="293"/>
      <c r="DK59" s="230"/>
      <c r="DL59" s="506"/>
      <c r="DM59" s="208"/>
      <c r="DN59" s="293"/>
      <c r="DO59" s="230"/>
      <c r="DP59" s="506"/>
      <c r="DQ59" s="516"/>
      <c r="DR59" s="242"/>
      <c r="DS59" s="517"/>
      <c r="DT59" s="293"/>
      <c r="DU59" s="230"/>
      <c r="DV59" s="509"/>
      <c r="DW59" s="510"/>
      <c r="DX59" s="518"/>
      <c r="DY59" s="519"/>
      <c r="DZ59" s="509"/>
      <c r="EA59" s="510"/>
      <c r="EB59" s="293"/>
      <c r="EC59" s="230"/>
      <c r="ED59" s="509"/>
      <c r="EE59" s="517"/>
      <c r="EF59" s="244"/>
      <c r="EG59" s="557"/>
      <c r="EH59" s="285"/>
      <c r="EI59" s="249"/>
    </row>
    <row r="60" spans="1:139" x14ac:dyDescent="0.25">
      <c r="A60" s="2242"/>
      <c r="B60" s="23"/>
      <c r="C60" s="524" t="s">
        <v>42</v>
      </c>
      <c r="D60" s="234">
        <v>968.9</v>
      </c>
      <c r="E60" s="228"/>
      <c r="F60" s="246">
        <v>0.44383875400824552</v>
      </c>
      <c r="G60" s="228"/>
      <c r="H60" s="296" t="s">
        <v>38</v>
      </c>
      <c r="I60" s="297" t="s">
        <v>38</v>
      </c>
      <c r="J60" s="298">
        <v>18257</v>
      </c>
      <c r="K60" s="507"/>
      <c r="L60" s="409" t="s">
        <v>38</v>
      </c>
      <c r="M60" s="559" t="s">
        <v>38</v>
      </c>
      <c r="N60" s="506">
        <v>18257</v>
      </c>
      <c r="O60" s="522"/>
      <c r="P60" s="296" t="s">
        <v>38</v>
      </c>
      <c r="Q60" s="297" t="s">
        <v>38</v>
      </c>
      <c r="R60" s="506">
        <v>0</v>
      </c>
      <c r="S60" s="208"/>
      <c r="T60" s="296" t="s">
        <v>38</v>
      </c>
      <c r="U60" s="297" t="s">
        <v>38</v>
      </c>
      <c r="V60" s="231">
        <v>18.843017855299824</v>
      </c>
      <c r="W60" s="231"/>
      <c r="X60" s="234">
        <v>970.4</v>
      </c>
      <c r="Y60" s="228"/>
      <c r="Z60" s="246">
        <v>0.4443223443223443</v>
      </c>
      <c r="AA60" s="228"/>
      <c r="AB60" s="296" t="s">
        <v>38</v>
      </c>
      <c r="AC60" s="297" t="s">
        <v>38</v>
      </c>
      <c r="AD60" s="298">
        <v>20080</v>
      </c>
      <c r="AE60" s="507"/>
      <c r="AF60" s="409" t="s">
        <v>38</v>
      </c>
      <c r="AG60" s="559" t="s">
        <v>38</v>
      </c>
      <c r="AH60" s="506">
        <v>20080</v>
      </c>
      <c r="AI60" s="522"/>
      <c r="AJ60" s="296" t="s">
        <v>38</v>
      </c>
      <c r="AK60" s="297" t="s">
        <v>38</v>
      </c>
      <c r="AL60" s="506">
        <v>0</v>
      </c>
      <c r="AM60" s="208"/>
      <c r="AN60" s="296" t="s">
        <v>38</v>
      </c>
      <c r="AO60" s="297" t="s">
        <v>38</v>
      </c>
      <c r="AP60" s="231">
        <v>20.692497938994229</v>
      </c>
      <c r="AQ60" s="231"/>
      <c r="AR60" s="1440">
        <v>978.5</v>
      </c>
      <c r="AS60" s="1441"/>
      <c r="AT60" s="1442">
        <f>AR60/2208</f>
        <v>0.44316123188405798</v>
      </c>
      <c r="AU60" s="1441"/>
      <c r="AV60" s="1107" t="s">
        <v>38</v>
      </c>
      <c r="AW60" s="1449"/>
      <c r="AX60" s="1107">
        <f t="shared" si="5"/>
        <v>14797</v>
      </c>
      <c r="AY60" s="1175"/>
      <c r="AZ60" s="1092" t="s">
        <v>38</v>
      </c>
      <c r="BA60" s="1446"/>
      <c r="BB60" s="1173">
        <v>14797</v>
      </c>
      <c r="BC60" s="1656"/>
      <c r="BD60" s="1115" t="s">
        <v>38</v>
      </c>
      <c r="BE60" s="1658"/>
      <c r="BF60" s="1173">
        <v>0</v>
      </c>
      <c r="BG60" s="1175"/>
      <c r="BH60" s="1115" t="s">
        <v>38</v>
      </c>
      <c r="BI60" s="1658"/>
      <c r="BJ60" s="1092">
        <f t="shared" si="10"/>
        <v>15.122125702606029</v>
      </c>
      <c r="BK60" s="1092"/>
      <c r="BL60" s="1440">
        <v>978.9</v>
      </c>
      <c r="BM60" s="1441"/>
      <c r="BN60" s="1442">
        <f>BL60/2209</f>
        <v>0.44314169307378903</v>
      </c>
      <c r="BO60" s="1441"/>
      <c r="BP60" s="1115" t="s">
        <v>38</v>
      </c>
      <c r="BQ60" s="1658"/>
      <c r="BR60" s="1115">
        <f t="shared" si="7"/>
        <v>14800</v>
      </c>
      <c r="BS60" s="1469"/>
      <c r="BT60" s="1117" t="s">
        <v>38</v>
      </c>
      <c r="BU60" s="1468"/>
      <c r="BV60" s="1173">
        <v>14800</v>
      </c>
      <c r="BW60" s="1656"/>
      <c r="BX60" s="1115" t="s">
        <v>38</v>
      </c>
      <c r="BY60" s="1658"/>
      <c r="BZ60" s="1173">
        <v>0</v>
      </c>
      <c r="CA60" s="1175"/>
      <c r="CB60" s="1115" t="s">
        <v>38</v>
      </c>
      <c r="CC60" s="1658"/>
      <c r="CD60" s="1092">
        <f t="shared" si="8"/>
        <v>15.119011134947391</v>
      </c>
      <c r="CE60" s="1687"/>
      <c r="CF60" s="1444">
        <f t="shared" si="0"/>
        <v>3896.7000000000003</v>
      </c>
      <c r="CG60" s="1092"/>
      <c r="CH60" s="1442">
        <f t="shared" si="9"/>
        <v>0.44482876712328773</v>
      </c>
      <c r="CI60" s="1467"/>
      <c r="CJ60" s="1117" t="s">
        <v>38</v>
      </c>
      <c r="CK60" s="1468"/>
      <c r="CL60" s="1173">
        <f t="shared" si="1"/>
        <v>67934</v>
      </c>
      <c r="CM60" s="1447"/>
      <c r="CN60" s="1469" t="s">
        <v>38</v>
      </c>
      <c r="CO60" s="1468"/>
      <c r="CP60" s="1173">
        <f t="shared" si="2"/>
        <v>67934</v>
      </c>
      <c r="CQ60" s="1175"/>
      <c r="CR60" s="1117" t="s">
        <v>38</v>
      </c>
      <c r="CS60" s="1468"/>
      <c r="CT60" s="1173">
        <f t="shared" si="3"/>
        <v>0</v>
      </c>
      <c r="CU60" s="1175"/>
      <c r="CV60" s="1117" t="s">
        <v>38</v>
      </c>
      <c r="CW60" s="1468"/>
      <c r="CX60" s="1173">
        <f t="shared" si="4"/>
        <v>17.433725973259424</v>
      </c>
      <c r="CY60" s="1464"/>
      <c r="CZ60" s="512"/>
      <c r="DA60" s="513"/>
      <c r="DB60" s="229"/>
      <c r="DC60" s="515"/>
      <c r="DD60" s="506"/>
      <c r="DE60" s="231"/>
      <c r="DF60" s="296"/>
      <c r="DG60" s="297"/>
      <c r="DH60" s="506"/>
      <c r="DI60" s="208"/>
      <c r="DJ60" s="296"/>
      <c r="DK60" s="297"/>
      <c r="DL60" s="506"/>
      <c r="DM60" s="208"/>
      <c r="DN60" s="296"/>
      <c r="DO60" s="297"/>
      <c r="DP60" s="506"/>
      <c r="DQ60" s="516"/>
      <c r="DR60" s="242"/>
      <c r="DS60" s="517"/>
      <c r="DT60" s="296"/>
      <c r="DU60" s="297"/>
      <c r="DV60" s="509"/>
      <c r="DW60" s="510"/>
      <c r="DX60" s="518"/>
      <c r="DY60" s="245"/>
      <c r="DZ60" s="509"/>
      <c r="EA60" s="510"/>
      <c r="EB60" s="296"/>
      <c r="EC60" s="297"/>
      <c r="ED60" s="509"/>
      <c r="EE60" s="517"/>
      <c r="EF60" s="244"/>
      <c r="EG60" s="557"/>
      <c r="EH60" s="298"/>
      <c r="EI60" s="521"/>
    </row>
    <row r="61" spans="1:139" x14ac:dyDescent="0.25">
      <c r="A61" s="2242"/>
      <c r="B61" s="22"/>
      <c r="C61" s="504" t="s">
        <v>43</v>
      </c>
      <c r="D61" s="234">
        <v>1269</v>
      </c>
      <c r="E61" s="228"/>
      <c r="F61" s="246">
        <v>0.58131012368300505</v>
      </c>
      <c r="G61" s="228"/>
      <c r="H61" s="296" t="s">
        <v>38</v>
      </c>
      <c r="I61" s="297" t="s">
        <v>38</v>
      </c>
      <c r="J61" s="298">
        <v>18890</v>
      </c>
      <c r="K61" s="507"/>
      <c r="L61" s="409" t="s">
        <v>38</v>
      </c>
      <c r="M61" s="559" t="s">
        <v>38</v>
      </c>
      <c r="N61" s="506">
        <v>18890</v>
      </c>
      <c r="O61" s="522"/>
      <c r="P61" s="296" t="s">
        <v>38</v>
      </c>
      <c r="Q61" s="297" t="s">
        <v>38</v>
      </c>
      <c r="R61" s="506">
        <v>0</v>
      </c>
      <c r="S61" s="208"/>
      <c r="T61" s="296" t="s">
        <v>38</v>
      </c>
      <c r="U61" s="297" t="s">
        <v>38</v>
      </c>
      <c r="V61" s="231">
        <v>14.885736800630418</v>
      </c>
      <c r="W61" s="231"/>
      <c r="X61" s="234">
        <v>1299.4000000000001</v>
      </c>
      <c r="Y61" s="228"/>
      <c r="Z61" s="246">
        <v>0.59496336996336996</v>
      </c>
      <c r="AA61" s="228"/>
      <c r="AB61" s="296" t="s">
        <v>38</v>
      </c>
      <c r="AC61" s="297" t="s">
        <v>38</v>
      </c>
      <c r="AD61" s="298">
        <v>18067</v>
      </c>
      <c r="AE61" s="507"/>
      <c r="AF61" s="409" t="s">
        <v>38</v>
      </c>
      <c r="AG61" s="559" t="s">
        <v>38</v>
      </c>
      <c r="AH61" s="506">
        <v>18067</v>
      </c>
      <c r="AI61" s="522"/>
      <c r="AJ61" s="296" t="s">
        <v>38</v>
      </c>
      <c r="AK61" s="297" t="s">
        <v>38</v>
      </c>
      <c r="AL61" s="506">
        <v>0</v>
      </c>
      <c r="AM61" s="208"/>
      <c r="AN61" s="296" t="s">
        <v>38</v>
      </c>
      <c r="AO61" s="297" t="s">
        <v>38</v>
      </c>
      <c r="AP61" s="231">
        <v>13.904109589041095</v>
      </c>
      <c r="AQ61" s="231"/>
      <c r="AR61" s="1440">
        <f>1326.9-26</f>
        <v>1300.9000000000001</v>
      </c>
      <c r="AS61" s="1441"/>
      <c r="AT61" s="1442">
        <f>AR61/2208</f>
        <v>0.5891757246376812</v>
      </c>
      <c r="AU61" s="1441"/>
      <c r="AV61" s="1107" t="s">
        <v>38</v>
      </c>
      <c r="AW61" s="1449"/>
      <c r="AX61" s="1107">
        <f t="shared" si="5"/>
        <v>17603</v>
      </c>
      <c r="AY61" s="1175"/>
      <c r="AZ61" s="1092" t="s">
        <v>38</v>
      </c>
      <c r="BA61" s="1446"/>
      <c r="BB61" s="1173">
        <v>17603</v>
      </c>
      <c r="BC61" s="1656"/>
      <c r="BD61" s="1115" t="s">
        <v>38</v>
      </c>
      <c r="BE61" s="1658"/>
      <c r="BF61" s="1173">
        <v>0</v>
      </c>
      <c r="BG61" s="1175"/>
      <c r="BH61" s="1115" t="s">
        <v>38</v>
      </c>
      <c r="BI61" s="1658"/>
      <c r="BJ61" s="1092">
        <f t="shared" si="10"/>
        <v>13.531401337535552</v>
      </c>
      <c r="BK61" s="1092"/>
      <c r="BL61" s="1440">
        <f>1385-24-97.4</f>
        <v>1263.5999999999999</v>
      </c>
      <c r="BM61" s="1441"/>
      <c r="BN61" s="1442">
        <f>BL61/2209</f>
        <v>0.57202354006337708</v>
      </c>
      <c r="BO61" s="1441"/>
      <c r="BP61" s="1115" t="s">
        <v>38</v>
      </c>
      <c r="BQ61" s="1658"/>
      <c r="BR61" s="1115">
        <f t="shared" si="7"/>
        <v>17587</v>
      </c>
      <c r="BS61" s="1469"/>
      <c r="BT61" s="1117" t="s">
        <v>38</v>
      </c>
      <c r="BU61" s="1468"/>
      <c r="BV61" s="1173">
        <v>17587</v>
      </c>
      <c r="BW61" s="1656"/>
      <c r="BX61" s="1115" t="s">
        <v>38</v>
      </c>
      <c r="BY61" s="1658"/>
      <c r="BZ61" s="1173">
        <v>0</v>
      </c>
      <c r="CA61" s="1175"/>
      <c r="CB61" s="1115" t="s">
        <v>38</v>
      </c>
      <c r="CC61" s="1658"/>
      <c r="CD61" s="1092">
        <f t="shared" si="8"/>
        <v>13.918170307059198</v>
      </c>
      <c r="CE61" s="1687"/>
      <c r="CF61" s="1444">
        <f t="shared" si="0"/>
        <v>5132.8999999999996</v>
      </c>
      <c r="CG61" s="1092"/>
      <c r="CH61" s="1442">
        <f t="shared" si="9"/>
        <v>0.58594748858447487</v>
      </c>
      <c r="CI61" s="1449"/>
      <c r="CJ61" s="1117" t="s">
        <v>38</v>
      </c>
      <c r="CK61" s="1468"/>
      <c r="CL61" s="1173">
        <f t="shared" si="1"/>
        <v>72147</v>
      </c>
      <c r="CM61" s="1447"/>
      <c r="CN61" s="1469" t="s">
        <v>38</v>
      </c>
      <c r="CO61" s="1468"/>
      <c r="CP61" s="1173">
        <f t="shared" si="2"/>
        <v>72147</v>
      </c>
      <c r="CQ61" s="1175"/>
      <c r="CR61" s="1117" t="s">
        <v>38</v>
      </c>
      <c r="CS61" s="1468"/>
      <c r="CT61" s="1173">
        <f t="shared" si="3"/>
        <v>0</v>
      </c>
      <c r="CU61" s="1175"/>
      <c r="CV61" s="1117" t="s">
        <v>38</v>
      </c>
      <c r="CW61" s="1468"/>
      <c r="CX61" s="1173">
        <f t="shared" si="4"/>
        <v>14.055796917921644</v>
      </c>
      <c r="CY61" s="1464"/>
      <c r="CZ61" s="512"/>
      <c r="DA61" s="513"/>
      <c r="DB61" s="229"/>
      <c r="DC61" s="515"/>
      <c r="DD61" s="506"/>
      <c r="DE61" s="231"/>
      <c r="DF61" s="296"/>
      <c r="DG61" s="297"/>
      <c r="DH61" s="506"/>
      <c r="DI61" s="208"/>
      <c r="DJ61" s="296"/>
      <c r="DK61" s="297"/>
      <c r="DL61" s="506"/>
      <c r="DM61" s="208"/>
      <c r="DN61" s="296"/>
      <c r="DO61" s="297"/>
      <c r="DP61" s="506"/>
      <c r="DQ61" s="516"/>
      <c r="DR61" s="242"/>
      <c r="DS61" s="517"/>
      <c r="DT61" s="296"/>
      <c r="DU61" s="297"/>
      <c r="DV61" s="509"/>
      <c r="DW61" s="510"/>
      <c r="DX61" s="518"/>
      <c r="DY61" s="519"/>
      <c r="DZ61" s="509"/>
      <c r="EA61" s="510"/>
      <c r="EB61" s="296"/>
      <c r="EC61" s="297"/>
      <c r="ED61" s="509"/>
      <c r="EE61" s="517"/>
      <c r="EF61" s="244"/>
      <c r="EG61" s="557"/>
      <c r="EH61" s="298"/>
      <c r="EI61" s="521"/>
    </row>
    <row r="62" spans="1:139" ht="15.75" thickBot="1" x14ac:dyDescent="0.3">
      <c r="A62" s="2243"/>
      <c r="B62" s="25" t="s">
        <v>53</v>
      </c>
      <c r="C62" s="26"/>
      <c r="D62" s="299">
        <v>10218.300000000001</v>
      </c>
      <c r="E62" s="27"/>
      <c r="F62" s="182">
        <v>0.9291982285916941</v>
      </c>
      <c r="G62" s="33"/>
      <c r="H62" s="28" t="s">
        <v>38</v>
      </c>
      <c r="I62" s="29" t="s">
        <v>38</v>
      </c>
      <c r="J62" s="300">
        <v>1373744.7955981733</v>
      </c>
      <c r="K62" s="34"/>
      <c r="L62" s="410" t="s">
        <v>38</v>
      </c>
      <c r="M62" s="30" t="s">
        <v>38</v>
      </c>
      <c r="N62" s="31">
        <v>1355613.7825981732</v>
      </c>
      <c r="O62" s="35"/>
      <c r="P62" s="28" t="s">
        <v>38</v>
      </c>
      <c r="Q62" s="29" t="s">
        <v>38</v>
      </c>
      <c r="R62" s="31">
        <v>18131.012999999999</v>
      </c>
      <c r="S62" s="35">
        <v>0</v>
      </c>
      <c r="T62" s="28" t="s">
        <v>38</v>
      </c>
      <c r="U62" s="32" t="s">
        <v>38</v>
      </c>
      <c r="V62" s="31">
        <v>134.43966174394694</v>
      </c>
      <c r="W62" s="36"/>
      <c r="X62" s="299">
        <v>10012.499999999998</v>
      </c>
      <c r="Y62" s="27"/>
      <c r="Z62" s="182">
        <v>0.91007007880457003</v>
      </c>
      <c r="AA62" s="33"/>
      <c r="AB62" s="28" t="s">
        <v>38</v>
      </c>
      <c r="AC62" s="29" t="s">
        <v>38</v>
      </c>
      <c r="AD62" s="300">
        <v>1326683.7571291032</v>
      </c>
      <c r="AE62" s="34"/>
      <c r="AF62" s="410" t="s">
        <v>38</v>
      </c>
      <c r="AG62" s="30" t="s">
        <v>38</v>
      </c>
      <c r="AH62" s="31">
        <v>1308552.7571291032</v>
      </c>
      <c r="AI62" s="35"/>
      <c r="AJ62" s="28" t="s">
        <v>38</v>
      </c>
      <c r="AK62" s="29" t="s">
        <v>38</v>
      </c>
      <c r="AL62" s="31">
        <v>18131</v>
      </c>
      <c r="AM62" s="35">
        <v>0</v>
      </c>
      <c r="AN62" s="28" t="s">
        <v>38</v>
      </c>
      <c r="AO62" s="32" t="s">
        <v>38</v>
      </c>
      <c r="AP62" s="31">
        <v>132.50274727881182</v>
      </c>
      <c r="AQ62" s="36"/>
      <c r="AR62" s="1470">
        <f>AR56+AR50+AR45+AR39+AR33+AR28+AR26+AR19+AR13</f>
        <v>9739.4000000000015</v>
      </c>
      <c r="AS62" s="1471"/>
      <c r="AT62" s="1472">
        <f>AR62/11106.9</f>
        <v>0.87687833688968131</v>
      </c>
      <c r="AU62" s="1473"/>
      <c r="AV62" s="1474" t="s">
        <v>38</v>
      </c>
      <c r="AW62" s="1471"/>
      <c r="AX62" s="1475">
        <f>AX56+AX50+AX45+AX39+AX33+AX28+AX26+AX19+AX13</f>
        <v>1184568</v>
      </c>
      <c r="AY62" s="1476"/>
      <c r="AZ62" s="1477" t="s">
        <v>38</v>
      </c>
      <c r="BA62" s="1478"/>
      <c r="BB62" s="1659">
        <f>BB56+BB50+BB45+BB39+BB33+BB28+BB26+BB19+BB13</f>
        <v>1158280</v>
      </c>
      <c r="BC62" s="1660"/>
      <c r="BD62" s="1474" t="s">
        <v>38</v>
      </c>
      <c r="BE62" s="1471"/>
      <c r="BF62" s="1659">
        <f>BF56+BF50+BF45+BF39+BF33+BF28+BF26+BF19+BF13</f>
        <v>26288</v>
      </c>
      <c r="BG62" s="1660"/>
      <c r="BH62" s="1474" t="s">
        <v>38</v>
      </c>
      <c r="BI62" s="1473"/>
      <c r="BJ62" s="1659">
        <f t="shared" si="10"/>
        <v>121.62638355545515</v>
      </c>
      <c r="BK62" s="1479"/>
      <c r="BL62" s="1470">
        <f>BL56+BL50+BL45+BL39+BL33+BL28+BL26+BL19+BL13</f>
        <v>10294.200000000001</v>
      </c>
      <c r="BM62" s="1471"/>
      <c r="BN62" s="1472">
        <f>BL62/11096.9</f>
        <v>0.92766448287359538</v>
      </c>
      <c r="BO62" s="1473"/>
      <c r="BP62" s="1474" t="s">
        <v>38</v>
      </c>
      <c r="BQ62" s="1471"/>
      <c r="BR62" s="1475">
        <f>BR56+BR50+BR45+BR39+BR33+BR28+BR26+BR19+BR13</f>
        <v>1246213.0989473686</v>
      </c>
      <c r="BS62" s="1476"/>
      <c r="BT62" s="1477" t="s">
        <v>38</v>
      </c>
      <c r="BU62" s="1478"/>
      <c r="BV62" s="1659">
        <f>BV56+BV50+BV45+BV39+BV33+BV28+BV26+BV19+BV13</f>
        <v>1227878.0989473686</v>
      </c>
      <c r="BW62" s="1660"/>
      <c r="BX62" s="1474" t="s">
        <v>38</v>
      </c>
      <c r="BY62" s="1471"/>
      <c r="BZ62" s="1659">
        <f>BZ56+BZ50+BZ45+BZ39+BZ33+BZ28+BZ26+BZ19+BZ13</f>
        <v>18335</v>
      </c>
      <c r="CA62" s="1660"/>
      <c r="CB62" s="1474" t="s">
        <v>38</v>
      </c>
      <c r="CC62" s="1473"/>
      <c r="CD62" s="1659">
        <f t="shared" si="8"/>
        <v>121.059732562741</v>
      </c>
      <c r="CE62" s="1480"/>
      <c r="CF62" s="1481">
        <f t="shared" si="0"/>
        <v>40264.400000000001</v>
      </c>
      <c r="CG62" s="1476"/>
      <c r="CH62" s="1472">
        <f>CF62/44202.6</f>
        <v>0.91090569333025662</v>
      </c>
      <c r="CI62" s="1482"/>
      <c r="CJ62" s="1477" t="s">
        <v>38</v>
      </c>
      <c r="CK62" s="1478"/>
      <c r="CL62" s="1483">
        <f t="shared" si="1"/>
        <v>5131209.651674645</v>
      </c>
      <c r="CM62" s="1484"/>
      <c r="CN62" s="1476" t="s">
        <v>38</v>
      </c>
      <c r="CO62" s="1478"/>
      <c r="CP62" s="1483">
        <f t="shared" si="2"/>
        <v>5050324.6386746448</v>
      </c>
      <c r="CQ62" s="1476"/>
      <c r="CR62" s="1477" t="s">
        <v>38</v>
      </c>
      <c r="CS62" s="1478"/>
      <c r="CT62" s="1483">
        <f t="shared" si="3"/>
        <v>80885.013000000006</v>
      </c>
      <c r="CU62" s="1476"/>
      <c r="CV62" s="1477" t="s">
        <v>38</v>
      </c>
      <c r="CW62" s="1478"/>
      <c r="CX62" s="1483">
        <f t="shared" si="4"/>
        <v>127.4378769253893</v>
      </c>
      <c r="CY62" s="1485"/>
      <c r="CZ62" s="40"/>
      <c r="DA62" s="225"/>
      <c r="DB62" s="41"/>
      <c r="DC62" s="42"/>
      <c r="DD62" s="43"/>
      <c r="DE62" s="36"/>
      <c r="DF62" s="28"/>
      <c r="DG62" s="29"/>
      <c r="DH62" s="31"/>
      <c r="DI62" s="35"/>
      <c r="DJ62" s="28"/>
      <c r="DK62" s="29"/>
      <c r="DL62" s="31"/>
      <c r="DM62" s="35"/>
      <c r="DN62" s="28"/>
      <c r="DO62" s="32"/>
      <c r="DP62" s="31"/>
      <c r="DQ62" s="44"/>
      <c r="DR62" s="45"/>
      <c r="DS62" s="176"/>
      <c r="DT62" s="28"/>
      <c r="DU62" s="29"/>
      <c r="DV62" s="46"/>
      <c r="DW62" s="179"/>
      <c r="DX62" s="47"/>
      <c r="DY62" s="48"/>
      <c r="DZ62" s="46"/>
      <c r="EA62" s="179"/>
      <c r="EB62" s="28"/>
      <c r="EC62" s="29"/>
      <c r="ED62" s="46"/>
      <c r="EE62" s="176"/>
      <c r="EF62" s="203"/>
      <c r="EG62" s="48"/>
      <c r="EH62" s="564"/>
      <c r="EI62" s="565"/>
    </row>
    <row r="63" spans="1:139" ht="45" x14ac:dyDescent="0.25">
      <c r="A63" s="2241" t="s">
        <v>54</v>
      </c>
      <c r="B63" s="566" t="s">
        <v>55</v>
      </c>
      <c r="C63" s="49"/>
      <c r="D63" s="301" t="s">
        <v>38</v>
      </c>
      <c r="E63" s="302"/>
      <c r="F63" s="302" t="s">
        <v>38</v>
      </c>
      <c r="G63" s="302"/>
      <c r="H63" s="303" t="s">
        <v>38</v>
      </c>
      <c r="I63" s="304" t="s">
        <v>38</v>
      </c>
      <c r="J63" s="303" t="s">
        <v>38</v>
      </c>
      <c r="K63" s="567"/>
      <c r="L63" s="411" t="s">
        <v>38</v>
      </c>
      <c r="M63" s="568" t="s">
        <v>38</v>
      </c>
      <c r="N63" s="569" t="s">
        <v>38</v>
      </c>
      <c r="O63" s="411"/>
      <c r="P63" s="303" t="s">
        <v>38</v>
      </c>
      <c r="Q63" s="304" t="s">
        <v>38</v>
      </c>
      <c r="R63" s="411" t="s">
        <v>38</v>
      </c>
      <c r="S63" s="411"/>
      <c r="T63" s="303" t="s">
        <v>38</v>
      </c>
      <c r="U63" s="304" t="s">
        <v>38</v>
      </c>
      <c r="V63" s="569" t="s">
        <v>38</v>
      </c>
      <c r="W63" s="570"/>
      <c r="X63" s="301" t="s">
        <v>38</v>
      </c>
      <c r="Y63" s="302"/>
      <c r="Z63" s="302" t="s">
        <v>38</v>
      </c>
      <c r="AA63" s="302"/>
      <c r="AB63" s="303" t="s">
        <v>38</v>
      </c>
      <c r="AC63" s="304" t="s">
        <v>38</v>
      </c>
      <c r="AD63" s="303" t="s">
        <v>38</v>
      </c>
      <c r="AE63" s="567"/>
      <c r="AF63" s="411" t="s">
        <v>38</v>
      </c>
      <c r="AG63" s="568" t="s">
        <v>38</v>
      </c>
      <c r="AH63" s="569" t="s">
        <v>38</v>
      </c>
      <c r="AI63" s="411"/>
      <c r="AJ63" s="303" t="s">
        <v>38</v>
      </c>
      <c r="AK63" s="304" t="s">
        <v>38</v>
      </c>
      <c r="AL63" s="411" t="s">
        <v>38</v>
      </c>
      <c r="AM63" s="411"/>
      <c r="AN63" s="303" t="s">
        <v>38</v>
      </c>
      <c r="AO63" s="304" t="s">
        <v>38</v>
      </c>
      <c r="AP63" s="569" t="s">
        <v>38</v>
      </c>
      <c r="AQ63" s="570"/>
      <c r="AR63" s="1486" t="s">
        <v>38</v>
      </c>
      <c r="AS63" s="1487"/>
      <c r="AT63" s="1487" t="s">
        <v>38</v>
      </c>
      <c r="AU63" s="1487"/>
      <c r="AV63" s="1488" t="s">
        <v>38</v>
      </c>
      <c r="AW63" s="1489"/>
      <c r="AX63" s="1488" t="s">
        <v>38</v>
      </c>
      <c r="AY63" s="1221"/>
      <c r="AZ63" s="1490" t="s">
        <v>38</v>
      </c>
      <c r="BA63" s="1492"/>
      <c r="BB63" s="1494" t="s">
        <v>38</v>
      </c>
      <c r="BC63" s="1490"/>
      <c r="BD63" s="1488" t="s">
        <v>38</v>
      </c>
      <c r="BE63" s="1489"/>
      <c r="BF63" s="1490" t="s">
        <v>38</v>
      </c>
      <c r="BG63" s="1490"/>
      <c r="BH63" s="1488" t="s">
        <v>38</v>
      </c>
      <c r="BI63" s="1489"/>
      <c r="BJ63" s="1494" t="s">
        <v>38</v>
      </c>
      <c r="BK63" s="1661"/>
      <c r="BL63" s="1486" t="s">
        <v>38</v>
      </c>
      <c r="BM63" s="1487"/>
      <c r="BN63" s="1487" t="s">
        <v>38</v>
      </c>
      <c r="BO63" s="1487"/>
      <c r="BP63" s="1488" t="s">
        <v>38</v>
      </c>
      <c r="BQ63" s="1489"/>
      <c r="BR63" s="1488" t="s">
        <v>38</v>
      </c>
      <c r="BS63" s="1221"/>
      <c r="BT63" s="1490" t="s">
        <v>38</v>
      </c>
      <c r="BU63" s="1492"/>
      <c r="BV63" s="1494" t="s">
        <v>38</v>
      </c>
      <c r="BW63" s="1490"/>
      <c r="BX63" s="1488" t="s">
        <v>38</v>
      </c>
      <c r="BY63" s="1489"/>
      <c r="BZ63" s="1490" t="s">
        <v>38</v>
      </c>
      <c r="CA63" s="1490"/>
      <c r="CB63" s="1488" t="s">
        <v>38</v>
      </c>
      <c r="CC63" s="1489"/>
      <c r="CD63" s="1494" t="s">
        <v>38</v>
      </c>
      <c r="CE63" s="1661"/>
      <c r="CF63" s="1486" t="s">
        <v>38</v>
      </c>
      <c r="CG63" s="1491"/>
      <c r="CH63" s="1487" t="s">
        <v>38</v>
      </c>
      <c r="CI63" s="1487"/>
      <c r="CJ63" s="1490" t="s">
        <v>38</v>
      </c>
      <c r="CK63" s="1492"/>
      <c r="CL63" s="1488" t="s">
        <v>38</v>
      </c>
      <c r="CM63" s="1493"/>
      <c r="CN63" s="1221" t="s">
        <v>38</v>
      </c>
      <c r="CO63" s="1492"/>
      <c r="CP63" s="1494" t="s">
        <v>38</v>
      </c>
      <c r="CQ63" s="1490"/>
      <c r="CR63" s="1490" t="s">
        <v>38</v>
      </c>
      <c r="CS63" s="1492"/>
      <c r="CT63" s="1490" t="s">
        <v>38</v>
      </c>
      <c r="CU63" s="1490"/>
      <c r="CV63" s="1490" t="s">
        <v>38</v>
      </c>
      <c r="CW63" s="1492"/>
      <c r="CX63" s="1488" t="s">
        <v>38</v>
      </c>
      <c r="CY63" s="1495"/>
      <c r="CZ63" s="574"/>
      <c r="DA63" s="575"/>
      <c r="DB63" s="567"/>
      <c r="DC63" s="572"/>
      <c r="DD63" s="569"/>
      <c r="DE63" s="567"/>
      <c r="DF63" s="303"/>
      <c r="DG63" s="304"/>
      <c r="DH63" s="576"/>
      <c r="DI63" s="576"/>
      <c r="DJ63" s="303"/>
      <c r="DK63" s="304"/>
      <c r="DL63" s="576"/>
      <c r="DM63" s="576"/>
      <c r="DN63" s="303"/>
      <c r="DO63" s="304"/>
      <c r="DP63" s="308"/>
      <c r="DQ63" s="577"/>
      <c r="DR63" s="578"/>
      <c r="DS63" s="579"/>
      <c r="DT63" s="303"/>
      <c r="DU63" s="304"/>
      <c r="DV63" s="302"/>
      <c r="DW63" s="580"/>
      <c r="DX63" s="302"/>
      <c r="DY63" s="581"/>
      <c r="DZ63" s="582"/>
      <c r="EA63" s="580"/>
      <c r="EB63" s="303"/>
      <c r="EC63" s="304"/>
      <c r="ED63" s="302"/>
      <c r="EE63" s="583"/>
      <c r="EF63" s="582"/>
      <c r="EG63" s="581"/>
      <c r="EH63" s="581"/>
      <c r="EI63" s="584"/>
    </row>
    <row r="64" spans="1:139" ht="45" x14ac:dyDescent="0.25">
      <c r="A64" s="2242"/>
      <c r="B64" s="585" t="s">
        <v>105</v>
      </c>
      <c r="C64" s="586" t="s">
        <v>56</v>
      </c>
      <c r="D64" s="305">
        <v>70</v>
      </c>
      <c r="E64" s="306"/>
      <c r="F64" s="307">
        <v>3.2065964269354097E-2</v>
      </c>
      <c r="G64" s="306"/>
      <c r="H64" s="308" t="s">
        <v>38</v>
      </c>
      <c r="I64" s="309" t="s">
        <v>38</v>
      </c>
      <c r="J64" s="310">
        <v>90</v>
      </c>
      <c r="K64" s="587"/>
      <c r="L64" s="412" t="s">
        <v>38</v>
      </c>
      <c r="M64" s="588" t="s">
        <v>38</v>
      </c>
      <c r="N64" s="589">
        <v>90</v>
      </c>
      <c r="O64" s="590"/>
      <c r="P64" s="308" t="s">
        <v>38</v>
      </c>
      <c r="Q64" s="309" t="s">
        <v>38</v>
      </c>
      <c r="R64" s="591">
        <v>0</v>
      </c>
      <c r="S64" s="590"/>
      <c r="T64" s="308" t="s">
        <v>38</v>
      </c>
      <c r="U64" s="309" t="s">
        <v>38</v>
      </c>
      <c r="V64" s="591">
        <v>1.2857142857142858</v>
      </c>
      <c r="W64" s="591"/>
      <c r="X64" s="305">
        <v>70</v>
      </c>
      <c r="Y64" s="306"/>
      <c r="Z64" s="307">
        <v>3.2051282051282048E-2</v>
      </c>
      <c r="AA64" s="306"/>
      <c r="AB64" s="308" t="s">
        <v>38</v>
      </c>
      <c r="AC64" s="309" t="s">
        <v>38</v>
      </c>
      <c r="AD64" s="310">
        <v>90</v>
      </c>
      <c r="AE64" s="587"/>
      <c r="AF64" s="412" t="s">
        <v>38</v>
      </c>
      <c r="AG64" s="588" t="s">
        <v>38</v>
      </c>
      <c r="AH64" s="589">
        <v>90</v>
      </c>
      <c r="AI64" s="590"/>
      <c r="AJ64" s="308" t="s">
        <v>38</v>
      </c>
      <c r="AK64" s="309" t="s">
        <v>38</v>
      </c>
      <c r="AL64" s="591">
        <v>0</v>
      </c>
      <c r="AM64" s="590"/>
      <c r="AN64" s="308" t="s">
        <v>38</v>
      </c>
      <c r="AO64" s="309" t="s">
        <v>38</v>
      </c>
      <c r="AP64" s="591">
        <v>1.2857142857142858</v>
      </c>
      <c r="AQ64" s="591"/>
      <c r="AR64" s="1496">
        <v>55</v>
      </c>
      <c r="AS64" s="1497"/>
      <c r="AT64" s="1498">
        <f>AR64/2208</f>
        <v>2.4909420289855072E-2</v>
      </c>
      <c r="AU64" s="1497"/>
      <c r="AV64" s="1130" t="s">
        <v>38</v>
      </c>
      <c r="AW64" s="1499"/>
      <c r="AX64" s="1500">
        <f t="shared" ref="AX64:AX92" si="11">BB64+BF64</f>
        <v>70</v>
      </c>
      <c r="AY64" s="1501"/>
      <c r="AZ64" s="1501" t="s">
        <v>38</v>
      </c>
      <c r="BA64" s="1662"/>
      <c r="BB64" s="1663">
        <v>70</v>
      </c>
      <c r="BC64" s="1664"/>
      <c r="BD64" s="1130" t="s">
        <v>38</v>
      </c>
      <c r="BE64" s="1499"/>
      <c r="BF64" s="1133">
        <v>0</v>
      </c>
      <c r="BG64" s="1664"/>
      <c r="BH64" s="1130" t="s">
        <v>38</v>
      </c>
      <c r="BI64" s="1499"/>
      <c r="BJ64" s="1133">
        <f>AX64/AR64</f>
        <v>1.2727272727272727</v>
      </c>
      <c r="BK64" s="1133"/>
      <c r="BL64" s="1496">
        <v>40</v>
      </c>
      <c r="BM64" s="1497"/>
      <c r="BN64" s="1498">
        <f>BL64/2209</f>
        <v>1.8107741059302851E-2</v>
      </c>
      <c r="BO64" s="1497"/>
      <c r="BP64" s="1130" t="s">
        <v>38</v>
      </c>
      <c r="BQ64" s="1499"/>
      <c r="BR64" s="1500">
        <f t="shared" ref="BR64:BR92" si="12">BV64+BZ64</f>
        <v>50</v>
      </c>
      <c r="BS64" s="1501"/>
      <c r="BT64" s="1501" t="s">
        <v>38</v>
      </c>
      <c r="BU64" s="1662"/>
      <c r="BV64" s="1663">
        <v>50</v>
      </c>
      <c r="BW64" s="1664"/>
      <c r="BX64" s="1130" t="s">
        <v>38</v>
      </c>
      <c r="BY64" s="1499"/>
      <c r="BZ64" s="1133">
        <v>0</v>
      </c>
      <c r="CA64" s="1664"/>
      <c r="CB64" s="1130" t="s">
        <v>38</v>
      </c>
      <c r="CC64" s="1499"/>
      <c r="CD64" s="1133">
        <f>BR64/BL64</f>
        <v>1.25</v>
      </c>
      <c r="CE64" s="1689"/>
      <c r="CF64" s="1502">
        <f t="shared" ref="CF64:CF88" si="13">BL64+AR64+X64+D64</f>
        <v>235</v>
      </c>
      <c r="CG64" s="1133"/>
      <c r="CH64" s="1498">
        <f>CF64/8784</f>
        <v>2.6753187613843352E-2</v>
      </c>
      <c r="CI64" s="1503"/>
      <c r="CJ64" s="1141" t="s">
        <v>38</v>
      </c>
      <c r="CK64" s="1504"/>
      <c r="CL64" s="1500">
        <f t="shared" ref="CL64:CL92" si="14">BR64+AX64+AD64+J64</f>
        <v>300</v>
      </c>
      <c r="CM64" s="1505"/>
      <c r="CN64" s="1141" t="s">
        <v>38</v>
      </c>
      <c r="CO64" s="1504"/>
      <c r="CP64" s="1500">
        <f t="shared" ref="CP64:CP92" si="15">BV64+BB64+AH64+N64</f>
        <v>300</v>
      </c>
      <c r="CQ64" s="1501"/>
      <c r="CR64" s="1141" t="s">
        <v>38</v>
      </c>
      <c r="CS64" s="1504"/>
      <c r="CT64" s="1500">
        <f t="shared" ref="CT64:CV92" si="16">BZ64+BF64+AL64+R64</f>
        <v>0</v>
      </c>
      <c r="CU64" s="1501"/>
      <c r="CV64" s="1141" t="s">
        <v>38</v>
      </c>
      <c r="CW64" s="1504"/>
      <c r="CX64" s="1500">
        <f>CL64/CF64</f>
        <v>1.2765957446808511</v>
      </c>
      <c r="CY64" s="1506"/>
      <c r="CZ64" s="598"/>
      <c r="DA64" s="599"/>
      <c r="DB64" s="600"/>
      <c r="DC64" s="601"/>
      <c r="DD64" s="310"/>
      <c r="DE64" s="602"/>
      <c r="DF64" s="603"/>
      <c r="DG64" s="604"/>
      <c r="DH64" s="310"/>
      <c r="DI64" s="587"/>
      <c r="DJ64" s="603"/>
      <c r="DK64" s="604"/>
      <c r="DL64" s="310"/>
      <c r="DM64" s="587"/>
      <c r="DN64" s="603"/>
      <c r="DO64" s="604"/>
      <c r="DP64" s="506"/>
      <c r="DQ64" s="516"/>
      <c r="DR64" s="605"/>
      <c r="DS64" s="606"/>
      <c r="DT64" s="603"/>
      <c r="DU64" s="604"/>
      <c r="DV64" s="602"/>
      <c r="DW64" s="607"/>
      <c r="DX64" s="412"/>
      <c r="DY64" s="608"/>
      <c r="DZ64" s="602"/>
      <c r="EA64" s="607"/>
      <c r="EB64" s="308"/>
      <c r="EC64" s="604"/>
      <c r="ED64" s="602"/>
      <c r="EE64" s="609"/>
      <c r="EF64" s="610"/>
      <c r="EG64" s="608"/>
      <c r="EH64" s="611"/>
      <c r="EI64" s="612"/>
    </row>
    <row r="65" spans="1:139" ht="15.75" thickBot="1" x14ac:dyDescent="0.3">
      <c r="A65" s="2243"/>
      <c r="B65" s="50" t="s">
        <v>57</v>
      </c>
      <c r="C65" s="51"/>
      <c r="D65" s="311">
        <v>10288.300000000001</v>
      </c>
      <c r="E65" s="58"/>
      <c r="F65" s="214">
        <v>0.93556365884931225</v>
      </c>
      <c r="G65" s="52"/>
      <c r="H65" s="53" t="s">
        <v>38</v>
      </c>
      <c r="I65" s="54" t="s">
        <v>38</v>
      </c>
      <c r="J65" s="55">
        <v>1373834.7955981733</v>
      </c>
      <c r="K65" s="59"/>
      <c r="L65" s="413" t="s">
        <v>38</v>
      </c>
      <c r="M65" s="54" t="s">
        <v>38</v>
      </c>
      <c r="N65" s="55">
        <v>1355703.7825981732</v>
      </c>
      <c r="O65" s="60"/>
      <c r="P65" s="53" t="s">
        <v>38</v>
      </c>
      <c r="Q65" s="54" t="s">
        <v>38</v>
      </c>
      <c r="R65" s="55">
        <v>18131.012999999999</v>
      </c>
      <c r="S65" s="60"/>
      <c r="T65" s="53" t="s">
        <v>38</v>
      </c>
      <c r="U65" s="54" t="s">
        <v>38</v>
      </c>
      <c r="V65" s="57">
        <v>135.72537602966122</v>
      </c>
      <c r="W65" s="61"/>
      <c r="X65" s="311">
        <v>10082.499999999998</v>
      </c>
      <c r="Y65" s="58"/>
      <c r="Z65" s="214">
        <v>0.91643261618447713</v>
      </c>
      <c r="AA65" s="52"/>
      <c r="AB65" s="53" t="s">
        <v>38</v>
      </c>
      <c r="AC65" s="54" t="s">
        <v>38</v>
      </c>
      <c r="AD65" s="55">
        <v>1326773.7571291032</v>
      </c>
      <c r="AE65" s="59"/>
      <c r="AF65" s="413" t="s">
        <v>38</v>
      </c>
      <c r="AG65" s="54" t="s">
        <v>38</v>
      </c>
      <c r="AH65" s="55">
        <v>1308642.7571291032</v>
      </c>
      <c r="AI65" s="60"/>
      <c r="AJ65" s="53" t="s">
        <v>38</v>
      </c>
      <c r="AK65" s="54" t="s">
        <v>38</v>
      </c>
      <c r="AL65" s="55">
        <v>18131</v>
      </c>
      <c r="AM65" s="60"/>
      <c r="AN65" s="53" t="s">
        <v>38</v>
      </c>
      <c r="AO65" s="54" t="s">
        <v>38</v>
      </c>
      <c r="AP65" s="57">
        <v>133.7884615645261</v>
      </c>
      <c r="AQ65" s="61"/>
      <c r="AR65" s="1303">
        <f>AR64+AR62</f>
        <v>9794.4000000000015</v>
      </c>
      <c r="AS65" s="1144"/>
      <c r="AT65" s="1376">
        <f>AR65/11106.9</f>
        <v>0.88183021365097392</v>
      </c>
      <c r="AU65" s="1145"/>
      <c r="AV65" s="1146" t="s">
        <v>38</v>
      </c>
      <c r="AW65" s="1147"/>
      <c r="AX65" s="1146">
        <f t="shared" si="11"/>
        <v>1184638</v>
      </c>
      <c r="AY65" s="1148"/>
      <c r="AZ65" s="1148" t="s">
        <v>38</v>
      </c>
      <c r="BA65" s="1147"/>
      <c r="BB65" s="1146">
        <f>BB64+BB62</f>
        <v>1158350</v>
      </c>
      <c r="BC65" s="1147"/>
      <c r="BD65" s="1146" t="s">
        <v>38</v>
      </c>
      <c r="BE65" s="1147"/>
      <c r="BF65" s="1146">
        <f>BF64+BF62</f>
        <v>26288</v>
      </c>
      <c r="BG65" s="1147"/>
      <c r="BH65" s="1146" t="s">
        <v>38</v>
      </c>
      <c r="BI65" s="1147"/>
      <c r="BJ65" s="1149">
        <f>BJ64+BJ62</f>
        <v>122.89911082818242</v>
      </c>
      <c r="BK65" s="1150"/>
      <c r="BL65" s="1303">
        <f>BL64+BL62</f>
        <v>10334.200000000001</v>
      </c>
      <c r="BM65" s="1144"/>
      <c r="BN65" s="1376">
        <f>BL65/11096.9</f>
        <v>0.93126909317016471</v>
      </c>
      <c r="BO65" s="1145"/>
      <c r="BP65" s="1146" t="s">
        <v>38</v>
      </c>
      <c r="BQ65" s="1147"/>
      <c r="BR65" s="1146">
        <f t="shared" si="12"/>
        <v>1246263.0989473686</v>
      </c>
      <c r="BS65" s="1148"/>
      <c r="BT65" s="1148" t="s">
        <v>38</v>
      </c>
      <c r="BU65" s="1147"/>
      <c r="BV65" s="1146">
        <f>BV64+BV62</f>
        <v>1227928.0989473686</v>
      </c>
      <c r="BW65" s="1147"/>
      <c r="BX65" s="1146" t="s">
        <v>38</v>
      </c>
      <c r="BY65" s="1147"/>
      <c r="BZ65" s="1146">
        <f>BZ64+BZ62</f>
        <v>18335</v>
      </c>
      <c r="CA65" s="1147"/>
      <c r="CB65" s="1146" t="s">
        <v>38</v>
      </c>
      <c r="CC65" s="1147"/>
      <c r="CD65" s="1149">
        <f>CD64+CD62</f>
        <v>122.309732562741</v>
      </c>
      <c r="CE65" s="1507"/>
      <c r="CF65" s="1375">
        <f t="shared" si="13"/>
        <v>40499.4</v>
      </c>
      <c r="CG65" s="1148"/>
      <c r="CH65" s="1508">
        <f>CF65/44202.6</f>
        <v>0.91622212268056635</v>
      </c>
      <c r="CI65" s="1377"/>
      <c r="CJ65" s="1148" t="s">
        <v>38</v>
      </c>
      <c r="CK65" s="1147"/>
      <c r="CL65" s="1378">
        <f t="shared" si="14"/>
        <v>5131509.651674645</v>
      </c>
      <c r="CM65" s="1147"/>
      <c r="CN65" s="1148" t="s">
        <v>38</v>
      </c>
      <c r="CO65" s="1147"/>
      <c r="CP65" s="1146">
        <f t="shared" si="15"/>
        <v>5050624.6386746448</v>
      </c>
      <c r="CQ65" s="1148"/>
      <c r="CR65" s="1148" t="s">
        <v>38</v>
      </c>
      <c r="CS65" s="1147"/>
      <c r="CT65" s="1378">
        <f t="shared" si="16"/>
        <v>80885.013000000006</v>
      </c>
      <c r="CU65" s="1148"/>
      <c r="CV65" s="1148" t="s">
        <v>38</v>
      </c>
      <c r="CW65" s="1147"/>
      <c r="CX65" s="1378">
        <f t="shared" ref="CX65:CX88" si="17">CL65/CF65</f>
        <v>126.70581913990442</v>
      </c>
      <c r="CY65" s="1509"/>
      <c r="CZ65" s="63"/>
      <c r="DA65" s="226"/>
      <c r="DB65" s="52"/>
      <c r="DC65" s="42"/>
      <c r="DD65" s="64"/>
      <c r="DE65" s="65"/>
      <c r="DF65" s="53"/>
      <c r="DG65" s="54"/>
      <c r="DH65" s="55"/>
      <c r="DI65" s="66"/>
      <c r="DJ65" s="53"/>
      <c r="DK65" s="54"/>
      <c r="DL65" s="55"/>
      <c r="DM65" s="66"/>
      <c r="DN65" s="53"/>
      <c r="DO65" s="54"/>
      <c r="DP65" s="55"/>
      <c r="DQ65" s="67"/>
      <c r="DR65" s="68"/>
      <c r="DS65" s="177"/>
      <c r="DT65" s="53"/>
      <c r="DU65" s="54"/>
      <c r="DV65" s="56"/>
      <c r="DW65" s="180"/>
      <c r="DX65" s="69"/>
      <c r="DY65" s="70"/>
      <c r="DZ65" s="56"/>
      <c r="EA65" s="180"/>
      <c r="EB65" s="53"/>
      <c r="EC65" s="54"/>
      <c r="ED65" s="56"/>
      <c r="EE65" s="177"/>
      <c r="EF65" s="175"/>
      <c r="EG65" s="70"/>
      <c r="EH65" s="616"/>
      <c r="EI65" s="617"/>
    </row>
    <row r="66" spans="1:139" x14ac:dyDescent="0.25">
      <c r="A66" s="71" t="s">
        <v>58</v>
      </c>
      <c r="B66" s="72" t="s">
        <v>59</v>
      </c>
      <c r="C66" s="618"/>
      <c r="D66" s="312">
        <v>560.80000000000007</v>
      </c>
      <c r="E66" s="313"/>
      <c r="F66" s="253">
        <v>5.0996189835317236E-2</v>
      </c>
      <c r="G66" s="314"/>
      <c r="H66" s="315" t="s">
        <v>38</v>
      </c>
      <c r="I66" s="316" t="s">
        <v>38</v>
      </c>
      <c r="J66" s="317">
        <v>45768.100000000006</v>
      </c>
      <c r="K66" s="619"/>
      <c r="L66" s="414" t="s">
        <v>38</v>
      </c>
      <c r="M66" s="620" t="s">
        <v>38</v>
      </c>
      <c r="N66" s="621">
        <v>45768.100000000006</v>
      </c>
      <c r="O66" s="414"/>
      <c r="P66" s="315" t="s">
        <v>38</v>
      </c>
      <c r="Q66" s="316" t="s">
        <v>38</v>
      </c>
      <c r="R66" s="622">
        <v>0</v>
      </c>
      <c r="S66" s="414"/>
      <c r="T66" s="315" t="s">
        <v>38</v>
      </c>
      <c r="U66" s="316" t="s">
        <v>38</v>
      </c>
      <c r="V66" s="622">
        <v>81.612161198288163</v>
      </c>
      <c r="W66" s="414"/>
      <c r="X66" s="312">
        <v>761.59999999999991</v>
      </c>
      <c r="Y66" s="313"/>
      <c r="Z66" s="253">
        <v>6.922440669338932E-2</v>
      </c>
      <c r="AA66" s="314"/>
      <c r="AB66" s="315" t="s">
        <v>38</v>
      </c>
      <c r="AC66" s="316" t="s">
        <v>38</v>
      </c>
      <c r="AD66" s="317">
        <v>54797.5</v>
      </c>
      <c r="AE66" s="619"/>
      <c r="AF66" s="414" t="s">
        <v>38</v>
      </c>
      <c r="AG66" s="620" t="s">
        <v>38</v>
      </c>
      <c r="AH66" s="621">
        <v>54797.5</v>
      </c>
      <c r="AI66" s="414"/>
      <c r="AJ66" s="315" t="s">
        <v>38</v>
      </c>
      <c r="AK66" s="316" t="s">
        <v>38</v>
      </c>
      <c r="AL66" s="622">
        <v>0</v>
      </c>
      <c r="AM66" s="414"/>
      <c r="AN66" s="315" t="s">
        <v>38</v>
      </c>
      <c r="AO66" s="316" t="s">
        <v>38</v>
      </c>
      <c r="AP66" s="622">
        <v>71.950498949579838</v>
      </c>
      <c r="AQ66" s="414"/>
      <c r="AR66" s="1510">
        <f>SUM(AR67:AR70)</f>
        <v>1160.7</v>
      </c>
      <c r="AS66" s="1511"/>
      <c r="AT66" s="1512">
        <f>AR66/11106.9</f>
        <v>0.1045026064878589</v>
      </c>
      <c r="AU66" s="1513"/>
      <c r="AV66" s="1153" t="s">
        <v>38</v>
      </c>
      <c r="AW66" s="1514"/>
      <c r="AX66" s="1153">
        <f t="shared" si="11"/>
        <v>72660.2</v>
      </c>
      <c r="AY66" s="1520"/>
      <c r="AZ66" s="1156" t="s">
        <v>38</v>
      </c>
      <c r="BA66" s="1665"/>
      <c r="BB66" s="1666">
        <f>SUM(BB67:BB70)</f>
        <v>72660.2</v>
      </c>
      <c r="BC66" s="1156"/>
      <c r="BD66" s="1153" t="s">
        <v>38</v>
      </c>
      <c r="BE66" s="1514"/>
      <c r="BF66" s="1156">
        <f>SUM(BF67:BF70)</f>
        <v>0</v>
      </c>
      <c r="BG66" s="1156"/>
      <c r="BH66" s="1153" t="s">
        <v>38</v>
      </c>
      <c r="BI66" s="1514"/>
      <c r="BJ66" s="1156">
        <f>AX66/AR66</f>
        <v>62.600327388644779</v>
      </c>
      <c r="BK66" s="1156"/>
      <c r="BL66" s="1510">
        <f>SUM(BL67:BL70)</f>
        <v>607.70000000000005</v>
      </c>
      <c r="BM66" s="1511"/>
      <c r="BN66" s="1512">
        <f>BL66/11096.9</f>
        <v>5.476304193062928E-2</v>
      </c>
      <c r="BO66" s="1513"/>
      <c r="BP66" s="1153" t="s">
        <v>38</v>
      </c>
      <c r="BQ66" s="1514"/>
      <c r="BR66" s="1153">
        <f t="shared" si="12"/>
        <v>51588.099999999991</v>
      </c>
      <c r="BS66" s="1520"/>
      <c r="BT66" s="1156" t="s">
        <v>38</v>
      </c>
      <c r="BU66" s="1665"/>
      <c r="BV66" s="1666">
        <f>SUM(BV67:BV70)</f>
        <v>51588.099999999991</v>
      </c>
      <c r="BW66" s="1156"/>
      <c r="BX66" s="1153" t="s">
        <v>38</v>
      </c>
      <c r="BY66" s="1514"/>
      <c r="BZ66" s="1156"/>
      <c r="CA66" s="1156"/>
      <c r="CB66" s="1153" t="s">
        <v>38</v>
      </c>
      <c r="CC66" s="1514"/>
      <c r="CD66" s="1156">
        <f t="shared" ref="CD66:CD88" si="18">BR66/BL66</f>
        <v>84.890735560309338</v>
      </c>
      <c r="CE66" s="1665"/>
      <c r="CF66" s="1510">
        <f t="shared" si="13"/>
        <v>3090.8</v>
      </c>
      <c r="CG66" s="1515"/>
      <c r="CH66" s="1516">
        <f>CF66/44202.6</f>
        <v>6.992348866356278E-2</v>
      </c>
      <c r="CI66" s="1517"/>
      <c r="CJ66" s="1156" t="s">
        <v>38</v>
      </c>
      <c r="CK66" s="1518"/>
      <c r="CL66" s="1153">
        <f t="shared" si="14"/>
        <v>224813.9</v>
      </c>
      <c r="CM66" s="1519"/>
      <c r="CN66" s="1520" t="s">
        <v>38</v>
      </c>
      <c r="CO66" s="1518"/>
      <c r="CP66" s="1521">
        <f t="shared" si="15"/>
        <v>224813.9</v>
      </c>
      <c r="CQ66" s="1156"/>
      <c r="CR66" s="1156" t="s">
        <v>38</v>
      </c>
      <c r="CS66" s="1518"/>
      <c r="CT66" s="1156">
        <f t="shared" si="16"/>
        <v>0</v>
      </c>
      <c r="CU66" s="1156"/>
      <c r="CV66" s="1156" t="s">
        <v>38</v>
      </c>
      <c r="CW66" s="1518"/>
      <c r="CX66" s="1521">
        <f t="shared" si="17"/>
        <v>72.736475993270346</v>
      </c>
      <c r="CY66" s="1522"/>
      <c r="CZ66" s="630"/>
      <c r="DA66" s="631"/>
      <c r="DB66" s="632"/>
      <c r="DC66" s="633"/>
      <c r="DD66" s="630"/>
      <c r="DE66" s="634"/>
      <c r="DF66" s="315"/>
      <c r="DG66" s="316"/>
      <c r="DH66" s="635"/>
      <c r="DI66" s="635"/>
      <c r="DJ66" s="315"/>
      <c r="DK66" s="316"/>
      <c r="DL66" s="635"/>
      <c r="DM66" s="635"/>
      <c r="DN66" s="315"/>
      <c r="DO66" s="316"/>
      <c r="DP66" s="636"/>
      <c r="DQ66" s="637"/>
      <c r="DR66" s="638"/>
      <c r="DS66" s="639"/>
      <c r="DT66" s="315"/>
      <c r="DU66" s="316"/>
      <c r="DV66" s="640"/>
      <c r="DW66" s="641"/>
      <c r="DX66" s="642"/>
      <c r="DY66" s="643"/>
      <c r="DZ66" s="644"/>
      <c r="EA66" s="645"/>
      <c r="EB66" s="315"/>
      <c r="EC66" s="316"/>
      <c r="ED66" s="640"/>
      <c r="EE66" s="646"/>
      <c r="EF66" s="644"/>
      <c r="EG66" s="316"/>
      <c r="EH66" s="647"/>
      <c r="EI66" s="648"/>
    </row>
    <row r="67" spans="1:139" x14ac:dyDescent="0.25">
      <c r="A67" s="73"/>
      <c r="B67" s="74"/>
      <c r="C67" s="649" t="s">
        <v>39</v>
      </c>
      <c r="D67" s="318">
        <v>220.8</v>
      </c>
      <c r="E67" s="319"/>
      <c r="F67" s="320">
        <v>0.10114521300961979</v>
      </c>
      <c r="G67" s="321"/>
      <c r="H67" s="322" t="s">
        <v>38</v>
      </c>
      <c r="I67" s="323" t="s">
        <v>38</v>
      </c>
      <c r="J67" s="324">
        <v>33340.800000000003</v>
      </c>
      <c r="K67" s="650"/>
      <c r="L67" s="415" t="s">
        <v>38</v>
      </c>
      <c r="M67" s="323" t="s">
        <v>38</v>
      </c>
      <c r="N67" s="651">
        <v>33340.800000000003</v>
      </c>
      <c r="O67" s="323"/>
      <c r="P67" s="322" t="s">
        <v>38</v>
      </c>
      <c r="Q67" s="323" t="s">
        <v>38</v>
      </c>
      <c r="R67" s="651">
        <v>0</v>
      </c>
      <c r="S67" s="323"/>
      <c r="T67" s="322" t="s">
        <v>38</v>
      </c>
      <c r="U67" s="323" t="s">
        <v>38</v>
      </c>
      <c r="V67" s="651">
        <v>151</v>
      </c>
      <c r="W67" s="650"/>
      <c r="X67" s="318">
        <v>239.7</v>
      </c>
      <c r="Y67" s="319"/>
      <c r="Z67" s="320">
        <v>0.10975274725274725</v>
      </c>
      <c r="AA67" s="321"/>
      <c r="AB67" s="322" t="s">
        <v>38</v>
      </c>
      <c r="AC67" s="323" t="s">
        <v>38</v>
      </c>
      <c r="AD67" s="324">
        <v>36194.699999999997</v>
      </c>
      <c r="AE67" s="650"/>
      <c r="AF67" s="415" t="s">
        <v>38</v>
      </c>
      <c r="AG67" s="323" t="s">
        <v>38</v>
      </c>
      <c r="AH67" s="651">
        <v>36194.699999999997</v>
      </c>
      <c r="AI67" s="323"/>
      <c r="AJ67" s="322" t="s">
        <v>38</v>
      </c>
      <c r="AK67" s="323" t="s">
        <v>38</v>
      </c>
      <c r="AL67" s="651">
        <v>0</v>
      </c>
      <c r="AM67" s="323"/>
      <c r="AN67" s="322" t="s">
        <v>38</v>
      </c>
      <c r="AO67" s="323" t="s">
        <v>38</v>
      </c>
      <c r="AP67" s="651">
        <v>151</v>
      </c>
      <c r="AQ67" s="650"/>
      <c r="AR67" s="1523">
        <v>286.5</v>
      </c>
      <c r="AS67" s="1524"/>
      <c r="AT67" s="1525">
        <f>AR67/2183</f>
        <v>0.13124141090242786</v>
      </c>
      <c r="AU67" s="1526"/>
      <c r="AV67" s="1527" t="s">
        <v>38</v>
      </c>
      <c r="AW67" s="1528"/>
      <c r="AX67" s="1529">
        <f t="shared" si="11"/>
        <v>43261.5</v>
      </c>
      <c r="AY67" s="1667"/>
      <c r="AZ67" s="1530" t="s">
        <v>38</v>
      </c>
      <c r="BA67" s="1528"/>
      <c r="BB67" s="1527">
        <f>151*AR67</f>
        <v>43261.5</v>
      </c>
      <c r="BC67" s="1528"/>
      <c r="BD67" s="1527" t="s">
        <v>38</v>
      </c>
      <c r="BE67" s="1528"/>
      <c r="BF67" s="1527">
        <v>0</v>
      </c>
      <c r="BG67" s="1528"/>
      <c r="BH67" s="1527" t="s">
        <v>38</v>
      </c>
      <c r="BI67" s="1528"/>
      <c r="BJ67" s="1527">
        <f t="shared" ref="BJ67:BJ88" si="19">AX67/AR67</f>
        <v>151</v>
      </c>
      <c r="BK67" s="1667"/>
      <c r="BL67" s="1523">
        <v>243.1</v>
      </c>
      <c r="BM67" s="1524"/>
      <c r="BN67" s="1525">
        <f>BL67/2209</f>
        <v>0.11004979628791307</v>
      </c>
      <c r="BO67" s="1526"/>
      <c r="BP67" s="1527" t="s">
        <v>38</v>
      </c>
      <c r="BQ67" s="1528"/>
      <c r="BR67" s="1529">
        <f t="shared" si="12"/>
        <v>36708.1</v>
      </c>
      <c r="BS67" s="1667"/>
      <c r="BT67" s="1530" t="s">
        <v>38</v>
      </c>
      <c r="BU67" s="1528"/>
      <c r="BV67" s="1527">
        <f>151*BL67</f>
        <v>36708.1</v>
      </c>
      <c r="BW67" s="1528"/>
      <c r="BX67" s="1527" t="s">
        <v>38</v>
      </c>
      <c r="BY67" s="1528"/>
      <c r="BZ67" s="1527">
        <v>0</v>
      </c>
      <c r="CA67" s="1528"/>
      <c r="CB67" s="1527" t="s">
        <v>38</v>
      </c>
      <c r="CC67" s="1528"/>
      <c r="CD67" s="1527">
        <f t="shared" si="18"/>
        <v>151</v>
      </c>
      <c r="CE67" s="1667"/>
      <c r="CF67" s="1523">
        <f t="shared" si="13"/>
        <v>990.09999999999991</v>
      </c>
      <c r="CG67" s="1531"/>
      <c r="CH67" s="1525">
        <f t="shared" ref="CH67:CH88" si="20">CF67/8760</f>
        <v>0.11302511415525113</v>
      </c>
      <c r="CI67" s="1532"/>
      <c r="CJ67" s="1527" t="s">
        <v>38</v>
      </c>
      <c r="CK67" s="1528"/>
      <c r="CL67" s="1529">
        <f t="shared" si="14"/>
        <v>149505.1</v>
      </c>
      <c r="CM67" s="1530"/>
      <c r="CN67" s="1530" t="s">
        <v>38</v>
      </c>
      <c r="CO67" s="1528"/>
      <c r="CP67" s="1527">
        <f t="shared" si="15"/>
        <v>149505.1</v>
      </c>
      <c r="CQ67" s="1530"/>
      <c r="CR67" s="1530" t="s">
        <v>38</v>
      </c>
      <c r="CS67" s="1528"/>
      <c r="CT67" s="1529">
        <f t="shared" si="16"/>
        <v>0</v>
      </c>
      <c r="CU67" s="1530"/>
      <c r="CV67" s="1530" t="s">
        <v>38</v>
      </c>
      <c r="CW67" s="1528"/>
      <c r="CX67" s="1527">
        <f t="shared" si="17"/>
        <v>151.00000000000003</v>
      </c>
      <c r="CY67" s="1533"/>
      <c r="CZ67" s="655"/>
      <c r="DA67" s="656"/>
      <c r="DB67" s="657"/>
      <c r="DC67" s="658"/>
      <c r="DD67" s="659"/>
      <c r="DE67" s="659"/>
      <c r="DF67" s="322"/>
      <c r="DG67" s="323"/>
      <c r="DH67" s="659"/>
      <c r="DI67" s="659"/>
      <c r="DJ67" s="322"/>
      <c r="DK67" s="323"/>
      <c r="DL67" s="659"/>
      <c r="DM67" s="659"/>
      <c r="DN67" s="322"/>
      <c r="DO67" s="323"/>
      <c r="DP67" s="659"/>
      <c r="DQ67" s="660"/>
      <c r="DR67" s="661"/>
      <c r="DS67" s="662"/>
      <c r="DT67" s="322"/>
      <c r="DU67" s="323"/>
      <c r="DV67" s="663"/>
      <c r="DW67" s="320"/>
      <c r="DX67" s="415"/>
      <c r="DY67" s="323"/>
      <c r="DZ67" s="324"/>
      <c r="EA67" s="320"/>
      <c r="EB67" s="322"/>
      <c r="EC67" s="323"/>
      <c r="ED67" s="663"/>
      <c r="EE67" s="664"/>
      <c r="EF67" s="665"/>
      <c r="EG67" s="323"/>
      <c r="EH67" s="324"/>
      <c r="EI67" s="666"/>
    </row>
    <row r="68" spans="1:139" x14ac:dyDescent="0.25">
      <c r="A68" s="75"/>
      <c r="B68" s="76"/>
      <c r="C68" s="667" t="s">
        <v>45</v>
      </c>
      <c r="D68" s="325">
        <v>0</v>
      </c>
      <c r="E68" s="326"/>
      <c r="F68" s="327">
        <v>0</v>
      </c>
      <c r="G68" s="328"/>
      <c r="H68" s="329" t="s">
        <v>38</v>
      </c>
      <c r="I68" s="330" t="s">
        <v>38</v>
      </c>
      <c r="J68" s="331">
        <v>0</v>
      </c>
      <c r="K68" s="668"/>
      <c r="L68" s="416" t="s">
        <v>38</v>
      </c>
      <c r="M68" s="330" t="s">
        <v>38</v>
      </c>
      <c r="N68" s="669">
        <v>0</v>
      </c>
      <c r="O68" s="330"/>
      <c r="P68" s="329" t="s">
        <v>38</v>
      </c>
      <c r="Q68" s="330" t="s">
        <v>38</v>
      </c>
      <c r="R68" s="669">
        <v>0</v>
      </c>
      <c r="S68" s="330"/>
      <c r="T68" s="329" t="s">
        <v>38</v>
      </c>
      <c r="U68" s="330" t="s">
        <v>38</v>
      </c>
      <c r="V68" s="669">
        <v>0</v>
      </c>
      <c r="W68" s="670"/>
      <c r="X68" s="325">
        <v>0</v>
      </c>
      <c r="Y68" s="326"/>
      <c r="Z68" s="327">
        <v>0</v>
      </c>
      <c r="AA68" s="328"/>
      <c r="AB68" s="329" t="s">
        <v>38</v>
      </c>
      <c r="AC68" s="330" t="s">
        <v>38</v>
      </c>
      <c r="AD68" s="331">
        <v>0</v>
      </c>
      <c r="AE68" s="668"/>
      <c r="AF68" s="416" t="s">
        <v>38</v>
      </c>
      <c r="AG68" s="330" t="s">
        <v>38</v>
      </c>
      <c r="AH68" s="669">
        <v>0</v>
      </c>
      <c r="AI68" s="330"/>
      <c r="AJ68" s="329" t="s">
        <v>38</v>
      </c>
      <c r="AK68" s="330" t="s">
        <v>38</v>
      </c>
      <c r="AL68" s="669">
        <v>0</v>
      </c>
      <c r="AM68" s="330"/>
      <c r="AN68" s="329" t="s">
        <v>38</v>
      </c>
      <c r="AO68" s="330" t="s">
        <v>38</v>
      </c>
      <c r="AP68" s="669">
        <v>0</v>
      </c>
      <c r="AQ68" s="670"/>
      <c r="AR68" s="1534">
        <v>0</v>
      </c>
      <c r="AS68" s="1535"/>
      <c r="AT68" s="1536" t="e">
        <f>AR68/AR104</f>
        <v>#DIV/0!</v>
      </c>
      <c r="AU68" s="1537"/>
      <c r="AV68" s="1538" t="s">
        <v>38</v>
      </c>
      <c r="AW68" s="1539"/>
      <c r="AX68" s="1540">
        <f t="shared" si="11"/>
        <v>0</v>
      </c>
      <c r="AY68" s="1668"/>
      <c r="AZ68" s="1541" t="s">
        <v>38</v>
      </c>
      <c r="BA68" s="1539"/>
      <c r="BB68" s="1538">
        <v>0</v>
      </c>
      <c r="BC68" s="1539"/>
      <c r="BD68" s="1538" t="s">
        <v>38</v>
      </c>
      <c r="BE68" s="1539"/>
      <c r="BF68" s="1538">
        <v>0</v>
      </c>
      <c r="BG68" s="1539"/>
      <c r="BH68" s="1538" t="s">
        <v>38</v>
      </c>
      <c r="BI68" s="1539"/>
      <c r="BJ68" s="1538" t="s">
        <v>38</v>
      </c>
      <c r="BK68" s="1555"/>
      <c r="BL68" s="1534">
        <v>0</v>
      </c>
      <c r="BM68" s="1535"/>
      <c r="BN68" s="1536">
        <f>BL68/2209</f>
        <v>0</v>
      </c>
      <c r="BO68" s="1537"/>
      <c r="BP68" s="1538" t="s">
        <v>38</v>
      </c>
      <c r="BQ68" s="1539"/>
      <c r="BR68" s="1540">
        <f t="shared" si="12"/>
        <v>0</v>
      </c>
      <c r="BS68" s="1668"/>
      <c r="BT68" s="1541" t="s">
        <v>38</v>
      </c>
      <c r="BU68" s="1539"/>
      <c r="BV68" s="1538">
        <v>0</v>
      </c>
      <c r="BW68" s="1539"/>
      <c r="BX68" s="1538" t="s">
        <v>38</v>
      </c>
      <c r="BY68" s="1539"/>
      <c r="BZ68" s="1538">
        <v>0</v>
      </c>
      <c r="CA68" s="1539"/>
      <c r="CB68" s="1538" t="s">
        <v>38</v>
      </c>
      <c r="CC68" s="1539"/>
      <c r="CD68" s="1538" t="s">
        <v>38</v>
      </c>
      <c r="CE68" s="1669"/>
      <c r="CF68" s="1534">
        <f t="shared" si="13"/>
        <v>0</v>
      </c>
      <c r="CG68" s="1542"/>
      <c r="CH68" s="1536">
        <f>CF68/CF102</f>
        <v>0</v>
      </c>
      <c r="CI68" s="1543"/>
      <c r="CJ68" s="1538" t="s">
        <v>38</v>
      </c>
      <c r="CK68" s="1539"/>
      <c r="CL68" s="1540">
        <f t="shared" si="14"/>
        <v>0</v>
      </c>
      <c r="CM68" s="1541"/>
      <c r="CN68" s="1541" t="s">
        <v>38</v>
      </c>
      <c r="CO68" s="1539"/>
      <c r="CP68" s="1538">
        <f t="shared" si="15"/>
        <v>0</v>
      </c>
      <c r="CQ68" s="1541"/>
      <c r="CR68" s="1541" t="s">
        <v>38</v>
      </c>
      <c r="CS68" s="1539"/>
      <c r="CT68" s="1540">
        <f t="shared" si="16"/>
        <v>0</v>
      </c>
      <c r="CU68" s="1541"/>
      <c r="CV68" s="1541" t="s">
        <v>38</v>
      </c>
      <c r="CW68" s="1539"/>
      <c r="CX68" s="1544">
        <v>0</v>
      </c>
      <c r="CY68" s="1545"/>
      <c r="CZ68" s="675"/>
      <c r="DA68" s="676"/>
      <c r="DB68" s="677"/>
      <c r="DC68" s="678"/>
      <c r="DD68" s="679"/>
      <c r="DE68" s="679"/>
      <c r="DF68" s="336"/>
      <c r="DG68" s="337"/>
      <c r="DH68" s="679"/>
      <c r="DI68" s="679"/>
      <c r="DJ68" s="336"/>
      <c r="DK68" s="337"/>
      <c r="DL68" s="679"/>
      <c r="DM68" s="679"/>
      <c r="DN68" s="336"/>
      <c r="DO68" s="337"/>
      <c r="DP68" s="679"/>
      <c r="DQ68" s="680"/>
      <c r="DR68" s="681"/>
      <c r="DS68" s="682"/>
      <c r="DT68" s="336"/>
      <c r="DU68" s="337"/>
      <c r="DV68" s="683"/>
      <c r="DW68" s="334"/>
      <c r="DX68" s="417"/>
      <c r="DY68" s="337"/>
      <c r="DZ68" s="684"/>
      <c r="EA68" s="334"/>
      <c r="EB68" s="336"/>
      <c r="EC68" s="337"/>
      <c r="ED68" s="417"/>
      <c r="EE68" s="685"/>
      <c r="EF68" s="686"/>
      <c r="EG68" s="337"/>
      <c r="EH68" s="684"/>
      <c r="EI68" s="687"/>
    </row>
    <row r="69" spans="1:139" x14ac:dyDescent="0.25">
      <c r="A69" s="77"/>
      <c r="B69" s="76"/>
      <c r="C69" s="667" t="s">
        <v>41</v>
      </c>
      <c r="D69" s="332">
        <v>292.3</v>
      </c>
      <c r="E69" s="333"/>
      <c r="F69" s="334">
        <v>0.13389830508474576</v>
      </c>
      <c r="G69" s="335"/>
      <c r="H69" s="336" t="s">
        <v>38</v>
      </c>
      <c r="I69" s="337" t="s">
        <v>38</v>
      </c>
      <c r="J69" s="331">
        <v>7892.1</v>
      </c>
      <c r="K69" s="688"/>
      <c r="L69" s="417" t="s">
        <v>38</v>
      </c>
      <c r="M69" s="337" t="s">
        <v>38</v>
      </c>
      <c r="N69" s="673">
        <v>7892.1</v>
      </c>
      <c r="O69" s="337"/>
      <c r="P69" s="336" t="s">
        <v>38</v>
      </c>
      <c r="Q69" s="337" t="s">
        <v>38</v>
      </c>
      <c r="R69" s="673">
        <v>0</v>
      </c>
      <c r="S69" s="337"/>
      <c r="T69" s="336" t="s">
        <v>38</v>
      </c>
      <c r="U69" s="337" t="s">
        <v>38</v>
      </c>
      <c r="V69" s="673">
        <v>27</v>
      </c>
      <c r="W69" s="688"/>
      <c r="X69" s="332">
        <v>448.4</v>
      </c>
      <c r="Y69" s="333"/>
      <c r="Z69" s="334">
        <v>0.2053113553113553</v>
      </c>
      <c r="AA69" s="335"/>
      <c r="AB69" s="336" t="s">
        <v>38</v>
      </c>
      <c r="AC69" s="337" t="s">
        <v>38</v>
      </c>
      <c r="AD69" s="331">
        <v>12106.8</v>
      </c>
      <c r="AE69" s="688"/>
      <c r="AF69" s="417" t="s">
        <v>38</v>
      </c>
      <c r="AG69" s="337" t="s">
        <v>38</v>
      </c>
      <c r="AH69" s="669">
        <v>12106.8</v>
      </c>
      <c r="AI69" s="337"/>
      <c r="AJ69" s="336" t="s">
        <v>38</v>
      </c>
      <c r="AK69" s="337" t="s">
        <v>38</v>
      </c>
      <c r="AL69" s="673">
        <v>0</v>
      </c>
      <c r="AM69" s="337"/>
      <c r="AN69" s="336" t="s">
        <v>38</v>
      </c>
      <c r="AO69" s="337" t="s">
        <v>38</v>
      </c>
      <c r="AP69" s="673">
        <v>27</v>
      </c>
      <c r="AQ69" s="688"/>
      <c r="AR69" s="1546">
        <v>774.5</v>
      </c>
      <c r="AS69" s="1547"/>
      <c r="AT69" s="1548">
        <f>AR69/2183</f>
        <v>0.35478699038021072</v>
      </c>
      <c r="AU69" s="1549"/>
      <c r="AV69" s="1544" t="s">
        <v>38</v>
      </c>
      <c r="AW69" s="1550"/>
      <c r="AX69" s="1540">
        <f t="shared" si="11"/>
        <v>20911.5</v>
      </c>
      <c r="AY69" s="1669"/>
      <c r="AZ69" s="1551" t="s">
        <v>38</v>
      </c>
      <c r="BA69" s="1550"/>
      <c r="BB69" s="1544">
        <f>AR69*27</f>
        <v>20911.5</v>
      </c>
      <c r="BC69" s="1550"/>
      <c r="BD69" s="1544" t="s">
        <v>38</v>
      </c>
      <c r="BE69" s="1550"/>
      <c r="BF69" s="1544">
        <v>0</v>
      </c>
      <c r="BG69" s="1550"/>
      <c r="BH69" s="1544" t="s">
        <v>38</v>
      </c>
      <c r="BI69" s="1550"/>
      <c r="BJ69" s="1544">
        <f t="shared" si="19"/>
        <v>27</v>
      </c>
      <c r="BK69" s="1669"/>
      <c r="BL69" s="1546">
        <v>280.39999999999998</v>
      </c>
      <c r="BM69" s="1547"/>
      <c r="BN69" s="1548">
        <f>BL69/2209</f>
        <v>0.12693526482571299</v>
      </c>
      <c r="BO69" s="1549"/>
      <c r="BP69" s="1544" t="s">
        <v>38</v>
      </c>
      <c r="BQ69" s="1550"/>
      <c r="BR69" s="1540">
        <f t="shared" si="12"/>
        <v>7570.7999999999993</v>
      </c>
      <c r="BS69" s="1669"/>
      <c r="BT69" s="1551" t="s">
        <v>38</v>
      </c>
      <c r="BU69" s="1550"/>
      <c r="BV69" s="1544">
        <f>BL69*27</f>
        <v>7570.7999999999993</v>
      </c>
      <c r="BW69" s="1550"/>
      <c r="BX69" s="1544" t="s">
        <v>38</v>
      </c>
      <c r="BY69" s="1550"/>
      <c r="BZ69" s="1544">
        <v>0</v>
      </c>
      <c r="CA69" s="1550"/>
      <c r="CB69" s="1544" t="s">
        <v>38</v>
      </c>
      <c r="CC69" s="1550"/>
      <c r="CD69" s="1544">
        <f t="shared" si="18"/>
        <v>27</v>
      </c>
      <c r="CE69" s="1669"/>
      <c r="CF69" s="1546">
        <f t="shared" si="13"/>
        <v>1795.6000000000001</v>
      </c>
      <c r="CG69" s="1552"/>
      <c r="CH69" s="1548">
        <f t="shared" si="20"/>
        <v>0.20497716894977169</v>
      </c>
      <c r="CI69" s="1553"/>
      <c r="CJ69" s="1544" t="s">
        <v>38</v>
      </c>
      <c r="CK69" s="1550"/>
      <c r="CL69" s="1554">
        <f t="shared" si="14"/>
        <v>48481.2</v>
      </c>
      <c r="CM69" s="1551"/>
      <c r="CN69" s="1551" t="s">
        <v>38</v>
      </c>
      <c r="CO69" s="1550"/>
      <c r="CP69" s="1544">
        <f t="shared" si="15"/>
        <v>48481.2</v>
      </c>
      <c r="CQ69" s="1551"/>
      <c r="CR69" s="1551" t="s">
        <v>38</v>
      </c>
      <c r="CS69" s="1550"/>
      <c r="CT69" s="1554">
        <f t="shared" si="16"/>
        <v>0</v>
      </c>
      <c r="CU69" s="1551"/>
      <c r="CV69" s="1551" t="s">
        <v>38</v>
      </c>
      <c r="CW69" s="1550"/>
      <c r="CX69" s="1544">
        <f t="shared" si="17"/>
        <v>26.999999999999996</v>
      </c>
      <c r="CY69" s="1555"/>
      <c r="CZ69" s="675"/>
      <c r="DA69" s="676"/>
      <c r="DB69" s="677"/>
      <c r="DC69" s="678"/>
      <c r="DD69" s="679"/>
      <c r="DE69" s="679"/>
      <c r="DF69" s="336"/>
      <c r="DG69" s="337"/>
      <c r="DH69" s="679"/>
      <c r="DI69" s="679"/>
      <c r="DJ69" s="336"/>
      <c r="DK69" s="337"/>
      <c r="DL69" s="679"/>
      <c r="DM69" s="679"/>
      <c r="DN69" s="336"/>
      <c r="DO69" s="337"/>
      <c r="DP69" s="679"/>
      <c r="DQ69" s="680"/>
      <c r="DR69" s="681"/>
      <c r="DS69" s="682"/>
      <c r="DT69" s="336"/>
      <c r="DU69" s="337"/>
      <c r="DV69" s="683"/>
      <c r="DW69" s="334"/>
      <c r="DX69" s="417"/>
      <c r="DY69" s="337"/>
      <c r="DZ69" s="684"/>
      <c r="EA69" s="334"/>
      <c r="EB69" s="336"/>
      <c r="EC69" s="337"/>
      <c r="ED69" s="417"/>
      <c r="EE69" s="685"/>
      <c r="EF69" s="686"/>
      <c r="EG69" s="337"/>
      <c r="EH69" s="684"/>
      <c r="EI69" s="687"/>
    </row>
    <row r="70" spans="1:139" x14ac:dyDescent="0.25">
      <c r="A70" s="78"/>
      <c r="B70" s="79"/>
      <c r="C70" s="691" t="s">
        <v>42</v>
      </c>
      <c r="D70" s="338">
        <v>47.7</v>
      </c>
      <c r="E70" s="339"/>
      <c r="F70" s="340">
        <v>2.185066422354558E-2</v>
      </c>
      <c r="G70" s="341"/>
      <c r="H70" s="342" t="s">
        <v>38</v>
      </c>
      <c r="I70" s="343" t="s">
        <v>38</v>
      </c>
      <c r="J70" s="344">
        <v>4535.2000000000007</v>
      </c>
      <c r="K70" s="692"/>
      <c r="L70" s="418" t="s">
        <v>38</v>
      </c>
      <c r="M70" s="343" t="s">
        <v>38</v>
      </c>
      <c r="N70" s="693">
        <v>4535.2000000000007</v>
      </c>
      <c r="O70" s="343"/>
      <c r="P70" s="342" t="s">
        <v>38</v>
      </c>
      <c r="Q70" s="343" t="s">
        <v>38</v>
      </c>
      <c r="R70" s="693">
        <v>0</v>
      </c>
      <c r="S70" s="343"/>
      <c r="T70" s="342" t="s">
        <v>38</v>
      </c>
      <c r="U70" s="343" t="s">
        <v>38</v>
      </c>
      <c r="V70" s="693">
        <v>95.077568134171912</v>
      </c>
      <c r="W70" s="692"/>
      <c r="X70" s="338">
        <v>73.5</v>
      </c>
      <c r="Y70" s="339"/>
      <c r="Z70" s="340">
        <v>3.3653846153846152E-2</v>
      </c>
      <c r="AA70" s="341"/>
      <c r="AB70" s="342" t="s">
        <v>38</v>
      </c>
      <c r="AC70" s="343" t="s">
        <v>38</v>
      </c>
      <c r="AD70" s="344">
        <v>6496</v>
      </c>
      <c r="AE70" s="692"/>
      <c r="AF70" s="418" t="s">
        <v>38</v>
      </c>
      <c r="AG70" s="343" t="s">
        <v>38</v>
      </c>
      <c r="AH70" s="693">
        <v>6496</v>
      </c>
      <c r="AI70" s="343"/>
      <c r="AJ70" s="342" t="s">
        <v>38</v>
      </c>
      <c r="AK70" s="343" t="s">
        <v>38</v>
      </c>
      <c r="AL70" s="693">
        <v>0</v>
      </c>
      <c r="AM70" s="343"/>
      <c r="AN70" s="342" t="s">
        <v>38</v>
      </c>
      <c r="AO70" s="343" t="s">
        <v>38</v>
      </c>
      <c r="AP70" s="693">
        <v>88.38095238095238</v>
      </c>
      <c r="AQ70" s="692"/>
      <c r="AR70" s="1556">
        <v>99.7</v>
      </c>
      <c r="AS70" s="1557"/>
      <c r="AT70" s="1558">
        <f>AR70/2183</f>
        <v>4.5671094823637196E-2</v>
      </c>
      <c r="AU70" s="1559"/>
      <c r="AV70" s="1560" t="s">
        <v>38</v>
      </c>
      <c r="AW70" s="1561"/>
      <c r="AX70" s="1562">
        <f t="shared" si="11"/>
        <v>8487.2000000000007</v>
      </c>
      <c r="AY70" s="1670"/>
      <c r="AZ70" s="1563" t="s">
        <v>38</v>
      </c>
      <c r="BA70" s="1561"/>
      <c r="BB70" s="1560">
        <f>AR70*76+910</f>
        <v>8487.2000000000007</v>
      </c>
      <c r="BC70" s="1561"/>
      <c r="BD70" s="1560" t="s">
        <v>38</v>
      </c>
      <c r="BE70" s="1561"/>
      <c r="BF70" s="1560">
        <v>0</v>
      </c>
      <c r="BG70" s="1561"/>
      <c r="BH70" s="1560" t="s">
        <v>38</v>
      </c>
      <c r="BI70" s="1561"/>
      <c r="BJ70" s="1560">
        <f t="shared" si="19"/>
        <v>85.127382146439317</v>
      </c>
      <c r="BK70" s="1670"/>
      <c r="BL70" s="1556">
        <v>84.2</v>
      </c>
      <c r="BM70" s="1557"/>
      <c r="BN70" s="1558">
        <f>BL70/2209</f>
        <v>3.8116794929832505E-2</v>
      </c>
      <c r="BO70" s="1559"/>
      <c r="BP70" s="1560" t="s">
        <v>38</v>
      </c>
      <c r="BQ70" s="1561"/>
      <c r="BR70" s="1562">
        <f t="shared" si="12"/>
        <v>7309.2</v>
      </c>
      <c r="BS70" s="1670"/>
      <c r="BT70" s="1563" t="s">
        <v>38</v>
      </c>
      <c r="BU70" s="1561"/>
      <c r="BV70" s="1560">
        <f>BL70*76+910</f>
        <v>7309.2</v>
      </c>
      <c r="BW70" s="1561"/>
      <c r="BX70" s="1560" t="s">
        <v>38</v>
      </c>
      <c r="BY70" s="1561"/>
      <c r="BZ70" s="1560">
        <v>0</v>
      </c>
      <c r="CA70" s="1561"/>
      <c r="CB70" s="1560" t="s">
        <v>38</v>
      </c>
      <c r="CC70" s="1561"/>
      <c r="CD70" s="1560">
        <f t="shared" si="18"/>
        <v>86.807600950118754</v>
      </c>
      <c r="CE70" s="1670"/>
      <c r="CF70" s="1556">
        <f t="shared" si="13"/>
        <v>305.09999999999997</v>
      </c>
      <c r="CG70" s="1564"/>
      <c r="CH70" s="1558">
        <f t="shared" si="20"/>
        <v>3.4828767123287668E-2</v>
      </c>
      <c r="CI70" s="1565"/>
      <c r="CJ70" s="1560" t="s">
        <v>38</v>
      </c>
      <c r="CK70" s="1561"/>
      <c r="CL70" s="1562">
        <f t="shared" si="14"/>
        <v>26827.600000000002</v>
      </c>
      <c r="CM70" s="1563"/>
      <c r="CN70" s="1563" t="s">
        <v>38</v>
      </c>
      <c r="CO70" s="1561"/>
      <c r="CP70" s="1560">
        <f t="shared" si="15"/>
        <v>26827.600000000002</v>
      </c>
      <c r="CQ70" s="1563"/>
      <c r="CR70" s="1563" t="s">
        <v>38</v>
      </c>
      <c r="CS70" s="1561"/>
      <c r="CT70" s="1562">
        <f t="shared" si="16"/>
        <v>0</v>
      </c>
      <c r="CU70" s="1563"/>
      <c r="CV70" s="1563" t="s">
        <v>38</v>
      </c>
      <c r="CW70" s="1561"/>
      <c r="CX70" s="1560">
        <f t="shared" si="17"/>
        <v>87.930514585381857</v>
      </c>
      <c r="CY70" s="1566"/>
      <c r="CZ70" s="697"/>
      <c r="DA70" s="698"/>
      <c r="DB70" s="699"/>
      <c r="DC70" s="700"/>
      <c r="DD70" s="701"/>
      <c r="DE70" s="701"/>
      <c r="DF70" s="342"/>
      <c r="DG70" s="343"/>
      <c r="DH70" s="701"/>
      <c r="DI70" s="701"/>
      <c r="DJ70" s="342"/>
      <c r="DK70" s="343"/>
      <c r="DL70" s="701"/>
      <c r="DM70" s="701"/>
      <c r="DN70" s="342"/>
      <c r="DO70" s="343"/>
      <c r="DP70" s="701"/>
      <c r="DQ70" s="702"/>
      <c r="DR70" s="703"/>
      <c r="DS70" s="704"/>
      <c r="DT70" s="342"/>
      <c r="DU70" s="343"/>
      <c r="DV70" s="705"/>
      <c r="DW70" s="340"/>
      <c r="DX70" s="418"/>
      <c r="DY70" s="343"/>
      <c r="DZ70" s="344"/>
      <c r="EA70" s="340"/>
      <c r="EB70" s="342"/>
      <c r="EC70" s="343"/>
      <c r="ED70" s="418"/>
      <c r="EE70" s="706"/>
      <c r="EF70" s="707"/>
      <c r="EG70" s="343"/>
      <c r="EH70" s="344"/>
      <c r="EI70" s="708"/>
    </row>
    <row r="71" spans="1:139" x14ac:dyDescent="0.25">
      <c r="A71" s="80" t="s">
        <v>60</v>
      </c>
      <c r="B71" s="81" t="s">
        <v>61</v>
      </c>
      <c r="C71" s="82"/>
      <c r="D71" s="345">
        <v>98.300000000000011</v>
      </c>
      <c r="E71" s="346"/>
      <c r="F71" s="251">
        <v>8.9961471231547845E-3</v>
      </c>
      <c r="G71" s="346"/>
      <c r="H71" s="347" t="s">
        <v>38</v>
      </c>
      <c r="I71" s="348" t="s">
        <v>38</v>
      </c>
      <c r="J71" s="349">
        <v>9289</v>
      </c>
      <c r="K71" s="709"/>
      <c r="L71" s="419" t="s">
        <v>38</v>
      </c>
      <c r="M71" s="710" t="s">
        <v>38</v>
      </c>
      <c r="N71" s="711">
        <v>9289</v>
      </c>
      <c r="O71" s="709"/>
      <c r="P71" s="347" t="s">
        <v>38</v>
      </c>
      <c r="Q71" s="348" t="s">
        <v>38</v>
      </c>
      <c r="R71" s="712">
        <v>0</v>
      </c>
      <c r="S71" s="709"/>
      <c r="T71" s="347" t="s">
        <v>38</v>
      </c>
      <c r="U71" s="348" t="s">
        <v>38</v>
      </c>
      <c r="V71" s="713">
        <v>94.496439471007108</v>
      </c>
      <c r="W71" s="713"/>
      <c r="X71" s="345">
        <v>102.2</v>
      </c>
      <c r="Y71" s="346"/>
      <c r="Z71" s="251">
        <v>9.2893045746643768E-3</v>
      </c>
      <c r="AA71" s="346"/>
      <c r="AB71" s="347" t="s">
        <v>38</v>
      </c>
      <c r="AC71" s="348" t="s">
        <v>38</v>
      </c>
      <c r="AD71" s="349">
        <v>9368</v>
      </c>
      <c r="AE71" s="709"/>
      <c r="AF71" s="419" t="s">
        <v>38</v>
      </c>
      <c r="AG71" s="710" t="s">
        <v>38</v>
      </c>
      <c r="AH71" s="711">
        <v>9368</v>
      </c>
      <c r="AI71" s="709"/>
      <c r="AJ71" s="347" t="s">
        <v>38</v>
      </c>
      <c r="AK71" s="348" t="s">
        <v>38</v>
      </c>
      <c r="AL71" s="712">
        <v>0</v>
      </c>
      <c r="AM71" s="709"/>
      <c r="AN71" s="347" t="s">
        <v>38</v>
      </c>
      <c r="AO71" s="348" t="s">
        <v>38</v>
      </c>
      <c r="AP71" s="713">
        <v>91.663405088062618</v>
      </c>
      <c r="AQ71" s="713"/>
      <c r="AR71" s="1567">
        <f>SUM(AR72:AR76)</f>
        <v>102</v>
      </c>
      <c r="AS71" s="1568"/>
      <c r="AT71" s="1569">
        <f>AR71/11106.9</f>
        <v>9.1834805391243276E-3</v>
      </c>
      <c r="AU71" s="1568"/>
      <c r="AV71" s="1185" t="s">
        <v>38</v>
      </c>
      <c r="AW71" s="1570"/>
      <c r="AX71" s="1185">
        <f t="shared" si="11"/>
        <v>8452</v>
      </c>
      <c r="AY71" s="1571"/>
      <c r="AZ71" s="1188" t="s">
        <v>38</v>
      </c>
      <c r="BA71" s="1671"/>
      <c r="BB71" s="1672">
        <f>SUM(BB72:BB76)</f>
        <v>8452</v>
      </c>
      <c r="BC71" s="1571"/>
      <c r="BD71" s="1185" t="s">
        <v>38</v>
      </c>
      <c r="BE71" s="1570"/>
      <c r="BF71" s="1574">
        <v>0</v>
      </c>
      <c r="BG71" s="1571"/>
      <c r="BH71" s="1185" t="s">
        <v>38</v>
      </c>
      <c r="BI71" s="1570"/>
      <c r="BJ71" s="1188">
        <f t="shared" si="19"/>
        <v>82.862745098039213</v>
      </c>
      <c r="BK71" s="1188"/>
      <c r="BL71" s="1567">
        <f>SUM(BL72:BL76)</f>
        <v>103.6</v>
      </c>
      <c r="BM71" s="1568"/>
      <c r="BN71" s="1569">
        <f>BL71/11096.9</f>
        <v>9.3359406681145177E-3</v>
      </c>
      <c r="BO71" s="1568"/>
      <c r="BP71" s="1185" t="s">
        <v>38</v>
      </c>
      <c r="BQ71" s="1570"/>
      <c r="BR71" s="1185">
        <f t="shared" si="12"/>
        <v>8470</v>
      </c>
      <c r="BS71" s="1571"/>
      <c r="BT71" s="1188" t="s">
        <v>38</v>
      </c>
      <c r="BU71" s="1671"/>
      <c r="BV71" s="1672">
        <f>SUM(BV72:BV76)</f>
        <v>8470</v>
      </c>
      <c r="BW71" s="1571"/>
      <c r="BX71" s="1185" t="s">
        <v>38</v>
      </c>
      <c r="BY71" s="1570"/>
      <c r="BZ71" s="1574">
        <v>0</v>
      </c>
      <c r="CA71" s="1571"/>
      <c r="CB71" s="1185" t="s">
        <v>38</v>
      </c>
      <c r="CC71" s="1570"/>
      <c r="CD71" s="1188">
        <f t="shared" si="18"/>
        <v>81.756756756756758</v>
      </c>
      <c r="CE71" s="1671"/>
      <c r="CF71" s="1567">
        <f t="shared" si="13"/>
        <v>406.1</v>
      </c>
      <c r="CG71" s="1571"/>
      <c r="CH71" s="1572">
        <f>CF71/44202.6</f>
        <v>9.187242379407547E-3</v>
      </c>
      <c r="CI71" s="1573"/>
      <c r="CJ71" s="1574" t="s">
        <v>38</v>
      </c>
      <c r="CK71" s="1575"/>
      <c r="CL71" s="1574">
        <f t="shared" si="14"/>
        <v>35579</v>
      </c>
      <c r="CM71" s="1576"/>
      <c r="CN71" s="1571" t="s">
        <v>38</v>
      </c>
      <c r="CO71" s="1575"/>
      <c r="CP71" s="1188">
        <f t="shared" si="15"/>
        <v>35579</v>
      </c>
      <c r="CQ71" s="1571"/>
      <c r="CR71" s="1188" t="s">
        <v>38</v>
      </c>
      <c r="CS71" s="1575"/>
      <c r="CT71" s="1574">
        <f t="shared" si="16"/>
        <v>0</v>
      </c>
      <c r="CU71" s="1571"/>
      <c r="CV71" s="1188" t="s">
        <v>38</v>
      </c>
      <c r="CW71" s="1575"/>
      <c r="CX71" s="1574">
        <f t="shared" si="17"/>
        <v>87.611425757202653</v>
      </c>
      <c r="CY71" s="1577"/>
      <c r="CZ71" s="720"/>
      <c r="DA71" s="721"/>
      <c r="DB71" s="722"/>
      <c r="DC71" s="723"/>
      <c r="DD71" s="712"/>
      <c r="DE71" s="713"/>
      <c r="DF71" s="347"/>
      <c r="DG71" s="348"/>
      <c r="DH71" s="712"/>
      <c r="DI71" s="709"/>
      <c r="DJ71" s="347"/>
      <c r="DK71" s="348"/>
      <c r="DL71" s="712"/>
      <c r="DM71" s="709"/>
      <c r="DN71" s="347"/>
      <c r="DO71" s="348"/>
      <c r="DP71" s="712"/>
      <c r="DQ71" s="724"/>
      <c r="DR71" s="725"/>
      <c r="DS71" s="726"/>
      <c r="DT71" s="347"/>
      <c r="DU71" s="348"/>
      <c r="DV71" s="713"/>
      <c r="DW71" s="356"/>
      <c r="DX71" s="419"/>
      <c r="DY71" s="716"/>
      <c r="DZ71" s="713"/>
      <c r="EA71" s="356"/>
      <c r="EB71" s="347"/>
      <c r="EC71" s="348"/>
      <c r="ED71" s="419"/>
      <c r="EE71" s="727"/>
      <c r="EF71" s="419"/>
      <c r="EG71" s="728"/>
      <c r="EH71" s="349"/>
      <c r="EI71" s="729"/>
    </row>
    <row r="72" spans="1:139" x14ac:dyDescent="0.25">
      <c r="A72" s="83"/>
      <c r="B72" s="23"/>
      <c r="C72" s="504" t="s">
        <v>39</v>
      </c>
      <c r="D72" s="234">
        <v>27.4</v>
      </c>
      <c r="E72" s="228"/>
      <c r="F72" s="246">
        <v>1.2551534585432889E-2</v>
      </c>
      <c r="G72" s="228"/>
      <c r="H72" s="293" t="s">
        <v>38</v>
      </c>
      <c r="I72" s="230" t="s">
        <v>38</v>
      </c>
      <c r="J72" s="298">
        <v>6550</v>
      </c>
      <c r="K72" s="507"/>
      <c r="L72" s="409" t="s">
        <v>38</v>
      </c>
      <c r="M72" s="559" t="s">
        <v>38</v>
      </c>
      <c r="N72" s="556">
        <v>6550</v>
      </c>
      <c r="O72" s="208"/>
      <c r="P72" s="293" t="s">
        <v>38</v>
      </c>
      <c r="Q72" s="230" t="s">
        <v>38</v>
      </c>
      <c r="R72" s="556">
        <v>0</v>
      </c>
      <c r="S72" s="507"/>
      <c r="T72" s="293" t="s">
        <v>38</v>
      </c>
      <c r="U72" s="230" t="s">
        <v>38</v>
      </c>
      <c r="V72" s="509">
        <v>239.05109489051097</v>
      </c>
      <c r="W72" s="509"/>
      <c r="X72" s="234">
        <v>27.4</v>
      </c>
      <c r="Y72" s="228"/>
      <c r="Z72" s="246">
        <v>1.2545787545787545E-2</v>
      </c>
      <c r="AA72" s="228"/>
      <c r="AB72" s="293" t="s">
        <v>38</v>
      </c>
      <c r="AC72" s="230" t="s">
        <v>38</v>
      </c>
      <c r="AD72" s="298">
        <v>6461</v>
      </c>
      <c r="AE72" s="507"/>
      <c r="AF72" s="409" t="s">
        <v>38</v>
      </c>
      <c r="AG72" s="559" t="s">
        <v>38</v>
      </c>
      <c r="AH72" s="556">
        <v>6461</v>
      </c>
      <c r="AI72" s="208"/>
      <c r="AJ72" s="293" t="s">
        <v>38</v>
      </c>
      <c r="AK72" s="230" t="s">
        <v>38</v>
      </c>
      <c r="AL72" s="556">
        <v>0</v>
      </c>
      <c r="AM72" s="507"/>
      <c r="AN72" s="293" t="s">
        <v>38</v>
      </c>
      <c r="AO72" s="230" t="s">
        <v>38</v>
      </c>
      <c r="AP72" s="509">
        <v>235.80291970802921</v>
      </c>
      <c r="AQ72" s="509"/>
      <c r="AR72" s="1440">
        <v>28.1</v>
      </c>
      <c r="AS72" s="1441"/>
      <c r="AT72" s="1442">
        <f>AR72/2183</f>
        <v>1.2872194228126433E-2</v>
      </c>
      <c r="AU72" s="1441"/>
      <c r="AV72" s="1107" t="s">
        <v>38</v>
      </c>
      <c r="AW72" s="1449"/>
      <c r="AX72" s="1107">
        <f t="shared" si="11"/>
        <v>5935</v>
      </c>
      <c r="AY72" s="1175"/>
      <c r="AZ72" s="1092" t="s">
        <v>38</v>
      </c>
      <c r="BA72" s="1446"/>
      <c r="BB72" s="1173">
        <v>5935</v>
      </c>
      <c r="BC72" s="1175"/>
      <c r="BD72" s="1107" t="s">
        <v>38</v>
      </c>
      <c r="BE72" s="1449"/>
      <c r="BF72" s="1657">
        <v>0</v>
      </c>
      <c r="BG72" s="1469"/>
      <c r="BH72" s="1107" t="s">
        <v>38</v>
      </c>
      <c r="BI72" s="1449"/>
      <c r="BJ72" s="1110">
        <f t="shared" si="19"/>
        <v>211.20996441281139</v>
      </c>
      <c r="BK72" s="1110"/>
      <c r="BL72" s="1440">
        <v>27.3</v>
      </c>
      <c r="BM72" s="1441"/>
      <c r="BN72" s="1442">
        <f>BL72/2209</f>
        <v>1.2358533272974197E-2</v>
      </c>
      <c r="BO72" s="1441"/>
      <c r="BP72" s="1107" t="s">
        <v>38</v>
      </c>
      <c r="BQ72" s="1449"/>
      <c r="BR72" s="1115">
        <f t="shared" si="12"/>
        <v>5928</v>
      </c>
      <c r="BS72" s="1469"/>
      <c r="BT72" s="1117" t="s">
        <v>38</v>
      </c>
      <c r="BU72" s="1468"/>
      <c r="BV72" s="1173">
        <v>5928</v>
      </c>
      <c r="BW72" s="1175"/>
      <c r="BX72" s="1107" t="s">
        <v>38</v>
      </c>
      <c r="BY72" s="1449"/>
      <c r="BZ72" s="1657">
        <v>0</v>
      </c>
      <c r="CA72" s="1469"/>
      <c r="CB72" s="1107" t="s">
        <v>38</v>
      </c>
      <c r="CC72" s="1449"/>
      <c r="CD72" s="1110">
        <f t="shared" si="18"/>
        <v>217.14285714285714</v>
      </c>
      <c r="CE72" s="1690"/>
      <c r="CF72" s="1578">
        <f t="shared" si="13"/>
        <v>110.20000000000002</v>
      </c>
      <c r="CG72" s="1175"/>
      <c r="CH72" s="1442">
        <f t="shared" si="20"/>
        <v>1.2579908675799089E-2</v>
      </c>
      <c r="CI72" s="1467"/>
      <c r="CJ72" s="1117" t="s">
        <v>38</v>
      </c>
      <c r="CK72" s="1468"/>
      <c r="CL72" s="1173">
        <f t="shared" si="14"/>
        <v>24874</v>
      </c>
      <c r="CM72" s="1447"/>
      <c r="CN72" s="1469" t="s">
        <v>38</v>
      </c>
      <c r="CO72" s="1468"/>
      <c r="CP72" s="1092">
        <f t="shared" si="15"/>
        <v>24874</v>
      </c>
      <c r="CQ72" s="1175"/>
      <c r="CR72" s="1117" t="s">
        <v>38</v>
      </c>
      <c r="CS72" s="1468"/>
      <c r="CT72" s="1173">
        <f t="shared" si="16"/>
        <v>0</v>
      </c>
      <c r="CU72" s="1175"/>
      <c r="CV72" s="1117" t="s">
        <v>38</v>
      </c>
      <c r="CW72" s="1468"/>
      <c r="CX72" s="1173">
        <f t="shared" si="17"/>
        <v>225.71687840290377</v>
      </c>
      <c r="CY72" s="1464"/>
      <c r="CZ72" s="512"/>
      <c r="DA72" s="513"/>
      <c r="DB72" s="229"/>
      <c r="DC72" s="515"/>
      <c r="DD72" s="506"/>
      <c r="DE72" s="231"/>
      <c r="DF72" s="293"/>
      <c r="DG72" s="230"/>
      <c r="DH72" s="506"/>
      <c r="DI72" s="208"/>
      <c r="DJ72" s="293"/>
      <c r="DK72" s="230"/>
      <c r="DL72" s="506"/>
      <c r="DM72" s="208"/>
      <c r="DN72" s="293"/>
      <c r="DO72" s="230"/>
      <c r="DP72" s="237"/>
      <c r="DQ72" s="731"/>
      <c r="DR72" s="242"/>
      <c r="DS72" s="517"/>
      <c r="DT72" s="293"/>
      <c r="DU72" s="230"/>
      <c r="DV72" s="509"/>
      <c r="DW72" s="510"/>
      <c r="DX72" s="409"/>
      <c r="DY72" s="559"/>
      <c r="DZ72" s="509"/>
      <c r="EA72" s="510"/>
      <c r="EB72" s="293"/>
      <c r="EC72" s="230"/>
      <c r="ED72" s="244"/>
      <c r="EE72" s="732"/>
      <c r="EF72" s="244"/>
      <c r="EG72" s="557"/>
      <c r="EH72" s="298"/>
      <c r="EI72" s="521"/>
    </row>
    <row r="73" spans="1:139" x14ac:dyDescent="0.25">
      <c r="A73" s="83"/>
      <c r="B73" s="523"/>
      <c r="C73" s="524" t="s">
        <v>40</v>
      </c>
      <c r="D73" s="234">
        <v>27.5</v>
      </c>
      <c r="E73" s="228"/>
      <c r="F73" s="246">
        <v>1.2597343105817681E-2</v>
      </c>
      <c r="G73" s="228"/>
      <c r="H73" s="293" t="s">
        <v>38</v>
      </c>
      <c r="I73" s="230" t="s">
        <v>38</v>
      </c>
      <c r="J73" s="298">
        <v>384</v>
      </c>
      <c r="K73" s="507"/>
      <c r="L73" s="409" t="s">
        <v>38</v>
      </c>
      <c r="M73" s="559" t="s">
        <v>38</v>
      </c>
      <c r="N73" s="506">
        <v>384</v>
      </c>
      <c r="O73" s="507"/>
      <c r="P73" s="293" t="s">
        <v>38</v>
      </c>
      <c r="Q73" s="230" t="s">
        <v>38</v>
      </c>
      <c r="R73" s="506">
        <v>0</v>
      </c>
      <c r="S73" s="208"/>
      <c r="T73" s="293" t="s">
        <v>38</v>
      </c>
      <c r="U73" s="230" t="s">
        <v>38</v>
      </c>
      <c r="V73" s="509">
        <v>13.963636363636363</v>
      </c>
      <c r="W73" s="509"/>
      <c r="X73" s="234">
        <v>30.8</v>
      </c>
      <c r="Y73" s="228"/>
      <c r="Z73" s="246">
        <v>1.4102564102564103E-2</v>
      </c>
      <c r="AA73" s="228"/>
      <c r="AB73" s="293" t="s">
        <v>38</v>
      </c>
      <c r="AC73" s="230" t="s">
        <v>38</v>
      </c>
      <c r="AD73" s="298">
        <v>470</v>
      </c>
      <c r="AE73" s="507"/>
      <c r="AF73" s="409" t="s">
        <v>38</v>
      </c>
      <c r="AG73" s="559" t="s">
        <v>38</v>
      </c>
      <c r="AH73" s="506">
        <v>470</v>
      </c>
      <c r="AI73" s="507"/>
      <c r="AJ73" s="293" t="s">
        <v>38</v>
      </c>
      <c r="AK73" s="230" t="s">
        <v>38</v>
      </c>
      <c r="AL73" s="506">
        <v>0</v>
      </c>
      <c r="AM73" s="208"/>
      <c r="AN73" s="293" t="s">
        <v>38</v>
      </c>
      <c r="AO73" s="230" t="s">
        <v>38</v>
      </c>
      <c r="AP73" s="509">
        <v>15.25974025974026</v>
      </c>
      <c r="AQ73" s="509"/>
      <c r="AR73" s="1440">
        <v>31.1</v>
      </c>
      <c r="AS73" s="1441"/>
      <c r="AT73" s="1442">
        <f>AR73/2183</f>
        <v>1.4246449839670178E-2</v>
      </c>
      <c r="AU73" s="1441"/>
      <c r="AV73" s="1107" t="s">
        <v>38</v>
      </c>
      <c r="AW73" s="1449"/>
      <c r="AX73" s="1107">
        <f t="shared" si="11"/>
        <v>350</v>
      </c>
      <c r="AY73" s="1175"/>
      <c r="AZ73" s="1092" t="s">
        <v>38</v>
      </c>
      <c r="BA73" s="1446"/>
      <c r="BB73" s="1173">
        <v>350</v>
      </c>
      <c r="BC73" s="1469"/>
      <c r="BD73" s="1107" t="s">
        <v>38</v>
      </c>
      <c r="BE73" s="1449"/>
      <c r="BF73" s="1173">
        <v>0</v>
      </c>
      <c r="BG73" s="1175"/>
      <c r="BH73" s="1107" t="s">
        <v>38</v>
      </c>
      <c r="BI73" s="1449"/>
      <c r="BJ73" s="1110">
        <f t="shared" si="19"/>
        <v>11.254019292604502</v>
      </c>
      <c r="BK73" s="1110"/>
      <c r="BL73" s="1440">
        <v>31</v>
      </c>
      <c r="BM73" s="1441"/>
      <c r="BN73" s="1442">
        <f>BL73/2209</f>
        <v>1.403349932095971E-2</v>
      </c>
      <c r="BO73" s="1441"/>
      <c r="BP73" s="1107" t="s">
        <v>38</v>
      </c>
      <c r="BQ73" s="1449"/>
      <c r="BR73" s="1115">
        <f t="shared" si="12"/>
        <v>350</v>
      </c>
      <c r="BS73" s="1469"/>
      <c r="BT73" s="1117" t="s">
        <v>38</v>
      </c>
      <c r="BU73" s="1468"/>
      <c r="BV73" s="1173">
        <v>350</v>
      </c>
      <c r="BW73" s="1469"/>
      <c r="BX73" s="1107" t="s">
        <v>38</v>
      </c>
      <c r="BY73" s="1449"/>
      <c r="BZ73" s="1173">
        <v>0</v>
      </c>
      <c r="CA73" s="1175"/>
      <c r="CB73" s="1107" t="s">
        <v>38</v>
      </c>
      <c r="CC73" s="1449"/>
      <c r="CD73" s="1110">
        <f t="shared" si="18"/>
        <v>11.290322580645162</v>
      </c>
      <c r="CE73" s="1690"/>
      <c r="CF73" s="1578">
        <f t="shared" si="13"/>
        <v>120.4</v>
      </c>
      <c r="CG73" s="1175"/>
      <c r="CH73" s="1442">
        <f t="shared" si="20"/>
        <v>1.3744292237442923E-2</v>
      </c>
      <c r="CI73" s="1467"/>
      <c r="CJ73" s="1117" t="s">
        <v>38</v>
      </c>
      <c r="CK73" s="1468"/>
      <c r="CL73" s="1173">
        <f t="shared" si="14"/>
        <v>1554</v>
      </c>
      <c r="CM73" s="1447"/>
      <c r="CN73" s="1469" t="s">
        <v>38</v>
      </c>
      <c r="CO73" s="1468"/>
      <c r="CP73" s="1092">
        <f t="shared" si="15"/>
        <v>1554</v>
      </c>
      <c r="CQ73" s="1175"/>
      <c r="CR73" s="1117" t="s">
        <v>38</v>
      </c>
      <c r="CS73" s="1468"/>
      <c r="CT73" s="1173">
        <f t="shared" si="16"/>
        <v>0</v>
      </c>
      <c r="CU73" s="1175"/>
      <c r="CV73" s="1117" t="s">
        <v>38</v>
      </c>
      <c r="CW73" s="1468"/>
      <c r="CX73" s="1173">
        <f t="shared" si="17"/>
        <v>12.906976744186046</v>
      </c>
      <c r="CY73" s="1464"/>
      <c r="CZ73" s="512"/>
      <c r="DA73" s="513"/>
      <c r="DB73" s="229"/>
      <c r="DC73" s="515"/>
      <c r="DD73" s="506"/>
      <c r="DE73" s="231"/>
      <c r="DF73" s="293"/>
      <c r="DG73" s="230"/>
      <c r="DH73" s="506"/>
      <c r="DI73" s="208"/>
      <c r="DJ73" s="293"/>
      <c r="DK73" s="230"/>
      <c r="DL73" s="506"/>
      <c r="DM73" s="208"/>
      <c r="DN73" s="293"/>
      <c r="DO73" s="230"/>
      <c r="DP73" s="237"/>
      <c r="DQ73" s="731"/>
      <c r="DR73" s="242"/>
      <c r="DS73" s="517"/>
      <c r="DT73" s="293"/>
      <c r="DU73" s="230"/>
      <c r="DV73" s="509"/>
      <c r="DW73" s="510"/>
      <c r="DX73" s="406"/>
      <c r="DY73" s="505"/>
      <c r="DZ73" s="509"/>
      <c r="EA73" s="510"/>
      <c r="EB73" s="293"/>
      <c r="EC73" s="230"/>
      <c r="ED73" s="244"/>
      <c r="EE73" s="732"/>
      <c r="EF73" s="244"/>
      <c r="EG73" s="557"/>
      <c r="EH73" s="285"/>
      <c r="EI73" s="249"/>
    </row>
    <row r="74" spans="1:139" x14ac:dyDescent="0.25">
      <c r="A74" s="83"/>
      <c r="B74" s="523"/>
      <c r="C74" s="524" t="s">
        <v>41</v>
      </c>
      <c r="D74" s="234">
        <v>16.3</v>
      </c>
      <c r="E74" s="228"/>
      <c r="F74" s="246">
        <v>7.4667888227210261E-3</v>
      </c>
      <c r="G74" s="228"/>
      <c r="H74" s="293" t="s">
        <v>38</v>
      </c>
      <c r="I74" s="230" t="s">
        <v>38</v>
      </c>
      <c r="J74" s="298">
        <v>1123</v>
      </c>
      <c r="K74" s="507"/>
      <c r="L74" s="409" t="s">
        <v>38</v>
      </c>
      <c r="M74" s="559" t="s">
        <v>38</v>
      </c>
      <c r="N74" s="506">
        <v>1123</v>
      </c>
      <c r="O74" s="507"/>
      <c r="P74" s="293" t="s">
        <v>38</v>
      </c>
      <c r="Q74" s="230" t="s">
        <v>38</v>
      </c>
      <c r="R74" s="506">
        <v>0</v>
      </c>
      <c r="S74" s="208"/>
      <c r="T74" s="293" t="s">
        <v>38</v>
      </c>
      <c r="U74" s="230" t="s">
        <v>38</v>
      </c>
      <c r="V74" s="509">
        <v>68.895705521472394</v>
      </c>
      <c r="W74" s="509"/>
      <c r="X74" s="234">
        <v>16.8</v>
      </c>
      <c r="Y74" s="228"/>
      <c r="Z74" s="246">
        <v>7.6923076923076927E-3</v>
      </c>
      <c r="AA74" s="228"/>
      <c r="AB74" s="293" t="s">
        <v>38</v>
      </c>
      <c r="AC74" s="230" t="s">
        <v>38</v>
      </c>
      <c r="AD74" s="298">
        <v>1179</v>
      </c>
      <c r="AE74" s="507"/>
      <c r="AF74" s="409" t="s">
        <v>38</v>
      </c>
      <c r="AG74" s="559" t="s">
        <v>38</v>
      </c>
      <c r="AH74" s="506">
        <v>1179</v>
      </c>
      <c r="AI74" s="507"/>
      <c r="AJ74" s="293" t="s">
        <v>38</v>
      </c>
      <c r="AK74" s="230" t="s">
        <v>38</v>
      </c>
      <c r="AL74" s="506">
        <v>0</v>
      </c>
      <c r="AM74" s="208"/>
      <c r="AN74" s="293" t="s">
        <v>38</v>
      </c>
      <c r="AO74" s="230" t="s">
        <v>38</v>
      </c>
      <c r="AP74" s="509">
        <v>70.178571428571431</v>
      </c>
      <c r="AQ74" s="509"/>
      <c r="AR74" s="1440">
        <v>15.3</v>
      </c>
      <c r="AS74" s="1441"/>
      <c r="AT74" s="1442">
        <f>AR74/2183</f>
        <v>7.0087036188731106E-3</v>
      </c>
      <c r="AU74" s="1441"/>
      <c r="AV74" s="1107" t="s">
        <v>38</v>
      </c>
      <c r="AW74" s="1449"/>
      <c r="AX74" s="1107">
        <f t="shared" si="11"/>
        <v>985</v>
      </c>
      <c r="AY74" s="1175"/>
      <c r="AZ74" s="1092" t="s">
        <v>38</v>
      </c>
      <c r="BA74" s="1446"/>
      <c r="BB74" s="1173">
        <v>985</v>
      </c>
      <c r="BC74" s="1469"/>
      <c r="BD74" s="1107" t="s">
        <v>38</v>
      </c>
      <c r="BE74" s="1449"/>
      <c r="BF74" s="1173">
        <v>0</v>
      </c>
      <c r="BG74" s="1175"/>
      <c r="BH74" s="1107" t="s">
        <v>38</v>
      </c>
      <c r="BI74" s="1449"/>
      <c r="BJ74" s="1110">
        <f t="shared" si="19"/>
        <v>64.379084967320253</v>
      </c>
      <c r="BK74" s="1110"/>
      <c r="BL74" s="1440">
        <v>18</v>
      </c>
      <c r="BM74" s="1441"/>
      <c r="BN74" s="1442">
        <f>BL74/2209</f>
        <v>8.148483476686284E-3</v>
      </c>
      <c r="BO74" s="1441"/>
      <c r="BP74" s="1107" t="s">
        <v>38</v>
      </c>
      <c r="BQ74" s="1449"/>
      <c r="BR74" s="1115">
        <f t="shared" si="12"/>
        <v>1011</v>
      </c>
      <c r="BS74" s="1469"/>
      <c r="BT74" s="1117" t="s">
        <v>38</v>
      </c>
      <c r="BU74" s="1468"/>
      <c r="BV74" s="1173">
        <v>1011</v>
      </c>
      <c r="BW74" s="1469"/>
      <c r="BX74" s="1107" t="s">
        <v>38</v>
      </c>
      <c r="BY74" s="1449"/>
      <c r="BZ74" s="1173">
        <v>0</v>
      </c>
      <c r="CA74" s="1175"/>
      <c r="CB74" s="1107" t="s">
        <v>38</v>
      </c>
      <c r="CC74" s="1449"/>
      <c r="CD74" s="1110">
        <f t="shared" si="18"/>
        <v>56.166666666666664</v>
      </c>
      <c r="CE74" s="1690"/>
      <c r="CF74" s="1578">
        <f t="shared" si="13"/>
        <v>66.399999999999991</v>
      </c>
      <c r="CG74" s="1175"/>
      <c r="CH74" s="1442">
        <f t="shared" si="20"/>
        <v>7.5799086757990857E-3</v>
      </c>
      <c r="CI74" s="1467"/>
      <c r="CJ74" s="1117" t="s">
        <v>38</v>
      </c>
      <c r="CK74" s="1468"/>
      <c r="CL74" s="1173">
        <f t="shared" si="14"/>
        <v>4298</v>
      </c>
      <c r="CM74" s="1447"/>
      <c r="CN74" s="1469" t="s">
        <v>38</v>
      </c>
      <c r="CO74" s="1468"/>
      <c r="CP74" s="1092">
        <f t="shared" si="15"/>
        <v>4298</v>
      </c>
      <c r="CQ74" s="1175"/>
      <c r="CR74" s="1117" t="s">
        <v>38</v>
      </c>
      <c r="CS74" s="1468"/>
      <c r="CT74" s="1173">
        <f t="shared" si="16"/>
        <v>0</v>
      </c>
      <c r="CU74" s="1175"/>
      <c r="CV74" s="1117" t="s">
        <v>38</v>
      </c>
      <c r="CW74" s="1468"/>
      <c r="CX74" s="1173">
        <f t="shared" si="17"/>
        <v>64.728915662650607</v>
      </c>
      <c r="CY74" s="1464"/>
      <c r="CZ74" s="512"/>
      <c r="DA74" s="513"/>
      <c r="DB74" s="229"/>
      <c r="DC74" s="515"/>
      <c r="DD74" s="506"/>
      <c r="DE74" s="231"/>
      <c r="DF74" s="293"/>
      <c r="DG74" s="230"/>
      <c r="DH74" s="506"/>
      <c r="DI74" s="208"/>
      <c r="DJ74" s="293"/>
      <c r="DK74" s="230"/>
      <c r="DL74" s="506"/>
      <c r="DM74" s="208"/>
      <c r="DN74" s="293"/>
      <c r="DO74" s="230"/>
      <c r="DP74" s="237"/>
      <c r="DQ74" s="731"/>
      <c r="DR74" s="242"/>
      <c r="DS74" s="517"/>
      <c r="DT74" s="293"/>
      <c r="DU74" s="230"/>
      <c r="DV74" s="509"/>
      <c r="DW74" s="510"/>
      <c r="DX74" s="409"/>
      <c r="DY74" s="559"/>
      <c r="DZ74" s="509"/>
      <c r="EA74" s="510"/>
      <c r="EB74" s="293"/>
      <c r="EC74" s="230"/>
      <c r="ED74" s="244"/>
      <c r="EE74" s="732"/>
      <c r="EF74" s="244"/>
      <c r="EG74" s="557"/>
      <c r="EH74" s="298"/>
      <c r="EI74" s="521"/>
    </row>
    <row r="75" spans="1:139" x14ac:dyDescent="0.25">
      <c r="A75" s="83"/>
      <c r="B75" s="23"/>
      <c r="C75" s="524" t="s">
        <v>42</v>
      </c>
      <c r="D75" s="234">
        <v>14.4</v>
      </c>
      <c r="E75" s="228"/>
      <c r="F75" s="246">
        <v>6.5964269354099863E-3</v>
      </c>
      <c r="G75" s="228"/>
      <c r="H75" s="293" t="s">
        <v>38</v>
      </c>
      <c r="I75" s="230" t="s">
        <v>38</v>
      </c>
      <c r="J75" s="298">
        <v>1232</v>
      </c>
      <c r="K75" s="507"/>
      <c r="L75" s="409" t="s">
        <v>38</v>
      </c>
      <c r="M75" s="559" t="s">
        <v>38</v>
      </c>
      <c r="N75" s="506">
        <v>1232</v>
      </c>
      <c r="O75" s="522"/>
      <c r="P75" s="293" t="s">
        <v>38</v>
      </c>
      <c r="Q75" s="230" t="s">
        <v>38</v>
      </c>
      <c r="R75" s="506">
        <v>0</v>
      </c>
      <c r="S75" s="208"/>
      <c r="T75" s="293" t="s">
        <v>38</v>
      </c>
      <c r="U75" s="230" t="s">
        <v>38</v>
      </c>
      <c r="V75" s="509">
        <v>85.555555555555557</v>
      </c>
      <c r="W75" s="509"/>
      <c r="X75" s="234">
        <v>14.4</v>
      </c>
      <c r="Y75" s="228"/>
      <c r="Z75" s="246">
        <v>6.5934065934065934E-3</v>
      </c>
      <c r="AA75" s="228"/>
      <c r="AB75" s="293" t="s">
        <v>38</v>
      </c>
      <c r="AC75" s="230" t="s">
        <v>38</v>
      </c>
      <c r="AD75" s="298">
        <v>1258</v>
      </c>
      <c r="AE75" s="507"/>
      <c r="AF75" s="409" t="s">
        <v>38</v>
      </c>
      <c r="AG75" s="559" t="s">
        <v>38</v>
      </c>
      <c r="AH75" s="506">
        <v>1258</v>
      </c>
      <c r="AI75" s="522"/>
      <c r="AJ75" s="293" t="s">
        <v>38</v>
      </c>
      <c r="AK75" s="230" t="s">
        <v>38</v>
      </c>
      <c r="AL75" s="506">
        <v>0</v>
      </c>
      <c r="AM75" s="208"/>
      <c r="AN75" s="293" t="s">
        <v>38</v>
      </c>
      <c r="AO75" s="230" t="s">
        <v>38</v>
      </c>
      <c r="AP75" s="509">
        <v>87.361111111111114</v>
      </c>
      <c r="AQ75" s="509"/>
      <c r="AR75" s="1440">
        <v>14.7</v>
      </c>
      <c r="AS75" s="1441"/>
      <c r="AT75" s="1442">
        <f>AR75/2183</f>
        <v>6.7338524965643611E-3</v>
      </c>
      <c r="AU75" s="1441"/>
      <c r="AV75" s="1107" t="s">
        <v>38</v>
      </c>
      <c r="AW75" s="1449"/>
      <c r="AX75" s="1107">
        <f t="shared" si="11"/>
        <v>1182</v>
      </c>
      <c r="AY75" s="1175"/>
      <c r="AZ75" s="1092" t="s">
        <v>38</v>
      </c>
      <c r="BA75" s="1446"/>
      <c r="BB75" s="1173">
        <v>1182</v>
      </c>
      <c r="BC75" s="1656"/>
      <c r="BD75" s="1107" t="s">
        <v>38</v>
      </c>
      <c r="BE75" s="1449"/>
      <c r="BF75" s="1173">
        <v>0</v>
      </c>
      <c r="BG75" s="1175"/>
      <c r="BH75" s="1107" t="s">
        <v>38</v>
      </c>
      <c r="BI75" s="1449"/>
      <c r="BJ75" s="1110">
        <f t="shared" si="19"/>
        <v>80.408163265306129</v>
      </c>
      <c r="BK75" s="1110"/>
      <c r="BL75" s="1440">
        <v>14.6</v>
      </c>
      <c r="BM75" s="1441"/>
      <c r="BN75" s="1442">
        <f>BL75/2209</f>
        <v>6.6093254866455408E-3</v>
      </c>
      <c r="BO75" s="1441"/>
      <c r="BP75" s="1107" t="s">
        <v>38</v>
      </c>
      <c r="BQ75" s="1449"/>
      <c r="BR75" s="1115">
        <f t="shared" si="12"/>
        <v>1181</v>
      </c>
      <c r="BS75" s="1469"/>
      <c r="BT75" s="1117" t="s">
        <v>38</v>
      </c>
      <c r="BU75" s="1468"/>
      <c r="BV75" s="1173">
        <v>1181</v>
      </c>
      <c r="BW75" s="1656"/>
      <c r="BX75" s="1107" t="s">
        <v>38</v>
      </c>
      <c r="BY75" s="1449"/>
      <c r="BZ75" s="1173">
        <v>0</v>
      </c>
      <c r="CA75" s="1175"/>
      <c r="CB75" s="1107" t="s">
        <v>38</v>
      </c>
      <c r="CC75" s="1449"/>
      <c r="CD75" s="1110">
        <f t="shared" si="18"/>
        <v>80.890410958904113</v>
      </c>
      <c r="CE75" s="1690"/>
      <c r="CF75" s="1578">
        <f t="shared" si="13"/>
        <v>58.099999999999994</v>
      </c>
      <c r="CG75" s="1175"/>
      <c r="CH75" s="1442">
        <f t="shared" si="20"/>
        <v>6.6324200913241999E-3</v>
      </c>
      <c r="CI75" s="1467"/>
      <c r="CJ75" s="1117" t="s">
        <v>38</v>
      </c>
      <c r="CK75" s="1468"/>
      <c r="CL75" s="1173">
        <f t="shared" si="14"/>
        <v>4853</v>
      </c>
      <c r="CM75" s="1447"/>
      <c r="CN75" s="1469" t="s">
        <v>38</v>
      </c>
      <c r="CO75" s="1468"/>
      <c r="CP75" s="1092">
        <f t="shared" si="15"/>
        <v>4853</v>
      </c>
      <c r="CQ75" s="1175"/>
      <c r="CR75" s="1117" t="s">
        <v>38</v>
      </c>
      <c r="CS75" s="1468"/>
      <c r="CT75" s="1173">
        <f t="shared" si="16"/>
        <v>0</v>
      </c>
      <c r="CU75" s="1175"/>
      <c r="CV75" s="1117" t="s">
        <v>38</v>
      </c>
      <c r="CW75" s="1468"/>
      <c r="CX75" s="1173">
        <f t="shared" si="17"/>
        <v>83.528399311531857</v>
      </c>
      <c r="CY75" s="1464"/>
      <c r="CZ75" s="512"/>
      <c r="DA75" s="513"/>
      <c r="DB75" s="229"/>
      <c r="DC75" s="515"/>
      <c r="DD75" s="506"/>
      <c r="DE75" s="231"/>
      <c r="DF75" s="293"/>
      <c r="DG75" s="230"/>
      <c r="DH75" s="506"/>
      <c r="DI75" s="208"/>
      <c r="DJ75" s="293"/>
      <c r="DK75" s="230"/>
      <c r="DL75" s="506"/>
      <c r="DM75" s="208"/>
      <c r="DN75" s="293"/>
      <c r="DO75" s="230"/>
      <c r="DP75" s="237"/>
      <c r="DQ75" s="731"/>
      <c r="DR75" s="242"/>
      <c r="DS75" s="517"/>
      <c r="DT75" s="293"/>
      <c r="DU75" s="230"/>
      <c r="DV75" s="509"/>
      <c r="DW75" s="510"/>
      <c r="DX75" s="409"/>
      <c r="DY75" s="559"/>
      <c r="DZ75" s="509"/>
      <c r="EA75" s="510"/>
      <c r="EB75" s="293"/>
      <c r="EC75" s="230"/>
      <c r="ED75" s="244"/>
      <c r="EE75" s="732"/>
      <c r="EF75" s="244"/>
      <c r="EG75" s="557"/>
      <c r="EH75" s="298"/>
      <c r="EI75" s="521"/>
    </row>
    <row r="76" spans="1:139" x14ac:dyDescent="0.25">
      <c r="A76" s="84"/>
      <c r="B76" s="196"/>
      <c r="C76" s="733" t="s">
        <v>43</v>
      </c>
      <c r="D76" s="350">
        <v>12.7</v>
      </c>
      <c r="E76" s="351"/>
      <c r="F76" s="352">
        <v>5.8176820888685291E-3</v>
      </c>
      <c r="G76" s="351"/>
      <c r="H76" s="353" t="s">
        <v>38</v>
      </c>
      <c r="I76" s="354" t="s">
        <v>38</v>
      </c>
      <c r="J76" s="355">
        <v>0</v>
      </c>
      <c r="K76" s="734"/>
      <c r="L76" s="420" t="s">
        <v>38</v>
      </c>
      <c r="M76" s="735" t="s">
        <v>38</v>
      </c>
      <c r="N76" s="736">
        <v>0</v>
      </c>
      <c r="O76" s="737"/>
      <c r="P76" s="353" t="s">
        <v>38</v>
      </c>
      <c r="Q76" s="354" t="s">
        <v>38</v>
      </c>
      <c r="R76" s="736">
        <v>0</v>
      </c>
      <c r="S76" s="738"/>
      <c r="T76" s="353" t="s">
        <v>38</v>
      </c>
      <c r="U76" s="354" t="s">
        <v>38</v>
      </c>
      <c r="V76" s="736">
        <v>0</v>
      </c>
      <c r="W76" s="739"/>
      <c r="X76" s="350">
        <v>12.8</v>
      </c>
      <c r="Y76" s="351"/>
      <c r="Z76" s="740">
        <v>5.8608058608058608E-3</v>
      </c>
      <c r="AA76" s="351"/>
      <c r="AB76" s="353" t="s">
        <v>38</v>
      </c>
      <c r="AC76" s="354" t="s">
        <v>38</v>
      </c>
      <c r="AD76" s="355">
        <v>0</v>
      </c>
      <c r="AE76" s="734"/>
      <c r="AF76" s="420" t="s">
        <v>38</v>
      </c>
      <c r="AG76" s="735" t="s">
        <v>38</v>
      </c>
      <c r="AH76" s="736">
        <v>0</v>
      </c>
      <c r="AI76" s="737"/>
      <c r="AJ76" s="353" t="s">
        <v>38</v>
      </c>
      <c r="AK76" s="354" t="s">
        <v>38</v>
      </c>
      <c r="AL76" s="736">
        <v>0</v>
      </c>
      <c r="AM76" s="738"/>
      <c r="AN76" s="353" t="s">
        <v>38</v>
      </c>
      <c r="AO76" s="354" t="s">
        <v>38</v>
      </c>
      <c r="AP76" s="736">
        <v>0</v>
      </c>
      <c r="AQ76" s="739"/>
      <c r="AR76" s="1579">
        <v>12.8</v>
      </c>
      <c r="AS76" s="1580"/>
      <c r="AT76" s="1581">
        <f>AR76/2183</f>
        <v>5.8634906092533213E-3</v>
      </c>
      <c r="AU76" s="1580"/>
      <c r="AV76" s="1192" t="s">
        <v>38</v>
      </c>
      <c r="AW76" s="1582"/>
      <c r="AX76" s="1192">
        <f t="shared" si="11"/>
        <v>0</v>
      </c>
      <c r="AY76" s="1182"/>
      <c r="AZ76" s="1583" t="s">
        <v>38</v>
      </c>
      <c r="BA76" s="1673"/>
      <c r="BB76" s="1179">
        <v>0</v>
      </c>
      <c r="BC76" s="1674"/>
      <c r="BD76" s="1192" t="s">
        <v>38</v>
      </c>
      <c r="BE76" s="1582"/>
      <c r="BF76" s="1179">
        <v>0</v>
      </c>
      <c r="BG76" s="1182"/>
      <c r="BH76" s="1192" t="s">
        <v>38</v>
      </c>
      <c r="BI76" s="1582"/>
      <c r="BJ76" s="1179">
        <f t="shared" si="19"/>
        <v>0</v>
      </c>
      <c r="BK76" s="1675"/>
      <c r="BL76" s="1579">
        <v>12.7</v>
      </c>
      <c r="BM76" s="1580"/>
      <c r="BN76" s="1581">
        <f>BL76/2209</f>
        <v>5.7492077863286551E-3</v>
      </c>
      <c r="BO76" s="1580"/>
      <c r="BP76" s="1192" t="s">
        <v>38</v>
      </c>
      <c r="BQ76" s="1582"/>
      <c r="BR76" s="1584">
        <f t="shared" si="12"/>
        <v>0</v>
      </c>
      <c r="BS76" s="1589"/>
      <c r="BT76" s="1194" t="s">
        <v>38</v>
      </c>
      <c r="BU76" s="1587"/>
      <c r="BV76" s="1179">
        <v>0</v>
      </c>
      <c r="BW76" s="1674"/>
      <c r="BX76" s="1192" t="s">
        <v>38</v>
      </c>
      <c r="BY76" s="1582"/>
      <c r="BZ76" s="1179">
        <v>0</v>
      </c>
      <c r="CA76" s="1182"/>
      <c r="CB76" s="1192" t="s">
        <v>38</v>
      </c>
      <c r="CC76" s="1582"/>
      <c r="CD76" s="1179">
        <f t="shared" si="18"/>
        <v>0</v>
      </c>
      <c r="CE76" s="1691"/>
      <c r="CF76" s="1585">
        <f t="shared" si="13"/>
        <v>51</v>
      </c>
      <c r="CG76" s="1182"/>
      <c r="CH76" s="1581">
        <f t="shared" si="20"/>
        <v>5.8219178082191785E-3</v>
      </c>
      <c r="CI76" s="1586"/>
      <c r="CJ76" s="1194" t="s">
        <v>38</v>
      </c>
      <c r="CK76" s="1587"/>
      <c r="CL76" s="1179">
        <f t="shared" si="14"/>
        <v>0</v>
      </c>
      <c r="CM76" s="1588"/>
      <c r="CN76" s="1589" t="s">
        <v>38</v>
      </c>
      <c r="CO76" s="1587"/>
      <c r="CP76" s="1583">
        <f t="shared" si="15"/>
        <v>0</v>
      </c>
      <c r="CQ76" s="1182"/>
      <c r="CR76" s="1194" t="s">
        <v>38</v>
      </c>
      <c r="CS76" s="1587"/>
      <c r="CT76" s="1179">
        <f t="shared" si="16"/>
        <v>0</v>
      </c>
      <c r="CU76" s="1182"/>
      <c r="CV76" s="1194" t="s">
        <v>38</v>
      </c>
      <c r="CW76" s="1587"/>
      <c r="CX76" s="1179">
        <f t="shared" si="17"/>
        <v>0</v>
      </c>
      <c r="CY76" s="1590"/>
      <c r="CZ76" s="747"/>
      <c r="DA76" s="748"/>
      <c r="DB76" s="229"/>
      <c r="DC76" s="749"/>
      <c r="DD76" s="750"/>
      <c r="DE76" s="750"/>
      <c r="DF76" s="353"/>
      <c r="DG76" s="354"/>
      <c r="DH76" s="736"/>
      <c r="DI76" s="738"/>
      <c r="DJ76" s="353"/>
      <c r="DK76" s="354"/>
      <c r="DL76" s="736"/>
      <c r="DM76" s="738"/>
      <c r="DN76" s="353"/>
      <c r="DO76" s="354"/>
      <c r="DP76" s="736"/>
      <c r="DQ76" s="739"/>
      <c r="DR76" s="751"/>
      <c r="DS76" s="752"/>
      <c r="DT76" s="353"/>
      <c r="DU76" s="354"/>
      <c r="DV76" s="745"/>
      <c r="DW76" s="352"/>
      <c r="DX76" s="420"/>
      <c r="DY76" s="735"/>
      <c r="DZ76" s="745"/>
      <c r="EA76" s="352"/>
      <c r="EB76" s="353"/>
      <c r="EC76" s="354"/>
      <c r="ED76" s="753"/>
      <c r="EE76" s="754"/>
      <c r="EF76" s="753"/>
      <c r="EG76" s="385"/>
      <c r="EH76" s="355"/>
      <c r="EI76" s="755"/>
    </row>
    <row r="77" spans="1:139" x14ac:dyDescent="0.25">
      <c r="A77" s="2244" t="s">
        <v>62</v>
      </c>
      <c r="B77" s="81" t="s">
        <v>63</v>
      </c>
      <c r="C77" s="82"/>
      <c r="D77" s="345">
        <v>24.8</v>
      </c>
      <c r="E77" s="346"/>
      <c r="F77" s="216">
        <v>2.2551810055561113E-3</v>
      </c>
      <c r="G77" s="346"/>
      <c r="H77" s="347" t="s">
        <v>38</v>
      </c>
      <c r="I77" s="348" t="s">
        <v>38</v>
      </c>
      <c r="J77" s="349">
        <v>327</v>
      </c>
      <c r="K77" s="709"/>
      <c r="L77" s="419" t="s">
        <v>38</v>
      </c>
      <c r="M77" s="756" t="s">
        <v>38</v>
      </c>
      <c r="N77" s="757">
        <v>327</v>
      </c>
      <c r="O77" s="758"/>
      <c r="P77" s="347" t="s">
        <v>38</v>
      </c>
      <c r="Q77" s="348" t="s">
        <v>38</v>
      </c>
      <c r="R77" s="759">
        <v>0</v>
      </c>
      <c r="S77" s="758"/>
      <c r="T77" s="347" t="s">
        <v>38</v>
      </c>
      <c r="U77" s="348" t="s">
        <v>38</v>
      </c>
      <c r="V77" s="713">
        <v>13.185483870967742</v>
      </c>
      <c r="W77" s="713"/>
      <c r="X77" s="345">
        <v>27.9</v>
      </c>
      <c r="Y77" s="346"/>
      <c r="Z77" s="252">
        <v>2.5359256128486898E-3</v>
      </c>
      <c r="AA77" s="346"/>
      <c r="AB77" s="347" t="s">
        <v>38</v>
      </c>
      <c r="AC77" s="348" t="s">
        <v>38</v>
      </c>
      <c r="AD77" s="349">
        <v>420</v>
      </c>
      <c r="AE77" s="709"/>
      <c r="AF77" s="419" t="s">
        <v>38</v>
      </c>
      <c r="AG77" s="756" t="s">
        <v>38</v>
      </c>
      <c r="AH77" s="757">
        <v>420</v>
      </c>
      <c r="AI77" s="758"/>
      <c r="AJ77" s="347" t="s">
        <v>38</v>
      </c>
      <c r="AK77" s="348" t="s">
        <v>38</v>
      </c>
      <c r="AL77" s="759">
        <v>0</v>
      </c>
      <c r="AM77" s="758"/>
      <c r="AN77" s="347" t="s">
        <v>38</v>
      </c>
      <c r="AO77" s="348" t="s">
        <v>38</v>
      </c>
      <c r="AP77" s="713">
        <v>15.053763440860216</v>
      </c>
      <c r="AQ77" s="713"/>
      <c r="AR77" s="1567">
        <f>SUM(AR78:AR82)</f>
        <v>24.8</v>
      </c>
      <c r="AS77" s="1568"/>
      <c r="AT77" s="1569">
        <f>AR77/11106.9</f>
        <v>2.2328462487282682E-3</v>
      </c>
      <c r="AU77" s="1568"/>
      <c r="AV77" s="1185" t="s">
        <v>38</v>
      </c>
      <c r="AW77" s="1570"/>
      <c r="AX77" s="1185">
        <f t="shared" si="11"/>
        <v>274</v>
      </c>
      <c r="AY77" s="1571"/>
      <c r="AZ77" s="1188" t="s">
        <v>38</v>
      </c>
      <c r="BA77" s="1676"/>
      <c r="BB77" s="1677">
        <f>SUM(BB78:BB82)</f>
        <v>274</v>
      </c>
      <c r="BC77" s="1678"/>
      <c r="BD77" s="1185" t="s">
        <v>38</v>
      </c>
      <c r="BE77" s="1570"/>
      <c r="BF77" s="1679">
        <v>0</v>
      </c>
      <c r="BG77" s="1678"/>
      <c r="BH77" s="1185" t="s">
        <v>38</v>
      </c>
      <c r="BI77" s="1570"/>
      <c r="BJ77" s="1188">
        <f t="shared" si="19"/>
        <v>11.048387096774194</v>
      </c>
      <c r="BK77" s="1188"/>
      <c r="BL77" s="1567">
        <f>SUM(BL78:BL82)</f>
        <v>25.700000000000003</v>
      </c>
      <c r="BM77" s="1568"/>
      <c r="BN77" s="1569">
        <f>BL77/11096.9</f>
        <v>2.3159621155457834E-3</v>
      </c>
      <c r="BO77" s="1568"/>
      <c r="BP77" s="1185" t="s">
        <v>38</v>
      </c>
      <c r="BQ77" s="1570"/>
      <c r="BR77" s="1185">
        <f t="shared" si="12"/>
        <v>317</v>
      </c>
      <c r="BS77" s="1571"/>
      <c r="BT77" s="1188" t="s">
        <v>38</v>
      </c>
      <c r="BU77" s="1676"/>
      <c r="BV77" s="1677">
        <f>SUM(BV78:BV82)</f>
        <v>317</v>
      </c>
      <c r="BW77" s="1678"/>
      <c r="BX77" s="1185" t="s">
        <v>38</v>
      </c>
      <c r="BY77" s="1570"/>
      <c r="BZ77" s="1679">
        <v>0</v>
      </c>
      <c r="CA77" s="1678"/>
      <c r="CB77" s="1185" t="s">
        <v>38</v>
      </c>
      <c r="CC77" s="1570"/>
      <c r="CD77" s="1188">
        <f t="shared" si="18"/>
        <v>12.334630350194551</v>
      </c>
      <c r="CE77" s="1671"/>
      <c r="CF77" s="1567">
        <f t="shared" si="13"/>
        <v>103.2</v>
      </c>
      <c r="CG77" s="1571"/>
      <c r="CH77" s="1572">
        <f>CF77/44202.6</f>
        <v>2.3347042934126049E-3</v>
      </c>
      <c r="CI77" s="1591"/>
      <c r="CJ77" s="1188" t="s">
        <v>38</v>
      </c>
      <c r="CK77" s="1575"/>
      <c r="CL77" s="1574">
        <f t="shared" si="14"/>
        <v>1338</v>
      </c>
      <c r="CM77" s="1576"/>
      <c r="CN77" s="1571" t="s">
        <v>38</v>
      </c>
      <c r="CO77" s="1575"/>
      <c r="CP77" s="1188">
        <f t="shared" si="15"/>
        <v>1338</v>
      </c>
      <c r="CQ77" s="1571"/>
      <c r="CR77" s="1188" t="s">
        <v>38</v>
      </c>
      <c r="CS77" s="1575"/>
      <c r="CT77" s="1574">
        <f t="shared" si="16"/>
        <v>0</v>
      </c>
      <c r="CU77" s="1571"/>
      <c r="CV77" s="1188" t="s">
        <v>38</v>
      </c>
      <c r="CW77" s="1575"/>
      <c r="CX77" s="1574">
        <f t="shared" si="17"/>
        <v>12.965116279069766</v>
      </c>
      <c r="CY77" s="1577"/>
      <c r="CZ77" s="761"/>
      <c r="DA77" s="762"/>
      <c r="DB77" s="763"/>
      <c r="DC77" s="764"/>
      <c r="DD77" s="759"/>
      <c r="DE77" s="765"/>
      <c r="DF77" s="347"/>
      <c r="DG77" s="348"/>
      <c r="DH77" s="712"/>
      <c r="DI77" s="709"/>
      <c r="DJ77" s="347"/>
      <c r="DK77" s="348"/>
      <c r="DL77" s="712"/>
      <c r="DM77" s="709"/>
      <c r="DN77" s="347"/>
      <c r="DO77" s="348"/>
      <c r="DP77" s="712"/>
      <c r="DQ77" s="724"/>
      <c r="DR77" s="725"/>
      <c r="DS77" s="726"/>
      <c r="DT77" s="347"/>
      <c r="DU77" s="348"/>
      <c r="DV77" s="713"/>
      <c r="DW77" s="356"/>
      <c r="DX77" s="419"/>
      <c r="DY77" s="716"/>
      <c r="DZ77" s="713"/>
      <c r="EA77" s="356"/>
      <c r="EB77" s="347"/>
      <c r="EC77" s="348"/>
      <c r="ED77" s="419"/>
      <c r="EE77" s="727"/>
      <c r="EF77" s="419"/>
      <c r="EG77" s="728"/>
      <c r="EH77" s="349"/>
      <c r="EI77" s="729"/>
    </row>
    <row r="78" spans="1:139" x14ac:dyDescent="0.25">
      <c r="A78" s="2242"/>
      <c r="B78" s="23"/>
      <c r="C78" s="524" t="s">
        <v>39</v>
      </c>
      <c r="D78" s="234">
        <v>7.2</v>
      </c>
      <c r="E78" s="228"/>
      <c r="F78" s="246">
        <v>3.2982134677049932E-3</v>
      </c>
      <c r="G78" s="228"/>
      <c r="H78" s="293" t="s">
        <v>38</v>
      </c>
      <c r="I78" s="230" t="s">
        <v>38</v>
      </c>
      <c r="J78" s="298">
        <v>97</v>
      </c>
      <c r="K78" s="507"/>
      <c r="L78" s="409" t="s">
        <v>38</v>
      </c>
      <c r="M78" s="559" t="s">
        <v>38</v>
      </c>
      <c r="N78" s="556">
        <v>97</v>
      </c>
      <c r="O78" s="208"/>
      <c r="P78" s="293" t="s">
        <v>38</v>
      </c>
      <c r="Q78" s="230" t="s">
        <v>38</v>
      </c>
      <c r="R78" s="556">
        <v>0</v>
      </c>
      <c r="S78" s="507"/>
      <c r="T78" s="293" t="s">
        <v>38</v>
      </c>
      <c r="U78" s="230" t="s">
        <v>38</v>
      </c>
      <c r="V78" s="509">
        <v>13.472222222222221</v>
      </c>
      <c r="W78" s="509"/>
      <c r="X78" s="234">
        <v>10.4</v>
      </c>
      <c r="Y78" s="228"/>
      <c r="Z78" s="246">
        <v>4.7619047619047623E-3</v>
      </c>
      <c r="AA78" s="228"/>
      <c r="AB78" s="293" t="s">
        <v>38</v>
      </c>
      <c r="AC78" s="230" t="s">
        <v>38</v>
      </c>
      <c r="AD78" s="298">
        <v>160</v>
      </c>
      <c r="AE78" s="507"/>
      <c r="AF78" s="409" t="s">
        <v>38</v>
      </c>
      <c r="AG78" s="559" t="s">
        <v>38</v>
      </c>
      <c r="AH78" s="556">
        <v>160</v>
      </c>
      <c r="AI78" s="208"/>
      <c r="AJ78" s="293" t="s">
        <v>38</v>
      </c>
      <c r="AK78" s="230" t="s">
        <v>38</v>
      </c>
      <c r="AL78" s="556">
        <v>0</v>
      </c>
      <c r="AM78" s="507"/>
      <c r="AN78" s="293" t="s">
        <v>38</v>
      </c>
      <c r="AO78" s="230" t="s">
        <v>38</v>
      </c>
      <c r="AP78" s="509">
        <v>15.384615384615383</v>
      </c>
      <c r="AQ78" s="509"/>
      <c r="AR78" s="1440">
        <v>7.2</v>
      </c>
      <c r="AS78" s="1441"/>
      <c r="AT78" s="1442">
        <f>AR78/2183</f>
        <v>3.2982134677049932E-3</v>
      </c>
      <c r="AU78" s="1441"/>
      <c r="AV78" s="1107" t="s">
        <v>38</v>
      </c>
      <c r="AW78" s="1449"/>
      <c r="AX78" s="1107">
        <f t="shared" si="11"/>
        <v>71</v>
      </c>
      <c r="AY78" s="1175"/>
      <c r="AZ78" s="1092" t="s">
        <v>38</v>
      </c>
      <c r="BA78" s="1446"/>
      <c r="BB78" s="1173">
        <v>71</v>
      </c>
      <c r="BC78" s="1175"/>
      <c r="BD78" s="1107" t="s">
        <v>38</v>
      </c>
      <c r="BE78" s="1449"/>
      <c r="BF78" s="1657">
        <v>0</v>
      </c>
      <c r="BG78" s="1469"/>
      <c r="BH78" s="1107" t="s">
        <v>38</v>
      </c>
      <c r="BI78" s="1449"/>
      <c r="BJ78" s="1110">
        <f t="shared" si="19"/>
        <v>9.8611111111111107</v>
      </c>
      <c r="BK78" s="1110"/>
      <c r="BL78" s="1440">
        <v>7.4</v>
      </c>
      <c r="BM78" s="1441"/>
      <c r="BN78" s="1442">
        <f>BL78/2209</f>
        <v>3.3499320959710279E-3</v>
      </c>
      <c r="BO78" s="1441"/>
      <c r="BP78" s="1107" t="s">
        <v>38</v>
      </c>
      <c r="BQ78" s="1449"/>
      <c r="BR78" s="1115">
        <f t="shared" si="12"/>
        <v>80</v>
      </c>
      <c r="BS78" s="1469"/>
      <c r="BT78" s="1117" t="s">
        <v>38</v>
      </c>
      <c r="BU78" s="1468"/>
      <c r="BV78" s="1173">
        <v>80</v>
      </c>
      <c r="BW78" s="1175"/>
      <c r="BX78" s="1107" t="s">
        <v>38</v>
      </c>
      <c r="BY78" s="1449"/>
      <c r="BZ78" s="1657">
        <v>0</v>
      </c>
      <c r="CA78" s="1469"/>
      <c r="CB78" s="1107" t="s">
        <v>38</v>
      </c>
      <c r="CC78" s="1449"/>
      <c r="CD78" s="1110">
        <f t="shared" si="18"/>
        <v>10.810810810810811</v>
      </c>
      <c r="CE78" s="1690"/>
      <c r="CF78" s="1578">
        <f t="shared" si="13"/>
        <v>32.200000000000003</v>
      </c>
      <c r="CG78" s="1175"/>
      <c r="CH78" s="1442">
        <f t="shared" si="20"/>
        <v>3.675799086757991E-3</v>
      </c>
      <c r="CI78" s="1467"/>
      <c r="CJ78" s="1117" t="s">
        <v>38</v>
      </c>
      <c r="CK78" s="1468"/>
      <c r="CL78" s="1173">
        <f t="shared" si="14"/>
        <v>408</v>
      </c>
      <c r="CM78" s="1447"/>
      <c r="CN78" s="1469" t="s">
        <v>38</v>
      </c>
      <c r="CO78" s="1468"/>
      <c r="CP78" s="1092">
        <f t="shared" si="15"/>
        <v>408</v>
      </c>
      <c r="CQ78" s="1175"/>
      <c r="CR78" s="1117" t="s">
        <v>38</v>
      </c>
      <c r="CS78" s="1468"/>
      <c r="CT78" s="1173">
        <f t="shared" si="16"/>
        <v>0</v>
      </c>
      <c r="CU78" s="1175"/>
      <c r="CV78" s="1117" t="s">
        <v>38</v>
      </c>
      <c r="CW78" s="1468"/>
      <c r="CX78" s="1173">
        <f t="shared" si="17"/>
        <v>12.670807453416147</v>
      </c>
      <c r="CY78" s="1464"/>
      <c r="CZ78" s="512"/>
      <c r="DA78" s="513"/>
      <c r="DB78" s="229"/>
      <c r="DC78" s="515"/>
      <c r="DD78" s="506"/>
      <c r="DE78" s="231"/>
      <c r="DF78" s="293"/>
      <c r="DG78" s="230"/>
      <c r="DH78" s="506"/>
      <c r="DI78" s="208"/>
      <c r="DJ78" s="293"/>
      <c r="DK78" s="230"/>
      <c r="DL78" s="506"/>
      <c r="DM78" s="208"/>
      <c r="DN78" s="293"/>
      <c r="DO78" s="230"/>
      <c r="DP78" s="237"/>
      <c r="DQ78" s="731"/>
      <c r="DR78" s="242"/>
      <c r="DS78" s="517"/>
      <c r="DT78" s="293"/>
      <c r="DU78" s="230"/>
      <c r="DV78" s="509"/>
      <c r="DW78" s="510"/>
      <c r="DX78" s="409"/>
      <c r="DY78" s="559"/>
      <c r="DZ78" s="509"/>
      <c r="EA78" s="510"/>
      <c r="EB78" s="293"/>
      <c r="EC78" s="230"/>
      <c r="ED78" s="244"/>
      <c r="EE78" s="732"/>
      <c r="EF78" s="244"/>
      <c r="EG78" s="557"/>
      <c r="EH78" s="298"/>
      <c r="EI78" s="521"/>
    </row>
    <row r="79" spans="1:139" x14ac:dyDescent="0.25">
      <c r="A79" s="2242"/>
      <c r="B79" s="523"/>
      <c r="C79" s="524" t="s">
        <v>40</v>
      </c>
      <c r="D79" s="234">
        <v>7</v>
      </c>
      <c r="E79" s="228"/>
      <c r="F79" s="246">
        <v>3.2065964269354101E-3</v>
      </c>
      <c r="G79" s="228"/>
      <c r="H79" s="293" t="s">
        <v>38</v>
      </c>
      <c r="I79" s="230" t="s">
        <v>38</v>
      </c>
      <c r="J79" s="298">
        <v>95</v>
      </c>
      <c r="K79" s="507"/>
      <c r="L79" s="409" t="s">
        <v>38</v>
      </c>
      <c r="M79" s="559" t="s">
        <v>38</v>
      </c>
      <c r="N79" s="506">
        <v>95</v>
      </c>
      <c r="O79" s="208"/>
      <c r="P79" s="293" t="s">
        <v>38</v>
      </c>
      <c r="Q79" s="230" t="s">
        <v>38</v>
      </c>
      <c r="R79" s="506">
        <v>0</v>
      </c>
      <c r="S79" s="507"/>
      <c r="T79" s="293" t="s">
        <v>38</v>
      </c>
      <c r="U79" s="230" t="s">
        <v>38</v>
      </c>
      <c r="V79" s="509">
        <v>13.571428571428571</v>
      </c>
      <c r="W79" s="509"/>
      <c r="X79" s="234">
        <v>7</v>
      </c>
      <c r="Y79" s="228"/>
      <c r="Z79" s="246">
        <v>3.205128205128205E-3</v>
      </c>
      <c r="AA79" s="228"/>
      <c r="AB79" s="293" t="s">
        <v>38</v>
      </c>
      <c r="AC79" s="230" t="s">
        <v>38</v>
      </c>
      <c r="AD79" s="298">
        <v>108</v>
      </c>
      <c r="AE79" s="507"/>
      <c r="AF79" s="409" t="s">
        <v>38</v>
      </c>
      <c r="AG79" s="559" t="s">
        <v>38</v>
      </c>
      <c r="AH79" s="506">
        <v>108</v>
      </c>
      <c r="AI79" s="208"/>
      <c r="AJ79" s="293" t="s">
        <v>38</v>
      </c>
      <c r="AK79" s="230" t="s">
        <v>38</v>
      </c>
      <c r="AL79" s="506">
        <v>0</v>
      </c>
      <c r="AM79" s="507"/>
      <c r="AN79" s="293" t="s">
        <v>38</v>
      </c>
      <c r="AO79" s="230" t="s">
        <v>38</v>
      </c>
      <c r="AP79" s="509">
        <v>15.428571428571429</v>
      </c>
      <c r="AQ79" s="509"/>
      <c r="AR79" s="1440">
        <v>7.1</v>
      </c>
      <c r="AS79" s="1441"/>
      <c r="AT79" s="1442">
        <f>AR79/2183</f>
        <v>3.2524049473202014E-3</v>
      </c>
      <c r="AU79" s="1441"/>
      <c r="AV79" s="1107" t="s">
        <v>38</v>
      </c>
      <c r="AW79" s="1449"/>
      <c r="AX79" s="1107">
        <f t="shared" si="11"/>
        <v>103</v>
      </c>
      <c r="AY79" s="1175"/>
      <c r="AZ79" s="1092" t="s">
        <v>38</v>
      </c>
      <c r="BA79" s="1446"/>
      <c r="BB79" s="1173">
        <v>103</v>
      </c>
      <c r="BC79" s="1175"/>
      <c r="BD79" s="1107" t="s">
        <v>38</v>
      </c>
      <c r="BE79" s="1449"/>
      <c r="BF79" s="1173">
        <v>0</v>
      </c>
      <c r="BG79" s="1469"/>
      <c r="BH79" s="1107" t="s">
        <v>38</v>
      </c>
      <c r="BI79" s="1449"/>
      <c r="BJ79" s="1110">
        <f t="shared" si="19"/>
        <v>14.507042253521128</v>
      </c>
      <c r="BK79" s="1110"/>
      <c r="BL79" s="1440">
        <v>7.2</v>
      </c>
      <c r="BM79" s="1441"/>
      <c r="BN79" s="1442">
        <f>BL79/2209</f>
        <v>3.2593933906745133E-3</v>
      </c>
      <c r="BO79" s="1441"/>
      <c r="BP79" s="1107" t="s">
        <v>38</v>
      </c>
      <c r="BQ79" s="1449"/>
      <c r="BR79" s="1115">
        <f t="shared" si="12"/>
        <v>85</v>
      </c>
      <c r="BS79" s="1469"/>
      <c r="BT79" s="1117" t="s">
        <v>38</v>
      </c>
      <c r="BU79" s="1468"/>
      <c r="BV79" s="1173">
        <v>85</v>
      </c>
      <c r="BW79" s="1175"/>
      <c r="BX79" s="1107" t="s">
        <v>38</v>
      </c>
      <c r="BY79" s="1449"/>
      <c r="BZ79" s="1173">
        <v>0</v>
      </c>
      <c r="CA79" s="1469"/>
      <c r="CB79" s="1107" t="s">
        <v>38</v>
      </c>
      <c r="CC79" s="1449"/>
      <c r="CD79" s="1110">
        <f t="shared" si="18"/>
        <v>11.805555555555555</v>
      </c>
      <c r="CE79" s="1690"/>
      <c r="CF79" s="1578">
        <f t="shared" si="13"/>
        <v>28.3</v>
      </c>
      <c r="CG79" s="1175"/>
      <c r="CH79" s="1442">
        <f t="shared" si="20"/>
        <v>3.2305936073059364E-3</v>
      </c>
      <c r="CI79" s="1467"/>
      <c r="CJ79" s="1117" t="s">
        <v>38</v>
      </c>
      <c r="CK79" s="1468"/>
      <c r="CL79" s="1173">
        <f t="shared" si="14"/>
        <v>391</v>
      </c>
      <c r="CM79" s="1447"/>
      <c r="CN79" s="1469" t="s">
        <v>38</v>
      </c>
      <c r="CO79" s="1468"/>
      <c r="CP79" s="1092">
        <f t="shared" si="15"/>
        <v>391</v>
      </c>
      <c r="CQ79" s="1175"/>
      <c r="CR79" s="1117" t="s">
        <v>38</v>
      </c>
      <c r="CS79" s="1468"/>
      <c r="CT79" s="1173">
        <f t="shared" si="16"/>
        <v>0</v>
      </c>
      <c r="CU79" s="1175"/>
      <c r="CV79" s="1117" t="s">
        <v>38</v>
      </c>
      <c r="CW79" s="1468"/>
      <c r="CX79" s="1173">
        <f t="shared" si="17"/>
        <v>13.816254416961131</v>
      </c>
      <c r="CY79" s="1464"/>
      <c r="CZ79" s="512"/>
      <c r="DA79" s="766"/>
      <c r="DB79" s="229"/>
      <c r="DC79" s="515"/>
      <c r="DD79" s="506"/>
      <c r="DE79" s="231"/>
      <c r="DF79" s="293"/>
      <c r="DG79" s="230"/>
      <c r="DH79" s="506"/>
      <c r="DI79" s="208"/>
      <c r="DJ79" s="293"/>
      <c r="DK79" s="230"/>
      <c r="DL79" s="506"/>
      <c r="DM79" s="208"/>
      <c r="DN79" s="293"/>
      <c r="DO79" s="230"/>
      <c r="DP79" s="237"/>
      <c r="DQ79" s="731"/>
      <c r="DR79" s="242"/>
      <c r="DS79" s="517"/>
      <c r="DT79" s="293"/>
      <c r="DU79" s="230"/>
      <c r="DV79" s="509"/>
      <c r="DW79" s="510"/>
      <c r="DX79" s="409"/>
      <c r="DY79" s="559"/>
      <c r="DZ79" s="509"/>
      <c r="EA79" s="510"/>
      <c r="EB79" s="293"/>
      <c r="EC79" s="230"/>
      <c r="ED79" s="244"/>
      <c r="EE79" s="732"/>
      <c r="EF79" s="244"/>
      <c r="EG79" s="557"/>
      <c r="EH79" s="298"/>
      <c r="EI79" s="521"/>
    </row>
    <row r="80" spans="1:139" x14ac:dyDescent="0.25">
      <c r="A80" s="2242"/>
      <c r="B80" s="523"/>
      <c r="C80" s="524" t="s">
        <v>41</v>
      </c>
      <c r="D80" s="234">
        <v>6.3</v>
      </c>
      <c r="E80" s="228"/>
      <c r="F80" s="246">
        <v>2.8859367842418689E-3</v>
      </c>
      <c r="G80" s="228"/>
      <c r="H80" s="293" t="s">
        <v>38</v>
      </c>
      <c r="I80" s="230" t="s">
        <v>38</v>
      </c>
      <c r="J80" s="298">
        <v>84</v>
      </c>
      <c r="K80" s="507"/>
      <c r="L80" s="409" t="s">
        <v>38</v>
      </c>
      <c r="M80" s="559" t="s">
        <v>38</v>
      </c>
      <c r="N80" s="506">
        <v>84</v>
      </c>
      <c r="O80" s="208"/>
      <c r="P80" s="293" t="s">
        <v>38</v>
      </c>
      <c r="Q80" s="230" t="s">
        <v>38</v>
      </c>
      <c r="R80" s="506">
        <v>0</v>
      </c>
      <c r="S80" s="208"/>
      <c r="T80" s="293" t="s">
        <v>38</v>
      </c>
      <c r="U80" s="230" t="s">
        <v>38</v>
      </c>
      <c r="V80" s="509">
        <v>13.333333333333334</v>
      </c>
      <c r="W80" s="509"/>
      <c r="X80" s="234">
        <v>6.2</v>
      </c>
      <c r="Y80" s="228"/>
      <c r="Z80" s="246">
        <v>2.8388278388278387E-3</v>
      </c>
      <c r="AA80" s="228"/>
      <c r="AB80" s="293" t="s">
        <v>38</v>
      </c>
      <c r="AC80" s="230" t="s">
        <v>38</v>
      </c>
      <c r="AD80" s="298">
        <v>95</v>
      </c>
      <c r="AE80" s="507"/>
      <c r="AF80" s="409" t="s">
        <v>38</v>
      </c>
      <c r="AG80" s="559" t="s">
        <v>38</v>
      </c>
      <c r="AH80" s="506">
        <v>95</v>
      </c>
      <c r="AI80" s="208"/>
      <c r="AJ80" s="293" t="s">
        <v>38</v>
      </c>
      <c r="AK80" s="230" t="s">
        <v>38</v>
      </c>
      <c r="AL80" s="506">
        <v>0</v>
      </c>
      <c r="AM80" s="208"/>
      <c r="AN80" s="293" t="s">
        <v>38</v>
      </c>
      <c r="AO80" s="230" t="s">
        <v>38</v>
      </c>
      <c r="AP80" s="509">
        <v>15.32258064516129</v>
      </c>
      <c r="AQ80" s="509"/>
      <c r="AR80" s="1440">
        <v>6.3</v>
      </c>
      <c r="AS80" s="1441"/>
      <c r="AT80" s="1442">
        <f>AR80/2183</f>
        <v>2.8859367842418689E-3</v>
      </c>
      <c r="AU80" s="1441"/>
      <c r="AV80" s="1107" t="s">
        <v>38</v>
      </c>
      <c r="AW80" s="1449"/>
      <c r="AX80" s="1107">
        <f t="shared" si="11"/>
        <v>63</v>
      </c>
      <c r="AY80" s="1175"/>
      <c r="AZ80" s="1092" t="s">
        <v>38</v>
      </c>
      <c r="BA80" s="1446"/>
      <c r="BB80" s="1173">
        <v>63</v>
      </c>
      <c r="BC80" s="1175"/>
      <c r="BD80" s="1107" t="s">
        <v>38</v>
      </c>
      <c r="BE80" s="1449"/>
      <c r="BF80" s="1173">
        <v>0</v>
      </c>
      <c r="BG80" s="1175"/>
      <c r="BH80" s="1107" t="s">
        <v>38</v>
      </c>
      <c r="BI80" s="1449"/>
      <c r="BJ80" s="1110">
        <f t="shared" si="19"/>
        <v>10</v>
      </c>
      <c r="BK80" s="1110"/>
      <c r="BL80" s="1440">
        <v>6.8</v>
      </c>
      <c r="BM80" s="1441"/>
      <c r="BN80" s="1442">
        <f>BL80/2209</f>
        <v>3.0783159800814846E-3</v>
      </c>
      <c r="BO80" s="1441"/>
      <c r="BP80" s="1107" t="s">
        <v>38</v>
      </c>
      <c r="BQ80" s="1449"/>
      <c r="BR80" s="1115">
        <f t="shared" si="12"/>
        <v>97</v>
      </c>
      <c r="BS80" s="1469"/>
      <c r="BT80" s="1117" t="s">
        <v>38</v>
      </c>
      <c r="BU80" s="1468"/>
      <c r="BV80" s="1173">
        <v>97</v>
      </c>
      <c r="BW80" s="1175"/>
      <c r="BX80" s="1107" t="s">
        <v>38</v>
      </c>
      <c r="BY80" s="1449"/>
      <c r="BZ80" s="1173">
        <v>0</v>
      </c>
      <c r="CA80" s="1175"/>
      <c r="CB80" s="1107" t="s">
        <v>38</v>
      </c>
      <c r="CC80" s="1449"/>
      <c r="CD80" s="1110">
        <f t="shared" si="18"/>
        <v>14.264705882352942</v>
      </c>
      <c r="CE80" s="1690"/>
      <c r="CF80" s="1578">
        <f t="shared" si="13"/>
        <v>25.6</v>
      </c>
      <c r="CG80" s="1175"/>
      <c r="CH80" s="1442">
        <f t="shared" si="20"/>
        <v>2.9223744292237444E-3</v>
      </c>
      <c r="CI80" s="1467"/>
      <c r="CJ80" s="1117" t="s">
        <v>38</v>
      </c>
      <c r="CK80" s="1468"/>
      <c r="CL80" s="1173">
        <f t="shared" si="14"/>
        <v>339</v>
      </c>
      <c r="CM80" s="1447"/>
      <c r="CN80" s="1469" t="s">
        <v>38</v>
      </c>
      <c r="CO80" s="1468"/>
      <c r="CP80" s="1092">
        <f t="shared" si="15"/>
        <v>339</v>
      </c>
      <c r="CQ80" s="1175"/>
      <c r="CR80" s="1117" t="s">
        <v>38</v>
      </c>
      <c r="CS80" s="1468"/>
      <c r="CT80" s="1173">
        <f t="shared" si="16"/>
        <v>0</v>
      </c>
      <c r="CU80" s="1175"/>
      <c r="CV80" s="1117" t="s">
        <v>38</v>
      </c>
      <c r="CW80" s="1468"/>
      <c r="CX80" s="1173">
        <f t="shared" si="17"/>
        <v>13.2421875</v>
      </c>
      <c r="CY80" s="1464"/>
      <c r="CZ80" s="512"/>
      <c r="DA80" s="513"/>
      <c r="DB80" s="229"/>
      <c r="DC80" s="515"/>
      <c r="DD80" s="506"/>
      <c r="DE80" s="231"/>
      <c r="DF80" s="293"/>
      <c r="DG80" s="230"/>
      <c r="DH80" s="506"/>
      <c r="DI80" s="208"/>
      <c r="DJ80" s="293"/>
      <c r="DK80" s="230"/>
      <c r="DL80" s="506"/>
      <c r="DM80" s="208"/>
      <c r="DN80" s="293"/>
      <c r="DO80" s="230"/>
      <c r="DP80" s="237"/>
      <c r="DQ80" s="731"/>
      <c r="DR80" s="242"/>
      <c r="DS80" s="517"/>
      <c r="DT80" s="293"/>
      <c r="DU80" s="230"/>
      <c r="DV80" s="509"/>
      <c r="DW80" s="510"/>
      <c r="DX80" s="409"/>
      <c r="DY80" s="559"/>
      <c r="DZ80" s="509"/>
      <c r="EA80" s="510"/>
      <c r="EB80" s="293"/>
      <c r="EC80" s="230"/>
      <c r="ED80" s="244"/>
      <c r="EE80" s="732"/>
      <c r="EF80" s="244"/>
      <c r="EG80" s="557"/>
      <c r="EH80" s="298"/>
      <c r="EI80" s="521"/>
    </row>
    <row r="81" spans="1:140" x14ac:dyDescent="0.25">
      <c r="A81" s="2242"/>
      <c r="B81" s="23"/>
      <c r="C81" s="524" t="s">
        <v>42</v>
      </c>
      <c r="D81" s="234">
        <v>3.8</v>
      </c>
      <c r="E81" s="228"/>
      <c r="F81" s="246">
        <v>1.7407237746220796E-3</v>
      </c>
      <c r="G81" s="228"/>
      <c r="H81" s="293" t="s">
        <v>38</v>
      </c>
      <c r="I81" s="230" t="s">
        <v>38</v>
      </c>
      <c r="J81" s="298">
        <v>51</v>
      </c>
      <c r="K81" s="507"/>
      <c r="L81" s="409" t="s">
        <v>38</v>
      </c>
      <c r="M81" s="559" t="s">
        <v>38</v>
      </c>
      <c r="N81" s="506">
        <v>51</v>
      </c>
      <c r="O81" s="208"/>
      <c r="P81" s="293" t="s">
        <v>38</v>
      </c>
      <c r="Q81" s="230" t="s">
        <v>38</v>
      </c>
      <c r="R81" s="506">
        <v>0</v>
      </c>
      <c r="S81" s="208"/>
      <c r="T81" s="293" t="s">
        <v>38</v>
      </c>
      <c r="U81" s="230" t="s">
        <v>38</v>
      </c>
      <c r="V81" s="509">
        <v>13.421052631578949</v>
      </c>
      <c r="W81" s="509"/>
      <c r="X81" s="234">
        <v>3.8</v>
      </c>
      <c r="Y81" s="228"/>
      <c r="Z81" s="246">
        <v>1.7399267399267398E-3</v>
      </c>
      <c r="AA81" s="228"/>
      <c r="AB81" s="293" t="s">
        <v>38</v>
      </c>
      <c r="AC81" s="230" t="s">
        <v>38</v>
      </c>
      <c r="AD81" s="298">
        <v>57</v>
      </c>
      <c r="AE81" s="507"/>
      <c r="AF81" s="409" t="s">
        <v>38</v>
      </c>
      <c r="AG81" s="559" t="s">
        <v>38</v>
      </c>
      <c r="AH81" s="506">
        <v>57</v>
      </c>
      <c r="AI81" s="208"/>
      <c r="AJ81" s="293" t="s">
        <v>38</v>
      </c>
      <c r="AK81" s="230" t="s">
        <v>38</v>
      </c>
      <c r="AL81" s="506">
        <v>0</v>
      </c>
      <c r="AM81" s="208"/>
      <c r="AN81" s="293" t="s">
        <v>38</v>
      </c>
      <c r="AO81" s="230" t="s">
        <v>38</v>
      </c>
      <c r="AP81" s="509">
        <v>15</v>
      </c>
      <c r="AQ81" s="509"/>
      <c r="AR81" s="1440">
        <v>3.7</v>
      </c>
      <c r="AS81" s="1441"/>
      <c r="AT81" s="1442">
        <f>AR81/2183</f>
        <v>1.6949152542372883E-3</v>
      </c>
      <c r="AU81" s="1441"/>
      <c r="AV81" s="1107" t="s">
        <v>38</v>
      </c>
      <c r="AW81" s="1449"/>
      <c r="AX81" s="1107">
        <f t="shared" si="11"/>
        <v>37</v>
      </c>
      <c r="AY81" s="1175"/>
      <c r="AZ81" s="1092" t="s">
        <v>38</v>
      </c>
      <c r="BA81" s="1446"/>
      <c r="BB81" s="1173">
        <v>37</v>
      </c>
      <c r="BC81" s="1175"/>
      <c r="BD81" s="1107" t="s">
        <v>38</v>
      </c>
      <c r="BE81" s="1449"/>
      <c r="BF81" s="1173">
        <v>0</v>
      </c>
      <c r="BG81" s="1175"/>
      <c r="BH81" s="1107" t="s">
        <v>38</v>
      </c>
      <c r="BI81" s="1449"/>
      <c r="BJ81" s="1110">
        <f t="shared" si="19"/>
        <v>10</v>
      </c>
      <c r="BK81" s="1110"/>
      <c r="BL81" s="1440">
        <v>3.8</v>
      </c>
      <c r="BM81" s="1441"/>
      <c r="BN81" s="1442">
        <f>BL81/2209</f>
        <v>1.7202354006337708E-3</v>
      </c>
      <c r="BO81" s="1441"/>
      <c r="BP81" s="1107" t="s">
        <v>38</v>
      </c>
      <c r="BQ81" s="1449"/>
      <c r="BR81" s="1115">
        <f t="shared" si="12"/>
        <v>55</v>
      </c>
      <c r="BS81" s="1469"/>
      <c r="BT81" s="1117" t="s">
        <v>38</v>
      </c>
      <c r="BU81" s="1468"/>
      <c r="BV81" s="1173">
        <v>55</v>
      </c>
      <c r="BW81" s="1175"/>
      <c r="BX81" s="1107" t="s">
        <v>38</v>
      </c>
      <c r="BY81" s="1449"/>
      <c r="BZ81" s="1173">
        <v>0</v>
      </c>
      <c r="CA81" s="1175"/>
      <c r="CB81" s="1107" t="s">
        <v>38</v>
      </c>
      <c r="CC81" s="1449"/>
      <c r="CD81" s="1110">
        <f t="shared" si="18"/>
        <v>14.473684210526317</v>
      </c>
      <c r="CE81" s="1690"/>
      <c r="CF81" s="1578">
        <f t="shared" si="13"/>
        <v>15.100000000000001</v>
      </c>
      <c r="CG81" s="1175"/>
      <c r="CH81" s="1442">
        <f t="shared" si="20"/>
        <v>1.7237442922374432E-3</v>
      </c>
      <c r="CI81" s="1467"/>
      <c r="CJ81" s="1117" t="s">
        <v>38</v>
      </c>
      <c r="CK81" s="1468"/>
      <c r="CL81" s="1173">
        <f t="shared" si="14"/>
        <v>200</v>
      </c>
      <c r="CM81" s="1447"/>
      <c r="CN81" s="1469" t="s">
        <v>38</v>
      </c>
      <c r="CO81" s="1468"/>
      <c r="CP81" s="1092">
        <f t="shared" si="15"/>
        <v>200</v>
      </c>
      <c r="CQ81" s="1175"/>
      <c r="CR81" s="1117" t="s">
        <v>38</v>
      </c>
      <c r="CS81" s="1468"/>
      <c r="CT81" s="1173">
        <f t="shared" si="16"/>
        <v>0</v>
      </c>
      <c r="CU81" s="1175"/>
      <c r="CV81" s="1117" t="s">
        <v>38</v>
      </c>
      <c r="CW81" s="1468"/>
      <c r="CX81" s="1173">
        <f t="shared" si="17"/>
        <v>13.24503311258278</v>
      </c>
      <c r="CY81" s="1464"/>
      <c r="CZ81" s="512"/>
      <c r="DA81" s="513"/>
      <c r="DB81" s="229"/>
      <c r="DC81" s="515"/>
      <c r="DD81" s="506"/>
      <c r="DE81" s="231"/>
      <c r="DF81" s="293"/>
      <c r="DG81" s="230"/>
      <c r="DH81" s="506"/>
      <c r="DI81" s="208"/>
      <c r="DJ81" s="293"/>
      <c r="DK81" s="230"/>
      <c r="DL81" s="506"/>
      <c r="DM81" s="208"/>
      <c r="DN81" s="293"/>
      <c r="DO81" s="230"/>
      <c r="DP81" s="237"/>
      <c r="DQ81" s="731"/>
      <c r="DR81" s="242"/>
      <c r="DS81" s="517"/>
      <c r="DT81" s="293"/>
      <c r="DU81" s="230"/>
      <c r="DV81" s="509"/>
      <c r="DW81" s="510"/>
      <c r="DX81" s="409"/>
      <c r="DY81" s="559"/>
      <c r="DZ81" s="509"/>
      <c r="EA81" s="510"/>
      <c r="EB81" s="293"/>
      <c r="EC81" s="230"/>
      <c r="ED81" s="244"/>
      <c r="EE81" s="732"/>
      <c r="EF81" s="244"/>
      <c r="EG81" s="557"/>
      <c r="EH81" s="298"/>
      <c r="EI81" s="521"/>
    </row>
    <row r="82" spans="1:140" x14ac:dyDescent="0.25">
      <c r="A82" s="2242"/>
      <c r="B82" s="23"/>
      <c r="C82" s="524" t="s">
        <v>43</v>
      </c>
      <c r="D82" s="234">
        <v>0.5</v>
      </c>
      <c r="E82" s="228"/>
      <c r="F82" s="246">
        <v>2.2904260192395785E-4</v>
      </c>
      <c r="G82" s="228"/>
      <c r="H82" s="293" t="s">
        <v>38</v>
      </c>
      <c r="I82" s="230" t="s">
        <v>38</v>
      </c>
      <c r="J82" s="298">
        <v>0</v>
      </c>
      <c r="K82" s="507"/>
      <c r="L82" s="409" t="s">
        <v>38</v>
      </c>
      <c r="M82" s="559" t="s">
        <v>38</v>
      </c>
      <c r="N82" s="506"/>
      <c r="O82" s="208"/>
      <c r="P82" s="293" t="s">
        <v>38</v>
      </c>
      <c r="Q82" s="230" t="s">
        <v>38</v>
      </c>
      <c r="R82" s="506">
        <v>0</v>
      </c>
      <c r="S82" s="208"/>
      <c r="T82" s="293" t="s">
        <v>38</v>
      </c>
      <c r="U82" s="230" t="s">
        <v>38</v>
      </c>
      <c r="V82" s="509">
        <v>0</v>
      </c>
      <c r="W82" s="509"/>
      <c r="X82" s="234">
        <v>0.5</v>
      </c>
      <c r="Y82" s="228"/>
      <c r="Z82" s="246">
        <v>2.2893772893772894E-4</v>
      </c>
      <c r="AA82" s="228"/>
      <c r="AB82" s="293" t="s">
        <v>38</v>
      </c>
      <c r="AC82" s="230" t="s">
        <v>38</v>
      </c>
      <c r="AD82" s="298">
        <v>0</v>
      </c>
      <c r="AE82" s="507"/>
      <c r="AF82" s="409" t="s">
        <v>38</v>
      </c>
      <c r="AG82" s="559" t="s">
        <v>38</v>
      </c>
      <c r="AH82" s="506">
        <v>0</v>
      </c>
      <c r="AI82" s="208"/>
      <c r="AJ82" s="293" t="s">
        <v>38</v>
      </c>
      <c r="AK82" s="230" t="s">
        <v>38</v>
      </c>
      <c r="AL82" s="506">
        <v>0</v>
      </c>
      <c r="AM82" s="208"/>
      <c r="AN82" s="293" t="s">
        <v>38</v>
      </c>
      <c r="AO82" s="230" t="s">
        <v>38</v>
      </c>
      <c r="AP82" s="509">
        <v>0</v>
      </c>
      <c r="AQ82" s="509"/>
      <c r="AR82" s="1440">
        <v>0.5</v>
      </c>
      <c r="AS82" s="1441"/>
      <c r="AT82" s="1442">
        <f>AR82/2183</f>
        <v>2.2904260192395785E-4</v>
      </c>
      <c r="AU82" s="1441"/>
      <c r="AV82" s="1107" t="s">
        <v>38</v>
      </c>
      <c r="AW82" s="1449"/>
      <c r="AX82" s="1107">
        <f t="shared" si="11"/>
        <v>0</v>
      </c>
      <c r="AY82" s="1175"/>
      <c r="AZ82" s="1092" t="s">
        <v>38</v>
      </c>
      <c r="BA82" s="1446"/>
      <c r="BB82" s="1173">
        <v>0</v>
      </c>
      <c r="BC82" s="1175"/>
      <c r="BD82" s="1107" t="s">
        <v>38</v>
      </c>
      <c r="BE82" s="1449"/>
      <c r="BF82" s="1173">
        <v>0</v>
      </c>
      <c r="BG82" s="1175"/>
      <c r="BH82" s="1107" t="s">
        <v>38</v>
      </c>
      <c r="BI82" s="1449"/>
      <c r="BJ82" s="1110">
        <f t="shared" si="19"/>
        <v>0</v>
      </c>
      <c r="BK82" s="1110"/>
      <c r="BL82" s="1440">
        <v>0.5</v>
      </c>
      <c r="BM82" s="1441"/>
      <c r="BN82" s="1442">
        <f>BL82/2209</f>
        <v>2.2634676324128565E-4</v>
      </c>
      <c r="BO82" s="1441"/>
      <c r="BP82" s="1107" t="s">
        <v>38</v>
      </c>
      <c r="BQ82" s="1449"/>
      <c r="BR82" s="1115">
        <f t="shared" si="12"/>
        <v>0</v>
      </c>
      <c r="BS82" s="1469"/>
      <c r="BT82" s="1117" t="s">
        <v>38</v>
      </c>
      <c r="BU82" s="1468"/>
      <c r="BV82" s="1173">
        <v>0</v>
      </c>
      <c r="BW82" s="1175"/>
      <c r="BX82" s="1107" t="s">
        <v>38</v>
      </c>
      <c r="BY82" s="1449"/>
      <c r="BZ82" s="1173">
        <v>0</v>
      </c>
      <c r="CA82" s="1175"/>
      <c r="CB82" s="1107" t="s">
        <v>38</v>
      </c>
      <c r="CC82" s="1449"/>
      <c r="CD82" s="1110">
        <f t="shared" si="18"/>
        <v>0</v>
      </c>
      <c r="CE82" s="1690"/>
      <c r="CF82" s="1578">
        <f t="shared" si="13"/>
        <v>2</v>
      </c>
      <c r="CG82" s="1175"/>
      <c r="CH82" s="1442">
        <f t="shared" si="20"/>
        <v>2.2831050228310502E-4</v>
      </c>
      <c r="CI82" s="1467"/>
      <c r="CJ82" s="1117" t="s">
        <v>38</v>
      </c>
      <c r="CK82" s="1468"/>
      <c r="CL82" s="1173">
        <f t="shared" si="14"/>
        <v>0</v>
      </c>
      <c r="CM82" s="1447"/>
      <c r="CN82" s="1469" t="s">
        <v>38</v>
      </c>
      <c r="CO82" s="1468"/>
      <c r="CP82" s="1092">
        <f t="shared" si="15"/>
        <v>0</v>
      </c>
      <c r="CQ82" s="1175"/>
      <c r="CR82" s="1117" t="s">
        <v>38</v>
      </c>
      <c r="CS82" s="1468"/>
      <c r="CT82" s="1173">
        <f t="shared" si="16"/>
        <v>0</v>
      </c>
      <c r="CU82" s="1175"/>
      <c r="CV82" s="1117" t="s">
        <v>38</v>
      </c>
      <c r="CW82" s="1468"/>
      <c r="CX82" s="1173">
        <f t="shared" si="17"/>
        <v>0</v>
      </c>
      <c r="CY82" s="1464"/>
      <c r="CZ82" s="512"/>
      <c r="DA82" s="513"/>
      <c r="DB82" s="229"/>
      <c r="DC82" s="515"/>
      <c r="DD82" s="506"/>
      <c r="DE82" s="231"/>
      <c r="DF82" s="293"/>
      <c r="DG82" s="230"/>
      <c r="DH82" s="506"/>
      <c r="DI82" s="208"/>
      <c r="DJ82" s="293"/>
      <c r="DK82" s="230"/>
      <c r="DL82" s="506"/>
      <c r="DM82" s="208"/>
      <c r="DN82" s="293"/>
      <c r="DO82" s="230"/>
      <c r="DP82" s="237"/>
      <c r="DQ82" s="731"/>
      <c r="DR82" s="242"/>
      <c r="DS82" s="517"/>
      <c r="DT82" s="293"/>
      <c r="DU82" s="230"/>
      <c r="DV82" s="509"/>
      <c r="DW82" s="510"/>
      <c r="DX82" s="409"/>
      <c r="DY82" s="559"/>
      <c r="DZ82" s="509"/>
      <c r="EA82" s="510"/>
      <c r="EB82" s="293"/>
      <c r="EC82" s="230"/>
      <c r="ED82" s="244"/>
      <c r="EE82" s="732"/>
      <c r="EF82" s="244"/>
      <c r="EG82" s="557"/>
      <c r="EH82" s="298"/>
      <c r="EI82" s="521"/>
    </row>
    <row r="83" spans="1:140" x14ac:dyDescent="0.25">
      <c r="A83" s="2242"/>
      <c r="B83" s="2246" t="s">
        <v>64</v>
      </c>
      <c r="C83" s="2247"/>
      <c r="D83" s="345">
        <v>24.7</v>
      </c>
      <c r="E83" s="346"/>
      <c r="F83" s="356">
        <v>2.2460875337595139E-3</v>
      </c>
      <c r="G83" s="346"/>
      <c r="H83" s="347" t="s">
        <v>38</v>
      </c>
      <c r="I83" s="348" t="s">
        <v>38</v>
      </c>
      <c r="J83" s="349">
        <v>327</v>
      </c>
      <c r="K83" s="709"/>
      <c r="L83" s="419" t="s">
        <v>38</v>
      </c>
      <c r="M83" s="767" t="s">
        <v>38</v>
      </c>
      <c r="N83" s="757">
        <v>327</v>
      </c>
      <c r="O83" s="768"/>
      <c r="P83" s="347" t="s">
        <v>38</v>
      </c>
      <c r="Q83" s="348" t="s">
        <v>38</v>
      </c>
      <c r="R83" s="769">
        <v>0</v>
      </c>
      <c r="S83" s="768"/>
      <c r="T83" s="347" t="s">
        <v>38</v>
      </c>
      <c r="U83" s="348" t="s">
        <v>38</v>
      </c>
      <c r="V83" s="713">
        <v>13.238866396761134</v>
      </c>
      <c r="W83" s="713"/>
      <c r="X83" s="345">
        <v>27.700000000000003</v>
      </c>
      <c r="Y83" s="346"/>
      <c r="Z83" s="356">
        <v>2.5177469346203841E-3</v>
      </c>
      <c r="AA83" s="346"/>
      <c r="AB83" s="347" t="s">
        <v>38</v>
      </c>
      <c r="AC83" s="348" t="s">
        <v>38</v>
      </c>
      <c r="AD83" s="349">
        <v>420</v>
      </c>
      <c r="AE83" s="709"/>
      <c r="AF83" s="419" t="s">
        <v>38</v>
      </c>
      <c r="AG83" s="767" t="s">
        <v>38</v>
      </c>
      <c r="AH83" s="757">
        <v>420</v>
      </c>
      <c r="AI83" s="768"/>
      <c r="AJ83" s="347" t="s">
        <v>38</v>
      </c>
      <c r="AK83" s="348" t="s">
        <v>38</v>
      </c>
      <c r="AL83" s="769">
        <v>0</v>
      </c>
      <c r="AM83" s="768"/>
      <c r="AN83" s="347" t="s">
        <v>38</v>
      </c>
      <c r="AO83" s="348" t="s">
        <v>38</v>
      </c>
      <c r="AP83" s="713">
        <v>15.162454873646208</v>
      </c>
      <c r="AQ83" s="713"/>
      <c r="AR83" s="1567">
        <f>SUM(AR84:AR88)</f>
        <v>25</v>
      </c>
      <c r="AS83" s="1568"/>
      <c r="AT83" s="1572">
        <f>AR83/11106.9</f>
        <v>2.2508530733147862E-3</v>
      </c>
      <c r="AU83" s="1568"/>
      <c r="AV83" s="1185" t="s">
        <v>38</v>
      </c>
      <c r="AW83" s="1570"/>
      <c r="AX83" s="1185">
        <f t="shared" si="11"/>
        <v>278</v>
      </c>
      <c r="AY83" s="1571"/>
      <c r="AZ83" s="1188" t="s">
        <v>38</v>
      </c>
      <c r="BA83" s="1680"/>
      <c r="BB83" s="1677">
        <f>SUM(BB84:BB88)</f>
        <v>278</v>
      </c>
      <c r="BC83" s="1593"/>
      <c r="BD83" s="1185" t="s">
        <v>38</v>
      </c>
      <c r="BE83" s="1570"/>
      <c r="BF83" s="1596">
        <v>0</v>
      </c>
      <c r="BG83" s="1593"/>
      <c r="BH83" s="1185" t="s">
        <v>38</v>
      </c>
      <c r="BI83" s="1570"/>
      <c r="BJ83" s="1188">
        <f t="shared" si="19"/>
        <v>11.12</v>
      </c>
      <c r="BK83" s="1188"/>
      <c r="BL83" s="1567">
        <f>SUM(BL84:BL88)</f>
        <v>25.7</v>
      </c>
      <c r="BM83" s="1568"/>
      <c r="BN83" s="1572">
        <f>BL83/11096.9</f>
        <v>2.315962115545783E-3</v>
      </c>
      <c r="BO83" s="1568"/>
      <c r="BP83" s="1185" t="s">
        <v>38</v>
      </c>
      <c r="BQ83" s="1570"/>
      <c r="BR83" s="1185">
        <f t="shared" si="12"/>
        <v>306</v>
      </c>
      <c r="BS83" s="1571"/>
      <c r="BT83" s="1188" t="s">
        <v>38</v>
      </c>
      <c r="BU83" s="1680"/>
      <c r="BV83" s="1677">
        <f>SUM(BV84:BV88)</f>
        <v>306</v>
      </c>
      <c r="BW83" s="1593"/>
      <c r="BX83" s="1185" t="s">
        <v>38</v>
      </c>
      <c r="BY83" s="1570"/>
      <c r="BZ83" s="1596">
        <v>0</v>
      </c>
      <c r="CA83" s="1593"/>
      <c r="CB83" s="1185" t="s">
        <v>38</v>
      </c>
      <c r="CC83" s="1570"/>
      <c r="CD83" s="1188">
        <f t="shared" si="18"/>
        <v>11.906614785992218</v>
      </c>
      <c r="CE83" s="1671"/>
      <c r="CF83" s="1592">
        <f t="shared" si="13"/>
        <v>103.10000000000001</v>
      </c>
      <c r="CG83" s="1593"/>
      <c r="CH83" s="1594">
        <f>CF83/44202.6</f>
        <v>2.3324419830507712E-3</v>
      </c>
      <c r="CI83" s="1595"/>
      <c r="CJ83" s="1188" t="s">
        <v>38</v>
      </c>
      <c r="CK83" s="1575"/>
      <c r="CL83" s="1596">
        <f t="shared" si="14"/>
        <v>1331</v>
      </c>
      <c r="CM83" s="1597"/>
      <c r="CN83" s="1571" t="s">
        <v>38</v>
      </c>
      <c r="CO83" s="1575"/>
      <c r="CP83" s="1598">
        <f t="shared" si="15"/>
        <v>1331</v>
      </c>
      <c r="CQ83" s="1593"/>
      <c r="CR83" s="1188" t="s">
        <v>38</v>
      </c>
      <c r="CS83" s="1575"/>
      <c r="CT83" s="1596">
        <f t="shared" si="16"/>
        <v>0</v>
      </c>
      <c r="CU83" s="1593"/>
      <c r="CV83" s="1188" t="s">
        <v>38</v>
      </c>
      <c r="CW83" s="1575"/>
      <c r="CX83" s="1596">
        <f t="shared" si="17"/>
        <v>12.909796314258001</v>
      </c>
      <c r="CY83" s="1599"/>
      <c r="CZ83" s="776"/>
      <c r="DA83" s="777"/>
      <c r="DB83" s="778"/>
      <c r="DC83" s="779"/>
      <c r="DD83" s="769"/>
      <c r="DE83" s="774"/>
      <c r="DF83" s="347"/>
      <c r="DG83" s="348"/>
      <c r="DH83" s="769"/>
      <c r="DI83" s="768"/>
      <c r="DJ83" s="347"/>
      <c r="DK83" s="348"/>
      <c r="DL83" s="769"/>
      <c r="DM83" s="768"/>
      <c r="DN83" s="347"/>
      <c r="DO83" s="348"/>
      <c r="DP83" s="712"/>
      <c r="DQ83" s="724"/>
      <c r="DR83" s="780"/>
      <c r="DS83" s="726"/>
      <c r="DT83" s="419"/>
      <c r="DU83" s="781"/>
      <c r="DV83" s="713"/>
      <c r="DW83" s="356"/>
      <c r="DX83" s="419"/>
      <c r="DY83" s="716"/>
      <c r="DZ83" s="713"/>
      <c r="EA83" s="356"/>
      <c r="EB83" s="347"/>
      <c r="EC83" s="348"/>
      <c r="ED83" s="419"/>
      <c r="EE83" s="727"/>
      <c r="EF83" s="419"/>
      <c r="EG83" s="728"/>
      <c r="EH83" s="782"/>
      <c r="EI83" s="783"/>
    </row>
    <row r="84" spans="1:140" x14ac:dyDescent="0.25">
      <c r="A84" s="2242"/>
      <c r="B84" s="23"/>
      <c r="C84" s="524" t="s">
        <v>39</v>
      </c>
      <c r="D84" s="234">
        <v>7.2</v>
      </c>
      <c r="E84" s="228"/>
      <c r="F84" s="246">
        <v>3.2982134677049932E-3</v>
      </c>
      <c r="G84" s="228"/>
      <c r="H84" s="293" t="s">
        <v>38</v>
      </c>
      <c r="I84" s="230" t="s">
        <v>38</v>
      </c>
      <c r="J84" s="298">
        <v>97</v>
      </c>
      <c r="K84" s="507"/>
      <c r="L84" s="409" t="s">
        <v>38</v>
      </c>
      <c r="M84" s="559" t="s">
        <v>38</v>
      </c>
      <c r="N84" s="556">
        <v>97</v>
      </c>
      <c r="O84" s="208"/>
      <c r="P84" s="293" t="s">
        <v>38</v>
      </c>
      <c r="Q84" s="230" t="s">
        <v>38</v>
      </c>
      <c r="R84" s="556">
        <v>0</v>
      </c>
      <c r="S84" s="507"/>
      <c r="T84" s="293" t="s">
        <v>38</v>
      </c>
      <c r="U84" s="230" t="s">
        <v>38</v>
      </c>
      <c r="V84" s="509">
        <v>13.472222222222221</v>
      </c>
      <c r="W84" s="509"/>
      <c r="X84" s="234">
        <v>10.4</v>
      </c>
      <c r="Y84" s="228"/>
      <c r="Z84" s="246">
        <v>4.7619047619047623E-3</v>
      </c>
      <c r="AA84" s="228"/>
      <c r="AB84" s="293" t="s">
        <v>38</v>
      </c>
      <c r="AC84" s="230" t="s">
        <v>38</v>
      </c>
      <c r="AD84" s="298">
        <v>160</v>
      </c>
      <c r="AE84" s="507"/>
      <c r="AF84" s="409" t="s">
        <v>38</v>
      </c>
      <c r="AG84" s="559" t="s">
        <v>38</v>
      </c>
      <c r="AH84" s="556">
        <v>160</v>
      </c>
      <c r="AI84" s="208"/>
      <c r="AJ84" s="293" t="s">
        <v>38</v>
      </c>
      <c r="AK84" s="230" t="s">
        <v>38</v>
      </c>
      <c r="AL84" s="556">
        <v>0</v>
      </c>
      <c r="AM84" s="507"/>
      <c r="AN84" s="293" t="s">
        <v>38</v>
      </c>
      <c r="AO84" s="230" t="s">
        <v>38</v>
      </c>
      <c r="AP84" s="509">
        <v>15.384615384615383</v>
      </c>
      <c r="AQ84" s="509"/>
      <c r="AR84" s="1440">
        <v>7.3</v>
      </c>
      <c r="AS84" s="1441"/>
      <c r="AT84" s="1442">
        <f>AR84/2183</f>
        <v>3.3440219880897844E-3</v>
      </c>
      <c r="AU84" s="1441"/>
      <c r="AV84" s="1107" t="s">
        <v>38</v>
      </c>
      <c r="AW84" s="1449"/>
      <c r="AX84" s="1107">
        <f t="shared" si="11"/>
        <v>77</v>
      </c>
      <c r="AY84" s="1175"/>
      <c r="AZ84" s="1092" t="s">
        <v>38</v>
      </c>
      <c r="BA84" s="1446"/>
      <c r="BB84" s="1173">
        <v>77</v>
      </c>
      <c r="BC84" s="1175"/>
      <c r="BD84" s="1107" t="s">
        <v>38</v>
      </c>
      <c r="BE84" s="1449"/>
      <c r="BF84" s="1657">
        <v>0</v>
      </c>
      <c r="BG84" s="1469"/>
      <c r="BH84" s="1107" t="s">
        <v>38</v>
      </c>
      <c r="BI84" s="1449"/>
      <c r="BJ84" s="1110">
        <f t="shared" si="19"/>
        <v>10.547945205479452</v>
      </c>
      <c r="BK84" s="1110"/>
      <c r="BL84" s="1440">
        <v>7.3</v>
      </c>
      <c r="BM84" s="1441"/>
      <c r="BN84" s="1442">
        <f>BL84/2209</f>
        <v>3.3046627433227704E-3</v>
      </c>
      <c r="BO84" s="1441"/>
      <c r="BP84" s="1107" t="s">
        <v>38</v>
      </c>
      <c r="BQ84" s="1449"/>
      <c r="BR84" s="1115">
        <f t="shared" si="12"/>
        <v>77</v>
      </c>
      <c r="BS84" s="1469"/>
      <c r="BT84" s="1117" t="s">
        <v>38</v>
      </c>
      <c r="BU84" s="1468"/>
      <c r="BV84" s="1173">
        <v>77</v>
      </c>
      <c r="BW84" s="1175"/>
      <c r="BX84" s="1107" t="s">
        <v>38</v>
      </c>
      <c r="BY84" s="1449"/>
      <c r="BZ84" s="1657">
        <v>0</v>
      </c>
      <c r="CA84" s="1469"/>
      <c r="CB84" s="1107" t="s">
        <v>38</v>
      </c>
      <c r="CC84" s="1449"/>
      <c r="CD84" s="1110">
        <f t="shared" si="18"/>
        <v>10.547945205479452</v>
      </c>
      <c r="CE84" s="1690"/>
      <c r="CF84" s="1444">
        <f t="shared" si="13"/>
        <v>32.200000000000003</v>
      </c>
      <c r="CG84" s="1092"/>
      <c r="CH84" s="1442">
        <f t="shared" si="20"/>
        <v>3.675799086757991E-3</v>
      </c>
      <c r="CI84" s="1467"/>
      <c r="CJ84" s="1117" t="s">
        <v>38</v>
      </c>
      <c r="CK84" s="1468"/>
      <c r="CL84" s="1173">
        <f t="shared" si="14"/>
        <v>411</v>
      </c>
      <c r="CM84" s="1447"/>
      <c r="CN84" s="1469" t="s">
        <v>38</v>
      </c>
      <c r="CO84" s="1468"/>
      <c r="CP84" s="1092">
        <f t="shared" si="15"/>
        <v>411</v>
      </c>
      <c r="CQ84" s="1175"/>
      <c r="CR84" s="1117" t="s">
        <v>38</v>
      </c>
      <c r="CS84" s="1468"/>
      <c r="CT84" s="1173">
        <f t="shared" si="16"/>
        <v>0</v>
      </c>
      <c r="CU84" s="1175"/>
      <c r="CV84" s="1117" t="s">
        <v>38</v>
      </c>
      <c r="CW84" s="1468"/>
      <c r="CX84" s="1173">
        <f t="shared" si="17"/>
        <v>12.763975155279502</v>
      </c>
      <c r="CY84" s="1464"/>
      <c r="CZ84" s="512"/>
      <c r="DA84" s="513"/>
      <c r="DB84" s="229"/>
      <c r="DC84" s="749"/>
      <c r="DD84" s="231"/>
      <c r="DE84" s="231"/>
      <c r="DF84" s="293"/>
      <c r="DG84" s="230"/>
      <c r="DH84" s="506"/>
      <c r="DI84" s="208"/>
      <c r="DJ84" s="293"/>
      <c r="DK84" s="230"/>
      <c r="DL84" s="506"/>
      <c r="DM84" s="208"/>
      <c r="DN84" s="293"/>
      <c r="DO84" s="230"/>
      <c r="DP84" s="237"/>
      <c r="DQ84" s="731"/>
      <c r="DR84" s="242"/>
      <c r="DS84" s="517"/>
      <c r="DT84" s="244"/>
      <c r="DU84" s="519"/>
      <c r="DV84" s="509"/>
      <c r="DW84" s="510"/>
      <c r="DX84" s="409"/>
      <c r="DY84" s="559"/>
      <c r="DZ84" s="509"/>
      <c r="EA84" s="510"/>
      <c r="EB84" s="293"/>
      <c r="EC84" s="230"/>
      <c r="ED84" s="244"/>
      <c r="EE84" s="732"/>
      <c r="EF84" s="244"/>
      <c r="EG84" s="557"/>
      <c r="EH84" s="298"/>
      <c r="EI84" s="521"/>
    </row>
    <row r="85" spans="1:140" x14ac:dyDescent="0.25">
      <c r="A85" s="2242"/>
      <c r="B85" s="523"/>
      <c r="C85" s="524" t="s">
        <v>40</v>
      </c>
      <c r="D85" s="234">
        <v>7</v>
      </c>
      <c r="E85" s="228"/>
      <c r="F85" s="246">
        <v>3.2065964269354101E-3</v>
      </c>
      <c r="G85" s="228"/>
      <c r="H85" s="293" t="s">
        <v>38</v>
      </c>
      <c r="I85" s="230" t="s">
        <v>38</v>
      </c>
      <c r="J85" s="298">
        <v>95</v>
      </c>
      <c r="K85" s="507"/>
      <c r="L85" s="409" t="s">
        <v>38</v>
      </c>
      <c r="M85" s="559" t="s">
        <v>38</v>
      </c>
      <c r="N85" s="506">
        <v>95</v>
      </c>
      <c r="O85" s="208"/>
      <c r="P85" s="293" t="s">
        <v>38</v>
      </c>
      <c r="Q85" s="230" t="s">
        <v>38</v>
      </c>
      <c r="R85" s="506">
        <v>0</v>
      </c>
      <c r="S85" s="507"/>
      <c r="T85" s="293" t="s">
        <v>38</v>
      </c>
      <c r="U85" s="230" t="s">
        <v>38</v>
      </c>
      <c r="V85" s="509">
        <v>13.571428571428571</v>
      </c>
      <c r="W85" s="509"/>
      <c r="X85" s="234">
        <v>7.2</v>
      </c>
      <c r="Y85" s="228"/>
      <c r="Z85" s="246">
        <v>3.2967032967032967E-3</v>
      </c>
      <c r="AA85" s="228"/>
      <c r="AB85" s="293" t="s">
        <v>38</v>
      </c>
      <c r="AC85" s="230" t="s">
        <v>38</v>
      </c>
      <c r="AD85" s="298">
        <v>108</v>
      </c>
      <c r="AE85" s="507"/>
      <c r="AF85" s="409" t="s">
        <v>38</v>
      </c>
      <c r="AG85" s="559" t="s">
        <v>38</v>
      </c>
      <c r="AH85" s="506">
        <v>108</v>
      </c>
      <c r="AI85" s="208"/>
      <c r="AJ85" s="293" t="s">
        <v>38</v>
      </c>
      <c r="AK85" s="230" t="s">
        <v>38</v>
      </c>
      <c r="AL85" s="506">
        <v>0</v>
      </c>
      <c r="AM85" s="507"/>
      <c r="AN85" s="293" t="s">
        <v>38</v>
      </c>
      <c r="AO85" s="230" t="s">
        <v>38</v>
      </c>
      <c r="AP85" s="509">
        <v>15</v>
      </c>
      <c r="AQ85" s="509"/>
      <c r="AR85" s="1440">
        <v>7.1</v>
      </c>
      <c r="AS85" s="1441"/>
      <c r="AT85" s="1442">
        <f>AR85/2183</f>
        <v>3.2524049473202014E-3</v>
      </c>
      <c r="AU85" s="1441"/>
      <c r="AV85" s="1107" t="s">
        <v>38</v>
      </c>
      <c r="AW85" s="1449"/>
      <c r="AX85" s="1107">
        <f t="shared" si="11"/>
        <v>104</v>
      </c>
      <c r="AY85" s="1175"/>
      <c r="AZ85" s="1092" t="s">
        <v>38</v>
      </c>
      <c r="BA85" s="1446"/>
      <c r="BB85" s="1173">
        <v>104</v>
      </c>
      <c r="BC85" s="1175"/>
      <c r="BD85" s="1107" t="s">
        <v>38</v>
      </c>
      <c r="BE85" s="1449"/>
      <c r="BF85" s="1173">
        <v>0</v>
      </c>
      <c r="BG85" s="1469"/>
      <c r="BH85" s="1107" t="s">
        <v>38</v>
      </c>
      <c r="BI85" s="1449"/>
      <c r="BJ85" s="1110">
        <f t="shared" si="19"/>
        <v>14.647887323943662</v>
      </c>
      <c r="BK85" s="1110"/>
      <c r="BL85" s="1440">
        <v>7.2</v>
      </c>
      <c r="BM85" s="1441"/>
      <c r="BN85" s="1442">
        <f>BL85/2209</f>
        <v>3.2593933906745133E-3</v>
      </c>
      <c r="BO85" s="1441"/>
      <c r="BP85" s="1107" t="s">
        <v>38</v>
      </c>
      <c r="BQ85" s="1449"/>
      <c r="BR85" s="1115">
        <f t="shared" si="12"/>
        <v>76</v>
      </c>
      <c r="BS85" s="1469"/>
      <c r="BT85" s="1117" t="s">
        <v>38</v>
      </c>
      <c r="BU85" s="1468"/>
      <c r="BV85" s="1173">
        <v>76</v>
      </c>
      <c r="BW85" s="1175"/>
      <c r="BX85" s="1107" t="s">
        <v>38</v>
      </c>
      <c r="BY85" s="1449"/>
      <c r="BZ85" s="1173">
        <v>0</v>
      </c>
      <c r="CA85" s="1469"/>
      <c r="CB85" s="1107" t="s">
        <v>38</v>
      </c>
      <c r="CC85" s="1449"/>
      <c r="CD85" s="1110">
        <f t="shared" si="18"/>
        <v>10.555555555555555</v>
      </c>
      <c r="CE85" s="1690"/>
      <c r="CF85" s="1444">
        <f t="shared" si="13"/>
        <v>28.5</v>
      </c>
      <c r="CG85" s="1092"/>
      <c r="CH85" s="1442">
        <f t="shared" si="20"/>
        <v>3.2534246575342467E-3</v>
      </c>
      <c r="CI85" s="1467"/>
      <c r="CJ85" s="1117" t="s">
        <v>38</v>
      </c>
      <c r="CK85" s="1468"/>
      <c r="CL85" s="1173">
        <f t="shared" si="14"/>
        <v>383</v>
      </c>
      <c r="CM85" s="1447"/>
      <c r="CN85" s="1469" t="s">
        <v>38</v>
      </c>
      <c r="CO85" s="1468"/>
      <c r="CP85" s="1092">
        <f t="shared" si="15"/>
        <v>383</v>
      </c>
      <c r="CQ85" s="1175"/>
      <c r="CR85" s="1117" t="s">
        <v>38</v>
      </c>
      <c r="CS85" s="1468"/>
      <c r="CT85" s="1173">
        <f t="shared" si="16"/>
        <v>0</v>
      </c>
      <c r="CU85" s="1175"/>
      <c r="CV85" s="1117" t="s">
        <v>38</v>
      </c>
      <c r="CW85" s="1468"/>
      <c r="CX85" s="1173">
        <f t="shared" si="17"/>
        <v>13.43859649122807</v>
      </c>
      <c r="CY85" s="1464"/>
      <c r="CZ85" s="512"/>
      <c r="DA85" s="513"/>
      <c r="DB85" s="229"/>
      <c r="DC85" s="749"/>
      <c r="DD85" s="231"/>
      <c r="DE85" s="231"/>
      <c r="DF85" s="293"/>
      <c r="DG85" s="230"/>
      <c r="DH85" s="506"/>
      <c r="DI85" s="208"/>
      <c r="DJ85" s="293"/>
      <c r="DK85" s="230"/>
      <c r="DL85" s="506"/>
      <c r="DM85" s="208"/>
      <c r="DN85" s="293"/>
      <c r="DO85" s="230"/>
      <c r="DP85" s="237"/>
      <c r="DQ85" s="731"/>
      <c r="DR85" s="242"/>
      <c r="DS85" s="517"/>
      <c r="DT85" s="244"/>
      <c r="DU85" s="519"/>
      <c r="DV85" s="509"/>
      <c r="DW85" s="510"/>
      <c r="DX85" s="409"/>
      <c r="DY85" s="559"/>
      <c r="DZ85" s="509"/>
      <c r="EA85" s="510"/>
      <c r="EB85" s="293"/>
      <c r="EC85" s="230"/>
      <c r="ED85" s="244"/>
      <c r="EE85" s="732"/>
      <c r="EF85" s="244"/>
      <c r="EG85" s="557"/>
      <c r="EH85" s="298"/>
      <c r="EI85" s="521"/>
    </row>
    <row r="86" spans="1:140" x14ac:dyDescent="0.25">
      <c r="A86" s="2242"/>
      <c r="B86" s="523"/>
      <c r="C86" s="524" t="s">
        <v>41</v>
      </c>
      <c r="D86" s="234">
        <v>6.2</v>
      </c>
      <c r="E86" s="228"/>
      <c r="F86" s="246">
        <v>2.8401282638570776E-3</v>
      </c>
      <c r="G86" s="228"/>
      <c r="H86" s="293" t="s">
        <v>38</v>
      </c>
      <c r="I86" s="230" t="s">
        <v>38</v>
      </c>
      <c r="J86" s="298">
        <v>84</v>
      </c>
      <c r="K86" s="507"/>
      <c r="L86" s="409" t="s">
        <v>38</v>
      </c>
      <c r="M86" s="559" t="s">
        <v>38</v>
      </c>
      <c r="N86" s="506">
        <v>84</v>
      </c>
      <c r="O86" s="208"/>
      <c r="P86" s="293" t="s">
        <v>38</v>
      </c>
      <c r="Q86" s="230" t="s">
        <v>38</v>
      </c>
      <c r="R86" s="506">
        <v>0</v>
      </c>
      <c r="S86" s="208"/>
      <c r="T86" s="293" t="s">
        <v>38</v>
      </c>
      <c r="U86" s="230" t="s">
        <v>38</v>
      </c>
      <c r="V86" s="509">
        <v>13.548387096774194</v>
      </c>
      <c r="W86" s="509"/>
      <c r="X86" s="234">
        <v>6</v>
      </c>
      <c r="Y86" s="228"/>
      <c r="Z86" s="246">
        <v>2.7472527472527475E-3</v>
      </c>
      <c r="AA86" s="228"/>
      <c r="AB86" s="293" t="s">
        <v>38</v>
      </c>
      <c r="AC86" s="230" t="s">
        <v>38</v>
      </c>
      <c r="AD86" s="298">
        <v>94</v>
      </c>
      <c r="AE86" s="507"/>
      <c r="AF86" s="409" t="s">
        <v>38</v>
      </c>
      <c r="AG86" s="559" t="s">
        <v>38</v>
      </c>
      <c r="AH86" s="506">
        <v>94</v>
      </c>
      <c r="AI86" s="208"/>
      <c r="AJ86" s="293" t="s">
        <v>38</v>
      </c>
      <c r="AK86" s="230" t="s">
        <v>38</v>
      </c>
      <c r="AL86" s="506">
        <v>0</v>
      </c>
      <c r="AM86" s="208"/>
      <c r="AN86" s="293" t="s">
        <v>38</v>
      </c>
      <c r="AO86" s="230" t="s">
        <v>38</v>
      </c>
      <c r="AP86" s="509">
        <v>15.666666666666666</v>
      </c>
      <c r="AQ86" s="509"/>
      <c r="AR86" s="1440">
        <v>6.3</v>
      </c>
      <c r="AS86" s="1441"/>
      <c r="AT86" s="1442">
        <f>AR86/2183</f>
        <v>2.8859367842418689E-3</v>
      </c>
      <c r="AU86" s="1441"/>
      <c r="AV86" s="1107" t="s">
        <v>38</v>
      </c>
      <c r="AW86" s="1449"/>
      <c r="AX86" s="1107">
        <f t="shared" si="11"/>
        <v>60</v>
      </c>
      <c r="AY86" s="1175"/>
      <c r="AZ86" s="1092" t="s">
        <v>38</v>
      </c>
      <c r="BA86" s="1446"/>
      <c r="BB86" s="1173">
        <v>60</v>
      </c>
      <c r="BC86" s="1175"/>
      <c r="BD86" s="1107" t="s">
        <v>38</v>
      </c>
      <c r="BE86" s="1449"/>
      <c r="BF86" s="1173">
        <v>0</v>
      </c>
      <c r="BG86" s="1175"/>
      <c r="BH86" s="1107" t="s">
        <v>38</v>
      </c>
      <c r="BI86" s="1449"/>
      <c r="BJ86" s="1110">
        <f t="shared" si="19"/>
        <v>9.5238095238095237</v>
      </c>
      <c r="BK86" s="1110"/>
      <c r="BL86" s="1440">
        <v>6.8</v>
      </c>
      <c r="BM86" s="1441"/>
      <c r="BN86" s="1442">
        <f>BL86/2209</f>
        <v>3.0783159800814846E-3</v>
      </c>
      <c r="BO86" s="1441"/>
      <c r="BP86" s="1107" t="s">
        <v>38</v>
      </c>
      <c r="BQ86" s="1449"/>
      <c r="BR86" s="1115">
        <f t="shared" si="12"/>
        <v>98</v>
      </c>
      <c r="BS86" s="1469"/>
      <c r="BT86" s="1117" t="s">
        <v>38</v>
      </c>
      <c r="BU86" s="1468"/>
      <c r="BV86" s="1173">
        <v>98</v>
      </c>
      <c r="BW86" s="1175"/>
      <c r="BX86" s="1107" t="s">
        <v>38</v>
      </c>
      <c r="BY86" s="1449"/>
      <c r="BZ86" s="1173">
        <v>0</v>
      </c>
      <c r="CA86" s="1175"/>
      <c r="CB86" s="1107" t="s">
        <v>38</v>
      </c>
      <c r="CC86" s="1449"/>
      <c r="CD86" s="1110">
        <f t="shared" si="18"/>
        <v>14.411764705882353</v>
      </c>
      <c r="CE86" s="1690"/>
      <c r="CF86" s="1444">
        <f t="shared" si="13"/>
        <v>25.3</v>
      </c>
      <c r="CG86" s="1092"/>
      <c r="CH86" s="1442">
        <f t="shared" si="20"/>
        <v>2.8881278538812785E-3</v>
      </c>
      <c r="CI86" s="1467"/>
      <c r="CJ86" s="1117" t="s">
        <v>38</v>
      </c>
      <c r="CK86" s="1468"/>
      <c r="CL86" s="1173">
        <f t="shared" si="14"/>
        <v>336</v>
      </c>
      <c r="CM86" s="1447"/>
      <c r="CN86" s="1469" t="s">
        <v>38</v>
      </c>
      <c r="CO86" s="1468"/>
      <c r="CP86" s="1092">
        <f t="shared" si="15"/>
        <v>336</v>
      </c>
      <c r="CQ86" s="1175"/>
      <c r="CR86" s="1117" t="s">
        <v>38</v>
      </c>
      <c r="CS86" s="1468"/>
      <c r="CT86" s="1173">
        <f t="shared" si="16"/>
        <v>0</v>
      </c>
      <c r="CU86" s="1175"/>
      <c r="CV86" s="1117" t="s">
        <v>38</v>
      </c>
      <c r="CW86" s="1468"/>
      <c r="CX86" s="1173">
        <f t="shared" si="17"/>
        <v>13.280632411067193</v>
      </c>
      <c r="CY86" s="1464"/>
      <c r="CZ86" s="512"/>
      <c r="DA86" s="513"/>
      <c r="DB86" s="229"/>
      <c r="DC86" s="749"/>
      <c r="DD86" s="231"/>
      <c r="DE86" s="231"/>
      <c r="DF86" s="293"/>
      <c r="DG86" s="230"/>
      <c r="DH86" s="506"/>
      <c r="DI86" s="208"/>
      <c r="DJ86" s="293"/>
      <c r="DK86" s="230"/>
      <c r="DL86" s="506"/>
      <c r="DM86" s="208"/>
      <c r="DN86" s="293"/>
      <c r="DO86" s="230"/>
      <c r="DP86" s="237"/>
      <c r="DQ86" s="731"/>
      <c r="DR86" s="242"/>
      <c r="DS86" s="517"/>
      <c r="DT86" s="244"/>
      <c r="DU86" s="519"/>
      <c r="DV86" s="509"/>
      <c r="DW86" s="510"/>
      <c r="DX86" s="409"/>
      <c r="DY86" s="559"/>
      <c r="DZ86" s="509"/>
      <c r="EA86" s="510"/>
      <c r="EB86" s="293"/>
      <c r="EC86" s="230"/>
      <c r="ED86" s="244"/>
      <c r="EE86" s="732"/>
      <c r="EF86" s="244"/>
      <c r="EG86" s="557"/>
      <c r="EH86" s="298"/>
      <c r="EI86" s="521"/>
    </row>
    <row r="87" spans="1:140" x14ac:dyDescent="0.25">
      <c r="A87" s="2242"/>
      <c r="B87" s="20"/>
      <c r="C87" s="504" t="s">
        <v>42</v>
      </c>
      <c r="D87" s="234">
        <v>3.8</v>
      </c>
      <c r="E87" s="228"/>
      <c r="F87" s="246">
        <v>1.7407237746220796E-3</v>
      </c>
      <c r="G87" s="228"/>
      <c r="H87" s="293" t="s">
        <v>38</v>
      </c>
      <c r="I87" s="230" t="s">
        <v>38</v>
      </c>
      <c r="J87" s="298">
        <v>51</v>
      </c>
      <c r="K87" s="507"/>
      <c r="L87" s="409" t="s">
        <v>38</v>
      </c>
      <c r="M87" s="559" t="s">
        <v>38</v>
      </c>
      <c r="N87" s="506">
        <v>51</v>
      </c>
      <c r="O87" s="208"/>
      <c r="P87" s="293" t="s">
        <v>38</v>
      </c>
      <c r="Q87" s="230" t="s">
        <v>38</v>
      </c>
      <c r="R87" s="506">
        <v>0</v>
      </c>
      <c r="S87" s="208"/>
      <c r="T87" s="293" t="s">
        <v>38</v>
      </c>
      <c r="U87" s="230" t="s">
        <v>38</v>
      </c>
      <c r="V87" s="509">
        <v>13.421052631578949</v>
      </c>
      <c r="W87" s="509"/>
      <c r="X87" s="234">
        <v>3.6</v>
      </c>
      <c r="Y87" s="228"/>
      <c r="Z87" s="246">
        <v>1.6483516483516484E-3</v>
      </c>
      <c r="AA87" s="228"/>
      <c r="AB87" s="293" t="s">
        <v>38</v>
      </c>
      <c r="AC87" s="230" t="s">
        <v>38</v>
      </c>
      <c r="AD87" s="298">
        <v>58</v>
      </c>
      <c r="AE87" s="507"/>
      <c r="AF87" s="409" t="s">
        <v>38</v>
      </c>
      <c r="AG87" s="559" t="s">
        <v>38</v>
      </c>
      <c r="AH87" s="506">
        <v>58</v>
      </c>
      <c r="AI87" s="208"/>
      <c r="AJ87" s="293" t="s">
        <v>38</v>
      </c>
      <c r="AK87" s="230" t="s">
        <v>38</v>
      </c>
      <c r="AL87" s="506">
        <v>0</v>
      </c>
      <c r="AM87" s="208"/>
      <c r="AN87" s="293" t="s">
        <v>38</v>
      </c>
      <c r="AO87" s="230" t="s">
        <v>38</v>
      </c>
      <c r="AP87" s="509">
        <v>16.111111111111111</v>
      </c>
      <c r="AQ87" s="509"/>
      <c r="AR87" s="1440">
        <v>3.8</v>
      </c>
      <c r="AS87" s="1441"/>
      <c r="AT87" s="1442">
        <f>AR87/2183</f>
        <v>1.7407237746220796E-3</v>
      </c>
      <c r="AU87" s="1441"/>
      <c r="AV87" s="1107" t="s">
        <v>38</v>
      </c>
      <c r="AW87" s="1449"/>
      <c r="AX87" s="1107">
        <f t="shared" si="11"/>
        <v>37</v>
      </c>
      <c r="AY87" s="1175"/>
      <c r="AZ87" s="1092" t="s">
        <v>38</v>
      </c>
      <c r="BA87" s="1446"/>
      <c r="BB87" s="1173">
        <v>37</v>
      </c>
      <c r="BC87" s="1175"/>
      <c r="BD87" s="1107" t="s">
        <v>38</v>
      </c>
      <c r="BE87" s="1449"/>
      <c r="BF87" s="1173">
        <v>0</v>
      </c>
      <c r="BG87" s="1175"/>
      <c r="BH87" s="1107" t="s">
        <v>38</v>
      </c>
      <c r="BI87" s="1449"/>
      <c r="BJ87" s="1110">
        <f t="shared" si="19"/>
        <v>9.7368421052631575</v>
      </c>
      <c r="BK87" s="1110"/>
      <c r="BL87" s="1440">
        <v>3.9</v>
      </c>
      <c r="BM87" s="1441"/>
      <c r="BN87" s="1442">
        <f>BL87/2209</f>
        <v>1.7655047532820281E-3</v>
      </c>
      <c r="BO87" s="1441"/>
      <c r="BP87" s="1107" t="s">
        <v>38</v>
      </c>
      <c r="BQ87" s="1449"/>
      <c r="BR87" s="1115">
        <f t="shared" si="12"/>
        <v>55</v>
      </c>
      <c r="BS87" s="1469"/>
      <c r="BT87" s="1117" t="s">
        <v>38</v>
      </c>
      <c r="BU87" s="1468"/>
      <c r="BV87" s="1173">
        <v>55</v>
      </c>
      <c r="BW87" s="1175"/>
      <c r="BX87" s="1107" t="s">
        <v>38</v>
      </c>
      <c r="BY87" s="1449"/>
      <c r="BZ87" s="1173">
        <v>0</v>
      </c>
      <c r="CA87" s="1175"/>
      <c r="CB87" s="1107" t="s">
        <v>38</v>
      </c>
      <c r="CC87" s="1449"/>
      <c r="CD87" s="1110">
        <f t="shared" si="18"/>
        <v>14.102564102564102</v>
      </c>
      <c r="CE87" s="1690"/>
      <c r="CF87" s="1600">
        <f t="shared" si="13"/>
        <v>15.099999999999998</v>
      </c>
      <c r="CG87" s="1092"/>
      <c r="CH87" s="1442">
        <f t="shared" si="20"/>
        <v>1.7237442922374427E-3</v>
      </c>
      <c r="CI87" s="1467"/>
      <c r="CJ87" s="1117" t="s">
        <v>38</v>
      </c>
      <c r="CK87" s="1468"/>
      <c r="CL87" s="1173">
        <f t="shared" si="14"/>
        <v>201</v>
      </c>
      <c r="CM87" s="1447"/>
      <c r="CN87" s="1469" t="s">
        <v>38</v>
      </c>
      <c r="CO87" s="1468"/>
      <c r="CP87" s="1092">
        <f t="shared" si="15"/>
        <v>201</v>
      </c>
      <c r="CQ87" s="1175"/>
      <c r="CR87" s="1117" t="s">
        <v>38</v>
      </c>
      <c r="CS87" s="1468"/>
      <c r="CT87" s="1173">
        <f t="shared" si="16"/>
        <v>0</v>
      </c>
      <c r="CU87" s="1175"/>
      <c r="CV87" s="1117" t="s">
        <v>38</v>
      </c>
      <c r="CW87" s="1468"/>
      <c r="CX87" s="1173">
        <f t="shared" si="17"/>
        <v>13.311258278145697</v>
      </c>
      <c r="CY87" s="1464"/>
      <c r="CZ87" s="512"/>
      <c r="DA87" s="513"/>
      <c r="DB87" s="229"/>
      <c r="DC87" s="749"/>
      <c r="DD87" s="231"/>
      <c r="DE87" s="231"/>
      <c r="DF87" s="293"/>
      <c r="DG87" s="230"/>
      <c r="DH87" s="506"/>
      <c r="DI87" s="208"/>
      <c r="DJ87" s="293"/>
      <c r="DK87" s="230"/>
      <c r="DL87" s="506"/>
      <c r="DM87" s="208"/>
      <c r="DN87" s="293"/>
      <c r="DO87" s="230"/>
      <c r="DP87" s="237"/>
      <c r="DQ87" s="731"/>
      <c r="DR87" s="242"/>
      <c r="DS87" s="517"/>
      <c r="DT87" s="244"/>
      <c r="DU87" s="519"/>
      <c r="DV87" s="509"/>
      <c r="DW87" s="510"/>
      <c r="DX87" s="409"/>
      <c r="DY87" s="559"/>
      <c r="DZ87" s="509"/>
      <c r="EA87" s="510"/>
      <c r="EB87" s="293"/>
      <c r="EC87" s="230"/>
      <c r="ED87" s="244"/>
      <c r="EE87" s="732"/>
      <c r="EF87" s="244"/>
      <c r="EG87" s="557"/>
      <c r="EH87" s="298"/>
      <c r="EI87" s="521"/>
    </row>
    <row r="88" spans="1:140" x14ac:dyDescent="0.25">
      <c r="A88" s="2245"/>
      <c r="B88" s="85"/>
      <c r="C88" s="785" t="s">
        <v>43</v>
      </c>
      <c r="D88" s="350">
        <v>0.5</v>
      </c>
      <c r="E88" s="228"/>
      <c r="F88" s="352">
        <v>2.2904260192395785E-4</v>
      </c>
      <c r="G88" s="351"/>
      <c r="H88" s="353" t="s">
        <v>38</v>
      </c>
      <c r="I88" s="354" t="s">
        <v>38</v>
      </c>
      <c r="J88" s="355">
        <v>0</v>
      </c>
      <c r="K88" s="734"/>
      <c r="L88" s="409" t="s">
        <v>38</v>
      </c>
      <c r="M88" s="559" t="s">
        <v>38</v>
      </c>
      <c r="N88" s="736">
        <v>0</v>
      </c>
      <c r="O88" s="738"/>
      <c r="P88" s="353" t="s">
        <v>38</v>
      </c>
      <c r="Q88" s="354" t="s">
        <v>38</v>
      </c>
      <c r="R88" s="736">
        <v>0</v>
      </c>
      <c r="S88" s="738"/>
      <c r="T88" s="353" t="s">
        <v>38</v>
      </c>
      <c r="U88" s="354" t="s">
        <v>38</v>
      </c>
      <c r="V88" s="736">
        <v>0</v>
      </c>
      <c r="W88" s="739"/>
      <c r="X88" s="350">
        <v>0.5</v>
      </c>
      <c r="Y88" s="228"/>
      <c r="Z88" s="352">
        <v>2.2893772893772894E-4</v>
      </c>
      <c r="AA88" s="351"/>
      <c r="AB88" s="353" t="s">
        <v>38</v>
      </c>
      <c r="AC88" s="354" t="s">
        <v>38</v>
      </c>
      <c r="AD88" s="355">
        <v>0</v>
      </c>
      <c r="AE88" s="734"/>
      <c r="AF88" s="409" t="s">
        <v>38</v>
      </c>
      <c r="AG88" s="559" t="s">
        <v>38</v>
      </c>
      <c r="AH88" s="736">
        <v>0</v>
      </c>
      <c r="AI88" s="738"/>
      <c r="AJ88" s="353" t="s">
        <v>38</v>
      </c>
      <c r="AK88" s="354" t="s">
        <v>38</v>
      </c>
      <c r="AL88" s="736">
        <v>0</v>
      </c>
      <c r="AM88" s="738"/>
      <c r="AN88" s="353" t="s">
        <v>38</v>
      </c>
      <c r="AO88" s="354" t="s">
        <v>38</v>
      </c>
      <c r="AP88" s="736">
        <v>0</v>
      </c>
      <c r="AQ88" s="739"/>
      <c r="AR88" s="1579">
        <v>0.5</v>
      </c>
      <c r="AS88" s="1441"/>
      <c r="AT88" s="1581">
        <f>AR88/2183</f>
        <v>2.2904260192395785E-4</v>
      </c>
      <c r="AU88" s="1580"/>
      <c r="AV88" s="1192" t="s">
        <v>38</v>
      </c>
      <c r="AW88" s="1582"/>
      <c r="AX88" s="1192">
        <f t="shared" si="11"/>
        <v>0</v>
      </c>
      <c r="AY88" s="1182"/>
      <c r="AZ88" s="1092" t="s">
        <v>38</v>
      </c>
      <c r="BA88" s="1446"/>
      <c r="BB88" s="1179">
        <v>0</v>
      </c>
      <c r="BC88" s="1182"/>
      <c r="BD88" s="1192" t="s">
        <v>38</v>
      </c>
      <c r="BE88" s="1582"/>
      <c r="BF88" s="1179">
        <v>0</v>
      </c>
      <c r="BG88" s="1182"/>
      <c r="BH88" s="1192" t="s">
        <v>38</v>
      </c>
      <c r="BI88" s="1582"/>
      <c r="BJ88" s="1179">
        <f t="shared" si="19"/>
        <v>0</v>
      </c>
      <c r="BK88" s="1675"/>
      <c r="BL88" s="1579">
        <v>0.5</v>
      </c>
      <c r="BM88" s="1441"/>
      <c r="BN88" s="1581">
        <f>BL88/2209</f>
        <v>2.2634676324128565E-4</v>
      </c>
      <c r="BO88" s="1580"/>
      <c r="BP88" s="1192" t="s">
        <v>38</v>
      </c>
      <c r="BQ88" s="1582"/>
      <c r="BR88" s="1584">
        <f t="shared" si="12"/>
        <v>0</v>
      </c>
      <c r="BS88" s="1589"/>
      <c r="BT88" s="1117" t="s">
        <v>38</v>
      </c>
      <c r="BU88" s="1468"/>
      <c r="BV88" s="1179">
        <v>0</v>
      </c>
      <c r="BW88" s="1182"/>
      <c r="BX88" s="1192" t="s">
        <v>38</v>
      </c>
      <c r="BY88" s="1582"/>
      <c r="BZ88" s="1179">
        <v>0</v>
      </c>
      <c r="CA88" s="1182"/>
      <c r="CB88" s="1192" t="s">
        <v>38</v>
      </c>
      <c r="CC88" s="1582"/>
      <c r="CD88" s="1179">
        <f t="shared" si="18"/>
        <v>0</v>
      </c>
      <c r="CE88" s="1691"/>
      <c r="CF88" s="1502">
        <f t="shared" si="13"/>
        <v>2</v>
      </c>
      <c r="CG88" s="1583"/>
      <c r="CH88" s="1581">
        <f t="shared" si="20"/>
        <v>2.2831050228310502E-4</v>
      </c>
      <c r="CI88" s="1586"/>
      <c r="CJ88" s="1117" t="s">
        <v>38</v>
      </c>
      <c r="CK88" s="1468"/>
      <c r="CL88" s="1179">
        <f t="shared" si="14"/>
        <v>0</v>
      </c>
      <c r="CM88" s="1588"/>
      <c r="CN88" s="1469" t="s">
        <v>38</v>
      </c>
      <c r="CO88" s="1468"/>
      <c r="CP88" s="1583">
        <f t="shared" si="15"/>
        <v>0</v>
      </c>
      <c r="CQ88" s="1182"/>
      <c r="CR88" s="1117" t="s">
        <v>38</v>
      </c>
      <c r="CS88" s="1468"/>
      <c r="CT88" s="1179">
        <f t="shared" si="16"/>
        <v>0</v>
      </c>
      <c r="CU88" s="1182"/>
      <c r="CV88" s="1117" t="s">
        <v>38</v>
      </c>
      <c r="CW88" s="1468"/>
      <c r="CX88" s="1179">
        <f t="shared" si="17"/>
        <v>0</v>
      </c>
      <c r="CY88" s="1590"/>
      <c r="CZ88" s="512"/>
      <c r="DA88" s="513"/>
      <c r="DB88" s="229"/>
      <c r="DC88" s="786"/>
      <c r="DD88" s="736"/>
      <c r="DE88" s="745"/>
      <c r="DF88" s="353"/>
      <c r="DG88" s="354"/>
      <c r="DH88" s="736"/>
      <c r="DI88" s="738"/>
      <c r="DJ88" s="353"/>
      <c r="DK88" s="354"/>
      <c r="DL88" s="736"/>
      <c r="DM88" s="738"/>
      <c r="DN88" s="353"/>
      <c r="DO88" s="354"/>
      <c r="DP88" s="736"/>
      <c r="DQ88" s="739"/>
      <c r="DR88" s="751"/>
      <c r="DS88" s="752"/>
      <c r="DT88" s="753"/>
      <c r="DU88" s="385"/>
      <c r="DV88" s="753"/>
      <c r="DW88" s="787"/>
      <c r="DX88" s="409"/>
      <c r="DY88" s="559"/>
      <c r="DZ88" s="753"/>
      <c r="EA88" s="787"/>
      <c r="EB88" s="353"/>
      <c r="EC88" s="354"/>
      <c r="ED88" s="353"/>
      <c r="EE88" s="354"/>
      <c r="EF88" s="753"/>
      <c r="EG88" s="788"/>
      <c r="EH88" s="355"/>
      <c r="EI88" s="755"/>
    </row>
    <row r="89" spans="1:140" ht="15.75" thickBot="1" x14ac:dyDescent="0.3">
      <c r="A89" s="86" t="s">
        <v>65</v>
      </c>
      <c r="B89" s="87" t="s">
        <v>66</v>
      </c>
      <c r="C89" s="88"/>
      <c r="D89" s="357" t="s">
        <v>38</v>
      </c>
      <c r="E89" s="358"/>
      <c r="F89" s="359" t="s">
        <v>38</v>
      </c>
      <c r="G89" s="360" t="s">
        <v>38</v>
      </c>
      <c r="H89" s="89" t="s">
        <v>38</v>
      </c>
      <c r="I89" s="90" t="s">
        <v>38</v>
      </c>
      <c r="J89" s="361">
        <v>510029</v>
      </c>
      <c r="K89" s="94"/>
      <c r="L89" s="91" t="s">
        <v>38</v>
      </c>
      <c r="M89" s="92" t="s">
        <v>38</v>
      </c>
      <c r="N89" s="789">
        <v>510029</v>
      </c>
      <c r="O89" s="93"/>
      <c r="P89" s="89" t="s">
        <v>38</v>
      </c>
      <c r="Q89" s="90" t="s">
        <v>38</v>
      </c>
      <c r="R89" s="790">
        <v>0</v>
      </c>
      <c r="S89" s="93"/>
      <c r="T89" s="89" t="s">
        <v>38</v>
      </c>
      <c r="U89" s="90" t="s">
        <v>38</v>
      </c>
      <c r="V89" s="791" t="s">
        <v>38</v>
      </c>
      <c r="W89" s="519"/>
      <c r="X89" s="357" t="s">
        <v>38</v>
      </c>
      <c r="Y89" s="358" t="s">
        <v>38</v>
      </c>
      <c r="Z89" s="359" t="s">
        <v>38</v>
      </c>
      <c r="AA89" s="360" t="s">
        <v>38</v>
      </c>
      <c r="AB89" s="89" t="s">
        <v>38</v>
      </c>
      <c r="AC89" s="90" t="s">
        <v>38</v>
      </c>
      <c r="AD89" s="361">
        <v>510029</v>
      </c>
      <c r="AE89" s="94"/>
      <c r="AF89" s="91" t="s">
        <v>38</v>
      </c>
      <c r="AG89" s="92" t="s">
        <v>38</v>
      </c>
      <c r="AH89" s="789">
        <v>510029</v>
      </c>
      <c r="AI89" s="93"/>
      <c r="AJ89" s="89" t="s">
        <v>38</v>
      </c>
      <c r="AK89" s="90" t="s">
        <v>38</v>
      </c>
      <c r="AL89" s="790">
        <v>0</v>
      </c>
      <c r="AM89" s="93"/>
      <c r="AN89" s="89" t="s">
        <v>38</v>
      </c>
      <c r="AO89" s="90" t="s">
        <v>38</v>
      </c>
      <c r="AP89" s="791" t="s">
        <v>38</v>
      </c>
      <c r="AQ89" s="519"/>
      <c r="AR89" s="1601" t="s">
        <v>38</v>
      </c>
      <c r="AS89" s="1602"/>
      <c r="AT89" s="1603" t="s">
        <v>38</v>
      </c>
      <c r="AU89" s="1604"/>
      <c r="AV89" s="1204" t="s">
        <v>38</v>
      </c>
      <c r="AW89" s="1205"/>
      <c r="AX89" s="1323">
        <f t="shared" si="11"/>
        <v>534900</v>
      </c>
      <c r="AY89" s="1206"/>
      <c r="AZ89" s="1206" t="s">
        <v>38</v>
      </c>
      <c r="BA89" s="1207"/>
      <c r="BB89" s="1323">
        <v>534900</v>
      </c>
      <c r="BC89" s="1208"/>
      <c r="BD89" s="1204" t="s">
        <v>38</v>
      </c>
      <c r="BE89" s="1205"/>
      <c r="BF89" s="1325">
        <v>0</v>
      </c>
      <c r="BG89" s="1208"/>
      <c r="BH89" s="1204" t="s">
        <v>38</v>
      </c>
      <c r="BI89" s="1205"/>
      <c r="BJ89" s="1681" t="s">
        <v>38</v>
      </c>
      <c r="BK89" s="1682"/>
      <c r="BL89" s="1601" t="s">
        <v>38</v>
      </c>
      <c r="BM89" s="1602"/>
      <c r="BN89" s="1603" t="s">
        <v>38</v>
      </c>
      <c r="BO89" s="1604"/>
      <c r="BP89" s="1204" t="s">
        <v>38</v>
      </c>
      <c r="BQ89" s="1205"/>
      <c r="BR89" s="1323">
        <f t="shared" si="12"/>
        <v>534900</v>
      </c>
      <c r="BS89" s="1206"/>
      <c r="BT89" s="1206" t="s">
        <v>38</v>
      </c>
      <c r="BU89" s="1207"/>
      <c r="BV89" s="1323">
        <v>534900</v>
      </c>
      <c r="BW89" s="1208"/>
      <c r="BX89" s="1204" t="s">
        <v>38</v>
      </c>
      <c r="BY89" s="1205"/>
      <c r="BZ89" s="1325">
        <v>0</v>
      </c>
      <c r="CA89" s="1208"/>
      <c r="CB89" s="1204" t="s">
        <v>38</v>
      </c>
      <c r="CC89" s="1205"/>
      <c r="CD89" s="1681" t="s">
        <v>38</v>
      </c>
      <c r="CE89" s="1692"/>
      <c r="CF89" s="1601" t="s">
        <v>38</v>
      </c>
      <c r="CG89" s="1603"/>
      <c r="CH89" s="1603" t="s">
        <v>38</v>
      </c>
      <c r="CI89" s="1604"/>
      <c r="CJ89" s="1206" t="s">
        <v>38</v>
      </c>
      <c r="CK89" s="1207"/>
      <c r="CL89" s="1409">
        <f t="shared" si="14"/>
        <v>2089858</v>
      </c>
      <c r="CM89" s="1410"/>
      <c r="CN89" s="1206" t="s">
        <v>38</v>
      </c>
      <c r="CO89" s="1207"/>
      <c r="CP89" s="1323">
        <f t="shared" si="15"/>
        <v>2089858</v>
      </c>
      <c r="CQ89" s="1208"/>
      <c r="CR89" s="1206" t="s">
        <v>38</v>
      </c>
      <c r="CS89" s="1207"/>
      <c r="CT89" s="1323">
        <f t="shared" si="16"/>
        <v>0</v>
      </c>
      <c r="CU89" s="1208"/>
      <c r="CV89" s="1206" t="s">
        <v>38</v>
      </c>
      <c r="CW89" s="1207"/>
      <c r="CX89" s="1605" t="s">
        <v>38</v>
      </c>
      <c r="CY89" s="1606"/>
      <c r="CZ89" s="357"/>
      <c r="DA89" s="795"/>
      <c r="DB89" s="359"/>
      <c r="DC89" s="360"/>
      <c r="DD89" s="796"/>
      <c r="DE89" s="796"/>
      <c r="DF89" s="89"/>
      <c r="DG89" s="90"/>
      <c r="DH89" s="797"/>
      <c r="DI89" s="798"/>
      <c r="DJ89" s="89"/>
      <c r="DK89" s="90"/>
      <c r="DL89" s="797"/>
      <c r="DM89" s="798"/>
      <c r="DN89" s="89"/>
      <c r="DO89" s="90"/>
      <c r="DP89" s="799"/>
      <c r="DQ89" s="800"/>
      <c r="DR89" s="357"/>
      <c r="DS89" s="801"/>
      <c r="DT89" s="802"/>
      <c r="DU89" s="803"/>
      <c r="DV89" s="796"/>
      <c r="DW89" s="804"/>
      <c r="DX89" s="91"/>
      <c r="DY89" s="92"/>
      <c r="DZ89" s="796"/>
      <c r="EA89" s="804"/>
      <c r="EB89" s="89"/>
      <c r="EC89" s="90"/>
      <c r="ED89" s="802"/>
      <c r="EE89" s="805"/>
      <c r="EF89" s="802"/>
      <c r="EG89" s="806"/>
      <c r="EH89" s="799"/>
      <c r="EI89" s="807"/>
    </row>
    <row r="90" spans="1:140" ht="26.25" thickBot="1" x14ac:dyDescent="0.3">
      <c r="A90" s="96"/>
      <c r="B90" s="97" t="s">
        <v>67</v>
      </c>
      <c r="C90" s="391"/>
      <c r="D90" s="362">
        <v>10996.900000000001</v>
      </c>
      <c r="E90" s="103"/>
      <c r="F90" s="217">
        <v>1.0000572643471</v>
      </c>
      <c r="G90" s="98"/>
      <c r="H90" s="99">
        <v>2965759.84820945</v>
      </c>
      <c r="I90" s="100"/>
      <c r="J90" s="99">
        <v>1939574.8955981734</v>
      </c>
      <c r="K90" s="98"/>
      <c r="L90" s="98">
        <v>1026184.9526112766</v>
      </c>
      <c r="M90" s="101"/>
      <c r="N90" s="99">
        <v>1921443.8825981733</v>
      </c>
      <c r="O90" s="98"/>
      <c r="P90" s="809">
        <v>1024423.6204160325</v>
      </c>
      <c r="Q90" s="808"/>
      <c r="R90" s="809">
        <v>18131.012999999999</v>
      </c>
      <c r="S90" s="810"/>
      <c r="T90" s="809">
        <v>1761.3321952442043</v>
      </c>
      <c r="U90" s="100"/>
      <c r="V90" s="99">
        <v>176.3746961050999</v>
      </c>
      <c r="W90" s="102"/>
      <c r="X90" s="362">
        <v>11001.899999999998</v>
      </c>
      <c r="Y90" s="103"/>
      <c r="Z90" s="217">
        <v>0.99999999999999989</v>
      </c>
      <c r="AA90" s="98"/>
      <c r="AB90" s="99">
        <v>3172253.7062740764</v>
      </c>
      <c r="AC90" s="100"/>
      <c r="AD90" s="99">
        <v>1901808.2571291032</v>
      </c>
      <c r="AE90" s="98"/>
      <c r="AF90" s="98">
        <v>1270445.4491449732</v>
      </c>
      <c r="AG90" s="101"/>
      <c r="AH90" s="99">
        <v>1883677.2571291032</v>
      </c>
      <c r="AI90" s="98"/>
      <c r="AJ90" s="809">
        <v>1252940.0581458306</v>
      </c>
      <c r="AK90" s="808"/>
      <c r="AL90" s="809">
        <v>18131</v>
      </c>
      <c r="AM90" s="810"/>
      <c r="AN90" s="809">
        <v>17505.390999142466</v>
      </c>
      <c r="AO90" s="100"/>
      <c r="AP90" s="99">
        <v>172.86180179142727</v>
      </c>
      <c r="AQ90" s="102"/>
      <c r="AR90" s="1326">
        <f>AR83+AR77+AR71+AR66+AR65</f>
        <v>11106.900000000001</v>
      </c>
      <c r="AS90" s="1211"/>
      <c r="AT90" s="1607">
        <f>AT83+AT77+AT71+AT66+AT65</f>
        <v>1.0000000000000002</v>
      </c>
      <c r="AU90" s="1212"/>
      <c r="AV90" s="1213">
        <f>AX90+AZ90</f>
        <v>3280143.2</v>
      </c>
      <c r="AW90" s="1214"/>
      <c r="AX90" s="1213">
        <f t="shared" si="11"/>
        <v>1801202.2</v>
      </c>
      <c r="AY90" s="1212"/>
      <c r="AZ90" s="1212">
        <f>BD90+BH90</f>
        <v>1478941</v>
      </c>
      <c r="BA90" s="1215"/>
      <c r="BB90" s="1213">
        <f>BB89+BB65+BB66+BB71+BB77+BB83</f>
        <v>1774914.2</v>
      </c>
      <c r="BC90" s="1212"/>
      <c r="BD90" s="1213">
        <v>1455294</v>
      </c>
      <c r="BE90" s="1214"/>
      <c r="BF90" s="1213">
        <f>BF89+BF65+BF66+BF71+BF77+BF83</f>
        <v>26288</v>
      </c>
      <c r="BG90" s="1212"/>
      <c r="BH90" s="1213">
        <v>23647</v>
      </c>
      <c r="BI90" s="1214"/>
      <c r="BJ90" s="1213">
        <f>AX90/AR90</f>
        <v>162.16966030125414</v>
      </c>
      <c r="BK90" s="1216"/>
      <c r="BL90" s="1326">
        <f>BL83+BL77+BL71+BL66+BL65</f>
        <v>11096.900000000001</v>
      </c>
      <c r="BM90" s="1211"/>
      <c r="BN90" s="1607">
        <f>BL90/11045</f>
        <v>1.0046989588048891</v>
      </c>
      <c r="BO90" s="1212"/>
      <c r="BP90" s="1213">
        <f>BR90+BT90</f>
        <v>3575272.1989473687</v>
      </c>
      <c r="BQ90" s="1214"/>
      <c r="BR90" s="1213">
        <f t="shared" si="12"/>
        <v>1841844.1989473687</v>
      </c>
      <c r="BS90" s="1212"/>
      <c r="BT90" s="1212">
        <f>BX90+CB90</f>
        <v>1733428</v>
      </c>
      <c r="BU90" s="1215"/>
      <c r="BV90" s="1213">
        <f>BV89+BV65+BV66+BV71+BV77+BV83</f>
        <v>1823509.1989473687</v>
      </c>
      <c r="BW90" s="1212"/>
      <c r="BX90" s="1213">
        <v>1709988</v>
      </c>
      <c r="BY90" s="1214"/>
      <c r="BZ90" s="1213">
        <f>BZ89+BZ65+BZ66+BZ71+BZ77+BZ83</f>
        <v>18335</v>
      </c>
      <c r="CA90" s="1212"/>
      <c r="CB90" s="1213">
        <v>23440</v>
      </c>
      <c r="CC90" s="1214"/>
      <c r="CD90" s="1213">
        <f>BR90/BL90</f>
        <v>165.97826410505351</v>
      </c>
      <c r="CE90" s="1216"/>
      <c r="CF90" s="1412">
        <f>BL90+AR90+X90+D90</f>
        <v>44202.6</v>
      </c>
      <c r="CG90" s="1212"/>
      <c r="CH90" s="1607">
        <f>CH83+CH77+CH71+CH66+CH65</f>
        <v>1</v>
      </c>
      <c r="CI90" s="1215"/>
      <c r="CJ90" s="1212">
        <f>BP90+AV90+AB90+H90</f>
        <v>12993428.953430897</v>
      </c>
      <c r="CK90" s="1215"/>
      <c r="CL90" s="1213">
        <f t="shared" si="14"/>
        <v>7484429.5516746445</v>
      </c>
      <c r="CM90" s="1413"/>
      <c r="CN90" s="1213">
        <f>BT90+AZ90+AF90+L90</f>
        <v>5508999.4017562503</v>
      </c>
      <c r="CO90" s="1215"/>
      <c r="CP90" s="1213">
        <f t="shared" si="15"/>
        <v>7403544.5386746451</v>
      </c>
      <c r="CQ90" s="1212"/>
      <c r="CR90" s="1213">
        <f>BX90+BD90+AJ90+P90</f>
        <v>5442645.6785618626</v>
      </c>
      <c r="CS90" s="1213"/>
      <c r="CT90" s="1213">
        <f t="shared" si="16"/>
        <v>80885.013000000006</v>
      </c>
      <c r="CU90" s="1213"/>
      <c r="CV90" s="1213">
        <f>CB90+BH90+AN90+T90</f>
        <v>66353.723194386665</v>
      </c>
      <c r="CW90" s="1215"/>
      <c r="CX90" s="1213">
        <f>CL90/CF90</f>
        <v>169.32102527169545</v>
      </c>
      <c r="CY90" s="1216"/>
      <c r="CZ90" s="105"/>
      <c r="DA90" s="104"/>
      <c r="DB90" s="98"/>
      <c r="DC90" s="104"/>
      <c r="DD90" s="99"/>
      <c r="DE90" s="100"/>
      <c r="DF90" s="99"/>
      <c r="DG90" s="103"/>
      <c r="DH90" s="99"/>
      <c r="DI90" s="101"/>
      <c r="DJ90" s="99"/>
      <c r="DK90" s="103"/>
      <c r="DL90" s="99"/>
      <c r="DM90" s="101"/>
      <c r="DN90" s="99"/>
      <c r="DO90" s="100"/>
      <c r="DP90" s="200"/>
      <c r="DQ90" s="201"/>
      <c r="DR90" s="107"/>
      <c r="DS90" s="178"/>
      <c r="DT90" s="100"/>
      <c r="DU90" s="108"/>
      <c r="DV90" s="100"/>
      <c r="DW90" s="181"/>
      <c r="DX90" s="100"/>
      <c r="DY90" s="184"/>
      <c r="DZ90" s="100"/>
      <c r="EA90" s="181"/>
      <c r="EB90" s="99"/>
      <c r="EC90" s="195"/>
      <c r="ED90" s="100"/>
      <c r="EE90" s="178"/>
      <c r="EF90" s="100"/>
      <c r="EG90" s="108"/>
      <c r="EH90" s="106"/>
      <c r="EI90" s="189"/>
    </row>
    <row r="91" spans="1:140" x14ac:dyDescent="0.25">
      <c r="A91" s="109" t="s">
        <v>68</v>
      </c>
      <c r="B91" s="2248" t="s">
        <v>69</v>
      </c>
      <c r="C91" s="2249"/>
      <c r="D91" s="363" t="s">
        <v>38</v>
      </c>
      <c r="E91" s="364" t="s">
        <v>38</v>
      </c>
      <c r="F91" s="365" t="s">
        <v>38</v>
      </c>
      <c r="G91" s="366" t="s">
        <v>38</v>
      </c>
      <c r="H91" s="367">
        <v>328191.6534134972</v>
      </c>
      <c r="I91" s="368"/>
      <c r="J91" s="369">
        <v>261611.33333333334</v>
      </c>
      <c r="K91" s="812"/>
      <c r="L91" s="421">
        <v>66580.320080163845</v>
      </c>
      <c r="M91" s="813"/>
      <c r="N91" s="814">
        <v>94416</v>
      </c>
      <c r="O91" s="421"/>
      <c r="P91" s="822">
        <v>50338.176108694272</v>
      </c>
      <c r="Q91" s="813"/>
      <c r="R91" s="814">
        <v>167195.33333333334</v>
      </c>
      <c r="S91" s="421"/>
      <c r="T91" s="822">
        <v>16242.143971469575</v>
      </c>
      <c r="U91" s="368"/>
      <c r="V91" s="815" t="s">
        <v>38</v>
      </c>
      <c r="W91" s="816" t="s">
        <v>38</v>
      </c>
      <c r="X91" s="363" t="s">
        <v>38</v>
      </c>
      <c r="Y91" s="364" t="s">
        <v>38</v>
      </c>
      <c r="Z91" s="365" t="s">
        <v>38</v>
      </c>
      <c r="AA91" s="366" t="s">
        <v>38</v>
      </c>
      <c r="AB91" s="367">
        <v>158716.12921689384</v>
      </c>
      <c r="AC91" s="368"/>
      <c r="AD91" s="369">
        <v>94945.333333333328</v>
      </c>
      <c r="AE91" s="812"/>
      <c r="AF91" s="421">
        <v>63770.795883560502</v>
      </c>
      <c r="AG91" s="813"/>
      <c r="AH91" s="814">
        <v>92890</v>
      </c>
      <c r="AI91" s="421"/>
      <c r="AJ91" s="822">
        <v>61786.381696060045</v>
      </c>
      <c r="AK91" s="813"/>
      <c r="AL91" s="814">
        <v>2055.333333333333</v>
      </c>
      <c r="AM91" s="421"/>
      <c r="AN91" s="822">
        <v>1984.4141875004582</v>
      </c>
      <c r="AO91" s="368"/>
      <c r="AP91" s="815" t="s">
        <v>38</v>
      </c>
      <c r="AQ91" s="816" t="s">
        <v>38</v>
      </c>
      <c r="AR91" s="1608" t="s">
        <v>38</v>
      </c>
      <c r="AS91" s="1609"/>
      <c r="AT91" s="1610" t="s">
        <v>38</v>
      </c>
      <c r="AU91" s="1611" t="s">
        <v>38</v>
      </c>
      <c r="AV91" s="1612">
        <f>AX91+AZ91</f>
        <v>19173.333333333332</v>
      </c>
      <c r="AW91" s="1613"/>
      <c r="AX91" s="1614">
        <f t="shared" si="11"/>
        <v>10445.333333333332</v>
      </c>
      <c r="AY91" s="1615"/>
      <c r="AZ91" s="1615">
        <f>BD91+BH91</f>
        <v>8728</v>
      </c>
      <c r="BA91" s="1613"/>
      <c r="BB91" s="1614">
        <f>1391+6999</f>
        <v>8390</v>
      </c>
      <c r="BC91" s="1615"/>
      <c r="BD91" s="1612">
        <v>6879</v>
      </c>
      <c r="BE91" s="1613"/>
      <c r="BF91" s="1614">
        <f>[1]ārpus_ētera!E5</f>
        <v>2055.333333333333</v>
      </c>
      <c r="BG91" s="1615"/>
      <c r="BH91" s="1612">
        <v>1849</v>
      </c>
      <c r="BI91" s="1613"/>
      <c r="BJ91" s="1620" t="s">
        <v>38</v>
      </c>
      <c r="BK91" s="1621"/>
      <c r="BL91" s="1608" t="s">
        <v>38</v>
      </c>
      <c r="BM91" s="1609"/>
      <c r="BN91" s="1610" t="s">
        <v>38</v>
      </c>
      <c r="BO91" s="1611"/>
      <c r="BP91" s="1612">
        <f>BR91+BT91</f>
        <v>247851.33333333331</v>
      </c>
      <c r="BQ91" s="1613"/>
      <c r="BR91" s="1614">
        <f t="shared" si="12"/>
        <v>127545.33333333333</v>
      </c>
      <c r="BS91" s="1615"/>
      <c r="BT91" s="1615">
        <f>BX91+CB91</f>
        <v>120306</v>
      </c>
      <c r="BU91" s="1613"/>
      <c r="BV91" s="1614">
        <f>[1]ārpus_ētera!C2+1391+6999</f>
        <v>125490</v>
      </c>
      <c r="BW91" s="1615"/>
      <c r="BX91" s="1612">
        <v>117678</v>
      </c>
      <c r="BY91" s="1613"/>
      <c r="BZ91" s="1614">
        <f>[1]ārpus_ētera!E5</f>
        <v>2055.333333333333</v>
      </c>
      <c r="CA91" s="1615"/>
      <c r="CB91" s="1612">
        <v>2628</v>
      </c>
      <c r="CC91" s="1613"/>
      <c r="CD91" s="1620" t="s">
        <v>38</v>
      </c>
      <c r="CE91" s="1693"/>
      <c r="CF91" s="1608" t="s">
        <v>38</v>
      </c>
      <c r="CG91" s="1616"/>
      <c r="CH91" s="1610" t="s">
        <v>38</v>
      </c>
      <c r="CI91" s="1611"/>
      <c r="CJ91" s="1615">
        <f>BP91+AV91+AB91+H91</f>
        <v>753932.4492970577</v>
      </c>
      <c r="CK91" s="1613"/>
      <c r="CL91" s="1614">
        <f t="shared" si="14"/>
        <v>494547.33333333337</v>
      </c>
      <c r="CM91" s="1617"/>
      <c r="CN91" s="1615">
        <f>BT91+AZ91+AF91+L91</f>
        <v>259385.11596372433</v>
      </c>
      <c r="CO91" s="1613"/>
      <c r="CP91" s="1618">
        <f t="shared" si="15"/>
        <v>321186</v>
      </c>
      <c r="CQ91" s="1615"/>
      <c r="CR91" s="1614">
        <f>BX91+BD91+AJ91+P91</f>
        <v>236681.55780475429</v>
      </c>
      <c r="CS91" s="1614"/>
      <c r="CT91" s="1614">
        <f t="shared" si="16"/>
        <v>173361.33333333334</v>
      </c>
      <c r="CU91" s="1619"/>
      <c r="CV91" s="1615">
        <f t="shared" si="16"/>
        <v>22703.558158970034</v>
      </c>
      <c r="CW91" s="1613"/>
      <c r="CX91" s="1620" t="s">
        <v>38</v>
      </c>
      <c r="CY91" s="1621" t="s">
        <v>38</v>
      </c>
      <c r="CZ91" s="363"/>
      <c r="DA91" s="817"/>
      <c r="DB91" s="365"/>
      <c r="DC91" s="366"/>
      <c r="DD91" s="369"/>
      <c r="DE91" s="821"/>
      <c r="DF91" s="822"/>
      <c r="DG91" s="823"/>
      <c r="DH91" s="369"/>
      <c r="DI91" s="369"/>
      <c r="DJ91" s="822"/>
      <c r="DK91" s="823"/>
      <c r="DL91" s="369"/>
      <c r="DM91" s="369"/>
      <c r="DN91" s="822"/>
      <c r="DO91" s="368"/>
      <c r="DP91" s="815"/>
      <c r="DQ91" s="816"/>
      <c r="DR91" s="365"/>
      <c r="DS91" s="824"/>
      <c r="DT91" s="821"/>
      <c r="DU91" s="825"/>
      <c r="DV91" s="821"/>
      <c r="DW91" s="826"/>
      <c r="DX91" s="827"/>
      <c r="DY91" s="828"/>
      <c r="DZ91" s="821"/>
      <c r="EA91" s="826"/>
      <c r="EB91" s="822"/>
      <c r="EC91" s="829"/>
      <c r="ED91" s="821"/>
      <c r="EE91" s="825"/>
      <c r="EF91" s="821"/>
      <c r="EG91" s="830"/>
      <c r="EH91" s="815"/>
      <c r="EI91" s="831"/>
      <c r="EJ91" s="210"/>
    </row>
    <row r="92" spans="1:140" ht="48.6" customHeight="1" x14ac:dyDescent="0.25">
      <c r="A92" s="2244" t="s">
        <v>70</v>
      </c>
      <c r="B92" s="2254" t="s">
        <v>71</v>
      </c>
      <c r="C92" s="2255"/>
      <c r="D92" s="370" t="s">
        <v>38</v>
      </c>
      <c r="E92" s="371" t="s">
        <v>38</v>
      </c>
      <c r="F92" s="372" t="s">
        <v>38</v>
      </c>
      <c r="G92" s="372" t="s">
        <v>38</v>
      </c>
      <c r="H92" s="373" t="s">
        <v>38</v>
      </c>
      <c r="I92" s="374" t="s">
        <v>38</v>
      </c>
      <c r="J92" s="375">
        <v>157998.74727272731</v>
      </c>
      <c r="K92" s="832"/>
      <c r="L92" s="422" t="s">
        <v>38</v>
      </c>
      <c r="M92" s="374" t="s">
        <v>38</v>
      </c>
      <c r="N92" s="833">
        <v>156134.6563636364</v>
      </c>
      <c r="O92" s="834"/>
      <c r="P92" s="373" t="s">
        <v>38</v>
      </c>
      <c r="Q92" s="374" t="s">
        <v>38</v>
      </c>
      <c r="R92" s="833">
        <v>1864.090909090909</v>
      </c>
      <c r="S92" s="834"/>
      <c r="T92" s="373" t="s">
        <v>38</v>
      </c>
      <c r="U92" s="374" t="s">
        <v>38</v>
      </c>
      <c r="V92" s="835" t="s">
        <v>38</v>
      </c>
      <c r="W92" s="836" t="s">
        <v>38</v>
      </c>
      <c r="X92" s="370" t="s">
        <v>38</v>
      </c>
      <c r="Y92" s="371" t="s">
        <v>38</v>
      </c>
      <c r="Z92" s="372" t="s">
        <v>38</v>
      </c>
      <c r="AA92" s="372" t="s">
        <v>38</v>
      </c>
      <c r="AB92" s="373" t="s">
        <v>38</v>
      </c>
      <c r="AC92" s="374" t="s">
        <v>38</v>
      </c>
      <c r="AD92" s="375">
        <v>202269.46727272731</v>
      </c>
      <c r="AE92" s="832"/>
      <c r="AF92" s="422" t="s">
        <v>38</v>
      </c>
      <c r="AG92" s="374" t="s">
        <v>38</v>
      </c>
      <c r="AH92" s="833">
        <v>200405.3763636364</v>
      </c>
      <c r="AI92" s="834"/>
      <c r="AJ92" s="373" t="s">
        <v>38</v>
      </c>
      <c r="AK92" s="374" t="s">
        <v>38</v>
      </c>
      <c r="AL92" s="833">
        <v>1864.090909090909</v>
      </c>
      <c r="AM92" s="834"/>
      <c r="AN92" s="373" t="s">
        <v>38</v>
      </c>
      <c r="AO92" s="374" t="s">
        <v>38</v>
      </c>
      <c r="AP92" s="835" t="s">
        <v>38</v>
      </c>
      <c r="AQ92" s="836" t="s">
        <v>38</v>
      </c>
      <c r="AR92" s="1622" t="s">
        <v>38</v>
      </c>
      <c r="AS92" s="1623"/>
      <c r="AT92" s="1624" t="s">
        <v>38</v>
      </c>
      <c r="AU92" s="1624" t="s">
        <v>38</v>
      </c>
      <c r="AV92" s="1625" t="s">
        <v>38</v>
      </c>
      <c r="AW92" s="1626"/>
      <c r="AX92" s="1625">
        <f t="shared" si="11"/>
        <v>202269.46727272731</v>
      </c>
      <c r="AY92" s="1627"/>
      <c r="AZ92" s="1627" t="s">
        <v>38</v>
      </c>
      <c r="BA92" s="1626"/>
      <c r="BB92" s="1683">
        <f>[1]digitalais!J16*1.04</f>
        <v>200405.3763636364</v>
      </c>
      <c r="BC92" s="1684"/>
      <c r="BD92" s="1625" t="s">
        <v>38</v>
      </c>
      <c r="BE92" s="1626"/>
      <c r="BF92" s="1683">
        <f>[1]digitalais!J17</f>
        <v>1864.090909090909</v>
      </c>
      <c r="BG92" s="1684"/>
      <c r="BH92" s="1625" t="s">
        <v>38</v>
      </c>
      <c r="BI92" s="1626"/>
      <c r="BJ92" s="1685" t="s">
        <v>38</v>
      </c>
      <c r="BK92" s="1633"/>
      <c r="BL92" s="1622" t="s">
        <v>38</v>
      </c>
      <c r="BM92" s="1623"/>
      <c r="BN92" s="1624" t="s">
        <v>38</v>
      </c>
      <c r="BO92" s="1624"/>
      <c r="BP92" s="1625" t="s">
        <v>38</v>
      </c>
      <c r="BQ92" s="1626"/>
      <c r="BR92" s="1625">
        <f t="shared" si="12"/>
        <v>202269.46727272731</v>
      </c>
      <c r="BS92" s="1627"/>
      <c r="BT92" s="1627" t="s">
        <v>38</v>
      </c>
      <c r="BU92" s="1626"/>
      <c r="BV92" s="1683">
        <f>[1]digitalais!K16*1.04</f>
        <v>200405.3763636364</v>
      </c>
      <c r="BW92" s="1684"/>
      <c r="BX92" s="1625" t="s">
        <v>38</v>
      </c>
      <c r="BY92" s="1626"/>
      <c r="BZ92" s="1683">
        <f>[1]digitalais!K17</f>
        <v>1864.090909090909</v>
      </c>
      <c r="CA92" s="1684"/>
      <c r="CB92" s="1625" t="s">
        <v>38</v>
      </c>
      <c r="CC92" s="1626"/>
      <c r="CD92" s="1685" t="s">
        <v>38</v>
      </c>
      <c r="CE92" s="1694"/>
      <c r="CF92" s="1628" t="s">
        <v>38</v>
      </c>
      <c r="CG92" s="1624"/>
      <c r="CH92" s="1624" t="s">
        <v>38</v>
      </c>
      <c r="CI92" s="1629"/>
      <c r="CJ92" s="1627" t="s">
        <v>38</v>
      </c>
      <c r="CK92" s="1626"/>
      <c r="CL92" s="1625">
        <f t="shared" si="14"/>
        <v>764807.14909090928</v>
      </c>
      <c r="CM92" s="1630"/>
      <c r="CN92" s="1627" t="s">
        <v>38</v>
      </c>
      <c r="CO92" s="1626"/>
      <c r="CP92" s="1625">
        <f t="shared" si="15"/>
        <v>757350.78545454552</v>
      </c>
      <c r="CQ92" s="1627"/>
      <c r="CR92" s="1627" t="s">
        <v>38</v>
      </c>
      <c r="CS92" s="1626"/>
      <c r="CT92" s="1625">
        <f t="shared" si="16"/>
        <v>7456.363636363636</v>
      </c>
      <c r="CU92" s="1631"/>
      <c r="CV92" s="1627" t="s">
        <v>38</v>
      </c>
      <c r="CW92" s="1626"/>
      <c r="CX92" s="1632" t="s">
        <v>38</v>
      </c>
      <c r="CY92" s="1633" t="s">
        <v>38</v>
      </c>
      <c r="CZ92" s="837"/>
      <c r="DA92" s="842"/>
      <c r="DB92" s="372"/>
      <c r="DC92" s="838"/>
      <c r="DD92" s="840"/>
      <c r="DE92" s="840"/>
      <c r="DF92" s="373"/>
      <c r="DG92" s="374"/>
      <c r="DH92" s="833"/>
      <c r="DI92" s="834"/>
      <c r="DJ92" s="373"/>
      <c r="DK92" s="374"/>
      <c r="DL92" s="833"/>
      <c r="DM92" s="834"/>
      <c r="DN92" s="373"/>
      <c r="DO92" s="374"/>
      <c r="DP92" s="841"/>
      <c r="DQ92" s="836"/>
      <c r="DR92" s="372"/>
      <c r="DS92" s="843"/>
      <c r="DT92" s="844"/>
      <c r="DU92" s="838"/>
      <c r="DV92" s="840"/>
      <c r="DW92" s="845"/>
      <c r="DX92" s="422"/>
      <c r="DY92" s="846"/>
      <c r="DZ92" s="840"/>
      <c r="EA92" s="845"/>
      <c r="EB92" s="373"/>
      <c r="EC92" s="847"/>
      <c r="ED92" s="840"/>
      <c r="EE92" s="848"/>
      <c r="EF92" s="844"/>
      <c r="EG92" s="842"/>
      <c r="EH92" s="841"/>
      <c r="EI92" s="849"/>
    </row>
    <row r="93" spans="1:140" x14ac:dyDescent="0.25">
      <c r="A93" s="2242"/>
      <c r="B93" s="506" t="s">
        <v>72</v>
      </c>
      <c r="C93" s="227"/>
      <c r="D93" s="376" t="s">
        <v>38</v>
      </c>
      <c r="E93" s="377" t="s">
        <v>38</v>
      </c>
      <c r="F93" s="378" t="s">
        <v>38</v>
      </c>
      <c r="G93" s="378" t="s">
        <v>38</v>
      </c>
      <c r="H93" s="379" t="s">
        <v>38</v>
      </c>
      <c r="I93" s="230" t="s">
        <v>38</v>
      </c>
      <c r="J93" s="209" t="s">
        <v>38</v>
      </c>
      <c r="K93" s="209" t="s">
        <v>38</v>
      </c>
      <c r="L93" s="209" t="s">
        <v>38</v>
      </c>
      <c r="M93" s="230" t="s">
        <v>38</v>
      </c>
      <c r="N93" s="209" t="s">
        <v>38</v>
      </c>
      <c r="O93" s="209" t="s">
        <v>38</v>
      </c>
      <c r="P93" s="379" t="s">
        <v>38</v>
      </c>
      <c r="Q93" s="230" t="s">
        <v>38</v>
      </c>
      <c r="R93" s="209" t="s">
        <v>38</v>
      </c>
      <c r="S93" s="209" t="s">
        <v>38</v>
      </c>
      <c r="T93" s="379" t="s">
        <v>38</v>
      </c>
      <c r="U93" s="230" t="s">
        <v>38</v>
      </c>
      <c r="V93" s="209" t="s">
        <v>38</v>
      </c>
      <c r="W93" s="209" t="s">
        <v>38</v>
      </c>
      <c r="X93" s="376" t="s">
        <v>38</v>
      </c>
      <c r="Y93" s="377" t="s">
        <v>38</v>
      </c>
      <c r="Z93" s="378" t="s">
        <v>38</v>
      </c>
      <c r="AA93" s="378" t="s">
        <v>38</v>
      </c>
      <c r="AB93" s="379" t="s">
        <v>38</v>
      </c>
      <c r="AC93" s="230" t="s">
        <v>38</v>
      </c>
      <c r="AD93" s="209" t="s">
        <v>38</v>
      </c>
      <c r="AE93" s="209" t="s">
        <v>38</v>
      </c>
      <c r="AF93" s="209" t="s">
        <v>38</v>
      </c>
      <c r="AG93" s="230" t="s">
        <v>38</v>
      </c>
      <c r="AH93" s="209" t="s">
        <v>38</v>
      </c>
      <c r="AI93" s="209" t="s">
        <v>38</v>
      </c>
      <c r="AJ93" s="379" t="s">
        <v>38</v>
      </c>
      <c r="AK93" s="230" t="s">
        <v>38</v>
      </c>
      <c r="AL93" s="209" t="s">
        <v>38</v>
      </c>
      <c r="AM93" s="209" t="s">
        <v>38</v>
      </c>
      <c r="AN93" s="379" t="s">
        <v>38</v>
      </c>
      <c r="AO93" s="230" t="s">
        <v>38</v>
      </c>
      <c r="AP93" s="209" t="s">
        <v>38</v>
      </c>
      <c r="AQ93" s="209" t="s">
        <v>38</v>
      </c>
      <c r="AR93" s="1634" t="s">
        <v>38</v>
      </c>
      <c r="AS93" s="1635"/>
      <c r="AT93" s="1636" t="s">
        <v>38</v>
      </c>
      <c r="AU93" s="1636" t="s">
        <v>38</v>
      </c>
      <c r="AV93" s="1173" t="s">
        <v>38</v>
      </c>
      <c r="AW93" s="1449"/>
      <c r="AX93" s="1175" t="s">
        <v>38</v>
      </c>
      <c r="AY93" s="1175"/>
      <c r="AZ93" s="1175" t="s">
        <v>38</v>
      </c>
      <c r="BA93" s="1449"/>
      <c r="BB93" s="1175" t="s">
        <v>38</v>
      </c>
      <c r="BC93" s="1175"/>
      <c r="BD93" s="1173" t="s">
        <v>38</v>
      </c>
      <c r="BE93" s="1449"/>
      <c r="BF93" s="1175" t="s">
        <v>38</v>
      </c>
      <c r="BG93" s="1175"/>
      <c r="BH93" s="1173" t="s">
        <v>38</v>
      </c>
      <c r="BI93" s="1449"/>
      <c r="BJ93" s="1175" t="s">
        <v>38</v>
      </c>
      <c r="BK93" s="1175"/>
      <c r="BL93" s="1634" t="s">
        <v>38</v>
      </c>
      <c r="BM93" s="1635"/>
      <c r="BN93" s="1636" t="s">
        <v>38</v>
      </c>
      <c r="BO93" s="1636"/>
      <c r="BP93" s="1173" t="s">
        <v>38</v>
      </c>
      <c r="BQ93" s="1449"/>
      <c r="BR93" s="1175" t="s">
        <v>38</v>
      </c>
      <c r="BS93" s="1175"/>
      <c r="BT93" s="1175" t="s">
        <v>38</v>
      </c>
      <c r="BU93" s="1449"/>
      <c r="BV93" s="1175" t="s">
        <v>38</v>
      </c>
      <c r="BW93" s="1175"/>
      <c r="BX93" s="1173" t="s">
        <v>38</v>
      </c>
      <c r="BY93" s="1449"/>
      <c r="BZ93" s="1175" t="s">
        <v>38</v>
      </c>
      <c r="CA93" s="1175"/>
      <c r="CB93" s="1173" t="s">
        <v>38</v>
      </c>
      <c r="CC93" s="1449"/>
      <c r="CD93" s="1175" t="s">
        <v>38</v>
      </c>
      <c r="CE93" s="1109"/>
      <c r="CF93" s="1637" t="s">
        <v>38</v>
      </c>
      <c r="CG93" s="1636"/>
      <c r="CH93" s="1636" t="s">
        <v>38</v>
      </c>
      <c r="CI93" s="1638"/>
      <c r="CJ93" s="1175" t="s">
        <v>38</v>
      </c>
      <c r="CK93" s="1449"/>
      <c r="CL93" s="1175" t="s">
        <v>38</v>
      </c>
      <c r="CM93" s="1175"/>
      <c r="CN93" s="1175" t="s">
        <v>38</v>
      </c>
      <c r="CO93" s="1449"/>
      <c r="CP93" s="1175" t="s">
        <v>38</v>
      </c>
      <c r="CQ93" s="1175"/>
      <c r="CR93" s="1175" t="s">
        <v>38</v>
      </c>
      <c r="CS93" s="1449"/>
      <c r="CT93" s="1175" t="s">
        <v>38</v>
      </c>
      <c r="CU93" s="1175"/>
      <c r="CV93" s="1175" t="s">
        <v>38</v>
      </c>
      <c r="CW93" s="1449"/>
      <c r="CX93" s="1175" t="s">
        <v>38</v>
      </c>
      <c r="CY93" s="1639" t="s">
        <v>38</v>
      </c>
      <c r="CZ93" s="850"/>
      <c r="DA93" s="853"/>
      <c r="DB93" s="378"/>
      <c r="DC93" s="851"/>
      <c r="DD93" s="379"/>
      <c r="DE93" s="230"/>
      <c r="DF93" s="379"/>
      <c r="DG93" s="230"/>
      <c r="DH93" s="379"/>
      <c r="DI93" s="209"/>
      <c r="DJ93" s="379"/>
      <c r="DK93" s="230"/>
      <c r="DL93" s="379"/>
      <c r="DM93" s="209"/>
      <c r="DN93" s="379"/>
      <c r="DO93" s="230"/>
      <c r="DP93" s="854"/>
      <c r="DQ93" s="855"/>
      <c r="DR93" s="378"/>
      <c r="DS93" s="856"/>
      <c r="DT93" s="244"/>
      <c r="DU93" s="245"/>
      <c r="DV93" s="244"/>
      <c r="DW93" s="857"/>
      <c r="DX93" s="518"/>
      <c r="DY93" s="858"/>
      <c r="DZ93" s="244"/>
      <c r="EA93" s="859"/>
      <c r="EB93" s="406"/>
      <c r="EC93" s="860"/>
      <c r="ED93" s="244"/>
      <c r="EE93" s="859"/>
      <c r="EF93" s="244"/>
      <c r="EG93" s="557"/>
      <c r="EH93" s="854"/>
      <c r="EI93" s="861"/>
    </row>
    <row r="94" spans="1:140" x14ac:dyDescent="0.25">
      <c r="A94" s="2242"/>
      <c r="B94" s="506" t="s">
        <v>73</v>
      </c>
      <c r="C94" s="862"/>
      <c r="D94" s="376" t="s">
        <v>38</v>
      </c>
      <c r="E94" s="377" t="s">
        <v>38</v>
      </c>
      <c r="F94" s="378" t="s">
        <v>38</v>
      </c>
      <c r="G94" s="378" t="s">
        <v>38</v>
      </c>
      <c r="H94" s="380" t="s">
        <v>38</v>
      </c>
      <c r="I94" s="381" t="s">
        <v>38</v>
      </c>
      <c r="J94" s="209" t="s">
        <v>38</v>
      </c>
      <c r="K94" s="209" t="s">
        <v>38</v>
      </c>
      <c r="L94" s="209" t="s">
        <v>38</v>
      </c>
      <c r="M94" s="230" t="s">
        <v>38</v>
      </c>
      <c r="N94" s="209" t="s">
        <v>38</v>
      </c>
      <c r="O94" s="209" t="s">
        <v>38</v>
      </c>
      <c r="P94" s="380" t="s">
        <v>38</v>
      </c>
      <c r="Q94" s="381" t="s">
        <v>38</v>
      </c>
      <c r="R94" s="209" t="s">
        <v>38</v>
      </c>
      <c r="S94" s="209" t="s">
        <v>38</v>
      </c>
      <c r="T94" s="380" t="s">
        <v>38</v>
      </c>
      <c r="U94" s="381" t="s">
        <v>38</v>
      </c>
      <c r="V94" s="209" t="s">
        <v>38</v>
      </c>
      <c r="W94" s="209" t="s">
        <v>38</v>
      </c>
      <c r="X94" s="376" t="s">
        <v>38</v>
      </c>
      <c r="Y94" s="377" t="s">
        <v>38</v>
      </c>
      <c r="Z94" s="378" t="s">
        <v>38</v>
      </c>
      <c r="AA94" s="378" t="s">
        <v>38</v>
      </c>
      <c r="AB94" s="380" t="s">
        <v>38</v>
      </c>
      <c r="AC94" s="381" t="s">
        <v>38</v>
      </c>
      <c r="AD94" s="209" t="s">
        <v>38</v>
      </c>
      <c r="AE94" s="209" t="s">
        <v>38</v>
      </c>
      <c r="AF94" s="209" t="s">
        <v>38</v>
      </c>
      <c r="AG94" s="230" t="s">
        <v>38</v>
      </c>
      <c r="AH94" s="209" t="s">
        <v>38</v>
      </c>
      <c r="AI94" s="209" t="s">
        <v>38</v>
      </c>
      <c r="AJ94" s="380" t="s">
        <v>38</v>
      </c>
      <c r="AK94" s="381" t="s">
        <v>38</v>
      </c>
      <c r="AL94" s="209" t="s">
        <v>38</v>
      </c>
      <c r="AM94" s="209" t="s">
        <v>38</v>
      </c>
      <c r="AN94" s="380" t="s">
        <v>38</v>
      </c>
      <c r="AO94" s="381" t="s">
        <v>38</v>
      </c>
      <c r="AP94" s="209" t="s">
        <v>38</v>
      </c>
      <c r="AQ94" s="209" t="s">
        <v>38</v>
      </c>
      <c r="AR94" s="1634" t="s">
        <v>38</v>
      </c>
      <c r="AS94" s="1635"/>
      <c r="AT94" s="1636" t="s">
        <v>38</v>
      </c>
      <c r="AU94" s="1636" t="s">
        <v>38</v>
      </c>
      <c r="AV94" s="1226" t="s">
        <v>38</v>
      </c>
      <c r="AW94" s="1640"/>
      <c r="AX94" s="1175" t="s">
        <v>38</v>
      </c>
      <c r="AY94" s="1175"/>
      <c r="AZ94" s="1175" t="s">
        <v>38</v>
      </c>
      <c r="BA94" s="1449"/>
      <c r="BB94" s="1175" t="s">
        <v>38</v>
      </c>
      <c r="BC94" s="1175"/>
      <c r="BD94" s="1226" t="s">
        <v>38</v>
      </c>
      <c r="BE94" s="1640"/>
      <c r="BF94" s="1175" t="s">
        <v>38</v>
      </c>
      <c r="BG94" s="1175"/>
      <c r="BH94" s="1226" t="s">
        <v>38</v>
      </c>
      <c r="BI94" s="1640"/>
      <c r="BJ94" s="1175" t="s">
        <v>38</v>
      </c>
      <c r="BK94" s="1175"/>
      <c r="BL94" s="1634" t="s">
        <v>38</v>
      </c>
      <c r="BM94" s="1635"/>
      <c r="BN94" s="1636" t="s">
        <v>38</v>
      </c>
      <c r="BO94" s="1636"/>
      <c r="BP94" s="1226" t="s">
        <v>38</v>
      </c>
      <c r="BQ94" s="1640"/>
      <c r="BR94" s="1175" t="s">
        <v>38</v>
      </c>
      <c r="BS94" s="1175"/>
      <c r="BT94" s="1175" t="s">
        <v>38</v>
      </c>
      <c r="BU94" s="1449"/>
      <c r="BV94" s="1175" t="s">
        <v>38</v>
      </c>
      <c r="BW94" s="1175"/>
      <c r="BX94" s="1226" t="s">
        <v>38</v>
      </c>
      <c r="BY94" s="1640"/>
      <c r="BZ94" s="1175" t="s">
        <v>38</v>
      </c>
      <c r="CA94" s="1175"/>
      <c r="CB94" s="1226" t="s">
        <v>38</v>
      </c>
      <c r="CC94" s="1640"/>
      <c r="CD94" s="1175" t="s">
        <v>38</v>
      </c>
      <c r="CE94" s="1109"/>
      <c r="CF94" s="1641" t="s">
        <v>38</v>
      </c>
      <c r="CG94" s="1642"/>
      <c r="CH94" s="1642" t="s">
        <v>38</v>
      </c>
      <c r="CI94" s="1643"/>
      <c r="CJ94" s="1175" t="s">
        <v>38</v>
      </c>
      <c r="CK94" s="1449"/>
      <c r="CL94" s="1175" t="s">
        <v>38</v>
      </c>
      <c r="CM94" s="1175"/>
      <c r="CN94" s="1175" t="s">
        <v>38</v>
      </c>
      <c r="CO94" s="1449"/>
      <c r="CP94" s="1175" t="s">
        <v>38</v>
      </c>
      <c r="CQ94" s="1175"/>
      <c r="CR94" s="1175" t="s">
        <v>38</v>
      </c>
      <c r="CS94" s="1449"/>
      <c r="CT94" s="1175" t="s">
        <v>38</v>
      </c>
      <c r="CU94" s="1175"/>
      <c r="CV94" s="1175" t="s">
        <v>38</v>
      </c>
      <c r="CW94" s="1449"/>
      <c r="CX94" s="1175" t="s">
        <v>38</v>
      </c>
      <c r="CY94" s="1639" t="s">
        <v>38</v>
      </c>
      <c r="CZ94" s="863"/>
      <c r="DA94" s="866"/>
      <c r="DB94" s="864"/>
      <c r="DC94" s="865"/>
      <c r="DD94" s="379"/>
      <c r="DE94" s="230"/>
      <c r="DF94" s="380"/>
      <c r="DG94" s="381"/>
      <c r="DH94" s="380"/>
      <c r="DI94" s="867"/>
      <c r="DJ94" s="380"/>
      <c r="DK94" s="381"/>
      <c r="DL94" s="380"/>
      <c r="DM94" s="867"/>
      <c r="DN94" s="380"/>
      <c r="DO94" s="381"/>
      <c r="DP94" s="854"/>
      <c r="DQ94" s="855"/>
      <c r="DR94" s="864"/>
      <c r="DS94" s="868"/>
      <c r="DT94" s="379"/>
      <c r="DU94" s="245"/>
      <c r="DV94" s="406"/>
      <c r="DW94" s="869"/>
      <c r="DX94" s="869"/>
      <c r="DY94" s="869"/>
      <c r="DZ94" s="869"/>
      <c r="EA94" s="859"/>
      <c r="EB94" s="406"/>
      <c r="EC94" s="860"/>
      <c r="ED94" s="406"/>
      <c r="EE94" s="859"/>
      <c r="EF94" s="406"/>
      <c r="EG94" s="870"/>
      <c r="EH94" s="378"/>
      <c r="EI94" s="861"/>
    </row>
    <row r="95" spans="1:140" x14ac:dyDescent="0.25">
      <c r="A95" s="2242"/>
      <c r="B95" s="506" t="s">
        <v>74</v>
      </c>
      <c r="C95" s="862"/>
      <c r="D95" s="376" t="s">
        <v>38</v>
      </c>
      <c r="E95" s="377" t="s">
        <v>38</v>
      </c>
      <c r="F95" s="378" t="s">
        <v>38</v>
      </c>
      <c r="G95" s="378" t="s">
        <v>38</v>
      </c>
      <c r="H95" s="380" t="s">
        <v>38</v>
      </c>
      <c r="I95" s="381" t="s">
        <v>38</v>
      </c>
      <c r="J95" s="209" t="s">
        <v>38</v>
      </c>
      <c r="K95" s="209" t="s">
        <v>38</v>
      </c>
      <c r="L95" s="209" t="s">
        <v>38</v>
      </c>
      <c r="M95" s="230" t="s">
        <v>38</v>
      </c>
      <c r="N95" s="209" t="s">
        <v>38</v>
      </c>
      <c r="O95" s="209" t="s">
        <v>38</v>
      </c>
      <c r="P95" s="380" t="s">
        <v>38</v>
      </c>
      <c r="Q95" s="381" t="s">
        <v>38</v>
      </c>
      <c r="R95" s="209" t="s">
        <v>38</v>
      </c>
      <c r="S95" s="209" t="s">
        <v>38</v>
      </c>
      <c r="T95" s="380" t="s">
        <v>38</v>
      </c>
      <c r="U95" s="381" t="s">
        <v>38</v>
      </c>
      <c r="V95" s="209" t="s">
        <v>38</v>
      </c>
      <c r="W95" s="209" t="s">
        <v>38</v>
      </c>
      <c r="X95" s="376" t="s">
        <v>38</v>
      </c>
      <c r="Y95" s="377" t="s">
        <v>38</v>
      </c>
      <c r="Z95" s="378" t="s">
        <v>38</v>
      </c>
      <c r="AA95" s="378" t="s">
        <v>38</v>
      </c>
      <c r="AB95" s="380" t="s">
        <v>38</v>
      </c>
      <c r="AC95" s="381" t="s">
        <v>38</v>
      </c>
      <c r="AD95" s="209" t="s">
        <v>38</v>
      </c>
      <c r="AE95" s="209" t="s">
        <v>38</v>
      </c>
      <c r="AF95" s="209" t="s">
        <v>38</v>
      </c>
      <c r="AG95" s="230" t="s">
        <v>38</v>
      </c>
      <c r="AH95" s="209" t="s">
        <v>38</v>
      </c>
      <c r="AI95" s="209" t="s">
        <v>38</v>
      </c>
      <c r="AJ95" s="380" t="s">
        <v>38</v>
      </c>
      <c r="AK95" s="381" t="s">
        <v>38</v>
      </c>
      <c r="AL95" s="209" t="s">
        <v>38</v>
      </c>
      <c r="AM95" s="209" t="s">
        <v>38</v>
      </c>
      <c r="AN95" s="380" t="s">
        <v>38</v>
      </c>
      <c r="AO95" s="381" t="s">
        <v>38</v>
      </c>
      <c r="AP95" s="209" t="s">
        <v>38</v>
      </c>
      <c r="AQ95" s="209" t="s">
        <v>38</v>
      </c>
      <c r="AR95" s="1634" t="s">
        <v>38</v>
      </c>
      <c r="AS95" s="1635"/>
      <c r="AT95" s="1636" t="s">
        <v>38</v>
      </c>
      <c r="AU95" s="1636" t="s">
        <v>38</v>
      </c>
      <c r="AV95" s="1226" t="s">
        <v>38</v>
      </c>
      <c r="AW95" s="1640"/>
      <c r="AX95" s="1175" t="s">
        <v>38</v>
      </c>
      <c r="AY95" s="1175"/>
      <c r="AZ95" s="1175" t="s">
        <v>38</v>
      </c>
      <c r="BA95" s="1449"/>
      <c r="BB95" s="1175" t="s">
        <v>38</v>
      </c>
      <c r="BC95" s="1175"/>
      <c r="BD95" s="1226" t="s">
        <v>38</v>
      </c>
      <c r="BE95" s="1640"/>
      <c r="BF95" s="1175" t="s">
        <v>38</v>
      </c>
      <c r="BG95" s="1175"/>
      <c r="BH95" s="1226" t="s">
        <v>38</v>
      </c>
      <c r="BI95" s="1640"/>
      <c r="BJ95" s="1175" t="s">
        <v>38</v>
      </c>
      <c r="BK95" s="1175"/>
      <c r="BL95" s="1634" t="s">
        <v>38</v>
      </c>
      <c r="BM95" s="1635"/>
      <c r="BN95" s="1636" t="s">
        <v>38</v>
      </c>
      <c r="BO95" s="1636"/>
      <c r="BP95" s="1226" t="s">
        <v>38</v>
      </c>
      <c r="BQ95" s="1640"/>
      <c r="BR95" s="1175" t="s">
        <v>38</v>
      </c>
      <c r="BS95" s="1175"/>
      <c r="BT95" s="1175" t="s">
        <v>38</v>
      </c>
      <c r="BU95" s="1449"/>
      <c r="BV95" s="1175" t="s">
        <v>38</v>
      </c>
      <c r="BW95" s="1175"/>
      <c r="BX95" s="1226" t="s">
        <v>38</v>
      </c>
      <c r="BY95" s="1640"/>
      <c r="BZ95" s="1175" t="s">
        <v>38</v>
      </c>
      <c r="CA95" s="1175"/>
      <c r="CB95" s="1226" t="s">
        <v>38</v>
      </c>
      <c r="CC95" s="1640"/>
      <c r="CD95" s="1175" t="s">
        <v>38</v>
      </c>
      <c r="CE95" s="1109"/>
      <c r="CF95" s="1641" t="s">
        <v>38</v>
      </c>
      <c r="CG95" s="1642"/>
      <c r="CH95" s="1642" t="s">
        <v>38</v>
      </c>
      <c r="CI95" s="1643"/>
      <c r="CJ95" s="1175" t="s">
        <v>38</v>
      </c>
      <c r="CK95" s="1449"/>
      <c r="CL95" s="1175" t="s">
        <v>38</v>
      </c>
      <c r="CM95" s="1175"/>
      <c r="CN95" s="1175" t="s">
        <v>38</v>
      </c>
      <c r="CO95" s="1449"/>
      <c r="CP95" s="1175" t="s">
        <v>38</v>
      </c>
      <c r="CQ95" s="1175"/>
      <c r="CR95" s="1175" t="s">
        <v>38</v>
      </c>
      <c r="CS95" s="1449"/>
      <c r="CT95" s="1175" t="s">
        <v>38</v>
      </c>
      <c r="CU95" s="1175"/>
      <c r="CV95" s="1175" t="s">
        <v>38</v>
      </c>
      <c r="CW95" s="1449"/>
      <c r="CX95" s="1175" t="s">
        <v>38</v>
      </c>
      <c r="CY95" s="1639" t="s">
        <v>38</v>
      </c>
      <c r="CZ95" s="863"/>
      <c r="DA95" s="866"/>
      <c r="DB95" s="864"/>
      <c r="DC95" s="865"/>
      <c r="DD95" s="379"/>
      <c r="DE95" s="230"/>
      <c r="DF95" s="380"/>
      <c r="DG95" s="381"/>
      <c r="DH95" s="380"/>
      <c r="DI95" s="867"/>
      <c r="DJ95" s="380"/>
      <c r="DK95" s="381"/>
      <c r="DL95" s="380"/>
      <c r="DM95" s="867"/>
      <c r="DN95" s="380"/>
      <c r="DO95" s="381"/>
      <c r="DP95" s="854"/>
      <c r="DQ95" s="855"/>
      <c r="DR95" s="864"/>
      <c r="DS95" s="868"/>
      <c r="DT95" s="379"/>
      <c r="DU95" s="245"/>
      <c r="DV95" s="406"/>
      <c r="DW95" s="869"/>
      <c r="DX95" s="209"/>
      <c r="DY95" s="871"/>
      <c r="DZ95" s="209"/>
      <c r="EA95" s="859"/>
      <c r="EB95" s="406"/>
      <c r="EC95" s="860"/>
      <c r="ED95" s="406"/>
      <c r="EE95" s="859"/>
      <c r="EF95" s="406"/>
      <c r="EG95" s="870"/>
      <c r="EH95" s="378"/>
      <c r="EI95" s="861"/>
    </row>
    <row r="96" spans="1:140" x14ac:dyDescent="0.25">
      <c r="A96" s="2242"/>
      <c r="B96" s="872" t="s">
        <v>75</v>
      </c>
      <c r="C96" s="873"/>
      <c r="D96" s="382" t="s">
        <v>38</v>
      </c>
      <c r="E96" s="383" t="s">
        <v>38</v>
      </c>
      <c r="F96" s="384" t="s">
        <v>38</v>
      </c>
      <c r="G96" s="385" t="s">
        <v>38</v>
      </c>
      <c r="H96" s="386" t="s">
        <v>38</v>
      </c>
      <c r="I96" s="354" t="s">
        <v>38</v>
      </c>
      <c r="J96" s="387" t="s">
        <v>38</v>
      </c>
      <c r="K96" s="387" t="s">
        <v>38</v>
      </c>
      <c r="L96" s="387" t="s">
        <v>38</v>
      </c>
      <c r="M96" s="354" t="s">
        <v>38</v>
      </c>
      <c r="N96" s="387" t="s">
        <v>38</v>
      </c>
      <c r="O96" s="387" t="s">
        <v>38</v>
      </c>
      <c r="P96" s="386" t="s">
        <v>38</v>
      </c>
      <c r="Q96" s="354" t="s">
        <v>38</v>
      </c>
      <c r="R96" s="387" t="s">
        <v>38</v>
      </c>
      <c r="S96" s="387" t="s">
        <v>38</v>
      </c>
      <c r="T96" s="386" t="s">
        <v>38</v>
      </c>
      <c r="U96" s="354" t="s">
        <v>38</v>
      </c>
      <c r="V96" s="387" t="s">
        <v>38</v>
      </c>
      <c r="W96" s="387" t="s">
        <v>38</v>
      </c>
      <c r="X96" s="382" t="s">
        <v>38</v>
      </c>
      <c r="Y96" s="383" t="s">
        <v>38</v>
      </c>
      <c r="Z96" s="384" t="s">
        <v>38</v>
      </c>
      <c r="AA96" s="385" t="s">
        <v>38</v>
      </c>
      <c r="AB96" s="386" t="s">
        <v>38</v>
      </c>
      <c r="AC96" s="354" t="s">
        <v>38</v>
      </c>
      <c r="AD96" s="387" t="s">
        <v>38</v>
      </c>
      <c r="AE96" s="387" t="s">
        <v>38</v>
      </c>
      <c r="AF96" s="387" t="s">
        <v>38</v>
      </c>
      <c r="AG96" s="354" t="s">
        <v>38</v>
      </c>
      <c r="AH96" s="387" t="s">
        <v>38</v>
      </c>
      <c r="AI96" s="387" t="s">
        <v>38</v>
      </c>
      <c r="AJ96" s="386" t="s">
        <v>38</v>
      </c>
      <c r="AK96" s="354" t="s">
        <v>38</v>
      </c>
      <c r="AL96" s="387" t="s">
        <v>38</v>
      </c>
      <c r="AM96" s="387" t="s">
        <v>38</v>
      </c>
      <c r="AN96" s="386" t="s">
        <v>38</v>
      </c>
      <c r="AO96" s="354" t="s">
        <v>38</v>
      </c>
      <c r="AP96" s="387" t="s">
        <v>38</v>
      </c>
      <c r="AQ96" s="387" t="s">
        <v>38</v>
      </c>
      <c r="AR96" s="1644" t="s">
        <v>38</v>
      </c>
      <c r="AS96" s="1580"/>
      <c r="AT96" s="1645" t="s">
        <v>38</v>
      </c>
      <c r="AU96" s="1646" t="s">
        <v>38</v>
      </c>
      <c r="AV96" s="1179" t="s">
        <v>38</v>
      </c>
      <c r="AW96" s="1582"/>
      <c r="AX96" s="1182" t="s">
        <v>38</v>
      </c>
      <c r="AY96" s="1182"/>
      <c r="AZ96" s="1182" t="s">
        <v>38</v>
      </c>
      <c r="BA96" s="1582"/>
      <c r="BB96" s="1182" t="s">
        <v>38</v>
      </c>
      <c r="BC96" s="1182"/>
      <c r="BD96" s="1179" t="s">
        <v>38</v>
      </c>
      <c r="BE96" s="1582"/>
      <c r="BF96" s="1182" t="s">
        <v>38</v>
      </c>
      <c r="BG96" s="1182"/>
      <c r="BH96" s="1179" t="s">
        <v>38</v>
      </c>
      <c r="BI96" s="1582"/>
      <c r="BJ96" s="1182" t="s">
        <v>38</v>
      </c>
      <c r="BK96" s="1182"/>
      <c r="BL96" s="1644" t="s">
        <v>38</v>
      </c>
      <c r="BM96" s="1580"/>
      <c r="BN96" s="1645" t="s">
        <v>38</v>
      </c>
      <c r="BO96" s="1646"/>
      <c r="BP96" s="1179" t="s">
        <v>38</v>
      </c>
      <c r="BQ96" s="1582"/>
      <c r="BR96" s="1182" t="s">
        <v>38</v>
      </c>
      <c r="BS96" s="1182"/>
      <c r="BT96" s="1182" t="s">
        <v>38</v>
      </c>
      <c r="BU96" s="1582"/>
      <c r="BV96" s="1182" t="s">
        <v>38</v>
      </c>
      <c r="BW96" s="1182"/>
      <c r="BX96" s="1179" t="s">
        <v>38</v>
      </c>
      <c r="BY96" s="1582"/>
      <c r="BZ96" s="1182" t="s">
        <v>38</v>
      </c>
      <c r="CA96" s="1182"/>
      <c r="CB96" s="1179" t="s">
        <v>38</v>
      </c>
      <c r="CC96" s="1582"/>
      <c r="CD96" s="1182" t="s">
        <v>38</v>
      </c>
      <c r="CE96" s="1695"/>
      <c r="CF96" s="1644" t="s">
        <v>38</v>
      </c>
      <c r="CG96" s="1645"/>
      <c r="CH96" s="1645" t="s">
        <v>38</v>
      </c>
      <c r="CI96" s="1646"/>
      <c r="CJ96" s="1182" t="s">
        <v>38</v>
      </c>
      <c r="CK96" s="1582"/>
      <c r="CL96" s="1182" t="s">
        <v>38</v>
      </c>
      <c r="CM96" s="1182"/>
      <c r="CN96" s="1182" t="s">
        <v>38</v>
      </c>
      <c r="CO96" s="1582"/>
      <c r="CP96" s="1182" t="s">
        <v>38</v>
      </c>
      <c r="CQ96" s="1182"/>
      <c r="CR96" s="1182" t="s">
        <v>38</v>
      </c>
      <c r="CS96" s="1582"/>
      <c r="CT96" s="1182" t="s">
        <v>38</v>
      </c>
      <c r="CU96" s="1182"/>
      <c r="CV96" s="1182" t="s">
        <v>38</v>
      </c>
      <c r="CW96" s="1582"/>
      <c r="CX96" s="1182" t="s">
        <v>38</v>
      </c>
      <c r="CY96" s="1647" t="s">
        <v>38</v>
      </c>
      <c r="CZ96" s="382"/>
      <c r="DA96" s="788"/>
      <c r="DB96" s="384"/>
      <c r="DC96" s="385"/>
      <c r="DD96" s="386"/>
      <c r="DE96" s="354"/>
      <c r="DF96" s="386"/>
      <c r="DG96" s="354"/>
      <c r="DH96" s="386"/>
      <c r="DI96" s="387"/>
      <c r="DJ96" s="386"/>
      <c r="DK96" s="354"/>
      <c r="DL96" s="386"/>
      <c r="DM96" s="387"/>
      <c r="DN96" s="386"/>
      <c r="DO96" s="354"/>
      <c r="DP96" s="875"/>
      <c r="DQ96" s="876"/>
      <c r="DR96" s="384"/>
      <c r="DS96" s="877"/>
      <c r="DT96" s="386"/>
      <c r="DU96" s="385"/>
      <c r="DV96" s="753"/>
      <c r="DW96" s="787"/>
      <c r="DX96" s="387"/>
      <c r="DY96" s="878"/>
      <c r="DZ96" s="753"/>
      <c r="EA96" s="754"/>
      <c r="EB96" s="753"/>
      <c r="EC96" s="878"/>
      <c r="ED96" s="753"/>
      <c r="EE96" s="754"/>
      <c r="EF96" s="753"/>
      <c r="EG96" s="385"/>
      <c r="EH96" s="875"/>
      <c r="EI96" s="879"/>
    </row>
    <row r="97" spans="1:139" ht="26.25" thickBot="1" x14ac:dyDescent="0.3">
      <c r="A97" s="110"/>
      <c r="B97" s="111" t="s">
        <v>76</v>
      </c>
      <c r="C97" s="880"/>
      <c r="D97" s="388" t="s">
        <v>38</v>
      </c>
      <c r="E97" s="112" t="s">
        <v>38</v>
      </c>
      <c r="F97" s="112" t="s">
        <v>38</v>
      </c>
      <c r="G97" s="113" t="s">
        <v>38</v>
      </c>
      <c r="H97" s="114">
        <v>241423.49837705301</v>
      </c>
      <c r="I97" s="115"/>
      <c r="J97" s="116">
        <v>157998.74727272731</v>
      </c>
      <c r="K97" s="123"/>
      <c r="L97" s="118">
        <v>83424.751104325696</v>
      </c>
      <c r="M97" s="115"/>
      <c r="N97" s="881">
        <v>156134.6563636364</v>
      </c>
      <c r="O97" s="882"/>
      <c r="P97" s="120">
        <v>83243.664513463737</v>
      </c>
      <c r="Q97" s="883"/>
      <c r="R97" s="884">
        <v>1864.090909090909</v>
      </c>
      <c r="S97" s="120"/>
      <c r="T97" s="120">
        <v>181.08659086195874</v>
      </c>
      <c r="U97" s="124"/>
      <c r="V97" s="121" t="s">
        <v>38</v>
      </c>
      <c r="W97" s="122" t="s">
        <v>38</v>
      </c>
      <c r="X97" s="388" t="s">
        <v>38</v>
      </c>
      <c r="Y97" s="112" t="s">
        <v>38</v>
      </c>
      <c r="Z97" s="112" t="s">
        <v>38</v>
      </c>
      <c r="AA97" s="113" t="s">
        <v>38</v>
      </c>
      <c r="AB97" s="114">
        <v>337370.16450903006</v>
      </c>
      <c r="AC97" s="115"/>
      <c r="AD97" s="116">
        <v>202269.46727272731</v>
      </c>
      <c r="AE97" s="123"/>
      <c r="AF97" s="118">
        <v>135100.69723630272</v>
      </c>
      <c r="AG97" s="115"/>
      <c r="AH97" s="881">
        <v>200405.3763636364</v>
      </c>
      <c r="AI97" s="882"/>
      <c r="AJ97" s="120">
        <v>133300.92666536989</v>
      </c>
      <c r="AK97" s="883"/>
      <c r="AL97" s="884">
        <v>1864.090909090909</v>
      </c>
      <c r="AM97" s="120"/>
      <c r="AN97" s="120">
        <v>1799.7705709328384</v>
      </c>
      <c r="AO97" s="124"/>
      <c r="AP97" s="121" t="s">
        <v>38</v>
      </c>
      <c r="AQ97" s="122" t="s">
        <v>38</v>
      </c>
      <c r="AR97" s="1334" t="s">
        <v>38</v>
      </c>
      <c r="AS97" s="1230"/>
      <c r="AT97" s="1230" t="s">
        <v>38</v>
      </c>
      <c r="AU97" s="1231" t="s">
        <v>38</v>
      </c>
      <c r="AV97" s="1232">
        <f>AX97+AZ97</f>
        <v>368263.46727272728</v>
      </c>
      <c r="AW97" s="1233"/>
      <c r="AX97" s="1232">
        <f>BB97+BF97</f>
        <v>202269.46727272731</v>
      </c>
      <c r="AY97" s="1234"/>
      <c r="AZ97" s="1234">
        <f>BD97+BH97</f>
        <v>165994</v>
      </c>
      <c r="BA97" s="1233"/>
      <c r="BB97" s="1335">
        <f>BB92</f>
        <v>200405.3763636364</v>
      </c>
      <c r="BC97" s="1235"/>
      <c r="BD97" s="1235">
        <v>164317</v>
      </c>
      <c r="BE97" s="1236"/>
      <c r="BF97" s="1335">
        <f>BF92</f>
        <v>1864.090909090909</v>
      </c>
      <c r="BG97" s="1235"/>
      <c r="BH97" s="1235">
        <v>1677</v>
      </c>
      <c r="BI97" s="1236"/>
      <c r="BJ97" s="1232" t="s">
        <v>38</v>
      </c>
      <c r="BK97" s="1237"/>
      <c r="BL97" s="1334" t="s">
        <v>38</v>
      </c>
      <c r="BM97" s="1230"/>
      <c r="BN97" s="1230" t="s">
        <v>38</v>
      </c>
      <c r="BO97" s="1231"/>
      <c r="BP97" s="1232">
        <f>BR97+BT97</f>
        <v>392581.46727272728</v>
      </c>
      <c r="BQ97" s="1233"/>
      <c r="BR97" s="1232">
        <f>BV97+BZ97</f>
        <v>202269.46727272731</v>
      </c>
      <c r="BS97" s="1234"/>
      <c r="BT97" s="1234">
        <f>BX97+CB97</f>
        <v>190312</v>
      </c>
      <c r="BU97" s="1233"/>
      <c r="BV97" s="1335">
        <f>BV92</f>
        <v>200405.3763636364</v>
      </c>
      <c r="BW97" s="1235"/>
      <c r="BX97" s="1235">
        <v>187929</v>
      </c>
      <c r="BY97" s="1236"/>
      <c r="BZ97" s="1335">
        <f>BZ92</f>
        <v>1864.090909090909</v>
      </c>
      <c r="CA97" s="1235"/>
      <c r="CB97" s="1235">
        <v>2383</v>
      </c>
      <c r="CC97" s="1236"/>
      <c r="CD97" s="1232" t="s">
        <v>38</v>
      </c>
      <c r="CE97" s="1424"/>
      <c r="CF97" s="1421" t="s">
        <v>38</v>
      </c>
      <c r="CG97" s="1422"/>
      <c r="CH97" s="1422" t="s">
        <v>38</v>
      </c>
      <c r="CI97" s="1423"/>
      <c r="CJ97" s="1234">
        <f t="shared" ref="CJ97:CV98" si="21">BP97+AV97+AB97+H97</f>
        <v>1339638.5974315377</v>
      </c>
      <c r="CK97" s="1233"/>
      <c r="CL97" s="1232">
        <f t="shared" si="21"/>
        <v>764807.14909090928</v>
      </c>
      <c r="CM97" s="1424"/>
      <c r="CN97" s="1234">
        <f t="shared" si="21"/>
        <v>574831.44834062841</v>
      </c>
      <c r="CO97" s="1233"/>
      <c r="CP97" s="1232">
        <f t="shared" si="21"/>
        <v>757350.78545454552</v>
      </c>
      <c r="CQ97" s="1234"/>
      <c r="CR97" s="1232">
        <f t="shared" si="21"/>
        <v>568790.59117883362</v>
      </c>
      <c r="CS97" s="1232"/>
      <c r="CT97" s="1232">
        <f t="shared" si="21"/>
        <v>7456.363636363636</v>
      </c>
      <c r="CU97" s="1232"/>
      <c r="CV97" s="1232">
        <f t="shared" si="21"/>
        <v>6040.8571617947973</v>
      </c>
      <c r="CW97" s="1233"/>
      <c r="CX97" s="1232" t="s">
        <v>38</v>
      </c>
      <c r="CY97" s="1425" t="s">
        <v>38</v>
      </c>
      <c r="CZ97" s="198"/>
      <c r="DA97" s="199"/>
      <c r="DB97" s="199"/>
      <c r="DC97" s="115"/>
      <c r="DD97" s="121"/>
      <c r="DE97" s="117"/>
      <c r="DF97" s="120"/>
      <c r="DG97" s="124"/>
      <c r="DH97" s="116"/>
      <c r="DI97" s="123"/>
      <c r="DJ97" s="120"/>
      <c r="DK97" s="124"/>
      <c r="DL97" s="116"/>
      <c r="DM97" s="123"/>
      <c r="DN97" s="120"/>
      <c r="DO97" s="124"/>
      <c r="DP97" s="121"/>
      <c r="DQ97" s="122"/>
      <c r="DR97" s="128"/>
      <c r="DS97" s="129"/>
      <c r="DT97" s="886"/>
      <c r="DU97" s="193"/>
      <c r="DV97" s="130"/>
      <c r="DW97" s="182"/>
      <c r="DX97" s="39"/>
      <c r="DY97" s="185"/>
      <c r="DZ97" s="130"/>
      <c r="EA97" s="194"/>
      <c r="EB97" s="119"/>
      <c r="EC97" s="187"/>
      <c r="ED97" s="130"/>
      <c r="EE97" s="193"/>
      <c r="EF97" s="130"/>
      <c r="EG97" s="131"/>
      <c r="EH97" s="132"/>
      <c r="EI97" s="190"/>
    </row>
    <row r="98" spans="1:139" ht="27" thickTop="1" thickBot="1" x14ac:dyDescent="0.3">
      <c r="A98" s="887"/>
      <c r="B98" s="133" t="s">
        <v>77</v>
      </c>
      <c r="C98" s="391"/>
      <c r="D98" s="389"/>
      <c r="E98" s="390"/>
      <c r="F98" s="391"/>
      <c r="G98" s="392"/>
      <c r="H98" s="134">
        <f>J98+L98</f>
        <v>3535375</v>
      </c>
      <c r="I98" s="135"/>
      <c r="J98" s="134">
        <f>N98+R98</f>
        <v>2359184.9762042337</v>
      </c>
      <c r="K98" s="137"/>
      <c r="L98" s="137">
        <f>P98+T98</f>
        <v>1176190.0237957661</v>
      </c>
      <c r="M98" s="135"/>
      <c r="N98" s="134">
        <f>N97+N91+N90</f>
        <v>2171994.5389618096</v>
      </c>
      <c r="O98" s="137"/>
      <c r="P98" s="134">
        <f>P97+P91+P90</f>
        <v>1158005.4610381904</v>
      </c>
      <c r="Q98" s="135"/>
      <c r="R98" s="134">
        <f>R97+R91+R90</f>
        <v>187190.43724242426</v>
      </c>
      <c r="S98" s="137"/>
      <c r="T98" s="134">
        <f>T97+T91+T90</f>
        <v>18184.562757575739</v>
      </c>
      <c r="U98" s="134">
        <f>U97+U91+U90</f>
        <v>0</v>
      </c>
      <c r="V98" s="139"/>
      <c r="W98" s="140"/>
      <c r="X98" s="389"/>
      <c r="Y98" s="390"/>
      <c r="Z98" s="391"/>
      <c r="AA98" s="392"/>
      <c r="AB98" s="134">
        <f>AD98+AF98</f>
        <v>3668340</v>
      </c>
      <c r="AC98" s="135"/>
      <c r="AD98" s="134">
        <f>AH98+AL98</f>
        <v>2199023.0577351637</v>
      </c>
      <c r="AE98" s="137"/>
      <c r="AF98" s="137">
        <f>AJ98+AN98</f>
        <v>1469316.9422648363</v>
      </c>
      <c r="AG98" s="135"/>
      <c r="AH98" s="134">
        <f>AH97+AH91+AH90</f>
        <v>2176972.6334927394</v>
      </c>
      <c r="AI98" s="137"/>
      <c r="AJ98" s="134">
        <f>AJ97+AJ91+AJ90</f>
        <v>1448027.3665072606</v>
      </c>
      <c r="AK98" s="135"/>
      <c r="AL98" s="134">
        <f>AL97+AL91+AL90</f>
        <v>22050.42424242424</v>
      </c>
      <c r="AM98" s="137"/>
      <c r="AN98" s="134">
        <f>AN97+AN91+AN90</f>
        <v>21289.575757575763</v>
      </c>
      <c r="AO98" s="134">
        <f>AO97+AO91+AO90</f>
        <v>0</v>
      </c>
      <c r="AP98" s="139"/>
      <c r="AQ98" s="140"/>
      <c r="AR98" s="1648"/>
      <c r="AS98" s="1649"/>
      <c r="AT98" s="1650"/>
      <c r="AU98" s="1651"/>
      <c r="AV98" s="1241">
        <f>AX98+AZ98</f>
        <v>3667580.000606061</v>
      </c>
      <c r="AW98" s="1242"/>
      <c r="AX98" s="1241">
        <f>BB98+BF98</f>
        <v>2013917.0006060607</v>
      </c>
      <c r="AY98" s="1243"/>
      <c r="AZ98" s="1243">
        <f>BD98+BH98</f>
        <v>1653663</v>
      </c>
      <c r="BA98" s="1242"/>
      <c r="BB98" s="1241">
        <f>BB97+BB91+BB90</f>
        <v>1983709.5763636364</v>
      </c>
      <c r="BC98" s="1243"/>
      <c r="BD98" s="1241">
        <f>BD97+BD91+BD90</f>
        <v>1626490</v>
      </c>
      <c r="BE98" s="1242"/>
      <c r="BF98" s="1241">
        <f>BF97+BF91+BF90</f>
        <v>30207.42424242424</v>
      </c>
      <c r="BG98" s="1243"/>
      <c r="BH98" s="1241">
        <f>BH97+BH91+BH90</f>
        <v>27173</v>
      </c>
      <c r="BI98" s="1241"/>
      <c r="BJ98" s="1244"/>
      <c r="BK98" s="1245"/>
      <c r="BL98" s="1648"/>
      <c r="BM98" s="1649"/>
      <c r="BN98" s="1650"/>
      <c r="BO98" s="1651"/>
      <c r="BP98" s="1241">
        <f>BR98+BT98</f>
        <v>4215704.999553429</v>
      </c>
      <c r="BQ98" s="1242"/>
      <c r="BR98" s="1241">
        <f>BV98+BZ98</f>
        <v>2171658.9995534294</v>
      </c>
      <c r="BS98" s="1243"/>
      <c r="BT98" s="1243">
        <f>BX98+CB98</f>
        <v>2044046</v>
      </c>
      <c r="BU98" s="1242"/>
      <c r="BV98" s="1241">
        <f>BV97+BV91+BV90</f>
        <v>2149404.5753110051</v>
      </c>
      <c r="BW98" s="1243"/>
      <c r="BX98" s="1241">
        <f>BX97+BX91+BX90</f>
        <v>2015595</v>
      </c>
      <c r="BY98" s="1242"/>
      <c r="BZ98" s="1241">
        <f>BZ97+BZ91+BZ90</f>
        <v>22254.42424242424</v>
      </c>
      <c r="CA98" s="1243"/>
      <c r="CB98" s="1241">
        <f>CB97+CB91+CB90</f>
        <v>28451</v>
      </c>
      <c r="CC98" s="1241"/>
      <c r="CD98" s="1244"/>
      <c r="CE98" s="1429"/>
      <c r="CF98" s="1426"/>
      <c r="CG98" s="1427"/>
      <c r="CH98" s="1427"/>
      <c r="CI98" s="1428"/>
      <c r="CJ98" s="1243">
        <f t="shared" si="21"/>
        <v>15087000.000159491</v>
      </c>
      <c r="CK98" s="1242"/>
      <c r="CL98" s="1241">
        <f t="shared" si="21"/>
        <v>8743784.0340988878</v>
      </c>
      <c r="CM98" s="1429"/>
      <c r="CN98" s="1243">
        <f t="shared" si="21"/>
        <v>6343215.9660606021</v>
      </c>
      <c r="CO98" s="1242"/>
      <c r="CP98" s="1241">
        <f t="shared" si="21"/>
        <v>8482081.3241291903</v>
      </c>
      <c r="CQ98" s="1243"/>
      <c r="CR98" s="1241">
        <f t="shared" si="21"/>
        <v>6248117.827545451</v>
      </c>
      <c r="CS98" s="1241"/>
      <c r="CT98" s="1241">
        <f t="shared" si="21"/>
        <v>261702.709969697</v>
      </c>
      <c r="CU98" s="1241"/>
      <c r="CV98" s="1241">
        <f t="shared" si="21"/>
        <v>95098.138515151499</v>
      </c>
      <c r="CW98" s="1242"/>
      <c r="CX98" s="1241"/>
      <c r="CY98" s="1245"/>
      <c r="CZ98" s="2181"/>
      <c r="DA98" s="2182"/>
      <c r="DB98" s="2182"/>
      <c r="DC98" s="2183"/>
      <c r="DD98" s="134"/>
      <c r="DE98" s="136"/>
      <c r="DF98" s="137"/>
      <c r="DG98" s="135"/>
      <c r="DH98" s="134"/>
      <c r="DI98" s="137"/>
      <c r="DJ98" s="137"/>
      <c r="DK98" s="135"/>
      <c r="DL98" s="134"/>
      <c r="DM98" s="137"/>
      <c r="DN98" s="137"/>
      <c r="DO98" s="137"/>
      <c r="DP98" s="202"/>
      <c r="DQ98" s="138"/>
      <c r="DR98" s="143"/>
      <c r="DS98" s="144"/>
      <c r="DT98" s="134"/>
      <c r="DU98" s="188"/>
      <c r="DV98" s="136"/>
      <c r="DW98" s="183"/>
      <c r="DX98" s="146"/>
      <c r="DY98" s="186"/>
      <c r="DZ98" s="136"/>
      <c r="EA98" s="188"/>
      <c r="EB98" s="136"/>
      <c r="EC98" s="188"/>
      <c r="ED98" s="136"/>
      <c r="EE98" s="188"/>
      <c r="EF98" s="136"/>
      <c r="EG98" s="145"/>
      <c r="EH98" s="147"/>
      <c r="EI98" s="191"/>
    </row>
    <row r="99" spans="1:139" ht="15.75" thickBot="1" x14ac:dyDescent="0.3">
      <c r="A99" s="889"/>
      <c r="B99" s="148"/>
      <c r="C99" s="394"/>
      <c r="D99" s="393"/>
      <c r="E99" s="393"/>
      <c r="F99" s="394"/>
      <c r="G99" s="394"/>
      <c r="H99" s="149"/>
      <c r="I99" s="149"/>
      <c r="J99" s="395"/>
      <c r="K99" s="149"/>
      <c r="L99" s="149"/>
      <c r="M99" s="149"/>
      <c r="N99" s="149"/>
      <c r="O99" s="150"/>
      <c r="P99" s="149"/>
      <c r="Q99" s="149"/>
      <c r="R99" s="149"/>
      <c r="S99" s="149"/>
      <c r="T99" s="149"/>
      <c r="U99" s="149"/>
      <c r="V99" s="890"/>
      <c r="W99" s="890"/>
      <c r="X99" s="393"/>
      <c r="Y99" s="393"/>
      <c r="Z99" s="394"/>
      <c r="AA99" s="394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890"/>
      <c r="AQ99" s="891"/>
      <c r="AR99" s="1652"/>
      <c r="AS99" s="1652"/>
      <c r="AT99" s="1653"/>
      <c r="AU99" s="1653"/>
      <c r="AV99" s="1248"/>
      <c r="AW99" s="1248"/>
      <c r="AX99" s="1248"/>
      <c r="AY99" s="1248"/>
      <c r="AZ99" s="1248"/>
      <c r="BA99" s="1248"/>
      <c r="BB99" s="1248"/>
      <c r="BC99" s="1248"/>
      <c r="BD99" s="1248"/>
      <c r="BE99" s="1248"/>
      <c r="BF99" s="1248"/>
      <c r="BG99" s="1248"/>
      <c r="BH99" s="1248"/>
      <c r="BI99" s="1248"/>
      <c r="BJ99" s="1654"/>
      <c r="BK99" s="1654"/>
      <c r="BL99" s="1652"/>
      <c r="BM99" s="1652"/>
      <c r="BN99" s="1653"/>
      <c r="BO99" s="1653"/>
      <c r="BP99" s="1248"/>
      <c r="BQ99" s="1248"/>
      <c r="BR99" s="1248"/>
      <c r="BS99" s="1248"/>
      <c r="BT99" s="1248"/>
      <c r="BU99" s="1248"/>
      <c r="BV99" s="1248"/>
      <c r="BW99" s="1248"/>
      <c r="BX99" s="1248"/>
      <c r="BY99" s="1248"/>
      <c r="BZ99" s="1248"/>
      <c r="CA99" s="1248"/>
      <c r="CB99" s="1248"/>
      <c r="CC99" s="1248"/>
      <c r="CD99" s="1654"/>
      <c r="CE99" s="1654"/>
      <c r="CF99" s="1430"/>
      <c r="CG99" s="1248"/>
      <c r="CH99" s="1248"/>
      <c r="CI99" s="1248"/>
      <c r="CJ99" s="1248"/>
      <c r="CK99" s="1248"/>
      <c r="CL99" s="1248"/>
      <c r="CM99" s="1248"/>
      <c r="CN99" s="1248"/>
      <c r="CO99" s="1248"/>
      <c r="CP99" s="1248"/>
      <c r="CQ99" s="1653"/>
      <c r="CR99" s="1248"/>
      <c r="CS99" s="1248"/>
      <c r="CT99" s="1248"/>
      <c r="CU99" s="1653"/>
      <c r="CV99" s="1248"/>
      <c r="CW99" s="1248"/>
      <c r="CX99" s="1654"/>
      <c r="CY99" s="1654"/>
      <c r="CZ99" s="893"/>
      <c r="DA99" s="393"/>
      <c r="DB99" s="894"/>
      <c r="DC99" s="894"/>
      <c r="DD99" s="151"/>
      <c r="DE99" s="151"/>
      <c r="DF99" s="149"/>
      <c r="DG99" s="149"/>
      <c r="DH99" s="151"/>
      <c r="DI99" s="151"/>
      <c r="DJ99" s="149"/>
      <c r="DK99" s="149"/>
      <c r="DL99" s="151"/>
      <c r="DM99" s="151"/>
      <c r="DN99" s="149"/>
      <c r="DO99" s="149"/>
      <c r="DP99" s="890"/>
      <c r="DQ99" s="890"/>
      <c r="DR99" s="895"/>
      <c r="DS99" s="896"/>
      <c r="DT99" s="894"/>
      <c r="DU99" s="894"/>
      <c r="DV99" s="894"/>
      <c r="DW99" s="897"/>
      <c r="DX99" s="898"/>
      <c r="DY99" s="898"/>
      <c r="DZ99" s="894"/>
      <c r="EA99" s="894"/>
      <c r="EB99" s="149"/>
      <c r="EC99" s="149"/>
      <c r="ED99" s="894"/>
      <c r="EE99" s="897"/>
      <c r="EF99" s="394"/>
      <c r="EG99" s="394"/>
      <c r="EH99" s="893"/>
      <c r="EI99" s="893"/>
    </row>
    <row r="100" spans="1:139" ht="25.5" x14ac:dyDescent="0.25">
      <c r="A100" s="1725"/>
      <c r="B100" s="1726" t="s">
        <v>78</v>
      </c>
      <c r="C100" s="1727"/>
      <c r="D100" s="1728"/>
      <c r="E100" s="1729"/>
      <c r="F100" s="1730"/>
      <c r="G100" s="1731"/>
      <c r="H100" s="1732"/>
      <c r="I100" s="1733"/>
      <c r="J100" s="1734"/>
      <c r="K100" s="1733"/>
      <c r="L100" s="1734"/>
      <c r="M100" s="1733"/>
      <c r="N100" s="1732"/>
      <c r="O100" s="1733"/>
      <c r="P100" s="1734"/>
      <c r="Q100" s="1733"/>
      <c r="R100" s="1732"/>
      <c r="S100" s="1733"/>
      <c r="T100" s="1734"/>
      <c r="U100" s="1733"/>
      <c r="V100" s="1735"/>
      <c r="W100" s="1736"/>
      <c r="X100" s="1777"/>
      <c r="Y100" s="1778"/>
      <c r="Z100" s="1779"/>
      <c r="AA100" s="1780"/>
      <c r="AB100" s="1781"/>
      <c r="AC100" s="1733"/>
      <c r="AD100" s="1732"/>
      <c r="AE100" s="1733"/>
      <c r="AF100" s="1781"/>
      <c r="AG100" s="1733"/>
      <c r="AH100" s="1781"/>
      <c r="AI100" s="1733"/>
      <c r="AJ100" s="1781"/>
      <c r="AK100" s="1733"/>
      <c r="AL100" s="1781"/>
      <c r="AM100" s="1733"/>
      <c r="AN100" s="1781"/>
      <c r="AO100" s="1733"/>
      <c r="AP100" s="1782"/>
      <c r="AQ100" s="1783"/>
      <c r="AR100" s="1777"/>
      <c r="AS100" s="1778"/>
      <c r="AT100" s="1779"/>
      <c r="AU100" s="1780"/>
      <c r="AV100" s="1781"/>
      <c r="AW100" s="1733"/>
      <c r="AX100" s="1732"/>
      <c r="AY100" s="1733"/>
      <c r="AZ100" s="1781"/>
      <c r="BA100" s="1733"/>
      <c r="BB100" s="1781"/>
      <c r="BC100" s="1733"/>
      <c r="BD100" s="1781"/>
      <c r="BE100" s="1733"/>
      <c r="BF100" s="1781"/>
      <c r="BG100" s="1733"/>
      <c r="BH100" s="1781"/>
      <c r="BI100" s="1733"/>
      <c r="BJ100" s="1782"/>
      <c r="BK100" s="1783"/>
      <c r="BL100" s="1777"/>
      <c r="BM100" s="1778"/>
      <c r="BN100" s="1779"/>
      <c r="BO100" s="1780"/>
      <c r="BP100" s="1781"/>
      <c r="BQ100" s="1733"/>
      <c r="BR100" s="1732"/>
      <c r="BS100" s="1733"/>
      <c r="BT100" s="1781"/>
      <c r="BU100" s="1733"/>
      <c r="BV100" s="1781"/>
      <c r="BW100" s="1733"/>
      <c r="BX100" s="1781"/>
      <c r="BY100" s="1733"/>
      <c r="BZ100" s="1781"/>
      <c r="CA100" s="1733"/>
      <c r="CB100" s="1781"/>
      <c r="CC100" s="1733"/>
      <c r="CD100" s="1782"/>
      <c r="CE100" s="1783"/>
      <c r="CF100" s="1777"/>
      <c r="CG100" s="1778"/>
      <c r="CH100" s="1779"/>
      <c r="CI100" s="1780"/>
      <c r="CJ100" s="1781"/>
      <c r="CK100" s="1733"/>
      <c r="CL100" s="1732"/>
      <c r="CM100" s="1733"/>
      <c r="CN100" s="1781"/>
      <c r="CO100" s="1733"/>
      <c r="CP100" s="1781"/>
      <c r="CQ100" s="1733"/>
      <c r="CR100" s="1781"/>
      <c r="CS100" s="1733"/>
      <c r="CT100" s="1781"/>
      <c r="CU100" s="1733"/>
      <c r="CV100" s="1781"/>
      <c r="CW100" s="1733"/>
      <c r="CX100" s="1825"/>
      <c r="CY100" s="1783"/>
      <c r="CZ100" s="1821"/>
      <c r="DA100" s="396"/>
      <c r="DB100" s="902"/>
      <c r="DC100" s="902"/>
      <c r="DD100" s="901"/>
      <c r="DE100" s="901"/>
      <c r="DF100" s="152"/>
      <c r="DG100" s="152"/>
      <c r="DH100" s="901"/>
      <c r="DI100" s="901"/>
      <c r="DJ100" s="152"/>
      <c r="DK100" s="152"/>
      <c r="DL100" s="901"/>
      <c r="DM100" s="901"/>
      <c r="DN100" s="152"/>
      <c r="DO100" s="153"/>
      <c r="DP100" s="899"/>
      <c r="DQ100" s="900"/>
      <c r="DR100" s="903"/>
      <c r="DS100" s="904"/>
      <c r="DT100" s="905"/>
      <c r="DU100" s="902"/>
      <c r="DV100" s="902"/>
      <c r="DW100" s="906"/>
      <c r="DX100" s="907"/>
      <c r="DY100" s="907"/>
      <c r="DZ100" s="902"/>
      <c r="EA100" s="902"/>
      <c r="EB100" s="152"/>
      <c r="EC100" s="152"/>
      <c r="ED100" s="902"/>
      <c r="EE100" s="906"/>
      <c r="EF100" s="902"/>
      <c r="EG100" s="902"/>
      <c r="EH100" s="908"/>
      <c r="EI100" s="900"/>
    </row>
    <row r="101" spans="1:139" x14ac:dyDescent="0.25">
      <c r="A101" s="1737"/>
      <c r="B101" s="2263" t="s">
        <v>116</v>
      </c>
      <c r="C101" s="2264"/>
      <c r="D101" s="1738"/>
      <c r="E101" s="1739"/>
      <c r="F101" s="1740"/>
      <c r="G101" s="1741"/>
      <c r="H101" s="1742"/>
      <c r="I101" s="1743"/>
      <c r="J101" s="1744">
        <v>930931.03565685684</v>
      </c>
      <c r="K101" s="1743"/>
      <c r="L101" s="1744"/>
      <c r="M101" s="1743"/>
      <c r="N101" s="1742">
        <v>918609.0226568568</v>
      </c>
      <c r="O101" s="1743"/>
      <c r="P101" s="1744"/>
      <c r="Q101" s="1743"/>
      <c r="R101" s="1742">
        <v>12322.013000000001</v>
      </c>
      <c r="S101" s="1743"/>
      <c r="T101" s="1744"/>
      <c r="U101" s="1743"/>
      <c r="V101" s="1745"/>
      <c r="W101" s="1746"/>
      <c r="X101" s="1784"/>
      <c r="Y101" s="1785"/>
      <c r="Z101" s="1786"/>
      <c r="AA101" s="1787"/>
      <c r="AB101" s="1788"/>
      <c r="AC101" s="1787"/>
      <c r="AD101" s="1788">
        <f>AD102+AD103</f>
        <v>931107.97236842103</v>
      </c>
      <c r="AE101" s="1787"/>
      <c r="AF101" s="1788" t="s">
        <v>38</v>
      </c>
      <c r="AG101" s="1787"/>
      <c r="AH101" s="1788">
        <f>AH102+AH103</f>
        <v>918785.97236842103</v>
      </c>
      <c r="AI101" s="1787"/>
      <c r="AJ101" s="1788" t="s">
        <v>38</v>
      </c>
      <c r="AK101" s="1787"/>
      <c r="AL101" s="1788">
        <f>AL102</f>
        <v>12322</v>
      </c>
      <c r="AM101" s="1787"/>
      <c r="AN101" s="1788" t="s">
        <v>38</v>
      </c>
      <c r="AO101" s="1787"/>
      <c r="AP101" s="1788" t="s">
        <v>38</v>
      </c>
      <c r="AQ101" s="1787"/>
      <c r="AR101" s="1784"/>
      <c r="AS101" s="1785"/>
      <c r="AT101" s="1786"/>
      <c r="AU101" s="1787"/>
      <c r="AV101" s="1788"/>
      <c r="AW101" s="1787"/>
      <c r="AX101" s="1788">
        <f>AX102+AX103</f>
        <v>867418.5</v>
      </c>
      <c r="AY101" s="1787"/>
      <c r="AZ101" s="1788" t="s">
        <v>38</v>
      </c>
      <c r="BA101" s="1787"/>
      <c r="BB101" s="1788">
        <f>BB102+BB103</f>
        <v>849222.5</v>
      </c>
      <c r="BC101" s="1787"/>
      <c r="BD101" s="1788" t="s">
        <v>38</v>
      </c>
      <c r="BE101" s="1787"/>
      <c r="BF101" s="1788">
        <f>BF102</f>
        <v>18196</v>
      </c>
      <c r="BG101" s="1787"/>
      <c r="BH101" s="1788" t="s">
        <v>38</v>
      </c>
      <c r="BI101" s="1787"/>
      <c r="BJ101" s="1788" t="s">
        <v>38</v>
      </c>
      <c r="BK101" s="1787"/>
      <c r="BL101" s="1784"/>
      <c r="BM101" s="1785"/>
      <c r="BN101" s="1786"/>
      <c r="BO101" s="1787"/>
      <c r="BP101" s="1788"/>
      <c r="BQ101" s="1787"/>
      <c r="BR101" s="1788">
        <f>BR102+BR103</f>
        <v>902104.07894736843</v>
      </c>
      <c r="BS101" s="1787"/>
      <c r="BT101" s="1788" t="s">
        <v>38</v>
      </c>
      <c r="BU101" s="1787"/>
      <c r="BV101" s="1788">
        <f>BV102+BV103</f>
        <v>889578.07894736843</v>
      </c>
      <c r="BW101" s="1787"/>
      <c r="BX101" s="1788" t="s">
        <v>38</v>
      </c>
      <c r="BY101" s="1787"/>
      <c r="BZ101" s="1788">
        <f>BZ102</f>
        <v>12526</v>
      </c>
      <c r="CA101" s="1787"/>
      <c r="CB101" s="1788" t="s">
        <v>38</v>
      </c>
      <c r="CC101" s="1787"/>
      <c r="CD101" s="1788" t="s">
        <v>38</v>
      </c>
      <c r="CE101" s="1787"/>
      <c r="CF101" s="1784"/>
      <c r="CG101" s="1785"/>
      <c r="CH101" s="1786"/>
      <c r="CI101" s="1787"/>
      <c r="CJ101" s="1788"/>
      <c r="CK101" s="1787"/>
      <c r="CL101" s="1788">
        <f>CL102+CL103</f>
        <v>3631561.5869726464</v>
      </c>
      <c r="CM101" s="1787"/>
      <c r="CN101" s="1788" t="s">
        <v>38</v>
      </c>
      <c r="CO101" s="1787"/>
      <c r="CP101" s="1788">
        <f>CP102+CP103</f>
        <v>3576195.5739726466</v>
      </c>
      <c r="CQ101" s="1787"/>
      <c r="CR101" s="1788" t="s">
        <v>38</v>
      </c>
      <c r="CS101" s="1787"/>
      <c r="CT101" s="1788">
        <f>CT102</f>
        <v>55366.012999999999</v>
      </c>
      <c r="CU101" s="1787"/>
      <c r="CV101" s="1788" t="s">
        <v>38</v>
      </c>
      <c r="CW101" s="1787"/>
      <c r="CX101" s="1788" t="s">
        <v>38</v>
      </c>
      <c r="CY101" s="1826"/>
      <c r="CZ101" s="1822"/>
      <c r="DA101" s="228"/>
      <c r="DB101" s="228"/>
      <c r="DC101" s="236"/>
      <c r="DD101" s="506"/>
      <c r="DE101" s="238"/>
      <c r="DF101" s="209"/>
      <c r="DG101" s="230"/>
      <c r="DH101" s="506"/>
      <c r="DI101" s="238"/>
      <c r="DJ101" s="209"/>
      <c r="DK101" s="230"/>
      <c r="DL101" s="506"/>
      <c r="DM101" s="239"/>
      <c r="DN101" s="209"/>
      <c r="DO101" s="230"/>
      <c r="DP101" s="240"/>
      <c r="DQ101" s="241"/>
      <c r="DR101" s="242"/>
      <c r="DS101" s="243"/>
      <c r="DT101" s="244"/>
      <c r="DU101" s="245"/>
      <c r="DV101" s="231"/>
      <c r="DW101" s="246"/>
      <c r="DX101" s="209"/>
      <c r="DY101" s="245"/>
      <c r="DZ101" s="231"/>
      <c r="EA101" s="246"/>
      <c r="EB101" s="209"/>
      <c r="EC101" s="230"/>
      <c r="ED101" s="231"/>
      <c r="EE101" s="246"/>
      <c r="EF101" s="209"/>
      <c r="EG101" s="247"/>
      <c r="EH101" s="248"/>
      <c r="EI101" s="249"/>
    </row>
    <row r="102" spans="1:139" x14ac:dyDescent="0.25">
      <c r="A102" s="1747"/>
      <c r="B102" s="2179" t="s">
        <v>125</v>
      </c>
      <c r="C102" s="2180"/>
      <c r="D102" s="1748">
        <v>2183</v>
      </c>
      <c r="E102" s="1749"/>
      <c r="F102" s="1750">
        <v>0.99954212454212454</v>
      </c>
      <c r="G102" s="1751"/>
      <c r="H102" s="379" t="s">
        <v>38</v>
      </c>
      <c r="I102" s="230"/>
      <c r="J102" s="406">
        <v>771369.03565685684</v>
      </c>
      <c r="K102" s="230"/>
      <c r="L102" s="406" t="s">
        <v>38</v>
      </c>
      <c r="M102" s="230"/>
      <c r="N102" s="379">
        <v>759047.0226568568</v>
      </c>
      <c r="O102" s="230"/>
      <c r="P102" s="406" t="s">
        <v>38</v>
      </c>
      <c r="Q102" s="230"/>
      <c r="R102" s="379">
        <v>12322.013000000001</v>
      </c>
      <c r="S102" s="230"/>
      <c r="T102" s="406" t="s">
        <v>38</v>
      </c>
      <c r="U102" s="230"/>
      <c r="V102" s="1752">
        <v>353.35274194084144</v>
      </c>
      <c r="W102" s="1753"/>
      <c r="X102" s="1789">
        <f>X14+X20+X27+X29+X34+X40+X46+X51+X57+X67+X72+X78+X84</f>
        <v>2184.0000000000005</v>
      </c>
      <c r="Y102" s="1790"/>
      <c r="Z102" s="1791">
        <f>X102/2184</f>
        <v>1.0000000000000002</v>
      </c>
      <c r="AA102" s="1792"/>
      <c r="AB102" s="1793" t="s">
        <v>38</v>
      </c>
      <c r="AC102" s="1794"/>
      <c r="AD102" s="1795">
        <f>AH102+AL102</f>
        <v>771545.97236842103</v>
      </c>
      <c r="AE102" s="1796"/>
      <c r="AF102" s="1793" t="s">
        <v>38</v>
      </c>
      <c r="AG102" s="1794"/>
      <c r="AH102" s="1793">
        <f>AH14+AH20+AH27+AH29+AH34+AH40+AH46+AH51+AH57+AH67+AH72+AH78+AH84</f>
        <v>759223.97236842103</v>
      </c>
      <c r="AI102" s="1794"/>
      <c r="AJ102" s="1793" t="s">
        <v>38</v>
      </c>
      <c r="AK102" s="1794"/>
      <c r="AL102" s="1793">
        <f>AL14+AL20+AL27+AL29+AL34+AL40+AL46+AL51+AL57+AL67+AL72+AL78+AL84</f>
        <v>12322</v>
      </c>
      <c r="AM102" s="1794"/>
      <c r="AN102" s="1793" t="s">
        <v>38</v>
      </c>
      <c r="AO102" s="1794"/>
      <c r="AP102" s="1797">
        <f>AD102/X102</f>
        <v>353.27196537015607</v>
      </c>
      <c r="AQ102" s="1798"/>
      <c r="AR102" s="1789">
        <f>AR14+AR20+AR27+AR29+AR34+AR40+AR46+AR51+AR57+AR67+AR72+AR78+AR84</f>
        <v>2208</v>
      </c>
      <c r="AS102" s="1790"/>
      <c r="AT102" s="1791">
        <f>AR102/2208</f>
        <v>1</v>
      </c>
      <c r="AU102" s="1792"/>
      <c r="AV102" s="1793" t="s">
        <v>38</v>
      </c>
      <c r="AW102" s="1794"/>
      <c r="AX102" s="1795">
        <f>BB102+BF102</f>
        <v>700075.5</v>
      </c>
      <c r="AY102" s="1796"/>
      <c r="AZ102" s="1793" t="s">
        <v>38</v>
      </c>
      <c r="BA102" s="1794"/>
      <c r="BB102" s="1793">
        <f>BB14+BB20+BB27+BB29+BB34+BB40+BB46+BB51+BB57+BB67+BB72+BB78+BB84</f>
        <v>681879.5</v>
      </c>
      <c r="BC102" s="1794"/>
      <c r="BD102" s="1793" t="s">
        <v>38</v>
      </c>
      <c r="BE102" s="1794"/>
      <c r="BF102" s="1793">
        <f>BF14+BF20+BF27+BF29+BF34+BF40+BF46+BF51+BF57+BF67+BF72+BF78+BF84</f>
        <v>18196</v>
      </c>
      <c r="BG102" s="1794"/>
      <c r="BH102" s="1793" t="s">
        <v>38</v>
      </c>
      <c r="BI102" s="1794"/>
      <c r="BJ102" s="1797">
        <f>AX102/AR102</f>
        <v>317.06317934782606</v>
      </c>
      <c r="BK102" s="1798"/>
      <c r="BL102" s="1789">
        <f>BL14+BL20+BL27+BL29+BL34+BL40+BL46+BL51+BL57+BL67+BL72+BL78+BL84</f>
        <v>2209.0000000000005</v>
      </c>
      <c r="BM102" s="1790"/>
      <c r="BN102" s="1791">
        <f>BL102/2209</f>
        <v>1.0000000000000002</v>
      </c>
      <c r="BO102" s="1792"/>
      <c r="BP102" s="1793" t="s">
        <v>38</v>
      </c>
      <c r="BQ102" s="1794"/>
      <c r="BR102" s="1795">
        <f>BV102+BZ102</f>
        <v>734761.07894736843</v>
      </c>
      <c r="BS102" s="1796"/>
      <c r="BT102" s="1793" t="s">
        <v>38</v>
      </c>
      <c r="BU102" s="1794"/>
      <c r="BV102" s="1793">
        <f>BV14+BV20+BV27+BV29+BV34+BV40+BV46+BV51+BV57+BV67+BV72+BV78+BV84</f>
        <v>722235.07894736843</v>
      </c>
      <c r="BW102" s="1794"/>
      <c r="BX102" s="1793" t="s">
        <v>38</v>
      </c>
      <c r="BY102" s="1794"/>
      <c r="BZ102" s="1793">
        <f>BZ14+BZ20+BZ27+BZ29+BZ34+BZ40+BZ46+BZ51+BZ57+BZ67+BZ72+BZ78+BZ84</f>
        <v>12526</v>
      </c>
      <c r="CA102" s="1794"/>
      <c r="CB102" s="1793" t="s">
        <v>38</v>
      </c>
      <c r="CC102" s="1794"/>
      <c r="CD102" s="1797">
        <f>BR102/BL102</f>
        <v>332.62158395082309</v>
      </c>
      <c r="CE102" s="1798"/>
      <c r="CF102" s="1789">
        <f>CF14+CF20+CF27+CF29+CF34+CF40+CF46+CF51+CF57+CF67+CF72+CF78+CF84</f>
        <v>8784.0000000000036</v>
      </c>
      <c r="CG102" s="1790"/>
      <c r="CH102" s="1791">
        <f>CF102/8784</f>
        <v>1.0000000000000004</v>
      </c>
      <c r="CI102" s="1792"/>
      <c r="CJ102" s="1793" t="s">
        <v>38</v>
      </c>
      <c r="CK102" s="1794"/>
      <c r="CL102" s="1795">
        <f>CP102+CT102</f>
        <v>2977751.5869726464</v>
      </c>
      <c r="CM102" s="1796"/>
      <c r="CN102" s="1793" t="s">
        <v>38</v>
      </c>
      <c r="CO102" s="1794"/>
      <c r="CP102" s="1793">
        <f>CP14+CP20+CP27+CP29+CP34+CP40+CP46+CP51+CP57+CP67+CP72+CP78+CP84</f>
        <v>2922385.5739726466</v>
      </c>
      <c r="CQ102" s="1794"/>
      <c r="CR102" s="1793" t="s">
        <v>38</v>
      </c>
      <c r="CS102" s="1794"/>
      <c r="CT102" s="1793">
        <f>CT14+CT20+CT27+CT29+CT34+CT40+CT46+CT51+CT57+CT67+CT72+CT78+CT84</f>
        <v>55366.012999999999</v>
      </c>
      <c r="CU102" s="1794"/>
      <c r="CV102" s="1793" t="s">
        <v>38</v>
      </c>
      <c r="CW102" s="1794"/>
      <c r="CX102" s="1827">
        <f>CL102/CF102</f>
        <v>338.9972207391445</v>
      </c>
      <c r="CY102" s="1798"/>
      <c r="CZ102" s="1823"/>
      <c r="DA102" s="228"/>
      <c r="DB102" s="228"/>
      <c r="DC102" s="236"/>
      <c r="DD102" s="237"/>
      <c r="DE102" s="238"/>
      <c r="DF102" s="209"/>
      <c r="DG102" s="230"/>
      <c r="DH102" s="237"/>
      <c r="DI102" s="238"/>
      <c r="DJ102" s="209"/>
      <c r="DK102" s="230"/>
      <c r="DL102" s="237"/>
      <c r="DM102" s="239"/>
      <c r="DN102" s="209"/>
      <c r="DO102" s="230"/>
      <c r="DP102" s="240"/>
      <c r="DQ102" s="241"/>
      <c r="DR102" s="242"/>
      <c r="DS102" s="243"/>
      <c r="DT102" s="244"/>
      <c r="DU102" s="245"/>
      <c r="DV102" s="231"/>
      <c r="DW102" s="246"/>
      <c r="DX102" s="209"/>
      <c r="DY102" s="245"/>
      <c r="DZ102" s="231"/>
      <c r="EA102" s="246"/>
      <c r="EB102" s="209"/>
      <c r="EC102" s="230"/>
      <c r="ED102" s="231"/>
      <c r="EE102" s="246"/>
      <c r="EF102" s="209"/>
      <c r="EG102" s="247"/>
      <c r="EH102" s="248"/>
      <c r="EI102" s="249"/>
    </row>
    <row r="103" spans="1:139" x14ac:dyDescent="0.25">
      <c r="A103" s="1747"/>
      <c r="B103" s="2179" t="s">
        <v>117</v>
      </c>
      <c r="C103" s="2180"/>
      <c r="D103" s="1748" t="s">
        <v>38</v>
      </c>
      <c r="E103" s="1749"/>
      <c r="F103" s="1750" t="s">
        <v>38</v>
      </c>
      <c r="G103" s="1751"/>
      <c r="H103" s="379" t="s">
        <v>38</v>
      </c>
      <c r="I103" s="230"/>
      <c r="J103" s="406">
        <v>159562</v>
      </c>
      <c r="K103" s="230"/>
      <c r="L103" s="406" t="s">
        <v>38</v>
      </c>
      <c r="M103" s="230"/>
      <c r="N103" s="379">
        <v>159562</v>
      </c>
      <c r="O103" s="230"/>
      <c r="P103" s="406" t="s">
        <v>38</v>
      </c>
      <c r="Q103" s="230"/>
      <c r="R103" s="379">
        <v>0</v>
      </c>
      <c r="S103" s="230"/>
      <c r="T103" s="406" t="s">
        <v>38</v>
      </c>
      <c r="U103" s="230"/>
      <c r="V103" s="1754" t="s">
        <v>38</v>
      </c>
      <c r="W103" s="1754"/>
      <c r="X103" s="1789"/>
      <c r="Y103" s="1790"/>
      <c r="Z103" s="1791"/>
      <c r="AA103" s="1794"/>
      <c r="AB103" s="1795" t="s">
        <v>38</v>
      </c>
      <c r="AC103" s="1794"/>
      <c r="AD103" s="1796">
        <f t="shared" ref="AD103:AD121" si="22">AH103</f>
        <v>159562</v>
      </c>
      <c r="AE103" s="1796"/>
      <c r="AF103" s="1793" t="s">
        <v>38</v>
      </c>
      <c r="AG103" s="1794"/>
      <c r="AH103" s="1796">
        <v>159562</v>
      </c>
      <c r="AI103" s="1796"/>
      <c r="AJ103" s="1793" t="s">
        <v>38</v>
      </c>
      <c r="AK103" s="1794"/>
      <c r="AL103" s="1793" t="s">
        <v>38</v>
      </c>
      <c r="AM103" s="1794"/>
      <c r="AN103" s="1793" t="s">
        <v>38</v>
      </c>
      <c r="AO103" s="1794"/>
      <c r="AP103" s="1797"/>
      <c r="AQ103" s="1798"/>
      <c r="AR103" s="1789"/>
      <c r="AS103" s="1790"/>
      <c r="AT103" s="1791"/>
      <c r="AU103" s="1794"/>
      <c r="AV103" s="1795" t="s">
        <v>38</v>
      </c>
      <c r="AW103" s="1794"/>
      <c r="AX103" s="1796">
        <f t="shared" ref="AX103:AX112" si="23">BB103</f>
        <v>167343</v>
      </c>
      <c r="AY103" s="1796"/>
      <c r="AZ103" s="1793" t="s">
        <v>38</v>
      </c>
      <c r="BA103" s="1794"/>
      <c r="BB103" s="1796">
        <v>167343</v>
      </c>
      <c r="BC103" s="1796"/>
      <c r="BD103" s="1793" t="s">
        <v>38</v>
      </c>
      <c r="BE103" s="1794"/>
      <c r="BF103" s="1793" t="s">
        <v>38</v>
      </c>
      <c r="BG103" s="1794"/>
      <c r="BH103" s="1793" t="s">
        <v>38</v>
      </c>
      <c r="BI103" s="1794"/>
      <c r="BJ103" s="1797"/>
      <c r="BK103" s="1798"/>
      <c r="BL103" s="1789"/>
      <c r="BM103" s="1790"/>
      <c r="BN103" s="1791"/>
      <c r="BO103" s="1794"/>
      <c r="BP103" s="1795" t="s">
        <v>38</v>
      </c>
      <c r="BQ103" s="1794"/>
      <c r="BR103" s="1796">
        <f t="shared" ref="BR103:BR112" si="24">BV103</f>
        <v>167343</v>
      </c>
      <c r="BS103" s="1796"/>
      <c r="BT103" s="1793" t="s">
        <v>38</v>
      </c>
      <c r="BU103" s="1794"/>
      <c r="BV103" s="1796">
        <v>167343</v>
      </c>
      <c r="BW103" s="1796"/>
      <c r="BX103" s="1793" t="s">
        <v>38</v>
      </c>
      <c r="BY103" s="1794"/>
      <c r="BZ103" s="1793" t="s">
        <v>38</v>
      </c>
      <c r="CA103" s="1794"/>
      <c r="CB103" s="1793" t="s">
        <v>38</v>
      </c>
      <c r="CC103" s="1794"/>
      <c r="CD103" s="1797"/>
      <c r="CE103" s="1798"/>
      <c r="CF103" s="1789"/>
      <c r="CG103" s="1790"/>
      <c r="CH103" s="1791"/>
      <c r="CI103" s="1794"/>
      <c r="CJ103" s="1795" t="s">
        <v>38</v>
      </c>
      <c r="CK103" s="1794"/>
      <c r="CL103" s="1796">
        <f t="shared" ref="CL103:CL112" si="25">CP103</f>
        <v>653810</v>
      </c>
      <c r="CM103" s="1796"/>
      <c r="CN103" s="1793" t="s">
        <v>38</v>
      </c>
      <c r="CO103" s="1794"/>
      <c r="CP103" s="1793">
        <f>BV103+BB103+AH103+N103</f>
        <v>653810</v>
      </c>
      <c r="CQ103" s="1796"/>
      <c r="CR103" s="1793" t="s">
        <v>38</v>
      </c>
      <c r="CS103" s="1794"/>
      <c r="CT103" s="1793" t="s">
        <v>38</v>
      </c>
      <c r="CU103" s="1794"/>
      <c r="CV103" s="1793" t="s">
        <v>38</v>
      </c>
      <c r="CW103" s="1794"/>
      <c r="CX103" s="1827"/>
      <c r="CY103" s="1798"/>
      <c r="CZ103" s="1822"/>
      <c r="DA103" s="233"/>
      <c r="DB103" s="228"/>
      <c r="DC103" s="236"/>
      <c r="DD103" s="237"/>
      <c r="DE103" s="238"/>
      <c r="DF103" s="209"/>
      <c r="DG103" s="230"/>
      <c r="DH103" s="237"/>
      <c r="DI103" s="238"/>
      <c r="DJ103" s="209"/>
      <c r="DK103" s="230"/>
      <c r="DL103" s="237"/>
      <c r="DM103" s="239"/>
      <c r="DN103" s="209"/>
      <c r="DO103" s="230"/>
      <c r="DP103" s="240"/>
      <c r="DQ103" s="241"/>
      <c r="DR103" s="242"/>
      <c r="DS103" s="243"/>
      <c r="DT103" s="244"/>
      <c r="DU103" s="245"/>
      <c r="DV103" s="231"/>
      <c r="DW103" s="246"/>
      <c r="DX103" s="209"/>
      <c r="DY103" s="245"/>
      <c r="DZ103" s="231"/>
      <c r="EA103" s="246"/>
      <c r="EB103" s="209"/>
      <c r="EC103" s="230"/>
      <c r="ED103" s="231"/>
      <c r="EE103" s="246"/>
      <c r="EF103" s="209"/>
      <c r="EG103" s="247"/>
      <c r="EH103" s="248"/>
      <c r="EI103" s="249"/>
    </row>
    <row r="104" spans="1:139" x14ac:dyDescent="0.25">
      <c r="A104" s="1755"/>
      <c r="B104" s="2173" t="s">
        <v>79</v>
      </c>
      <c r="C104" s="2174"/>
      <c r="D104" s="1756"/>
      <c r="E104" s="1757"/>
      <c r="F104" s="1758"/>
      <c r="G104" s="1759"/>
      <c r="H104" s="336"/>
      <c r="I104" s="337"/>
      <c r="J104" s="686">
        <v>5896</v>
      </c>
      <c r="K104" s="337"/>
      <c r="L104" s="686"/>
      <c r="M104" s="337"/>
      <c r="N104" s="336">
        <v>5896</v>
      </c>
      <c r="O104" s="337"/>
      <c r="P104" s="686"/>
      <c r="Q104" s="337"/>
      <c r="R104" s="336">
        <v>0</v>
      </c>
      <c r="S104" s="337"/>
      <c r="T104" s="686"/>
      <c r="U104" s="337"/>
      <c r="V104" s="1760"/>
      <c r="W104" s="1761"/>
      <c r="X104" s="1799"/>
      <c r="Y104" s="1800"/>
      <c r="Z104" s="1801"/>
      <c r="AA104" s="1802"/>
      <c r="AB104" s="1803"/>
      <c r="AC104" s="1802"/>
      <c r="AD104" s="1804">
        <f t="shared" si="22"/>
        <v>5881</v>
      </c>
      <c r="AE104" s="1804"/>
      <c r="AF104" s="1788" t="s">
        <v>38</v>
      </c>
      <c r="AG104" s="1787"/>
      <c r="AH104" s="1804">
        <f>AH105+AH106</f>
        <v>5881</v>
      </c>
      <c r="AI104" s="1804"/>
      <c r="AJ104" s="1788" t="s">
        <v>38</v>
      </c>
      <c r="AK104" s="1787"/>
      <c r="AL104" s="1788" t="s">
        <v>38</v>
      </c>
      <c r="AM104" s="1787"/>
      <c r="AN104" s="1788" t="s">
        <v>38</v>
      </c>
      <c r="AO104" s="1787"/>
      <c r="AP104" s="1788" t="s">
        <v>38</v>
      </c>
      <c r="AQ104" s="1787"/>
      <c r="AR104" s="1799"/>
      <c r="AS104" s="1800"/>
      <c r="AT104" s="1801"/>
      <c r="AU104" s="1802"/>
      <c r="AV104" s="1803"/>
      <c r="AW104" s="1802"/>
      <c r="AX104" s="1804">
        <f t="shared" si="23"/>
        <v>5474</v>
      </c>
      <c r="AY104" s="1804"/>
      <c r="AZ104" s="1788" t="s">
        <v>38</v>
      </c>
      <c r="BA104" s="1787"/>
      <c r="BB104" s="1804">
        <f>BB105+BB106</f>
        <v>5474</v>
      </c>
      <c r="BC104" s="1804"/>
      <c r="BD104" s="1788" t="s">
        <v>38</v>
      </c>
      <c r="BE104" s="1787"/>
      <c r="BF104" s="1788" t="s">
        <v>38</v>
      </c>
      <c r="BG104" s="1787"/>
      <c r="BH104" s="1788" t="s">
        <v>38</v>
      </c>
      <c r="BI104" s="1787"/>
      <c r="BJ104" s="1788" t="s">
        <v>38</v>
      </c>
      <c r="BK104" s="1787"/>
      <c r="BL104" s="1799"/>
      <c r="BM104" s="1800"/>
      <c r="BN104" s="1801"/>
      <c r="BO104" s="1802"/>
      <c r="BP104" s="1803"/>
      <c r="BQ104" s="1802"/>
      <c r="BR104" s="1804">
        <f t="shared" si="24"/>
        <v>5474</v>
      </c>
      <c r="BS104" s="1804"/>
      <c r="BT104" s="1788" t="s">
        <v>38</v>
      </c>
      <c r="BU104" s="1787"/>
      <c r="BV104" s="1804">
        <f>BV105+BV106</f>
        <v>5474</v>
      </c>
      <c r="BW104" s="1804"/>
      <c r="BX104" s="1788" t="s">
        <v>38</v>
      </c>
      <c r="BY104" s="1787"/>
      <c r="BZ104" s="1788" t="s">
        <v>38</v>
      </c>
      <c r="CA104" s="1787"/>
      <c r="CB104" s="1788" t="s">
        <v>38</v>
      </c>
      <c r="CC104" s="1787"/>
      <c r="CD104" s="1788" t="s">
        <v>38</v>
      </c>
      <c r="CE104" s="1787"/>
      <c r="CF104" s="1799"/>
      <c r="CG104" s="1800"/>
      <c r="CH104" s="1801"/>
      <c r="CI104" s="1802"/>
      <c r="CJ104" s="1803"/>
      <c r="CK104" s="1802"/>
      <c r="CL104" s="1804">
        <f t="shared" si="25"/>
        <v>22725</v>
      </c>
      <c r="CM104" s="1804"/>
      <c r="CN104" s="1788" t="s">
        <v>38</v>
      </c>
      <c r="CO104" s="1787"/>
      <c r="CP104" s="1804">
        <f>CP105+CP106</f>
        <v>22725</v>
      </c>
      <c r="CQ104" s="1804"/>
      <c r="CR104" s="1788" t="s">
        <v>38</v>
      </c>
      <c r="CS104" s="1787"/>
      <c r="CT104" s="1788" t="s">
        <v>38</v>
      </c>
      <c r="CU104" s="1787"/>
      <c r="CV104" s="1788" t="s">
        <v>38</v>
      </c>
      <c r="CW104" s="1787"/>
      <c r="CX104" s="1788" t="s">
        <v>38</v>
      </c>
      <c r="CY104" s="1826"/>
      <c r="CZ104" s="1822"/>
      <c r="DA104" s="233"/>
      <c r="DB104" s="228"/>
      <c r="DC104" s="236"/>
      <c r="DD104" s="237"/>
      <c r="DE104" s="238"/>
      <c r="DF104" s="209"/>
      <c r="DG104" s="230"/>
      <c r="DH104" s="237"/>
      <c r="DI104" s="238"/>
      <c r="DJ104" s="209"/>
      <c r="DK104" s="230"/>
      <c r="DL104" s="237"/>
      <c r="DM104" s="239"/>
      <c r="DN104" s="209"/>
      <c r="DO104" s="230"/>
      <c r="DP104" s="240"/>
      <c r="DQ104" s="241"/>
      <c r="DR104" s="242"/>
      <c r="DS104" s="243"/>
      <c r="DT104" s="244"/>
      <c r="DU104" s="245"/>
      <c r="DV104" s="231"/>
      <c r="DW104" s="246"/>
      <c r="DX104" s="209"/>
      <c r="DY104" s="245"/>
      <c r="DZ104" s="231"/>
      <c r="EA104" s="246"/>
      <c r="EB104" s="209"/>
      <c r="EC104" s="230"/>
      <c r="ED104" s="231"/>
      <c r="EE104" s="246"/>
      <c r="EF104" s="209"/>
      <c r="EG104" s="247"/>
      <c r="EH104" s="248"/>
      <c r="EI104" s="249"/>
    </row>
    <row r="105" spans="1:139" x14ac:dyDescent="0.25">
      <c r="A105" s="1747"/>
      <c r="B105" s="2179" t="s">
        <v>125</v>
      </c>
      <c r="C105" s="2180"/>
      <c r="D105" s="1748">
        <v>11.9</v>
      </c>
      <c r="E105" s="1749"/>
      <c r="F105" s="1750">
        <v>1</v>
      </c>
      <c r="G105" s="1751"/>
      <c r="H105" s="379" t="s">
        <v>38</v>
      </c>
      <c r="I105" s="230"/>
      <c r="J105" s="406">
        <v>5896</v>
      </c>
      <c r="K105" s="230"/>
      <c r="L105" s="406" t="s">
        <v>38</v>
      </c>
      <c r="M105" s="230"/>
      <c r="N105" s="379">
        <v>5896</v>
      </c>
      <c r="O105" s="230"/>
      <c r="P105" s="406" t="s">
        <v>38</v>
      </c>
      <c r="Q105" s="230"/>
      <c r="R105" s="379">
        <v>0</v>
      </c>
      <c r="S105" s="230"/>
      <c r="T105" s="406" t="s">
        <v>38</v>
      </c>
      <c r="U105" s="230"/>
      <c r="V105" s="1752">
        <v>495.46218487394958</v>
      </c>
      <c r="W105" s="1753"/>
      <c r="X105" s="1789">
        <f>X25+X68</f>
        <v>11.9</v>
      </c>
      <c r="Y105" s="1790"/>
      <c r="Z105" s="1791">
        <f>X105/11.9</f>
        <v>1</v>
      </c>
      <c r="AA105" s="1791"/>
      <c r="AB105" s="1793" t="s">
        <v>38</v>
      </c>
      <c r="AC105" s="1794"/>
      <c r="AD105" s="1796">
        <f t="shared" si="22"/>
        <v>5881</v>
      </c>
      <c r="AE105" s="1796"/>
      <c r="AF105" s="1793" t="s">
        <v>38</v>
      </c>
      <c r="AG105" s="1794"/>
      <c r="AH105" s="1796">
        <f>AH25</f>
        <v>5881</v>
      </c>
      <c r="AI105" s="1796"/>
      <c r="AJ105" s="1793" t="s">
        <v>38</v>
      </c>
      <c r="AK105" s="1794"/>
      <c r="AL105" s="1793" t="s">
        <v>38</v>
      </c>
      <c r="AM105" s="1794"/>
      <c r="AN105" s="1793" t="s">
        <v>38</v>
      </c>
      <c r="AO105" s="1794"/>
      <c r="AP105" s="1797">
        <f>AD105/X105</f>
        <v>494.20168067226888</v>
      </c>
      <c r="AQ105" s="1798"/>
      <c r="AR105" s="1789">
        <f>AR25+AR68</f>
        <v>11.9</v>
      </c>
      <c r="AS105" s="1790"/>
      <c r="AT105" s="1791">
        <f>AR105/11.9</f>
        <v>1</v>
      </c>
      <c r="AU105" s="1791"/>
      <c r="AV105" s="1793" t="s">
        <v>38</v>
      </c>
      <c r="AW105" s="1794"/>
      <c r="AX105" s="1796">
        <f t="shared" si="23"/>
        <v>5474</v>
      </c>
      <c r="AY105" s="1796"/>
      <c r="AZ105" s="1793" t="s">
        <v>38</v>
      </c>
      <c r="BA105" s="1794"/>
      <c r="BB105" s="1796">
        <f>BB25</f>
        <v>5474</v>
      </c>
      <c r="BC105" s="1796"/>
      <c r="BD105" s="1793" t="s">
        <v>38</v>
      </c>
      <c r="BE105" s="1794"/>
      <c r="BF105" s="1793" t="s">
        <v>38</v>
      </c>
      <c r="BG105" s="1794"/>
      <c r="BH105" s="1793" t="s">
        <v>38</v>
      </c>
      <c r="BI105" s="1794"/>
      <c r="BJ105" s="1797">
        <f>AX105/AR105</f>
        <v>460</v>
      </c>
      <c r="BK105" s="1798"/>
      <c r="BL105" s="1789">
        <f>BL25+BL68</f>
        <v>11.9</v>
      </c>
      <c r="BM105" s="1790"/>
      <c r="BN105" s="1791">
        <f>BL105/11.9</f>
        <v>1</v>
      </c>
      <c r="BO105" s="1791"/>
      <c r="BP105" s="1793" t="s">
        <v>38</v>
      </c>
      <c r="BQ105" s="1794"/>
      <c r="BR105" s="1796">
        <f t="shared" si="24"/>
        <v>5474</v>
      </c>
      <c r="BS105" s="1796"/>
      <c r="BT105" s="1793" t="s">
        <v>38</v>
      </c>
      <c r="BU105" s="1794"/>
      <c r="BV105" s="1796">
        <f>BV25</f>
        <v>5474</v>
      </c>
      <c r="BW105" s="1796"/>
      <c r="BX105" s="1793" t="s">
        <v>38</v>
      </c>
      <c r="BY105" s="1794"/>
      <c r="BZ105" s="1793" t="s">
        <v>38</v>
      </c>
      <c r="CA105" s="1794"/>
      <c r="CB105" s="1793" t="s">
        <v>38</v>
      </c>
      <c r="CC105" s="1794"/>
      <c r="CD105" s="1797">
        <f>BR105/BL105</f>
        <v>460</v>
      </c>
      <c r="CE105" s="1798"/>
      <c r="CF105" s="1789">
        <f>CF25+CF68</f>
        <v>47.6</v>
      </c>
      <c r="CG105" s="1790"/>
      <c r="CH105" s="1791">
        <f>CF105/47.6</f>
        <v>1</v>
      </c>
      <c r="CI105" s="1791"/>
      <c r="CJ105" s="1793" t="s">
        <v>38</v>
      </c>
      <c r="CK105" s="1794"/>
      <c r="CL105" s="1796">
        <f t="shared" si="25"/>
        <v>22725</v>
      </c>
      <c r="CM105" s="1796"/>
      <c r="CN105" s="1793" t="s">
        <v>38</v>
      </c>
      <c r="CO105" s="1794"/>
      <c r="CP105" s="1796">
        <f>CP25</f>
        <v>22725</v>
      </c>
      <c r="CQ105" s="1796"/>
      <c r="CR105" s="1793" t="s">
        <v>38</v>
      </c>
      <c r="CS105" s="1794"/>
      <c r="CT105" s="1793" t="s">
        <v>38</v>
      </c>
      <c r="CU105" s="1794"/>
      <c r="CV105" s="1793" t="s">
        <v>38</v>
      </c>
      <c r="CW105" s="1794"/>
      <c r="CX105" s="1827">
        <f>CL105/CF105</f>
        <v>477.4159663865546</v>
      </c>
      <c r="CY105" s="1798"/>
      <c r="CZ105" s="1822"/>
      <c r="DA105" s="233"/>
      <c r="DB105" s="228"/>
      <c r="DC105" s="236"/>
      <c r="DD105" s="237"/>
      <c r="DE105" s="238"/>
      <c r="DF105" s="209"/>
      <c r="DG105" s="230"/>
      <c r="DH105" s="237"/>
      <c r="DI105" s="238"/>
      <c r="DJ105" s="209"/>
      <c r="DK105" s="230"/>
      <c r="DL105" s="237"/>
      <c r="DM105" s="239"/>
      <c r="DN105" s="209"/>
      <c r="DO105" s="230"/>
      <c r="DP105" s="240"/>
      <c r="DQ105" s="241"/>
      <c r="DR105" s="242"/>
      <c r="DS105" s="243"/>
      <c r="DT105" s="244"/>
      <c r="DU105" s="245"/>
      <c r="DV105" s="231"/>
      <c r="DW105" s="246"/>
      <c r="DX105" s="209"/>
      <c r="DY105" s="245"/>
      <c r="DZ105" s="231"/>
      <c r="EA105" s="246"/>
      <c r="EB105" s="209"/>
      <c r="EC105" s="230"/>
      <c r="ED105" s="231"/>
      <c r="EE105" s="246"/>
      <c r="EF105" s="209"/>
      <c r="EG105" s="247"/>
      <c r="EH105" s="248"/>
      <c r="EI105" s="249"/>
    </row>
    <row r="106" spans="1:139" x14ac:dyDescent="0.25">
      <c r="A106" s="1747"/>
      <c r="B106" s="2179" t="s">
        <v>117</v>
      </c>
      <c r="C106" s="2180"/>
      <c r="D106" s="1748" t="s">
        <v>38</v>
      </c>
      <c r="E106" s="1749"/>
      <c r="F106" s="1750" t="s">
        <v>38</v>
      </c>
      <c r="G106" s="1751"/>
      <c r="H106" s="379" t="s">
        <v>38</v>
      </c>
      <c r="I106" s="230"/>
      <c r="J106" s="406">
        <v>0</v>
      </c>
      <c r="K106" s="230"/>
      <c r="L106" s="406" t="s">
        <v>38</v>
      </c>
      <c r="M106" s="230"/>
      <c r="N106" s="379">
        <v>0</v>
      </c>
      <c r="O106" s="230"/>
      <c r="P106" s="406" t="s">
        <v>38</v>
      </c>
      <c r="Q106" s="230"/>
      <c r="R106" s="379">
        <v>0</v>
      </c>
      <c r="S106" s="230"/>
      <c r="T106" s="406" t="s">
        <v>38</v>
      </c>
      <c r="U106" s="230"/>
      <c r="V106" s="1754" t="s">
        <v>38</v>
      </c>
      <c r="W106" s="1754"/>
      <c r="X106" s="1789"/>
      <c r="Y106" s="1790"/>
      <c r="Z106" s="1791"/>
      <c r="AA106" s="1796"/>
      <c r="AB106" s="1793" t="s">
        <v>38</v>
      </c>
      <c r="AC106" s="1794"/>
      <c r="AD106" s="1796">
        <f t="shared" si="22"/>
        <v>0</v>
      </c>
      <c r="AE106" s="1796"/>
      <c r="AF106" s="1793" t="s">
        <v>38</v>
      </c>
      <c r="AG106" s="1794"/>
      <c r="AH106" s="1796">
        <v>0</v>
      </c>
      <c r="AI106" s="1796"/>
      <c r="AJ106" s="1793" t="s">
        <v>38</v>
      </c>
      <c r="AK106" s="1794"/>
      <c r="AL106" s="1793" t="s">
        <v>38</v>
      </c>
      <c r="AM106" s="1794"/>
      <c r="AN106" s="1793" t="s">
        <v>38</v>
      </c>
      <c r="AO106" s="1794"/>
      <c r="AP106" s="1797"/>
      <c r="AQ106" s="1798"/>
      <c r="AR106" s="1789"/>
      <c r="AS106" s="1790"/>
      <c r="AT106" s="1791"/>
      <c r="AU106" s="1796"/>
      <c r="AV106" s="1793" t="s">
        <v>38</v>
      </c>
      <c r="AW106" s="1794"/>
      <c r="AX106" s="1796">
        <f t="shared" si="23"/>
        <v>0</v>
      </c>
      <c r="AY106" s="1796"/>
      <c r="AZ106" s="1793" t="s">
        <v>38</v>
      </c>
      <c r="BA106" s="1794"/>
      <c r="BB106" s="1796">
        <v>0</v>
      </c>
      <c r="BC106" s="1796"/>
      <c r="BD106" s="1793" t="s">
        <v>38</v>
      </c>
      <c r="BE106" s="1794"/>
      <c r="BF106" s="1793" t="s">
        <v>38</v>
      </c>
      <c r="BG106" s="1794"/>
      <c r="BH106" s="1793" t="s">
        <v>38</v>
      </c>
      <c r="BI106" s="1794"/>
      <c r="BJ106" s="1797"/>
      <c r="BK106" s="1798"/>
      <c r="BL106" s="1789"/>
      <c r="BM106" s="1790"/>
      <c r="BN106" s="1791"/>
      <c r="BO106" s="1796"/>
      <c r="BP106" s="1793" t="s">
        <v>38</v>
      </c>
      <c r="BQ106" s="1794"/>
      <c r="BR106" s="1796">
        <f t="shared" si="24"/>
        <v>0</v>
      </c>
      <c r="BS106" s="1796"/>
      <c r="BT106" s="1793" t="s">
        <v>38</v>
      </c>
      <c r="BU106" s="1794"/>
      <c r="BV106" s="1796">
        <v>0</v>
      </c>
      <c r="BW106" s="1796"/>
      <c r="BX106" s="1793" t="s">
        <v>38</v>
      </c>
      <c r="BY106" s="1794"/>
      <c r="BZ106" s="1793" t="s">
        <v>38</v>
      </c>
      <c r="CA106" s="1794"/>
      <c r="CB106" s="1793" t="s">
        <v>38</v>
      </c>
      <c r="CC106" s="1794"/>
      <c r="CD106" s="1797"/>
      <c r="CE106" s="1798"/>
      <c r="CF106" s="1789"/>
      <c r="CG106" s="1790"/>
      <c r="CH106" s="1791"/>
      <c r="CI106" s="1796"/>
      <c r="CJ106" s="1793" t="s">
        <v>38</v>
      </c>
      <c r="CK106" s="1794"/>
      <c r="CL106" s="1796">
        <f t="shared" si="25"/>
        <v>0</v>
      </c>
      <c r="CM106" s="1796"/>
      <c r="CN106" s="1793" t="s">
        <v>38</v>
      </c>
      <c r="CO106" s="1794"/>
      <c r="CP106" s="1793">
        <f>BV106+BB106+AH106+N106</f>
        <v>0</v>
      </c>
      <c r="CQ106" s="1796"/>
      <c r="CR106" s="1793" t="s">
        <v>38</v>
      </c>
      <c r="CS106" s="1794"/>
      <c r="CT106" s="1793" t="s">
        <v>38</v>
      </c>
      <c r="CU106" s="1794"/>
      <c r="CV106" s="1793" t="s">
        <v>38</v>
      </c>
      <c r="CW106" s="1794"/>
      <c r="CX106" s="1827"/>
      <c r="CY106" s="1798"/>
      <c r="CZ106" s="1822"/>
      <c r="DA106" s="233"/>
      <c r="DB106" s="228"/>
      <c r="DC106" s="236"/>
      <c r="DD106" s="506"/>
      <c r="DE106" s="208"/>
      <c r="DF106" s="209"/>
      <c r="DG106" s="230"/>
      <c r="DH106" s="506"/>
      <c r="DI106" s="208"/>
      <c r="DJ106" s="209"/>
      <c r="DK106" s="230"/>
      <c r="DL106" s="506"/>
      <c r="DM106" s="909"/>
      <c r="DN106" s="209"/>
      <c r="DO106" s="230"/>
      <c r="DP106" s="910"/>
      <c r="DQ106" s="241"/>
      <c r="DR106" s="242"/>
      <c r="DS106" s="243"/>
      <c r="DT106" s="244"/>
      <c r="DU106" s="245"/>
      <c r="DV106" s="506"/>
      <c r="DW106" s="246"/>
      <c r="DX106" s="209"/>
      <c r="DY106" s="245"/>
      <c r="DZ106" s="231"/>
      <c r="EA106" s="246"/>
      <c r="EB106" s="209"/>
      <c r="EC106" s="230"/>
      <c r="ED106" s="231"/>
      <c r="EE106" s="246"/>
      <c r="EF106" s="209"/>
      <c r="EG106" s="245"/>
      <c r="EH106" s="248"/>
      <c r="EI106" s="249"/>
    </row>
    <row r="107" spans="1:139" ht="15.75" thickBot="1" x14ac:dyDescent="0.3">
      <c r="A107" s="1755"/>
      <c r="B107" s="2173" t="s">
        <v>118</v>
      </c>
      <c r="C107" s="2174"/>
      <c r="D107" s="1756"/>
      <c r="E107" s="1757"/>
      <c r="F107" s="1758"/>
      <c r="G107" s="1759"/>
      <c r="H107" s="336"/>
      <c r="I107" s="337"/>
      <c r="J107" s="686">
        <v>241007.4399413167</v>
      </c>
      <c r="K107" s="337"/>
      <c r="L107" s="686"/>
      <c r="M107" s="337"/>
      <c r="N107" s="686">
        <v>241007.4399413167</v>
      </c>
      <c r="O107" s="337"/>
      <c r="P107" s="686"/>
      <c r="Q107" s="337"/>
      <c r="R107" s="686">
        <v>0</v>
      </c>
      <c r="S107" s="337"/>
      <c r="T107" s="686"/>
      <c r="U107" s="337"/>
      <c r="V107" s="1760"/>
      <c r="W107" s="1761"/>
      <c r="X107" s="1799"/>
      <c r="Y107" s="1800"/>
      <c r="Z107" s="1801"/>
      <c r="AA107" s="1804"/>
      <c r="AB107" s="1805"/>
      <c r="AC107" s="1802"/>
      <c r="AD107" s="1804">
        <f t="shared" si="22"/>
        <v>247038.6847606822</v>
      </c>
      <c r="AE107" s="1804"/>
      <c r="AF107" s="1788" t="s">
        <v>38</v>
      </c>
      <c r="AG107" s="1787"/>
      <c r="AH107" s="1804">
        <f>AH108+AH109</f>
        <v>247038.6847606822</v>
      </c>
      <c r="AI107" s="1804"/>
      <c r="AJ107" s="1788" t="s">
        <v>38</v>
      </c>
      <c r="AK107" s="1787"/>
      <c r="AL107" s="1788" t="s">
        <v>38</v>
      </c>
      <c r="AM107" s="1787"/>
      <c r="AN107" s="1788" t="s">
        <v>38</v>
      </c>
      <c r="AO107" s="1787"/>
      <c r="AP107" s="1788" t="s">
        <v>38</v>
      </c>
      <c r="AQ107" s="1787"/>
      <c r="AR107" s="1799"/>
      <c r="AS107" s="1800"/>
      <c r="AT107" s="1801"/>
      <c r="AU107" s="1804"/>
      <c r="AV107" s="1805"/>
      <c r="AW107" s="1802"/>
      <c r="AX107" s="1804">
        <f t="shared" si="23"/>
        <v>241993</v>
      </c>
      <c r="AY107" s="1804"/>
      <c r="AZ107" s="1788" t="s">
        <v>38</v>
      </c>
      <c r="BA107" s="1787"/>
      <c r="BB107" s="1804">
        <f>BB108+BB109</f>
        <v>241993</v>
      </c>
      <c r="BC107" s="1804"/>
      <c r="BD107" s="1788" t="s">
        <v>38</v>
      </c>
      <c r="BE107" s="1787"/>
      <c r="BF107" s="1788" t="s">
        <v>38</v>
      </c>
      <c r="BG107" s="1787"/>
      <c r="BH107" s="1788" t="s">
        <v>38</v>
      </c>
      <c r="BI107" s="1787"/>
      <c r="BJ107" s="1788" t="s">
        <v>38</v>
      </c>
      <c r="BK107" s="1787"/>
      <c r="BL107" s="1799"/>
      <c r="BM107" s="1800"/>
      <c r="BN107" s="1801"/>
      <c r="BO107" s="1804"/>
      <c r="BP107" s="1805"/>
      <c r="BQ107" s="1802"/>
      <c r="BR107" s="1804">
        <f t="shared" si="24"/>
        <v>242164</v>
      </c>
      <c r="BS107" s="1804"/>
      <c r="BT107" s="1788" t="s">
        <v>38</v>
      </c>
      <c r="BU107" s="1787"/>
      <c r="BV107" s="1804">
        <f>BV108+BV109</f>
        <v>242164</v>
      </c>
      <c r="BW107" s="1804"/>
      <c r="BX107" s="1788" t="s">
        <v>38</v>
      </c>
      <c r="BY107" s="1787"/>
      <c r="BZ107" s="1788" t="s">
        <v>38</v>
      </c>
      <c r="CA107" s="1787"/>
      <c r="CB107" s="1788" t="s">
        <v>38</v>
      </c>
      <c r="CC107" s="1787"/>
      <c r="CD107" s="1788" t="s">
        <v>38</v>
      </c>
      <c r="CE107" s="1787"/>
      <c r="CF107" s="1799"/>
      <c r="CG107" s="1800"/>
      <c r="CH107" s="1801"/>
      <c r="CI107" s="1804"/>
      <c r="CJ107" s="1805"/>
      <c r="CK107" s="1802"/>
      <c r="CL107" s="1804">
        <f t="shared" si="25"/>
        <v>972203.1247019989</v>
      </c>
      <c r="CM107" s="1804"/>
      <c r="CN107" s="1788" t="s">
        <v>38</v>
      </c>
      <c r="CO107" s="1787"/>
      <c r="CP107" s="1804">
        <f>CP108+CP109</f>
        <v>972203.1247019989</v>
      </c>
      <c r="CQ107" s="1804"/>
      <c r="CR107" s="1788" t="s">
        <v>38</v>
      </c>
      <c r="CS107" s="1787"/>
      <c r="CT107" s="1788" t="s">
        <v>38</v>
      </c>
      <c r="CU107" s="1787"/>
      <c r="CV107" s="1788" t="s">
        <v>38</v>
      </c>
      <c r="CW107" s="1787"/>
      <c r="CX107" s="1788" t="s">
        <v>38</v>
      </c>
      <c r="CY107" s="1826"/>
      <c r="CZ107" s="1824"/>
      <c r="DA107" s="404"/>
      <c r="DB107" s="912"/>
      <c r="DC107" s="913"/>
      <c r="DD107" s="914"/>
      <c r="DE107" s="915"/>
      <c r="DF107" s="397"/>
      <c r="DG107" s="398"/>
      <c r="DH107" s="914"/>
      <c r="DI107" s="915"/>
      <c r="DJ107" s="397"/>
      <c r="DK107" s="398"/>
      <c r="DL107" s="914"/>
      <c r="DM107" s="916"/>
      <c r="DN107" s="397"/>
      <c r="DO107" s="398"/>
      <c r="DP107" s="917"/>
      <c r="DQ107" s="918"/>
      <c r="DR107" s="919"/>
      <c r="DS107" s="920"/>
      <c r="DT107" s="921"/>
      <c r="DU107" s="922"/>
      <c r="DV107" s="923"/>
      <c r="DW107" s="924"/>
      <c r="DX107" s="397"/>
      <c r="DY107" s="922"/>
      <c r="DZ107" s="399"/>
      <c r="EA107" s="924"/>
      <c r="EB107" s="397"/>
      <c r="EC107" s="398"/>
      <c r="ED107" s="399"/>
      <c r="EE107" s="924"/>
      <c r="EF107" s="397"/>
      <c r="EG107" s="922"/>
      <c r="EH107" s="925"/>
      <c r="EI107" s="926"/>
    </row>
    <row r="108" spans="1:139" x14ac:dyDescent="0.25">
      <c r="A108" s="1747"/>
      <c r="B108" s="2179" t="s">
        <v>125</v>
      </c>
      <c r="C108" s="2180"/>
      <c r="D108" s="1748">
        <v>2183</v>
      </c>
      <c r="E108" s="1749"/>
      <c r="F108" s="1750">
        <v>0.99954212454212454</v>
      </c>
      <c r="G108" s="1751"/>
      <c r="H108" s="379" t="s">
        <v>38</v>
      </c>
      <c r="I108" s="230"/>
      <c r="J108" s="406">
        <v>94975.439941316698</v>
      </c>
      <c r="K108" s="230"/>
      <c r="L108" s="406" t="s">
        <v>38</v>
      </c>
      <c r="M108" s="230"/>
      <c r="N108" s="379">
        <v>94975.439941316698</v>
      </c>
      <c r="O108" s="230"/>
      <c r="P108" s="406" t="s">
        <v>38</v>
      </c>
      <c r="Q108" s="230"/>
      <c r="R108" s="379">
        <v>0</v>
      </c>
      <c r="S108" s="230"/>
      <c r="T108" s="406" t="s">
        <v>38</v>
      </c>
      <c r="U108" s="230"/>
      <c r="V108" s="1752">
        <v>43.506843766063533</v>
      </c>
      <c r="W108" s="1753"/>
      <c r="X108" s="1789">
        <f>X15+X21+X30+X35+X41+X47+X52+X58+X73+X79+X85</f>
        <v>2184</v>
      </c>
      <c r="Y108" s="1790"/>
      <c r="Z108" s="1791">
        <f>X108/2184</f>
        <v>1</v>
      </c>
      <c r="AA108" s="1792"/>
      <c r="AB108" s="1793" t="s">
        <v>38</v>
      </c>
      <c r="AC108" s="1794"/>
      <c r="AD108" s="1796">
        <f t="shared" si="22"/>
        <v>101006.6847606822</v>
      </c>
      <c r="AE108" s="1796"/>
      <c r="AF108" s="1793" t="s">
        <v>38</v>
      </c>
      <c r="AG108" s="1794"/>
      <c r="AH108" s="1796">
        <f>AH15+AH21+AH30+AH35+AH41+AH47+AH52+AH58+AH73+AH79+AH85</f>
        <v>101006.6847606822</v>
      </c>
      <c r="AI108" s="1796"/>
      <c r="AJ108" s="1793" t="s">
        <v>38</v>
      </c>
      <c r="AK108" s="1794"/>
      <c r="AL108" s="1793" t="s">
        <v>38</v>
      </c>
      <c r="AM108" s="1794"/>
      <c r="AN108" s="1793" t="s">
        <v>38</v>
      </c>
      <c r="AO108" s="1794"/>
      <c r="AP108" s="1797">
        <f>AD108/X108</f>
        <v>46.248482033279394</v>
      </c>
      <c r="AQ108" s="1798"/>
      <c r="AR108" s="1789">
        <f>AR15+AR21+AR30+AR35+AR41+AR47+AR52+AR58+AR73+AR79+AR85</f>
        <v>2207.9999999999995</v>
      </c>
      <c r="AS108" s="1790"/>
      <c r="AT108" s="1791">
        <f>AR108/2208</f>
        <v>0.99999999999999978</v>
      </c>
      <c r="AU108" s="1792"/>
      <c r="AV108" s="1793" t="s">
        <v>38</v>
      </c>
      <c r="AW108" s="1794"/>
      <c r="AX108" s="1796">
        <f t="shared" si="23"/>
        <v>88840</v>
      </c>
      <c r="AY108" s="1796"/>
      <c r="AZ108" s="1793" t="s">
        <v>38</v>
      </c>
      <c r="BA108" s="1794"/>
      <c r="BB108" s="1796">
        <f>BB15+BB21+BB30+BB35+BB41+BB47+BB52+BB58+BB73+BB79+BB85</f>
        <v>88840</v>
      </c>
      <c r="BC108" s="1796"/>
      <c r="BD108" s="1793" t="s">
        <v>38</v>
      </c>
      <c r="BE108" s="1794"/>
      <c r="BF108" s="1793" t="s">
        <v>38</v>
      </c>
      <c r="BG108" s="1794"/>
      <c r="BH108" s="1793" t="s">
        <v>38</v>
      </c>
      <c r="BI108" s="1794"/>
      <c r="BJ108" s="1797">
        <f>AX108/AR108</f>
        <v>40.23550724637682</v>
      </c>
      <c r="BK108" s="1798"/>
      <c r="BL108" s="1789">
        <f>BL15+BL21+BL30+BL35+BL41+BL47+BL52+BL58+BL73+BL79+BL85</f>
        <v>2209</v>
      </c>
      <c r="BM108" s="1790"/>
      <c r="BN108" s="1791">
        <f>BL108/2209</f>
        <v>1</v>
      </c>
      <c r="BO108" s="1792"/>
      <c r="BP108" s="1793" t="s">
        <v>38</v>
      </c>
      <c r="BQ108" s="1794"/>
      <c r="BR108" s="1796">
        <f t="shared" si="24"/>
        <v>89011</v>
      </c>
      <c r="BS108" s="1796"/>
      <c r="BT108" s="1793" t="s">
        <v>38</v>
      </c>
      <c r="BU108" s="1794"/>
      <c r="BV108" s="1796">
        <f>BV15+BV21+BV30+BV35+BV41+BV47+BV52+BV58+BV73+BV79+BV85</f>
        <v>89011</v>
      </c>
      <c r="BW108" s="1796"/>
      <c r="BX108" s="1793" t="s">
        <v>38</v>
      </c>
      <c r="BY108" s="1794"/>
      <c r="BZ108" s="1793" t="s">
        <v>38</v>
      </c>
      <c r="CA108" s="1794"/>
      <c r="CB108" s="1793" t="s">
        <v>38</v>
      </c>
      <c r="CC108" s="1794"/>
      <c r="CD108" s="1797">
        <f>BR108/BL108</f>
        <v>40.29470348574015</v>
      </c>
      <c r="CE108" s="1798"/>
      <c r="CF108" s="1789">
        <f>CF15+CF21+CF30+CF35+CF41+CF47+CF52+CF58+CF73+CF79+CF85</f>
        <v>8783.9999999999982</v>
      </c>
      <c r="CG108" s="1790"/>
      <c r="CH108" s="1791">
        <f>CF108/8784</f>
        <v>0.99999999999999978</v>
      </c>
      <c r="CI108" s="1792"/>
      <c r="CJ108" s="1793" t="s">
        <v>38</v>
      </c>
      <c r="CK108" s="1794"/>
      <c r="CL108" s="1796">
        <f t="shared" si="25"/>
        <v>373833.1247019989</v>
      </c>
      <c r="CM108" s="1796"/>
      <c r="CN108" s="1793" t="s">
        <v>38</v>
      </c>
      <c r="CO108" s="1794"/>
      <c r="CP108" s="1796">
        <f>CP15+CP21+CP30+CP35+CP41+CP47+CP52+CP58+CP73+CP79+CP85</f>
        <v>373833.1247019989</v>
      </c>
      <c r="CQ108" s="1796"/>
      <c r="CR108" s="1793" t="s">
        <v>38</v>
      </c>
      <c r="CS108" s="1794"/>
      <c r="CT108" s="1793" t="s">
        <v>38</v>
      </c>
      <c r="CU108" s="1794"/>
      <c r="CV108" s="1793" t="s">
        <v>38</v>
      </c>
      <c r="CW108" s="1794"/>
      <c r="CX108" s="1827">
        <f>CL108/CF108</f>
        <v>42.558415835837771</v>
      </c>
      <c r="CY108" s="1798"/>
    </row>
    <row r="109" spans="1:139" x14ac:dyDescent="0.25">
      <c r="A109" s="1747"/>
      <c r="B109" s="2179" t="s">
        <v>117</v>
      </c>
      <c r="C109" s="2180"/>
      <c r="D109" s="1748" t="s">
        <v>38</v>
      </c>
      <c r="E109" s="1749"/>
      <c r="F109" s="1750" t="s">
        <v>38</v>
      </c>
      <c r="G109" s="1751"/>
      <c r="H109" s="379" t="s">
        <v>38</v>
      </c>
      <c r="I109" s="230"/>
      <c r="J109" s="406">
        <v>146032</v>
      </c>
      <c r="K109" s="230"/>
      <c r="L109" s="406" t="s">
        <v>38</v>
      </c>
      <c r="M109" s="230"/>
      <c r="N109" s="379">
        <v>146032</v>
      </c>
      <c r="O109" s="230"/>
      <c r="P109" s="406" t="s">
        <v>38</v>
      </c>
      <c r="Q109" s="230"/>
      <c r="R109" s="379">
        <v>0</v>
      </c>
      <c r="S109" s="230"/>
      <c r="T109" s="406" t="s">
        <v>38</v>
      </c>
      <c r="U109" s="230"/>
      <c r="V109" s="1754" t="s">
        <v>38</v>
      </c>
      <c r="W109" s="1754"/>
      <c r="X109" s="1789"/>
      <c r="Y109" s="1790"/>
      <c r="Z109" s="1791"/>
      <c r="AA109" s="1796"/>
      <c r="AB109" s="1793" t="s">
        <v>38</v>
      </c>
      <c r="AC109" s="1794"/>
      <c r="AD109" s="1796">
        <f t="shared" si="22"/>
        <v>146032</v>
      </c>
      <c r="AE109" s="1796"/>
      <c r="AF109" s="1793" t="s">
        <v>38</v>
      </c>
      <c r="AG109" s="1794"/>
      <c r="AH109" s="1796">
        <v>146032</v>
      </c>
      <c r="AI109" s="1796"/>
      <c r="AJ109" s="1793" t="s">
        <v>38</v>
      </c>
      <c r="AK109" s="1794"/>
      <c r="AL109" s="1793" t="s">
        <v>38</v>
      </c>
      <c r="AM109" s="1794"/>
      <c r="AN109" s="1793" t="s">
        <v>38</v>
      </c>
      <c r="AO109" s="1794"/>
      <c r="AP109" s="1797"/>
      <c r="AQ109" s="1798"/>
      <c r="AR109" s="1789"/>
      <c r="AS109" s="1790"/>
      <c r="AT109" s="1791"/>
      <c r="AU109" s="1796"/>
      <c r="AV109" s="1793" t="s">
        <v>38</v>
      </c>
      <c r="AW109" s="1794"/>
      <c r="AX109" s="1796">
        <f t="shared" si="23"/>
        <v>153153</v>
      </c>
      <c r="AY109" s="1796"/>
      <c r="AZ109" s="1793" t="s">
        <v>38</v>
      </c>
      <c r="BA109" s="1794"/>
      <c r="BB109" s="1796">
        <v>153153</v>
      </c>
      <c r="BC109" s="1796"/>
      <c r="BD109" s="1793" t="s">
        <v>38</v>
      </c>
      <c r="BE109" s="1794"/>
      <c r="BF109" s="1793" t="s">
        <v>38</v>
      </c>
      <c r="BG109" s="1794"/>
      <c r="BH109" s="1793" t="s">
        <v>38</v>
      </c>
      <c r="BI109" s="1794"/>
      <c r="BJ109" s="1797"/>
      <c r="BK109" s="1798"/>
      <c r="BL109" s="1789"/>
      <c r="BM109" s="1790"/>
      <c r="BN109" s="1791"/>
      <c r="BO109" s="1796"/>
      <c r="BP109" s="1793" t="s">
        <v>38</v>
      </c>
      <c r="BQ109" s="1794"/>
      <c r="BR109" s="1796">
        <f t="shared" si="24"/>
        <v>153153</v>
      </c>
      <c r="BS109" s="1796"/>
      <c r="BT109" s="1793" t="s">
        <v>38</v>
      </c>
      <c r="BU109" s="1794"/>
      <c r="BV109" s="1796">
        <v>153153</v>
      </c>
      <c r="BW109" s="1796"/>
      <c r="BX109" s="1793" t="s">
        <v>38</v>
      </c>
      <c r="BY109" s="1794"/>
      <c r="BZ109" s="1793" t="s">
        <v>38</v>
      </c>
      <c r="CA109" s="1794"/>
      <c r="CB109" s="1793" t="s">
        <v>38</v>
      </c>
      <c r="CC109" s="1794"/>
      <c r="CD109" s="1797"/>
      <c r="CE109" s="1798"/>
      <c r="CF109" s="1789"/>
      <c r="CG109" s="1790"/>
      <c r="CH109" s="1791"/>
      <c r="CI109" s="1796"/>
      <c r="CJ109" s="1793" t="s">
        <v>38</v>
      </c>
      <c r="CK109" s="1794"/>
      <c r="CL109" s="1796">
        <f t="shared" si="25"/>
        <v>598370</v>
      </c>
      <c r="CM109" s="1796"/>
      <c r="CN109" s="1793" t="s">
        <v>38</v>
      </c>
      <c r="CO109" s="1794"/>
      <c r="CP109" s="1793">
        <f>BV109+BB109+AH109+N109</f>
        <v>598370</v>
      </c>
      <c r="CQ109" s="1796"/>
      <c r="CR109" s="1793" t="s">
        <v>38</v>
      </c>
      <c r="CS109" s="1794"/>
      <c r="CT109" s="1793" t="s">
        <v>38</v>
      </c>
      <c r="CU109" s="1794"/>
      <c r="CV109" s="1793" t="s">
        <v>38</v>
      </c>
      <c r="CW109" s="1794"/>
      <c r="CX109" s="1827"/>
      <c r="CY109" s="1798"/>
    </row>
    <row r="110" spans="1:139" x14ac:dyDescent="0.25">
      <c r="A110" s="1755"/>
      <c r="B110" s="2173" t="s">
        <v>119</v>
      </c>
      <c r="C110" s="2174"/>
      <c r="D110" s="1756"/>
      <c r="E110" s="1757"/>
      <c r="F110" s="1758"/>
      <c r="G110" s="1759"/>
      <c r="H110" s="336"/>
      <c r="I110" s="337"/>
      <c r="J110" s="686">
        <v>300738.09999999998</v>
      </c>
      <c r="K110" s="337"/>
      <c r="L110" s="686"/>
      <c r="M110" s="337"/>
      <c r="N110" s="686">
        <v>300738.09999999998</v>
      </c>
      <c r="O110" s="337"/>
      <c r="P110" s="686"/>
      <c r="Q110" s="337"/>
      <c r="R110" s="686">
        <v>0</v>
      </c>
      <c r="S110" s="337"/>
      <c r="T110" s="686"/>
      <c r="U110" s="337"/>
      <c r="V110" s="1760"/>
      <c r="W110" s="1761"/>
      <c r="X110" s="1799"/>
      <c r="Y110" s="1800"/>
      <c r="Z110" s="1801"/>
      <c r="AA110" s="1804"/>
      <c r="AB110" s="1805"/>
      <c r="AC110" s="1802"/>
      <c r="AD110" s="1804">
        <f t="shared" si="22"/>
        <v>271791.8</v>
      </c>
      <c r="AE110" s="1804"/>
      <c r="AF110" s="1788" t="s">
        <v>38</v>
      </c>
      <c r="AG110" s="1787"/>
      <c r="AH110" s="1804">
        <f>AH111+AH112</f>
        <v>271791.8</v>
      </c>
      <c r="AI110" s="1804"/>
      <c r="AJ110" s="1788" t="s">
        <v>38</v>
      </c>
      <c r="AK110" s="1787"/>
      <c r="AL110" s="1788" t="s">
        <v>38</v>
      </c>
      <c r="AM110" s="1787"/>
      <c r="AN110" s="1788" t="s">
        <v>38</v>
      </c>
      <c r="AO110" s="1787"/>
      <c r="AP110" s="1788" t="s">
        <v>38</v>
      </c>
      <c r="AQ110" s="1787"/>
      <c r="AR110" s="1799"/>
      <c r="AS110" s="1800"/>
      <c r="AT110" s="1801"/>
      <c r="AU110" s="1804"/>
      <c r="AV110" s="1805"/>
      <c r="AW110" s="1802"/>
      <c r="AX110" s="1804">
        <f t="shared" si="23"/>
        <v>238875.5</v>
      </c>
      <c r="AY110" s="1804"/>
      <c r="AZ110" s="1788" t="s">
        <v>38</v>
      </c>
      <c r="BA110" s="1787"/>
      <c r="BB110" s="1804">
        <f>BB111+BB112</f>
        <v>238875.5</v>
      </c>
      <c r="BC110" s="1804"/>
      <c r="BD110" s="1788" t="s">
        <v>38</v>
      </c>
      <c r="BE110" s="1787"/>
      <c r="BF110" s="1788" t="s">
        <v>38</v>
      </c>
      <c r="BG110" s="1787"/>
      <c r="BH110" s="1788" t="s">
        <v>38</v>
      </c>
      <c r="BI110" s="1787"/>
      <c r="BJ110" s="1788" t="s">
        <v>38</v>
      </c>
      <c r="BK110" s="1787"/>
      <c r="BL110" s="1799"/>
      <c r="BM110" s="1800"/>
      <c r="BN110" s="1801"/>
      <c r="BO110" s="1804"/>
      <c r="BP110" s="1805"/>
      <c r="BQ110" s="1802"/>
      <c r="BR110" s="1804">
        <f t="shared" si="24"/>
        <v>246653.8</v>
      </c>
      <c r="BS110" s="1804"/>
      <c r="BT110" s="1788" t="s">
        <v>38</v>
      </c>
      <c r="BU110" s="1787"/>
      <c r="BV110" s="1804">
        <f>BV111+BV112</f>
        <v>246653.8</v>
      </c>
      <c r="BW110" s="1804"/>
      <c r="BX110" s="1788" t="s">
        <v>38</v>
      </c>
      <c r="BY110" s="1787"/>
      <c r="BZ110" s="1788" t="s">
        <v>38</v>
      </c>
      <c r="CA110" s="1787"/>
      <c r="CB110" s="1788" t="s">
        <v>38</v>
      </c>
      <c r="CC110" s="1787"/>
      <c r="CD110" s="1788" t="s">
        <v>38</v>
      </c>
      <c r="CE110" s="1787"/>
      <c r="CF110" s="1799"/>
      <c r="CG110" s="1800"/>
      <c r="CH110" s="1801"/>
      <c r="CI110" s="1804"/>
      <c r="CJ110" s="1805"/>
      <c r="CK110" s="1802"/>
      <c r="CL110" s="1804">
        <f t="shared" si="25"/>
        <v>1058059.2</v>
      </c>
      <c r="CM110" s="1804"/>
      <c r="CN110" s="1788" t="s">
        <v>38</v>
      </c>
      <c r="CO110" s="1787"/>
      <c r="CP110" s="1804">
        <f>CP111+CP112</f>
        <v>1058059.2</v>
      </c>
      <c r="CQ110" s="1804"/>
      <c r="CR110" s="1788" t="s">
        <v>38</v>
      </c>
      <c r="CS110" s="1787"/>
      <c r="CT110" s="1788" t="s">
        <v>38</v>
      </c>
      <c r="CU110" s="1787"/>
      <c r="CV110" s="1788" t="s">
        <v>38</v>
      </c>
      <c r="CW110" s="1787"/>
      <c r="CX110" s="1788" t="s">
        <v>38</v>
      </c>
      <c r="CY110" s="1826"/>
      <c r="CZ110" s="429"/>
      <c r="DA110" s="429"/>
      <c r="DD110" s="429"/>
      <c r="DE110" s="429"/>
      <c r="DF110" s="429"/>
      <c r="DG110" s="429"/>
      <c r="DH110" s="429"/>
      <c r="DI110" s="429"/>
      <c r="DJ110" s="429"/>
      <c r="DK110" s="429"/>
      <c r="DL110" s="429"/>
      <c r="DM110" s="429"/>
      <c r="DN110" s="429"/>
      <c r="DO110" s="429"/>
      <c r="DP110" s="429"/>
      <c r="DQ110" s="429"/>
    </row>
    <row r="111" spans="1:139" x14ac:dyDescent="0.25">
      <c r="A111" s="1747"/>
      <c r="B111" s="2179" t="s">
        <v>125</v>
      </c>
      <c r="C111" s="2180"/>
      <c r="D111" s="1748">
        <v>2183.0000000000005</v>
      </c>
      <c r="E111" s="1749"/>
      <c r="F111" s="1750">
        <v>0.99954212454212477</v>
      </c>
      <c r="G111" s="1751"/>
      <c r="H111" s="379" t="s">
        <v>38</v>
      </c>
      <c r="I111" s="230"/>
      <c r="J111" s="406">
        <v>214305.1</v>
      </c>
      <c r="K111" s="230"/>
      <c r="L111" s="406" t="s">
        <v>38</v>
      </c>
      <c r="M111" s="230"/>
      <c r="N111" s="379">
        <v>214305.1</v>
      </c>
      <c r="O111" s="230"/>
      <c r="P111" s="406" t="s">
        <v>38</v>
      </c>
      <c r="Q111" s="230"/>
      <c r="R111" s="379">
        <v>0</v>
      </c>
      <c r="S111" s="230"/>
      <c r="T111" s="406" t="s">
        <v>38</v>
      </c>
      <c r="U111" s="230"/>
      <c r="V111" s="1752">
        <v>98.169995419147938</v>
      </c>
      <c r="W111" s="1753"/>
      <c r="X111" s="1789">
        <f>X16+X22+X36+X42+X53+X59+X69+X74+X80+X86</f>
        <v>2184</v>
      </c>
      <c r="Y111" s="1790"/>
      <c r="Z111" s="1791">
        <f>X111/2184</f>
        <v>1</v>
      </c>
      <c r="AA111" s="1792"/>
      <c r="AB111" s="1793" t="s">
        <v>38</v>
      </c>
      <c r="AC111" s="1794"/>
      <c r="AD111" s="1796">
        <f t="shared" si="22"/>
        <v>185358.8</v>
      </c>
      <c r="AE111" s="1796"/>
      <c r="AF111" s="1793" t="s">
        <v>38</v>
      </c>
      <c r="AG111" s="1794"/>
      <c r="AH111" s="1796">
        <f>AH16+AH22+AH36+AH42+AH53+AH59+AH69+AH74+AH80+AH86</f>
        <v>185358.8</v>
      </c>
      <c r="AI111" s="1796"/>
      <c r="AJ111" s="1793" t="s">
        <v>38</v>
      </c>
      <c r="AK111" s="1794"/>
      <c r="AL111" s="1793" t="s">
        <v>38</v>
      </c>
      <c r="AM111" s="1794"/>
      <c r="AN111" s="1793" t="s">
        <v>38</v>
      </c>
      <c r="AO111" s="1794"/>
      <c r="AP111" s="1797">
        <f>AD111/X111</f>
        <v>84.871245421245419</v>
      </c>
      <c r="AQ111" s="1798"/>
      <c r="AR111" s="1789">
        <f>AR16+AR22+AR36+AR42+AR53+AR59+AR69+AR74+AR80+AR86</f>
        <v>2208.0000000000005</v>
      </c>
      <c r="AS111" s="1790"/>
      <c r="AT111" s="1791">
        <f>AR111/2208</f>
        <v>1.0000000000000002</v>
      </c>
      <c r="AU111" s="1792"/>
      <c r="AV111" s="1793" t="s">
        <v>38</v>
      </c>
      <c r="AW111" s="1794"/>
      <c r="AX111" s="1796">
        <f t="shared" si="23"/>
        <v>148227.5</v>
      </c>
      <c r="AY111" s="1796"/>
      <c r="AZ111" s="1793" t="s">
        <v>38</v>
      </c>
      <c r="BA111" s="1794"/>
      <c r="BB111" s="1796">
        <f>BB16+BB22+BB36+BB42+BB53+BB59+BB69+BB74+BB80+BB86</f>
        <v>148227.5</v>
      </c>
      <c r="BC111" s="1796"/>
      <c r="BD111" s="1793" t="s">
        <v>38</v>
      </c>
      <c r="BE111" s="1794"/>
      <c r="BF111" s="1793" t="s">
        <v>38</v>
      </c>
      <c r="BG111" s="1794"/>
      <c r="BH111" s="1793" t="s">
        <v>38</v>
      </c>
      <c r="BI111" s="1794"/>
      <c r="BJ111" s="1797">
        <f>AX111/AR111</f>
        <v>67.13201992753622</v>
      </c>
      <c r="BK111" s="1798"/>
      <c r="BL111" s="1789">
        <f>BL16+BL22+BL36+BL42+BL53+BL59+BL69+BL74+BL80+BL86</f>
        <v>2209.0000000000005</v>
      </c>
      <c r="BM111" s="1790"/>
      <c r="BN111" s="1791">
        <f>BL111/2209</f>
        <v>1.0000000000000002</v>
      </c>
      <c r="BO111" s="1792"/>
      <c r="BP111" s="1793" t="s">
        <v>38</v>
      </c>
      <c r="BQ111" s="1794"/>
      <c r="BR111" s="1796">
        <f t="shared" si="24"/>
        <v>156005.79999999999</v>
      </c>
      <c r="BS111" s="1796"/>
      <c r="BT111" s="1793" t="s">
        <v>38</v>
      </c>
      <c r="BU111" s="1794"/>
      <c r="BV111" s="1796">
        <f>BV16+BV22+BV36+BV42+BV53+BV59+BV69+BV74+BV80+BV86</f>
        <v>156005.79999999999</v>
      </c>
      <c r="BW111" s="1796"/>
      <c r="BX111" s="1793" t="s">
        <v>38</v>
      </c>
      <c r="BY111" s="1794"/>
      <c r="BZ111" s="1793" t="s">
        <v>38</v>
      </c>
      <c r="CA111" s="1794"/>
      <c r="CB111" s="1793" t="s">
        <v>38</v>
      </c>
      <c r="CC111" s="1794"/>
      <c r="CD111" s="1797">
        <f>BR111/BL111</f>
        <v>70.622815753734699</v>
      </c>
      <c r="CE111" s="1798"/>
      <c r="CF111" s="1789">
        <f>CF16+CF22+CF36+CF42+CF53+CF59+CF69+CF74+CF80+CF86</f>
        <v>8784</v>
      </c>
      <c r="CG111" s="1790"/>
      <c r="CH111" s="1791">
        <f>CF111/8784</f>
        <v>1</v>
      </c>
      <c r="CI111" s="1792"/>
      <c r="CJ111" s="1793" t="s">
        <v>38</v>
      </c>
      <c r="CK111" s="1794"/>
      <c r="CL111" s="1796">
        <f t="shared" si="25"/>
        <v>703897.2</v>
      </c>
      <c r="CM111" s="1796"/>
      <c r="CN111" s="1793" t="s">
        <v>38</v>
      </c>
      <c r="CO111" s="1794"/>
      <c r="CP111" s="1796">
        <f>CP16+CP22+CP36+CP42+CP53+CP59+CP69+CP74+CP80+CP86</f>
        <v>703897.2</v>
      </c>
      <c r="CQ111" s="1796"/>
      <c r="CR111" s="1793" t="s">
        <v>38</v>
      </c>
      <c r="CS111" s="1794"/>
      <c r="CT111" s="1793" t="s">
        <v>38</v>
      </c>
      <c r="CU111" s="1794"/>
      <c r="CV111" s="1793" t="s">
        <v>38</v>
      </c>
      <c r="CW111" s="1794"/>
      <c r="CX111" s="1827">
        <f>CL111/CF111</f>
        <v>80.134016393442622</v>
      </c>
      <c r="CY111" s="1798"/>
      <c r="CZ111" s="429"/>
      <c r="DA111" s="429"/>
      <c r="DD111" s="429"/>
      <c r="DE111" s="429"/>
      <c r="DF111" s="429"/>
      <c r="DG111" s="429"/>
      <c r="DH111" s="429"/>
      <c r="DI111" s="429"/>
      <c r="DJ111" s="429"/>
      <c r="DK111" s="429"/>
      <c r="DL111" s="429"/>
      <c r="DM111" s="429"/>
      <c r="DN111" s="429"/>
      <c r="DO111" s="429"/>
      <c r="DP111" s="429"/>
      <c r="DQ111" s="429"/>
    </row>
    <row r="112" spans="1:139" x14ac:dyDescent="0.25">
      <c r="A112" s="1747"/>
      <c r="B112" s="2179" t="s">
        <v>117</v>
      </c>
      <c r="C112" s="2180"/>
      <c r="D112" s="1748" t="s">
        <v>38</v>
      </c>
      <c r="E112" s="1749"/>
      <c r="F112" s="1750" t="s">
        <v>38</v>
      </c>
      <c r="G112" s="1751"/>
      <c r="H112" s="379" t="s">
        <v>38</v>
      </c>
      <c r="I112" s="230"/>
      <c r="J112" s="406">
        <v>86433</v>
      </c>
      <c r="K112" s="230"/>
      <c r="L112" s="406" t="s">
        <v>38</v>
      </c>
      <c r="M112" s="230"/>
      <c r="N112" s="379">
        <v>86433</v>
      </c>
      <c r="O112" s="230"/>
      <c r="P112" s="406" t="s">
        <v>38</v>
      </c>
      <c r="Q112" s="230"/>
      <c r="R112" s="379">
        <v>0</v>
      </c>
      <c r="S112" s="230"/>
      <c r="T112" s="406" t="s">
        <v>38</v>
      </c>
      <c r="U112" s="230"/>
      <c r="V112" s="1754" t="s">
        <v>38</v>
      </c>
      <c r="W112" s="1754"/>
      <c r="X112" s="1789"/>
      <c r="Y112" s="1790"/>
      <c r="Z112" s="1791"/>
      <c r="AA112" s="1796"/>
      <c r="AB112" s="1793" t="s">
        <v>38</v>
      </c>
      <c r="AC112" s="1794"/>
      <c r="AD112" s="1796">
        <f t="shared" si="22"/>
        <v>86433</v>
      </c>
      <c r="AE112" s="1796"/>
      <c r="AF112" s="1793" t="s">
        <v>38</v>
      </c>
      <c r="AG112" s="1794"/>
      <c r="AH112" s="1796">
        <v>86433</v>
      </c>
      <c r="AI112" s="1796"/>
      <c r="AJ112" s="1793" t="s">
        <v>38</v>
      </c>
      <c r="AK112" s="1794"/>
      <c r="AL112" s="1793" t="s">
        <v>38</v>
      </c>
      <c r="AM112" s="1794"/>
      <c r="AN112" s="1793" t="s">
        <v>38</v>
      </c>
      <c r="AO112" s="1794"/>
      <c r="AP112" s="1797"/>
      <c r="AQ112" s="1798"/>
      <c r="AR112" s="1789"/>
      <c r="AS112" s="1790"/>
      <c r="AT112" s="1791"/>
      <c r="AU112" s="1796"/>
      <c r="AV112" s="1793" t="s">
        <v>38</v>
      </c>
      <c r="AW112" s="1794"/>
      <c r="AX112" s="1796">
        <f t="shared" si="23"/>
        <v>90648</v>
      </c>
      <c r="AY112" s="1796"/>
      <c r="AZ112" s="1793" t="s">
        <v>38</v>
      </c>
      <c r="BA112" s="1794"/>
      <c r="BB112" s="1796">
        <v>90648</v>
      </c>
      <c r="BC112" s="1796"/>
      <c r="BD112" s="1793" t="s">
        <v>38</v>
      </c>
      <c r="BE112" s="1794"/>
      <c r="BF112" s="1793" t="s">
        <v>38</v>
      </c>
      <c r="BG112" s="1794"/>
      <c r="BH112" s="1793" t="s">
        <v>38</v>
      </c>
      <c r="BI112" s="1794"/>
      <c r="BJ112" s="1797"/>
      <c r="BK112" s="1798"/>
      <c r="BL112" s="1789"/>
      <c r="BM112" s="1790"/>
      <c r="BN112" s="1791"/>
      <c r="BO112" s="1796"/>
      <c r="BP112" s="1793" t="s">
        <v>38</v>
      </c>
      <c r="BQ112" s="1794"/>
      <c r="BR112" s="1796">
        <f t="shared" si="24"/>
        <v>90648</v>
      </c>
      <c r="BS112" s="1796"/>
      <c r="BT112" s="1793" t="s">
        <v>38</v>
      </c>
      <c r="BU112" s="1794"/>
      <c r="BV112" s="1796">
        <v>90648</v>
      </c>
      <c r="BW112" s="1796"/>
      <c r="BX112" s="1793" t="s">
        <v>38</v>
      </c>
      <c r="BY112" s="1794"/>
      <c r="BZ112" s="1793" t="s">
        <v>38</v>
      </c>
      <c r="CA112" s="1794"/>
      <c r="CB112" s="1793" t="s">
        <v>38</v>
      </c>
      <c r="CC112" s="1794"/>
      <c r="CD112" s="1797"/>
      <c r="CE112" s="1798"/>
      <c r="CF112" s="1789"/>
      <c r="CG112" s="1790"/>
      <c r="CH112" s="1791"/>
      <c r="CI112" s="1796"/>
      <c r="CJ112" s="1793" t="s">
        <v>38</v>
      </c>
      <c r="CK112" s="1794"/>
      <c r="CL112" s="1796">
        <f t="shared" si="25"/>
        <v>354162</v>
      </c>
      <c r="CM112" s="1796"/>
      <c r="CN112" s="1793" t="s">
        <v>38</v>
      </c>
      <c r="CO112" s="1794"/>
      <c r="CP112" s="1793">
        <f>BV112+BB112+AH112+N112</f>
        <v>354162</v>
      </c>
      <c r="CQ112" s="1796"/>
      <c r="CR112" s="1793" t="s">
        <v>38</v>
      </c>
      <c r="CS112" s="1794"/>
      <c r="CT112" s="1793" t="s">
        <v>38</v>
      </c>
      <c r="CU112" s="1794"/>
      <c r="CV112" s="1793" t="s">
        <v>38</v>
      </c>
      <c r="CW112" s="1794"/>
      <c r="CX112" s="1827"/>
      <c r="CY112" s="1798"/>
      <c r="CZ112" s="429"/>
      <c r="DA112" s="429"/>
      <c r="DD112" s="429"/>
      <c r="DE112" s="429"/>
      <c r="DF112" s="429"/>
      <c r="DG112" s="429"/>
      <c r="DH112" s="429"/>
      <c r="DI112" s="429"/>
      <c r="DJ112" s="429"/>
      <c r="DK112" s="429"/>
      <c r="DL112" s="429"/>
      <c r="DM112" s="429"/>
      <c r="DN112" s="429"/>
      <c r="DO112" s="429"/>
      <c r="DP112" s="429"/>
      <c r="DQ112" s="429"/>
    </row>
    <row r="113" spans="1:139" x14ac:dyDescent="0.25">
      <c r="A113" s="1755"/>
      <c r="B113" s="2173" t="s">
        <v>120</v>
      </c>
      <c r="C113" s="2174"/>
      <c r="D113" s="1756"/>
      <c r="E113" s="1757"/>
      <c r="F113" s="1758"/>
      <c r="G113" s="1759"/>
      <c r="H113" s="336"/>
      <c r="I113" s="337"/>
      <c r="J113" s="686">
        <v>369501.2</v>
      </c>
      <c r="K113" s="337"/>
      <c r="L113" s="686"/>
      <c r="M113" s="337"/>
      <c r="N113" s="686">
        <v>363692.2</v>
      </c>
      <c r="O113" s="337"/>
      <c r="P113" s="686"/>
      <c r="Q113" s="337"/>
      <c r="R113" s="686">
        <v>5809</v>
      </c>
      <c r="S113" s="337"/>
      <c r="T113" s="686"/>
      <c r="U113" s="337"/>
      <c r="V113" s="1760"/>
      <c r="W113" s="1761"/>
      <c r="X113" s="1799"/>
      <c r="Y113" s="1800"/>
      <c r="Z113" s="1801"/>
      <c r="AA113" s="1804"/>
      <c r="AB113" s="1805"/>
      <c r="AC113" s="1802"/>
      <c r="AD113" s="1804">
        <f>AD114+AD115</f>
        <v>356856</v>
      </c>
      <c r="AE113" s="1804"/>
      <c r="AF113" s="1788" t="s">
        <v>38</v>
      </c>
      <c r="AG113" s="1787"/>
      <c r="AH113" s="1804">
        <f>AH115+AH114</f>
        <v>351047</v>
      </c>
      <c r="AI113" s="1804"/>
      <c r="AJ113" s="1788" t="s">
        <v>38</v>
      </c>
      <c r="AK113" s="1787"/>
      <c r="AL113" s="1805">
        <f>AL114</f>
        <v>5809</v>
      </c>
      <c r="AM113" s="1802"/>
      <c r="AN113" s="1788" t="s">
        <v>38</v>
      </c>
      <c r="AO113" s="1787"/>
      <c r="AP113" s="1788" t="s">
        <v>38</v>
      </c>
      <c r="AQ113" s="1787"/>
      <c r="AR113" s="1799"/>
      <c r="AS113" s="1800"/>
      <c r="AT113" s="1801"/>
      <c r="AU113" s="1804"/>
      <c r="AV113" s="1805"/>
      <c r="AW113" s="1802"/>
      <c r="AX113" s="1804">
        <f>AX114+AX115</f>
        <v>354307.2</v>
      </c>
      <c r="AY113" s="1804"/>
      <c r="AZ113" s="1788" t="s">
        <v>38</v>
      </c>
      <c r="BA113" s="1787"/>
      <c r="BB113" s="1804">
        <f>BB115+BB114</f>
        <v>346215.2</v>
      </c>
      <c r="BC113" s="1804"/>
      <c r="BD113" s="1788" t="s">
        <v>38</v>
      </c>
      <c r="BE113" s="1787"/>
      <c r="BF113" s="1805">
        <f>BF114</f>
        <v>8092</v>
      </c>
      <c r="BG113" s="1802"/>
      <c r="BH113" s="1788" t="s">
        <v>38</v>
      </c>
      <c r="BI113" s="1787"/>
      <c r="BJ113" s="1788" t="s">
        <v>38</v>
      </c>
      <c r="BK113" s="1787"/>
      <c r="BL113" s="1799"/>
      <c r="BM113" s="1800"/>
      <c r="BN113" s="1801"/>
      <c r="BO113" s="1804"/>
      <c r="BP113" s="1805"/>
      <c r="BQ113" s="1802"/>
      <c r="BR113" s="1804">
        <f>BR114+BR115</f>
        <v>353043.4</v>
      </c>
      <c r="BS113" s="1804"/>
      <c r="BT113" s="1788" t="s">
        <v>38</v>
      </c>
      <c r="BU113" s="1787"/>
      <c r="BV113" s="1804">
        <f>BV115+BV114</f>
        <v>347234.4</v>
      </c>
      <c r="BW113" s="1804"/>
      <c r="BX113" s="1788" t="s">
        <v>38</v>
      </c>
      <c r="BY113" s="1787"/>
      <c r="BZ113" s="1805">
        <f>BZ114</f>
        <v>5809</v>
      </c>
      <c r="CA113" s="1802"/>
      <c r="CB113" s="1788" t="s">
        <v>38</v>
      </c>
      <c r="CC113" s="1787"/>
      <c r="CD113" s="1788" t="s">
        <v>38</v>
      </c>
      <c r="CE113" s="1787"/>
      <c r="CF113" s="1799"/>
      <c r="CG113" s="1800"/>
      <c r="CH113" s="1801"/>
      <c r="CI113" s="1804"/>
      <c r="CJ113" s="1805"/>
      <c r="CK113" s="1802"/>
      <c r="CL113" s="1804">
        <f>CL114+CL115</f>
        <v>1433707.8</v>
      </c>
      <c r="CM113" s="1804"/>
      <c r="CN113" s="1788" t="s">
        <v>38</v>
      </c>
      <c r="CO113" s="1787"/>
      <c r="CP113" s="1804">
        <f>CP115+CP114</f>
        <v>1408188.8</v>
      </c>
      <c r="CQ113" s="1804"/>
      <c r="CR113" s="1788" t="s">
        <v>38</v>
      </c>
      <c r="CS113" s="1787"/>
      <c r="CT113" s="1805">
        <f>CT114</f>
        <v>25519</v>
      </c>
      <c r="CU113" s="1802"/>
      <c r="CV113" s="1788" t="s">
        <v>38</v>
      </c>
      <c r="CW113" s="1787"/>
      <c r="CX113" s="1788" t="s">
        <v>38</v>
      </c>
      <c r="CY113" s="1826"/>
      <c r="CZ113" s="429"/>
      <c r="DA113" s="429"/>
      <c r="DD113" s="429"/>
      <c r="DE113" s="429"/>
      <c r="DF113" s="429"/>
      <c r="DG113" s="429"/>
      <c r="DH113" s="429"/>
      <c r="DI113" s="429"/>
      <c r="DJ113" s="429"/>
      <c r="DK113" s="429"/>
      <c r="DL113" s="429"/>
      <c r="DM113" s="429"/>
      <c r="DN113" s="429"/>
      <c r="DO113" s="429"/>
      <c r="DP113" s="429"/>
      <c r="DQ113" s="429"/>
    </row>
    <row r="114" spans="1:139" x14ac:dyDescent="0.25">
      <c r="A114" s="1747"/>
      <c r="B114" s="2179" t="s">
        <v>125</v>
      </c>
      <c r="C114" s="2180"/>
      <c r="D114" s="1748">
        <v>2183</v>
      </c>
      <c r="E114" s="1749"/>
      <c r="F114" s="1750">
        <v>0.99954212454212454</v>
      </c>
      <c r="G114" s="1751"/>
      <c r="H114" s="379" t="s">
        <v>38</v>
      </c>
      <c r="I114" s="230"/>
      <c r="J114" s="406">
        <v>294974.2</v>
      </c>
      <c r="K114" s="230"/>
      <c r="L114" s="406" t="s">
        <v>38</v>
      </c>
      <c r="M114" s="230"/>
      <c r="N114" s="379">
        <v>289165.2</v>
      </c>
      <c r="O114" s="230"/>
      <c r="P114" s="406" t="s">
        <v>38</v>
      </c>
      <c r="Q114" s="230"/>
      <c r="R114" s="379">
        <v>5809</v>
      </c>
      <c r="S114" s="230"/>
      <c r="T114" s="406" t="s">
        <v>38</v>
      </c>
      <c r="U114" s="230"/>
      <c r="V114" s="1752">
        <v>135.12331653687588</v>
      </c>
      <c r="W114" s="1753"/>
      <c r="X114" s="1789">
        <f>X17+X23+X31+X37+X43+X48+X54+X60+X70+X75+X81+X87+X68</f>
        <v>2184</v>
      </c>
      <c r="Y114" s="1790"/>
      <c r="Z114" s="1791">
        <f>X114/2184</f>
        <v>1</v>
      </c>
      <c r="AA114" s="1792"/>
      <c r="AB114" s="1793" t="s">
        <v>38</v>
      </c>
      <c r="AC114" s="1794"/>
      <c r="AD114" s="1796">
        <f>AH114+AL114</f>
        <v>282329</v>
      </c>
      <c r="AE114" s="1796"/>
      <c r="AF114" s="1793" t="s">
        <v>38</v>
      </c>
      <c r="AG114" s="1794"/>
      <c r="AH114" s="1796">
        <f>AH17+AH23+AH31+AH37+AH43+AH48+AH54+AH60+AH70+AH75+AH81+AH87+AH68</f>
        <v>276520</v>
      </c>
      <c r="AI114" s="1796"/>
      <c r="AJ114" s="1793" t="s">
        <v>38</v>
      </c>
      <c r="AK114" s="1794"/>
      <c r="AL114" s="1793">
        <f>AL17+AL23+AL31+AL37+AL43+AL48+AL54+AL60+AL70+AL75+AL81+AL87+AL68</f>
        <v>5809</v>
      </c>
      <c r="AM114" s="1794"/>
      <c r="AN114" s="1793" t="s">
        <v>38</v>
      </c>
      <c r="AO114" s="1794"/>
      <c r="AP114" s="1797">
        <f>AD114/X114</f>
        <v>129.27152014652015</v>
      </c>
      <c r="AQ114" s="1798"/>
      <c r="AR114" s="1789">
        <f>AR17+AR23+AR31+AR37+AR43+AR48+AR54+AR60+AR70+AR75+AR81+AR87+AR68</f>
        <v>2207.9999999999995</v>
      </c>
      <c r="AS114" s="1790"/>
      <c r="AT114" s="1791">
        <f>AR114/2208</f>
        <v>0.99999999999999978</v>
      </c>
      <c r="AU114" s="1792"/>
      <c r="AV114" s="1793" t="s">
        <v>38</v>
      </c>
      <c r="AW114" s="1794"/>
      <c r="AX114" s="1796">
        <f>BB114+BF114</f>
        <v>276145.2</v>
      </c>
      <c r="AY114" s="1796"/>
      <c r="AZ114" s="1793" t="s">
        <v>38</v>
      </c>
      <c r="BA114" s="1794"/>
      <c r="BB114" s="1796">
        <f>BB17+BB23+BB31+BB37+BB43+BB48+BB54+BB60+BB70+BB75+BB81+BB87+BB68</f>
        <v>268053.2</v>
      </c>
      <c r="BC114" s="1796"/>
      <c r="BD114" s="1793" t="s">
        <v>38</v>
      </c>
      <c r="BE114" s="1794"/>
      <c r="BF114" s="1793">
        <f>BF17+BF23+BF31+BF37+BF43+BF48+BF54+BF60+BF70+BF75+BF81+BF87+BF68</f>
        <v>8092</v>
      </c>
      <c r="BG114" s="1794"/>
      <c r="BH114" s="1793" t="s">
        <v>38</v>
      </c>
      <c r="BI114" s="1794"/>
      <c r="BJ114" s="1797">
        <f>AX114/AR114</f>
        <v>125.06576086956525</v>
      </c>
      <c r="BK114" s="1798"/>
      <c r="BL114" s="1789">
        <f>BL17+BL23+BL31+BL37+BL43+BL48+BL54+BL60+BL70+BL75+BL81+BL87+BL68</f>
        <v>2209</v>
      </c>
      <c r="BM114" s="1790"/>
      <c r="BN114" s="1791">
        <f>BL114/2209</f>
        <v>1</v>
      </c>
      <c r="BO114" s="1792"/>
      <c r="BP114" s="1793" t="s">
        <v>38</v>
      </c>
      <c r="BQ114" s="1794"/>
      <c r="BR114" s="1796">
        <f>BV114+BZ114</f>
        <v>274881.40000000002</v>
      </c>
      <c r="BS114" s="1796"/>
      <c r="BT114" s="1793" t="s">
        <v>38</v>
      </c>
      <c r="BU114" s="1794"/>
      <c r="BV114" s="1796">
        <f>BV17+BV23+BV31+BV37+BV43+BV48+BV54+BV60+BV70+BV75+BV81+BV87+BV68</f>
        <v>269072.40000000002</v>
      </c>
      <c r="BW114" s="1796"/>
      <c r="BX114" s="1793" t="s">
        <v>38</v>
      </c>
      <c r="BY114" s="1794"/>
      <c r="BZ114" s="1793">
        <f>BZ17+BZ23+BZ31+BZ37+BZ43+BZ48+BZ54+BZ60+BZ70+BZ75+BZ81+BZ87+BZ68</f>
        <v>5809</v>
      </c>
      <c r="CA114" s="1794"/>
      <c r="CB114" s="1793" t="s">
        <v>38</v>
      </c>
      <c r="CC114" s="1794"/>
      <c r="CD114" s="1797">
        <f>BR114/BL114</f>
        <v>124.43703033046629</v>
      </c>
      <c r="CE114" s="1798"/>
      <c r="CF114" s="1789">
        <f>CF17+CF23+CF31+CF37+CF43+CF48+CF54+CF60+CF70+CF75+CF81+CF87+CF68</f>
        <v>8784.0000000000018</v>
      </c>
      <c r="CG114" s="1790"/>
      <c r="CH114" s="1791">
        <f>CF114/8784</f>
        <v>1.0000000000000002</v>
      </c>
      <c r="CI114" s="1792"/>
      <c r="CJ114" s="1793" t="s">
        <v>38</v>
      </c>
      <c r="CK114" s="1794"/>
      <c r="CL114" s="1796">
        <f>CP114+CT114</f>
        <v>1128329.8</v>
      </c>
      <c r="CM114" s="1796"/>
      <c r="CN114" s="1793" t="s">
        <v>38</v>
      </c>
      <c r="CO114" s="1794"/>
      <c r="CP114" s="1796">
        <f>CP17+CP23+CP31+CP37+CP43+CP48+CP54+CP60+CP70+CP75+CP81+CP87+CP68</f>
        <v>1102810.8</v>
      </c>
      <c r="CQ114" s="1796"/>
      <c r="CR114" s="1793" t="s">
        <v>38</v>
      </c>
      <c r="CS114" s="1794"/>
      <c r="CT114" s="1793">
        <f>CT17+CT23+CT31+CT37+CT43+CT48+CT54+CT60+CT70+CT75+CT81+CT87+CT68</f>
        <v>25519</v>
      </c>
      <c r="CU114" s="1794"/>
      <c r="CV114" s="1793" t="s">
        <v>38</v>
      </c>
      <c r="CW114" s="1794"/>
      <c r="CX114" s="1827">
        <f>CL114/CF114</f>
        <v>128.4528460837887</v>
      </c>
      <c r="CY114" s="1798"/>
      <c r="CZ114" s="429"/>
      <c r="DA114" s="429"/>
      <c r="DD114" s="429"/>
      <c r="DE114" s="429"/>
      <c r="DF114" s="429"/>
      <c r="DG114" s="429"/>
      <c r="DH114" s="429"/>
      <c r="DI114" s="429"/>
      <c r="DJ114" s="429"/>
      <c r="DK114" s="429"/>
      <c r="DL114" s="429"/>
      <c r="DM114" s="429"/>
      <c r="DN114" s="429"/>
      <c r="DO114" s="429"/>
      <c r="DP114" s="429"/>
      <c r="DQ114" s="429"/>
    </row>
    <row r="115" spans="1:139" x14ac:dyDescent="0.25">
      <c r="A115" s="1747"/>
      <c r="B115" s="2179" t="s">
        <v>117</v>
      </c>
      <c r="C115" s="2180"/>
      <c r="D115" s="1748" t="s">
        <v>38</v>
      </c>
      <c r="E115" s="1749"/>
      <c r="F115" s="1750" t="s">
        <v>38</v>
      </c>
      <c r="G115" s="1751"/>
      <c r="H115" s="379" t="s">
        <v>38</v>
      </c>
      <c r="I115" s="230"/>
      <c r="J115" s="406">
        <v>74527</v>
      </c>
      <c r="K115" s="230"/>
      <c r="L115" s="406" t="s">
        <v>38</v>
      </c>
      <c r="M115" s="230"/>
      <c r="N115" s="379">
        <v>74527</v>
      </c>
      <c r="O115" s="230"/>
      <c r="P115" s="406" t="s">
        <v>38</v>
      </c>
      <c r="Q115" s="230"/>
      <c r="R115" s="379">
        <v>0</v>
      </c>
      <c r="S115" s="230"/>
      <c r="T115" s="406" t="s">
        <v>38</v>
      </c>
      <c r="U115" s="230"/>
      <c r="V115" s="1754" t="s">
        <v>38</v>
      </c>
      <c r="W115" s="1754"/>
      <c r="X115" s="1789"/>
      <c r="Y115" s="1790"/>
      <c r="Z115" s="1791"/>
      <c r="AA115" s="1796"/>
      <c r="AB115" s="1793" t="s">
        <v>38</v>
      </c>
      <c r="AC115" s="1794"/>
      <c r="AD115" s="1796">
        <f t="shared" si="22"/>
        <v>74527</v>
      </c>
      <c r="AE115" s="1796"/>
      <c r="AF115" s="1793" t="s">
        <v>38</v>
      </c>
      <c r="AG115" s="1794"/>
      <c r="AH115" s="1796">
        <v>74527</v>
      </c>
      <c r="AI115" s="1796"/>
      <c r="AJ115" s="1793" t="s">
        <v>38</v>
      </c>
      <c r="AK115" s="1794"/>
      <c r="AL115" s="1793" t="s">
        <v>38</v>
      </c>
      <c r="AM115" s="1794"/>
      <c r="AN115" s="1793" t="s">
        <v>38</v>
      </c>
      <c r="AO115" s="1794"/>
      <c r="AP115" s="1797"/>
      <c r="AQ115" s="1798"/>
      <c r="AR115" s="1789"/>
      <c r="AS115" s="1790"/>
      <c r="AT115" s="1791"/>
      <c r="AU115" s="1796"/>
      <c r="AV115" s="1793" t="s">
        <v>38</v>
      </c>
      <c r="AW115" s="1794"/>
      <c r="AX115" s="1796">
        <f t="shared" ref="AX115:AX121" si="26">BB115</f>
        <v>78162</v>
      </c>
      <c r="AY115" s="1796"/>
      <c r="AZ115" s="1793" t="s">
        <v>38</v>
      </c>
      <c r="BA115" s="1794"/>
      <c r="BB115" s="1796">
        <v>78162</v>
      </c>
      <c r="BC115" s="1796"/>
      <c r="BD115" s="1793" t="s">
        <v>38</v>
      </c>
      <c r="BE115" s="1794"/>
      <c r="BF115" s="1793" t="s">
        <v>38</v>
      </c>
      <c r="BG115" s="1794"/>
      <c r="BH115" s="1793" t="s">
        <v>38</v>
      </c>
      <c r="BI115" s="1794"/>
      <c r="BJ115" s="1797"/>
      <c r="BK115" s="1798"/>
      <c r="BL115" s="1789"/>
      <c r="BM115" s="1790"/>
      <c r="BN115" s="1791"/>
      <c r="BO115" s="1796"/>
      <c r="BP115" s="1793" t="s">
        <v>38</v>
      </c>
      <c r="BQ115" s="1794"/>
      <c r="BR115" s="1796">
        <f t="shared" ref="BR115:BR121" si="27">BV115</f>
        <v>78162</v>
      </c>
      <c r="BS115" s="1796"/>
      <c r="BT115" s="1793" t="s">
        <v>38</v>
      </c>
      <c r="BU115" s="1794"/>
      <c r="BV115" s="1796">
        <v>78162</v>
      </c>
      <c r="BW115" s="1796"/>
      <c r="BX115" s="1793" t="s">
        <v>38</v>
      </c>
      <c r="BY115" s="1794"/>
      <c r="BZ115" s="1793" t="s">
        <v>38</v>
      </c>
      <c r="CA115" s="1794"/>
      <c r="CB115" s="1793" t="s">
        <v>38</v>
      </c>
      <c r="CC115" s="1794"/>
      <c r="CD115" s="1797"/>
      <c r="CE115" s="1798"/>
      <c r="CF115" s="1789"/>
      <c r="CG115" s="1790"/>
      <c r="CH115" s="1791"/>
      <c r="CI115" s="1796"/>
      <c r="CJ115" s="1793" t="s">
        <v>38</v>
      </c>
      <c r="CK115" s="1794"/>
      <c r="CL115" s="1796">
        <f t="shared" ref="CL115:CL121" si="28">CP115</f>
        <v>305378</v>
      </c>
      <c r="CM115" s="1796"/>
      <c r="CN115" s="1793" t="s">
        <v>38</v>
      </c>
      <c r="CO115" s="1794"/>
      <c r="CP115" s="1793">
        <f>BV115+BB115+AH115+N115</f>
        <v>305378</v>
      </c>
      <c r="CQ115" s="1796"/>
      <c r="CR115" s="1793" t="s">
        <v>38</v>
      </c>
      <c r="CS115" s="1794"/>
      <c r="CT115" s="1793" t="s">
        <v>38</v>
      </c>
      <c r="CU115" s="1794"/>
      <c r="CV115" s="1793" t="s">
        <v>38</v>
      </c>
      <c r="CW115" s="1794"/>
      <c r="CX115" s="1827"/>
      <c r="CY115" s="1798"/>
      <c r="CZ115" s="429"/>
      <c r="DA115" s="429"/>
      <c r="DD115" s="429"/>
      <c r="DE115" s="429"/>
      <c r="DF115" s="429"/>
      <c r="DG115" s="429"/>
      <c r="DH115" s="429"/>
      <c r="DI115" s="429"/>
      <c r="DJ115" s="429"/>
      <c r="DK115" s="429"/>
      <c r="DL115" s="429"/>
      <c r="DM115" s="429"/>
      <c r="DN115" s="429"/>
      <c r="DO115" s="429"/>
      <c r="DP115" s="429"/>
      <c r="DQ115" s="429"/>
    </row>
    <row r="116" spans="1:139" x14ac:dyDescent="0.25">
      <c r="A116" s="1755"/>
      <c r="B116" s="2173" t="s">
        <v>121</v>
      </c>
      <c r="C116" s="2174"/>
      <c r="D116" s="1756"/>
      <c r="E116" s="1757"/>
      <c r="F116" s="1758"/>
      <c r="G116" s="1759"/>
      <c r="H116" s="336"/>
      <c r="I116" s="337"/>
      <c r="J116" s="686">
        <v>86017.12</v>
      </c>
      <c r="K116" s="337"/>
      <c r="L116" s="686"/>
      <c r="M116" s="337"/>
      <c r="N116" s="686">
        <v>86017.12</v>
      </c>
      <c r="O116" s="337"/>
      <c r="P116" s="686"/>
      <c r="Q116" s="337"/>
      <c r="R116" s="686">
        <v>0</v>
      </c>
      <c r="S116" s="337"/>
      <c r="T116" s="686"/>
      <c r="U116" s="337"/>
      <c r="V116" s="1760"/>
      <c r="W116" s="1761"/>
      <c r="X116" s="1799"/>
      <c r="Y116" s="1800"/>
      <c r="Z116" s="1801"/>
      <c r="AA116" s="1804"/>
      <c r="AB116" s="1805"/>
      <c r="AC116" s="1802"/>
      <c r="AD116" s="1804">
        <f t="shared" si="22"/>
        <v>83648.800000000003</v>
      </c>
      <c r="AE116" s="1804"/>
      <c r="AF116" s="1788" t="s">
        <v>38</v>
      </c>
      <c r="AG116" s="1787"/>
      <c r="AH116" s="1804">
        <f>AH117+AH118</f>
        <v>83648.800000000003</v>
      </c>
      <c r="AI116" s="1804"/>
      <c r="AJ116" s="1788" t="s">
        <v>38</v>
      </c>
      <c r="AK116" s="1787"/>
      <c r="AL116" s="1788" t="s">
        <v>38</v>
      </c>
      <c r="AM116" s="1787"/>
      <c r="AN116" s="1788" t="s">
        <v>38</v>
      </c>
      <c r="AO116" s="1787"/>
      <c r="AP116" s="1788" t="s">
        <v>38</v>
      </c>
      <c r="AQ116" s="1787"/>
      <c r="AR116" s="1799"/>
      <c r="AS116" s="1800"/>
      <c r="AT116" s="1801"/>
      <c r="AU116" s="1804"/>
      <c r="AV116" s="1805"/>
      <c r="AW116" s="1802"/>
      <c r="AX116" s="1804">
        <f t="shared" si="26"/>
        <v>87408</v>
      </c>
      <c r="AY116" s="1804"/>
      <c r="AZ116" s="1788" t="s">
        <v>38</v>
      </c>
      <c r="BA116" s="1787"/>
      <c r="BB116" s="1804">
        <f>BB117+BB118</f>
        <v>87408</v>
      </c>
      <c r="BC116" s="1804"/>
      <c r="BD116" s="1788" t="s">
        <v>38</v>
      </c>
      <c r="BE116" s="1787"/>
      <c r="BF116" s="1788" t="s">
        <v>38</v>
      </c>
      <c r="BG116" s="1787"/>
      <c r="BH116" s="1788" t="s">
        <v>38</v>
      </c>
      <c r="BI116" s="1787"/>
      <c r="BJ116" s="1788" t="s">
        <v>38</v>
      </c>
      <c r="BK116" s="1787"/>
      <c r="BL116" s="1799"/>
      <c r="BM116" s="1800"/>
      <c r="BN116" s="1801"/>
      <c r="BO116" s="1804"/>
      <c r="BP116" s="1805"/>
      <c r="BQ116" s="1802"/>
      <c r="BR116" s="1804">
        <f t="shared" si="27"/>
        <v>86698.92</v>
      </c>
      <c r="BS116" s="1804"/>
      <c r="BT116" s="1788" t="s">
        <v>38</v>
      </c>
      <c r="BU116" s="1787"/>
      <c r="BV116" s="1804">
        <f>BV117+BV118</f>
        <v>86698.92</v>
      </c>
      <c r="BW116" s="1804"/>
      <c r="BX116" s="1788" t="s">
        <v>38</v>
      </c>
      <c r="BY116" s="1787"/>
      <c r="BZ116" s="1788" t="s">
        <v>38</v>
      </c>
      <c r="CA116" s="1787"/>
      <c r="CB116" s="1788" t="s">
        <v>38</v>
      </c>
      <c r="CC116" s="1787"/>
      <c r="CD116" s="1788" t="s">
        <v>38</v>
      </c>
      <c r="CE116" s="1787"/>
      <c r="CF116" s="1799"/>
      <c r="CG116" s="1800"/>
      <c r="CH116" s="1801"/>
      <c r="CI116" s="1804"/>
      <c r="CJ116" s="1805"/>
      <c r="CK116" s="1802"/>
      <c r="CL116" s="1804">
        <f t="shared" si="28"/>
        <v>343772.83999999997</v>
      </c>
      <c r="CM116" s="1804"/>
      <c r="CN116" s="1788" t="s">
        <v>38</v>
      </c>
      <c r="CO116" s="1787"/>
      <c r="CP116" s="1804">
        <f>CP117+CP118</f>
        <v>343772.83999999997</v>
      </c>
      <c r="CQ116" s="1804"/>
      <c r="CR116" s="1788" t="s">
        <v>38</v>
      </c>
      <c r="CS116" s="1787"/>
      <c r="CT116" s="1788" t="s">
        <v>38</v>
      </c>
      <c r="CU116" s="1787"/>
      <c r="CV116" s="1788" t="s">
        <v>38</v>
      </c>
      <c r="CW116" s="1787"/>
      <c r="CX116" s="1788" t="s">
        <v>38</v>
      </c>
      <c r="CY116" s="1826"/>
      <c r="CZ116" s="429"/>
      <c r="DA116" s="429"/>
      <c r="DD116" s="429"/>
      <c r="DE116" s="429"/>
      <c r="DF116" s="429"/>
      <c r="DG116" s="429"/>
      <c r="DH116" s="429"/>
      <c r="DI116" s="429"/>
      <c r="DJ116" s="429"/>
      <c r="DK116" s="429"/>
      <c r="DL116" s="429"/>
      <c r="DM116" s="429"/>
      <c r="DN116" s="429"/>
      <c r="DO116" s="429"/>
      <c r="DP116" s="429"/>
      <c r="DQ116" s="429"/>
    </row>
    <row r="117" spans="1:139" s="1" customFormat="1" x14ac:dyDescent="0.25">
      <c r="A117" s="1747"/>
      <c r="B117" s="2179" t="s">
        <v>125</v>
      </c>
      <c r="C117" s="2180"/>
      <c r="D117" s="1748">
        <v>2183</v>
      </c>
      <c r="E117" s="1749"/>
      <c r="F117" s="1750">
        <v>0.99954212454212454</v>
      </c>
      <c r="G117" s="1751"/>
      <c r="H117" s="379" t="s">
        <v>38</v>
      </c>
      <c r="I117" s="230"/>
      <c r="J117" s="406">
        <v>47936.119999999995</v>
      </c>
      <c r="K117" s="230"/>
      <c r="L117" s="406" t="s">
        <v>38</v>
      </c>
      <c r="M117" s="230"/>
      <c r="N117" s="379">
        <v>47936.119999999995</v>
      </c>
      <c r="O117" s="230"/>
      <c r="P117" s="406" t="s">
        <v>38</v>
      </c>
      <c r="Q117" s="230"/>
      <c r="R117" s="379">
        <v>0</v>
      </c>
      <c r="S117" s="230"/>
      <c r="T117" s="406" t="s">
        <v>38</v>
      </c>
      <c r="U117" s="230"/>
      <c r="V117" s="1752">
        <v>21.958827301878149</v>
      </c>
      <c r="W117" s="1753"/>
      <c r="X117" s="1789">
        <f>X18+X24+X32+X38+X44+X49+X55+X61+X76+X82+X88</f>
        <v>2184.0000000000005</v>
      </c>
      <c r="Y117" s="1790"/>
      <c r="Z117" s="1791">
        <f>X117/2184</f>
        <v>1.0000000000000002</v>
      </c>
      <c r="AA117" s="1792"/>
      <c r="AB117" s="1793" t="s">
        <v>38</v>
      </c>
      <c r="AC117" s="1794"/>
      <c r="AD117" s="1796">
        <f t="shared" si="22"/>
        <v>45567.8</v>
      </c>
      <c r="AE117" s="1796"/>
      <c r="AF117" s="1793" t="s">
        <v>38</v>
      </c>
      <c r="AG117" s="1794"/>
      <c r="AH117" s="1796">
        <f>AH18+AH24+AH32+AH38+AH44+AH49+AH55+AH61+AH76+AH82+AH88</f>
        <v>45567.8</v>
      </c>
      <c r="AI117" s="1796"/>
      <c r="AJ117" s="1793" t="s">
        <v>38</v>
      </c>
      <c r="AK117" s="1794"/>
      <c r="AL117" s="1793" t="s">
        <v>38</v>
      </c>
      <c r="AM117" s="1794"/>
      <c r="AN117" s="1793" t="s">
        <v>38</v>
      </c>
      <c r="AO117" s="1794"/>
      <c r="AP117" s="1797">
        <f>AD117/X117</f>
        <v>20.864377289377288</v>
      </c>
      <c r="AQ117" s="1798"/>
      <c r="AR117" s="1789">
        <f>AR18+AR24+AR32+AR38+AR44+AR49+AR55+AR61+AR76+AR82+AR88</f>
        <v>2208.0000000000005</v>
      </c>
      <c r="AS117" s="1790"/>
      <c r="AT117" s="1791">
        <f>AR117/2208</f>
        <v>1.0000000000000002</v>
      </c>
      <c r="AU117" s="1792"/>
      <c r="AV117" s="1793" t="s">
        <v>38</v>
      </c>
      <c r="AW117" s="1794"/>
      <c r="AX117" s="1796">
        <f t="shared" si="26"/>
        <v>47470</v>
      </c>
      <c r="AY117" s="1796"/>
      <c r="AZ117" s="1793" t="s">
        <v>38</v>
      </c>
      <c r="BA117" s="1794"/>
      <c r="BB117" s="1796">
        <f>BB18+BB24+BB32+BB38+BB44+BB49+BB55+BB61+BB76+BB82+BB88</f>
        <v>47470</v>
      </c>
      <c r="BC117" s="1796"/>
      <c r="BD117" s="1793" t="s">
        <v>38</v>
      </c>
      <c r="BE117" s="1794"/>
      <c r="BF117" s="1793" t="s">
        <v>38</v>
      </c>
      <c r="BG117" s="1794"/>
      <c r="BH117" s="1793" t="s">
        <v>38</v>
      </c>
      <c r="BI117" s="1794"/>
      <c r="BJ117" s="1797">
        <f>AX117/AR117</f>
        <v>21.499094202898547</v>
      </c>
      <c r="BK117" s="1798"/>
      <c r="BL117" s="1789">
        <f>BL18+BL24+BL32+BL38+BL44+BL49+BL55+BL61+BL76+BL82+BL88</f>
        <v>2208.9999999999995</v>
      </c>
      <c r="BM117" s="1790"/>
      <c r="BN117" s="1791">
        <f>BL117/2209</f>
        <v>0.99999999999999978</v>
      </c>
      <c r="BO117" s="1792"/>
      <c r="BP117" s="1793" t="s">
        <v>38</v>
      </c>
      <c r="BQ117" s="1794"/>
      <c r="BR117" s="1796">
        <f t="shared" si="27"/>
        <v>46760.92</v>
      </c>
      <c r="BS117" s="1796"/>
      <c r="BT117" s="1793" t="s">
        <v>38</v>
      </c>
      <c r="BU117" s="1794"/>
      <c r="BV117" s="1796">
        <f>BV18+BV24+BV32+BV38+BV44+BV49+BV55+BV61+BV76+BV82+BV88</f>
        <v>46760.92</v>
      </c>
      <c r="BW117" s="1796"/>
      <c r="BX117" s="1793" t="s">
        <v>38</v>
      </c>
      <c r="BY117" s="1794"/>
      <c r="BZ117" s="1793" t="s">
        <v>38</v>
      </c>
      <c r="CA117" s="1794"/>
      <c r="CB117" s="1793" t="s">
        <v>38</v>
      </c>
      <c r="CC117" s="1794"/>
      <c r="CD117" s="1797">
        <f>BR117/BL117</f>
        <v>21.168365776369402</v>
      </c>
      <c r="CE117" s="1798"/>
      <c r="CF117" s="1789">
        <f>CF18+CF24+CF32+CF38+CF44+CF49+CF55+CF61+CF76+CF82+CF88</f>
        <v>8784</v>
      </c>
      <c r="CG117" s="1790"/>
      <c r="CH117" s="1791">
        <f>CF117/8784</f>
        <v>1</v>
      </c>
      <c r="CI117" s="1792"/>
      <c r="CJ117" s="1793" t="s">
        <v>38</v>
      </c>
      <c r="CK117" s="1794"/>
      <c r="CL117" s="1796">
        <f t="shared" si="28"/>
        <v>187734.84</v>
      </c>
      <c r="CM117" s="1796"/>
      <c r="CN117" s="1793" t="s">
        <v>38</v>
      </c>
      <c r="CO117" s="1794"/>
      <c r="CP117" s="1796">
        <f>CP18+CP24+CP32+CP38+CP44+CP49+CP55+CP61+CP76+CP82+CP88</f>
        <v>187734.84</v>
      </c>
      <c r="CQ117" s="1796"/>
      <c r="CR117" s="1793" t="s">
        <v>38</v>
      </c>
      <c r="CS117" s="1794"/>
      <c r="CT117" s="1793" t="s">
        <v>38</v>
      </c>
      <c r="CU117" s="1794"/>
      <c r="CV117" s="1793" t="s">
        <v>38</v>
      </c>
      <c r="CW117" s="1794"/>
      <c r="CX117" s="1827">
        <f>CL117/CF117</f>
        <v>21.37236338797814</v>
      </c>
      <c r="CY117" s="1798"/>
      <c r="CZ117" s="929"/>
      <c r="DA117" s="929"/>
      <c r="DB117" s="928"/>
      <c r="DC117" s="928"/>
      <c r="DD117" s="929"/>
      <c r="DE117" s="929"/>
      <c r="DF117" s="929"/>
      <c r="DG117" s="929"/>
      <c r="DH117" s="929"/>
      <c r="DI117" s="929"/>
      <c r="DJ117" s="929"/>
      <c r="DK117" s="929"/>
      <c r="DL117" s="929"/>
      <c r="DM117" s="929"/>
      <c r="DN117" s="929"/>
      <c r="DO117" s="929"/>
      <c r="DP117" s="929"/>
      <c r="DQ117" s="929"/>
      <c r="DR117" s="930"/>
      <c r="DS117" s="931"/>
      <c r="DT117" s="928"/>
      <c r="DU117" s="928"/>
      <c r="DV117" s="928"/>
      <c r="DW117" s="932"/>
      <c r="DX117" s="933"/>
      <c r="DY117" s="933"/>
      <c r="DZ117" s="928"/>
      <c r="EA117" s="928"/>
      <c r="EB117" s="928"/>
      <c r="EC117" s="928"/>
      <c r="ED117" s="928"/>
      <c r="EE117" s="928"/>
      <c r="EF117" s="928"/>
      <c r="EG117" s="928"/>
      <c r="EH117" s="928"/>
    </row>
    <row r="118" spans="1:139" s="1" customFormat="1" ht="24" customHeight="1" x14ac:dyDescent="0.25">
      <c r="A118" s="1747"/>
      <c r="B118" s="2179" t="s">
        <v>117</v>
      </c>
      <c r="C118" s="2180"/>
      <c r="D118" s="1748" t="s">
        <v>38</v>
      </c>
      <c r="E118" s="1749"/>
      <c r="F118" s="1750" t="s">
        <v>38</v>
      </c>
      <c r="G118" s="1751"/>
      <c r="H118" s="379" t="s">
        <v>38</v>
      </c>
      <c r="I118" s="230"/>
      <c r="J118" s="406">
        <v>38081</v>
      </c>
      <c r="K118" s="230"/>
      <c r="L118" s="406" t="s">
        <v>38</v>
      </c>
      <c r="M118" s="230"/>
      <c r="N118" s="379">
        <v>38081</v>
      </c>
      <c r="O118" s="230"/>
      <c r="P118" s="406" t="s">
        <v>38</v>
      </c>
      <c r="Q118" s="230"/>
      <c r="R118" s="379">
        <v>0</v>
      </c>
      <c r="S118" s="230"/>
      <c r="T118" s="406" t="s">
        <v>38</v>
      </c>
      <c r="U118" s="230"/>
      <c r="V118" s="1754" t="s">
        <v>38</v>
      </c>
      <c r="W118" s="1754"/>
      <c r="X118" s="1789"/>
      <c r="Y118" s="1790"/>
      <c r="Z118" s="1791"/>
      <c r="AA118" s="1796"/>
      <c r="AB118" s="1793" t="s">
        <v>38</v>
      </c>
      <c r="AC118" s="1794"/>
      <c r="AD118" s="1796">
        <f t="shared" si="22"/>
        <v>38081</v>
      </c>
      <c r="AE118" s="1796"/>
      <c r="AF118" s="1793" t="s">
        <v>38</v>
      </c>
      <c r="AG118" s="1794"/>
      <c r="AH118" s="1796">
        <v>38081</v>
      </c>
      <c r="AI118" s="1796"/>
      <c r="AJ118" s="1793" t="s">
        <v>38</v>
      </c>
      <c r="AK118" s="1794"/>
      <c r="AL118" s="1793" t="s">
        <v>38</v>
      </c>
      <c r="AM118" s="1794"/>
      <c r="AN118" s="1793" t="s">
        <v>38</v>
      </c>
      <c r="AO118" s="1794"/>
      <c r="AP118" s="1797"/>
      <c r="AQ118" s="1798"/>
      <c r="AR118" s="1789"/>
      <c r="AS118" s="1790"/>
      <c r="AT118" s="1791"/>
      <c r="AU118" s="1796"/>
      <c r="AV118" s="1793" t="s">
        <v>38</v>
      </c>
      <c r="AW118" s="1794"/>
      <c r="AX118" s="1796">
        <f t="shared" si="26"/>
        <v>39938</v>
      </c>
      <c r="AY118" s="1796"/>
      <c r="AZ118" s="1793" t="s">
        <v>38</v>
      </c>
      <c r="BA118" s="1794"/>
      <c r="BB118" s="1796">
        <v>39938</v>
      </c>
      <c r="BC118" s="1796"/>
      <c r="BD118" s="1793" t="s">
        <v>38</v>
      </c>
      <c r="BE118" s="1794"/>
      <c r="BF118" s="1793" t="s">
        <v>38</v>
      </c>
      <c r="BG118" s="1794"/>
      <c r="BH118" s="1793" t="s">
        <v>38</v>
      </c>
      <c r="BI118" s="1794"/>
      <c r="BJ118" s="1797"/>
      <c r="BK118" s="1798"/>
      <c r="BL118" s="1789"/>
      <c r="BM118" s="1790"/>
      <c r="BN118" s="1791"/>
      <c r="BO118" s="1796"/>
      <c r="BP118" s="1793" t="s">
        <v>38</v>
      </c>
      <c r="BQ118" s="1794"/>
      <c r="BR118" s="1796">
        <f t="shared" si="27"/>
        <v>39938</v>
      </c>
      <c r="BS118" s="1796"/>
      <c r="BT118" s="1793" t="s">
        <v>38</v>
      </c>
      <c r="BU118" s="1794"/>
      <c r="BV118" s="1796">
        <v>39938</v>
      </c>
      <c r="BW118" s="1796"/>
      <c r="BX118" s="1793" t="s">
        <v>38</v>
      </c>
      <c r="BY118" s="1794"/>
      <c r="BZ118" s="1793" t="s">
        <v>38</v>
      </c>
      <c r="CA118" s="1794"/>
      <c r="CB118" s="1793" t="s">
        <v>38</v>
      </c>
      <c r="CC118" s="1794"/>
      <c r="CD118" s="1797"/>
      <c r="CE118" s="1798"/>
      <c r="CF118" s="1789"/>
      <c r="CG118" s="1790"/>
      <c r="CH118" s="1791"/>
      <c r="CI118" s="1796"/>
      <c r="CJ118" s="1793" t="s">
        <v>38</v>
      </c>
      <c r="CK118" s="1794"/>
      <c r="CL118" s="1796">
        <f t="shared" si="28"/>
        <v>156038</v>
      </c>
      <c r="CM118" s="1796"/>
      <c r="CN118" s="1793" t="s">
        <v>38</v>
      </c>
      <c r="CO118" s="1794"/>
      <c r="CP118" s="1793">
        <f>BV118+BB118+AH118+N118</f>
        <v>156038</v>
      </c>
      <c r="CQ118" s="1796"/>
      <c r="CR118" s="1793" t="s">
        <v>38</v>
      </c>
      <c r="CS118" s="1794"/>
      <c r="CT118" s="1793" t="s">
        <v>38</v>
      </c>
      <c r="CU118" s="1794"/>
      <c r="CV118" s="1793" t="s">
        <v>38</v>
      </c>
      <c r="CW118" s="1794"/>
      <c r="CX118" s="1827"/>
      <c r="CY118" s="1798"/>
      <c r="CZ118" s="929"/>
      <c r="DA118" s="929"/>
      <c r="DB118" s="928"/>
      <c r="DC118" s="928"/>
      <c r="DD118" s="929"/>
      <c r="DE118" s="929"/>
      <c r="DF118" s="929"/>
      <c r="DG118" s="929"/>
      <c r="DH118" s="929"/>
      <c r="DI118" s="929"/>
      <c r="DJ118" s="929"/>
      <c r="DK118" s="929"/>
      <c r="DL118" s="929"/>
      <c r="DM118" s="929"/>
      <c r="DN118" s="929"/>
      <c r="DO118" s="929"/>
      <c r="DP118" s="929"/>
      <c r="DQ118" s="929"/>
      <c r="DR118" s="930"/>
      <c r="DS118" s="931"/>
      <c r="DT118" s="928"/>
      <c r="DU118" s="928"/>
      <c r="DV118" s="928"/>
      <c r="DW118" s="932"/>
      <c r="DX118" s="933"/>
      <c r="DY118" s="933"/>
      <c r="DZ118" s="928"/>
      <c r="EA118" s="928"/>
      <c r="EB118" s="928"/>
      <c r="EC118" s="928"/>
      <c r="ED118" s="928"/>
      <c r="EE118" s="928"/>
      <c r="EF118" s="928"/>
      <c r="EG118" s="928"/>
      <c r="EH118" s="928"/>
    </row>
    <row r="119" spans="1:139" s="1" customFormat="1" ht="30.6" customHeight="1" x14ac:dyDescent="0.25">
      <c r="A119" s="1755"/>
      <c r="B119" s="2173" t="s">
        <v>122</v>
      </c>
      <c r="C119" s="2174"/>
      <c r="D119" s="1756"/>
      <c r="E119" s="1757"/>
      <c r="F119" s="1758"/>
      <c r="G119" s="1759"/>
      <c r="H119" s="336"/>
      <c r="I119" s="337"/>
      <c r="J119" s="686">
        <v>5484</v>
      </c>
      <c r="K119" s="337"/>
      <c r="L119" s="686"/>
      <c r="M119" s="337"/>
      <c r="N119" s="686">
        <v>5484</v>
      </c>
      <c r="O119" s="337"/>
      <c r="P119" s="686"/>
      <c r="Q119" s="337"/>
      <c r="R119" s="686">
        <v>0</v>
      </c>
      <c r="S119" s="337"/>
      <c r="T119" s="686"/>
      <c r="U119" s="337"/>
      <c r="V119" s="1760"/>
      <c r="W119" s="1761"/>
      <c r="X119" s="1799"/>
      <c r="Y119" s="1800"/>
      <c r="Z119" s="1801"/>
      <c r="AA119" s="1804"/>
      <c r="AB119" s="1805"/>
      <c r="AC119" s="1802"/>
      <c r="AD119" s="1804">
        <f t="shared" si="22"/>
        <v>5484</v>
      </c>
      <c r="AE119" s="1804"/>
      <c r="AF119" s="1788" t="s">
        <v>38</v>
      </c>
      <c r="AG119" s="1787"/>
      <c r="AH119" s="1804">
        <f>AH120+AH121</f>
        <v>5484</v>
      </c>
      <c r="AI119" s="1804"/>
      <c r="AJ119" s="1788" t="s">
        <v>38</v>
      </c>
      <c r="AK119" s="1787"/>
      <c r="AL119" s="1788" t="s">
        <v>38</v>
      </c>
      <c r="AM119" s="1787"/>
      <c r="AN119" s="1788" t="s">
        <v>38</v>
      </c>
      <c r="AO119" s="1787"/>
      <c r="AP119" s="1788" t="s">
        <v>38</v>
      </c>
      <c r="AQ119" s="1787"/>
      <c r="AR119" s="1799"/>
      <c r="AS119" s="1800"/>
      <c r="AT119" s="1801"/>
      <c r="AU119" s="1804"/>
      <c r="AV119" s="1805"/>
      <c r="AW119" s="1802"/>
      <c r="AX119" s="1804">
        <f t="shared" si="26"/>
        <v>5726</v>
      </c>
      <c r="AY119" s="1804"/>
      <c r="AZ119" s="1788" t="s">
        <v>38</v>
      </c>
      <c r="BA119" s="1787"/>
      <c r="BB119" s="1804">
        <f>BB120+BB121</f>
        <v>5726</v>
      </c>
      <c r="BC119" s="1804"/>
      <c r="BD119" s="1788" t="s">
        <v>38</v>
      </c>
      <c r="BE119" s="1787"/>
      <c r="BF119" s="1788" t="s">
        <v>38</v>
      </c>
      <c r="BG119" s="1787"/>
      <c r="BH119" s="1788" t="s">
        <v>38</v>
      </c>
      <c r="BI119" s="1787"/>
      <c r="BJ119" s="1788" t="s">
        <v>38</v>
      </c>
      <c r="BK119" s="1787"/>
      <c r="BL119" s="1799"/>
      <c r="BM119" s="1800"/>
      <c r="BN119" s="1801"/>
      <c r="BO119" s="1804"/>
      <c r="BP119" s="1805"/>
      <c r="BQ119" s="1802"/>
      <c r="BR119" s="1804">
        <f t="shared" si="27"/>
        <v>5706</v>
      </c>
      <c r="BS119" s="1804"/>
      <c r="BT119" s="1788" t="s">
        <v>38</v>
      </c>
      <c r="BU119" s="1787"/>
      <c r="BV119" s="1804">
        <f>BV120+BV121</f>
        <v>5706</v>
      </c>
      <c r="BW119" s="1804"/>
      <c r="BX119" s="1788" t="s">
        <v>38</v>
      </c>
      <c r="BY119" s="1787"/>
      <c r="BZ119" s="1788" t="s">
        <v>38</v>
      </c>
      <c r="CA119" s="1787"/>
      <c r="CB119" s="1788" t="s">
        <v>38</v>
      </c>
      <c r="CC119" s="1787"/>
      <c r="CD119" s="1788" t="s">
        <v>38</v>
      </c>
      <c r="CE119" s="1787"/>
      <c r="CF119" s="1799"/>
      <c r="CG119" s="1800"/>
      <c r="CH119" s="1801"/>
      <c r="CI119" s="1804"/>
      <c r="CJ119" s="1805"/>
      <c r="CK119" s="1802"/>
      <c r="CL119" s="1804">
        <f t="shared" si="28"/>
        <v>22400</v>
      </c>
      <c r="CM119" s="1804"/>
      <c r="CN119" s="1788" t="s">
        <v>38</v>
      </c>
      <c r="CO119" s="1787"/>
      <c r="CP119" s="1804">
        <f>CP120+CP121</f>
        <v>22400</v>
      </c>
      <c r="CQ119" s="1804"/>
      <c r="CR119" s="1788" t="s">
        <v>38</v>
      </c>
      <c r="CS119" s="1787"/>
      <c r="CT119" s="1788" t="s">
        <v>38</v>
      </c>
      <c r="CU119" s="1787"/>
      <c r="CV119" s="1788" t="s">
        <v>38</v>
      </c>
      <c r="CW119" s="1787"/>
      <c r="CX119" s="1788" t="s">
        <v>38</v>
      </c>
      <c r="CY119" s="1826"/>
      <c r="CZ119" s="929"/>
      <c r="DA119" s="929"/>
      <c r="DB119" s="928"/>
      <c r="DC119" s="928"/>
      <c r="DD119" s="929"/>
      <c r="DE119" s="929"/>
      <c r="DF119" s="929"/>
      <c r="DG119" s="929"/>
      <c r="DH119" s="929"/>
      <c r="DI119" s="929"/>
      <c r="DJ119" s="929"/>
      <c r="DK119" s="929"/>
      <c r="DL119" s="929"/>
      <c r="DM119" s="929"/>
      <c r="DN119" s="929"/>
      <c r="DO119" s="929"/>
      <c r="DP119" s="929"/>
      <c r="DQ119" s="929"/>
      <c r="DR119" s="930"/>
      <c r="DS119" s="931"/>
      <c r="DT119" s="928"/>
      <c r="DU119" s="928"/>
      <c r="DV119" s="928"/>
      <c r="DW119" s="932"/>
      <c r="DX119" s="933"/>
      <c r="DY119" s="933"/>
      <c r="DZ119" s="928"/>
      <c r="EA119" s="928"/>
      <c r="EB119" s="928"/>
      <c r="EC119" s="928"/>
      <c r="ED119" s="928"/>
      <c r="EE119" s="928"/>
      <c r="EF119" s="928"/>
      <c r="EG119" s="928"/>
      <c r="EH119" s="928"/>
    </row>
    <row r="120" spans="1:139" s="1" customFormat="1" ht="30.6" customHeight="1" x14ac:dyDescent="0.25">
      <c r="A120" s="1762"/>
      <c r="B120" s="2175" t="s">
        <v>125</v>
      </c>
      <c r="C120" s="2176"/>
      <c r="D120" s="1763">
        <v>70</v>
      </c>
      <c r="E120" s="1764"/>
      <c r="F120" s="1765">
        <v>1</v>
      </c>
      <c r="G120" s="1766"/>
      <c r="H120" s="1767" t="s">
        <v>38</v>
      </c>
      <c r="I120" s="284"/>
      <c r="J120" s="244">
        <v>90</v>
      </c>
      <c r="K120" s="284"/>
      <c r="L120" s="244" t="s">
        <v>38</v>
      </c>
      <c r="M120" s="284"/>
      <c r="N120" s="1767">
        <v>90</v>
      </c>
      <c r="O120" s="284"/>
      <c r="P120" s="244" t="s">
        <v>38</v>
      </c>
      <c r="Q120" s="284"/>
      <c r="R120" s="1767">
        <v>0</v>
      </c>
      <c r="S120" s="284"/>
      <c r="T120" s="244" t="s">
        <v>38</v>
      </c>
      <c r="U120" s="284"/>
      <c r="V120" s="1768">
        <v>1.2857142857142858</v>
      </c>
      <c r="W120" s="1769"/>
      <c r="X120" s="1806">
        <f>X64</f>
        <v>70</v>
      </c>
      <c r="Y120" s="1807"/>
      <c r="Z120" s="1808">
        <f>X120/70</f>
        <v>1</v>
      </c>
      <c r="AA120" s="1808"/>
      <c r="AB120" s="1809" t="s">
        <v>38</v>
      </c>
      <c r="AC120" s="1810"/>
      <c r="AD120" s="1809">
        <f t="shared" si="22"/>
        <v>90</v>
      </c>
      <c r="AE120" s="1810"/>
      <c r="AF120" s="1809" t="s">
        <v>38</v>
      </c>
      <c r="AG120" s="1810"/>
      <c r="AH120" s="1809">
        <f>AH64</f>
        <v>90</v>
      </c>
      <c r="AI120" s="1810"/>
      <c r="AJ120" s="1809" t="s">
        <v>38</v>
      </c>
      <c r="AK120" s="1810"/>
      <c r="AL120" s="1809" t="s">
        <v>38</v>
      </c>
      <c r="AM120" s="1810"/>
      <c r="AN120" s="1809" t="s">
        <v>38</v>
      </c>
      <c r="AO120" s="1810"/>
      <c r="AP120" s="1811">
        <f>AD120/X120</f>
        <v>1.2857142857142858</v>
      </c>
      <c r="AQ120" s="1812"/>
      <c r="AR120" s="1806">
        <f>AR64</f>
        <v>55</v>
      </c>
      <c r="AS120" s="1807"/>
      <c r="AT120" s="1808">
        <f>AR120/55</f>
        <v>1</v>
      </c>
      <c r="AU120" s="1808"/>
      <c r="AV120" s="1809" t="s">
        <v>38</v>
      </c>
      <c r="AW120" s="1810"/>
      <c r="AX120" s="1809">
        <f t="shared" si="26"/>
        <v>70</v>
      </c>
      <c r="AY120" s="1810"/>
      <c r="AZ120" s="1809" t="s">
        <v>38</v>
      </c>
      <c r="BA120" s="1810"/>
      <c r="BB120" s="1809">
        <f>BB64</f>
        <v>70</v>
      </c>
      <c r="BC120" s="1810"/>
      <c r="BD120" s="1809" t="s">
        <v>38</v>
      </c>
      <c r="BE120" s="1810"/>
      <c r="BF120" s="1809" t="s">
        <v>38</v>
      </c>
      <c r="BG120" s="1810"/>
      <c r="BH120" s="1809" t="s">
        <v>38</v>
      </c>
      <c r="BI120" s="1810"/>
      <c r="BJ120" s="1811">
        <f>AX120/AR120</f>
        <v>1.2727272727272727</v>
      </c>
      <c r="BK120" s="1812"/>
      <c r="BL120" s="1806">
        <f>BL64</f>
        <v>40</v>
      </c>
      <c r="BM120" s="1807"/>
      <c r="BN120" s="1808">
        <f>BL120/40</f>
        <v>1</v>
      </c>
      <c r="BO120" s="1808"/>
      <c r="BP120" s="1809" t="s">
        <v>38</v>
      </c>
      <c r="BQ120" s="1810"/>
      <c r="BR120" s="1809">
        <f t="shared" si="27"/>
        <v>50</v>
      </c>
      <c r="BS120" s="1810"/>
      <c r="BT120" s="1809" t="s">
        <v>38</v>
      </c>
      <c r="BU120" s="1810"/>
      <c r="BV120" s="1809">
        <f>BV64</f>
        <v>50</v>
      </c>
      <c r="BW120" s="1810"/>
      <c r="BX120" s="1809" t="s">
        <v>38</v>
      </c>
      <c r="BY120" s="1810"/>
      <c r="BZ120" s="1809" t="s">
        <v>38</v>
      </c>
      <c r="CA120" s="1810"/>
      <c r="CB120" s="1809" t="s">
        <v>38</v>
      </c>
      <c r="CC120" s="1810"/>
      <c r="CD120" s="1811">
        <f>BR120/BL120</f>
        <v>1.25</v>
      </c>
      <c r="CE120" s="1812"/>
      <c r="CF120" s="1806">
        <f>CF64</f>
        <v>235</v>
      </c>
      <c r="CG120" s="1807"/>
      <c r="CH120" s="1808">
        <f>CF120/235</f>
        <v>1</v>
      </c>
      <c r="CI120" s="1808"/>
      <c r="CJ120" s="1809" t="s">
        <v>38</v>
      </c>
      <c r="CK120" s="1810"/>
      <c r="CL120" s="1809">
        <f t="shared" si="28"/>
        <v>300</v>
      </c>
      <c r="CM120" s="1810"/>
      <c r="CN120" s="1809" t="s">
        <v>38</v>
      </c>
      <c r="CO120" s="1810"/>
      <c r="CP120" s="1809">
        <f>CP64</f>
        <v>300</v>
      </c>
      <c r="CQ120" s="1810"/>
      <c r="CR120" s="1809" t="s">
        <v>38</v>
      </c>
      <c r="CS120" s="1810"/>
      <c r="CT120" s="1809" t="s">
        <v>38</v>
      </c>
      <c r="CU120" s="1810"/>
      <c r="CV120" s="1809" t="s">
        <v>38</v>
      </c>
      <c r="CW120" s="1810"/>
      <c r="CX120" s="1828">
        <f>CL120/CF120</f>
        <v>1.2765957446808511</v>
      </c>
      <c r="CY120" s="1812"/>
      <c r="CZ120" s="929"/>
      <c r="DA120" s="929"/>
      <c r="DB120" s="928"/>
      <c r="DC120" s="928"/>
      <c r="DD120" s="929"/>
      <c r="DE120" s="929"/>
      <c r="DF120" s="929"/>
      <c r="DG120" s="929"/>
      <c r="DH120" s="929"/>
      <c r="DI120" s="929"/>
      <c r="DJ120" s="929"/>
      <c r="DK120" s="929"/>
      <c r="DL120" s="929"/>
      <c r="DM120" s="929"/>
      <c r="DN120" s="929"/>
      <c r="DO120" s="929"/>
      <c r="DP120" s="929"/>
      <c r="DQ120" s="929"/>
      <c r="DR120" s="930"/>
      <c r="DS120" s="931"/>
      <c r="DT120" s="928"/>
      <c r="DU120" s="928"/>
      <c r="DV120" s="928"/>
      <c r="DW120" s="932"/>
      <c r="DX120" s="933"/>
      <c r="DY120" s="933"/>
      <c r="DZ120" s="928"/>
      <c r="EA120" s="928"/>
      <c r="EB120" s="928"/>
      <c r="EC120" s="928"/>
      <c r="ED120" s="928"/>
      <c r="EE120" s="928"/>
      <c r="EF120" s="928"/>
      <c r="EG120" s="928"/>
      <c r="EH120" s="928"/>
    </row>
    <row r="121" spans="1:139" ht="34.9" customHeight="1" thickBot="1" x14ac:dyDescent="0.3">
      <c r="A121" s="1770"/>
      <c r="B121" s="2177" t="s">
        <v>117</v>
      </c>
      <c r="C121" s="2178"/>
      <c r="D121" s="1771" t="s">
        <v>38</v>
      </c>
      <c r="E121" s="1772"/>
      <c r="F121" s="1773" t="s">
        <v>38</v>
      </c>
      <c r="G121" s="1774"/>
      <c r="H121" s="921" t="s">
        <v>38</v>
      </c>
      <c r="I121" s="398"/>
      <c r="J121" s="911">
        <v>5394</v>
      </c>
      <c r="K121" s="398"/>
      <c r="L121" s="911" t="s">
        <v>38</v>
      </c>
      <c r="M121" s="398"/>
      <c r="N121" s="921">
        <v>5394</v>
      </c>
      <c r="O121" s="398"/>
      <c r="P121" s="911" t="s">
        <v>38</v>
      </c>
      <c r="Q121" s="398"/>
      <c r="R121" s="921">
        <v>0</v>
      </c>
      <c r="S121" s="398"/>
      <c r="T121" s="911" t="s">
        <v>38</v>
      </c>
      <c r="U121" s="398"/>
      <c r="V121" s="1775" t="s">
        <v>38</v>
      </c>
      <c r="W121" s="1776"/>
      <c r="X121" s="1813"/>
      <c r="Y121" s="1814"/>
      <c r="Z121" s="1815"/>
      <c r="AA121" s="1816"/>
      <c r="AB121" s="1817" t="s">
        <v>38</v>
      </c>
      <c r="AC121" s="1818"/>
      <c r="AD121" s="1817">
        <f t="shared" si="22"/>
        <v>5394</v>
      </c>
      <c r="AE121" s="1818"/>
      <c r="AF121" s="1817" t="s">
        <v>38</v>
      </c>
      <c r="AG121" s="1818"/>
      <c r="AH121" s="1817">
        <v>5394</v>
      </c>
      <c r="AI121" s="1818"/>
      <c r="AJ121" s="1817" t="s">
        <v>38</v>
      </c>
      <c r="AK121" s="1818"/>
      <c r="AL121" s="1817" t="s">
        <v>38</v>
      </c>
      <c r="AM121" s="1818"/>
      <c r="AN121" s="1817" t="s">
        <v>38</v>
      </c>
      <c r="AO121" s="1818"/>
      <c r="AP121" s="1819" t="s">
        <v>38</v>
      </c>
      <c r="AQ121" s="1820"/>
      <c r="AR121" s="1813"/>
      <c r="AS121" s="1814"/>
      <c r="AT121" s="1815"/>
      <c r="AU121" s="1816"/>
      <c r="AV121" s="1817" t="s">
        <v>38</v>
      </c>
      <c r="AW121" s="1818"/>
      <c r="AX121" s="1817">
        <f t="shared" si="26"/>
        <v>5656</v>
      </c>
      <c r="AY121" s="1818"/>
      <c r="AZ121" s="1817" t="s">
        <v>38</v>
      </c>
      <c r="BA121" s="1818"/>
      <c r="BB121" s="1817">
        <v>5656</v>
      </c>
      <c r="BC121" s="1818"/>
      <c r="BD121" s="1817" t="s">
        <v>38</v>
      </c>
      <c r="BE121" s="1818"/>
      <c r="BF121" s="1817" t="s">
        <v>38</v>
      </c>
      <c r="BG121" s="1818"/>
      <c r="BH121" s="1817" t="s">
        <v>38</v>
      </c>
      <c r="BI121" s="1818"/>
      <c r="BJ121" s="1819" t="s">
        <v>38</v>
      </c>
      <c r="BK121" s="1820"/>
      <c r="BL121" s="1813"/>
      <c r="BM121" s="1814"/>
      <c r="BN121" s="1815"/>
      <c r="BO121" s="1816"/>
      <c r="BP121" s="1817" t="s">
        <v>38</v>
      </c>
      <c r="BQ121" s="1818"/>
      <c r="BR121" s="1817">
        <f t="shared" si="27"/>
        <v>5656</v>
      </c>
      <c r="BS121" s="1818"/>
      <c r="BT121" s="1817" t="s">
        <v>38</v>
      </c>
      <c r="BU121" s="1818"/>
      <c r="BV121" s="1817">
        <v>5656</v>
      </c>
      <c r="BW121" s="1818"/>
      <c r="BX121" s="1817" t="s">
        <v>38</v>
      </c>
      <c r="BY121" s="1818"/>
      <c r="BZ121" s="1817" t="s">
        <v>38</v>
      </c>
      <c r="CA121" s="1818"/>
      <c r="CB121" s="1817" t="s">
        <v>38</v>
      </c>
      <c r="CC121" s="1818"/>
      <c r="CD121" s="1819" t="s">
        <v>38</v>
      </c>
      <c r="CE121" s="1820"/>
      <c r="CF121" s="1813"/>
      <c r="CG121" s="1814"/>
      <c r="CH121" s="1815"/>
      <c r="CI121" s="1816"/>
      <c r="CJ121" s="1817" t="s">
        <v>38</v>
      </c>
      <c r="CK121" s="1818"/>
      <c r="CL121" s="1817">
        <f t="shared" si="28"/>
        <v>22100</v>
      </c>
      <c r="CM121" s="1818"/>
      <c r="CN121" s="1817" t="s">
        <v>38</v>
      </c>
      <c r="CO121" s="1818"/>
      <c r="CP121" s="1817">
        <f>BV121+BB121+AH121+N121</f>
        <v>22100</v>
      </c>
      <c r="CQ121" s="1818"/>
      <c r="CR121" s="1817" t="s">
        <v>38</v>
      </c>
      <c r="CS121" s="1818"/>
      <c r="CT121" s="1817" t="s">
        <v>38</v>
      </c>
      <c r="CU121" s="1818"/>
      <c r="CV121" s="1817" t="s">
        <v>38</v>
      </c>
      <c r="CW121" s="1818"/>
      <c r="CX121" s="1829" t="s">
        <v>38</v>
      </c>
      <c r="CY121" s="1820"/>
      <c r="CZ121" s="166"/>
      <c r="DA121" s="166"/>
      <c r="DB121" s="166"/>
      <c r="DC121" s="166"/>
      <c r="DD121" s="166"/>
      <c r="DE121" s="166"/>
      <c r="DF121" s="166"/>
      <c r="DG121" s="166"/>
      <c r="DH121" s="166"/>
      <c r="DI121" s="166"/>
      <c r="DJ121" s="166"/>
      <c r="DK121" s="166"/>
      <c r="DL121" s="166"/>
      <c r="DM121" s="166"/>
      <c r="DN121" s="166"/>
      <c r="DO121" s="166"/>
      <c r="DP121" s="166"/>
      <c r="DQ121" s="166"/>
      <c r="DR121" s="166"/>
      <c r="DS121" s="161"/>
      <c r="DT121" s="159"/>
      <c r="DU121" s="159"/>
      <c r="DV121" s="159"/>
      <c r="DW121" s="162"/>
      <c r="DX121" s="163"/>
      <c r="DY121" s="163"/>
      <c r="DZ121" s="159"/>
      <c r="EA121" s="159"/>
      <c r="EB121" s="159"/>
      <c r="EC121" s="159"/>
      <c r="ED121" s="159"/>
      <c r="EE121" s="159"/>
      <c r="EF121" s="159"/>
      <c r="EG121" s="159"/>
      <c r="EH121" s="159"/>
      <c r="EI121" s="159"/>
    </row>
    <row r="122" spans="1:139" ht="28.9" customHeight="1" x14ac:dyDescent="0.25">
      <c r="B122" s="155" t="s">
        <v>104</v>
      </c>
      <c r="D122" s="402"/>
      <c r="E122" s="402"/>
      <c r="I122" s="210"/>
      <c r="J122" s="210"/>
      <c r="K122" s="210"/>
      <c r="L122" s="210"/>
      <c r="M122" s="210"/>
      <c r="N122" s="210"/>
      <c r="P122" s="210"/>
      <c r="Q122" s="210"/>
      <c r="R122" s="210"/>
      <c r="S122" s="210"/>
      <c r="T122" s="210"/>
      <c r="V122" s="210"/>
      <c r="W122" s="210"/>
      <c r="X122" s="429"/>
      <c r="Y122" s="429"/>
      <c r="Z122" s="210"/>
      <c r="AA122" s="210"/>
      <c r="AB122" s="210"/>
      <c r="AC122" s="210"/>
      <c r="AD122" s="210"/>
      <c r="AE122" s="210"/>
      <c r="AF122" s="210"/>
      <c r="AG122" s="210"/>
      <c r="AJ122" s="210"/>
      <c r="AK122" s="210"/>
      <c r="AL122" s="210"/>
      <c r="AM122" s="210"/>
      <c r="AN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D122" s="210"/>
      <c r="BE122" s="210"/>
      <c r="BF122" s="210"/>
      <c r="BG122" s="210"/>
      <c r="BH122" s="210"/>
      <c r="BJ122" s="210"/>
      <c r="BK122" s="210"/>
      <c r="BL122" s="210"/>
      <c r="BM122" s="210"/>
      <c r="BN122" s="210"/>
      <c r="BO122" s="210"/>
      <c r="BP122" s="210"/>
      <c r="BQ122" s="210"/>
      <c r="BR122" s="210"/>
      <c r="BS122" s="210"/>
      <c r="BT122" s="210"/>
      <c r="BU122" s="210"/>
      <c r="BW122" s="210"/>
      <c r="BX122" s="210"/>
      <c r="BY122" s="210"/>
      <c r="BZ122" s="210"/>
      <c r="CA122" s="210"/>
      <c r="CB122" s="210"/>
      <c r="CC122" s="210"/>
      <c r="CD122" s="210"/>
      <c r="CE122" s="210"/>
      <c r="CG122" s="210"/>
      <c r="CH122" s="210"/>
      <c r="CI122" s="210"/>
      <c r="CJ122" s="210"/>
      <c r="CK122" s="210"/>
      <c r="CL122" s="210"/>
      <c r="CM122" s="210"/>
      <c r="CN122" s="210"/>
      <c r="CO122" s="210"/>
      <c r="CQ122" s="210"/>
      <c r="CZ122" s="429"/>
      <c r="DA122" s="429"/>
      <c r="DD122" s="429"/>
      <c r="DE122" s="429"/>
      <c r="DF122" s="429"/>
      <c r="DG122" s="429"/>
      <c r="DH122" s="429"/>
      <c r="DI122" s="429"/>
      <c r="DJ122" s="429"/>
      <c r="DK122" s="429"/>
      <c r="DL122" s="429"/>
      <c r="DM122" s="429"/>
      <c r="DN122" s="429"/>
      <c r="DO122" s="429"/>
      <c r="DP122" s="429"/>
      <c r="DQ122" s="429"/>
    </row>
    <row r="123" spans="1:139" ht="28.9" customHeight="1" x14ac:dyDescent="0.25">
      <c r="B123" s="2258" t="s">
        <v>20</v>
      </c>
      <c r="C123" s="2258"/>
      <c r="D123" s="402"/>
      <c r="E123" s="402"/>
      <c r="I123" s="210"/>
      <c r="J123" s="210"/>
      <c r="K123" s="210"/>
      <c r="L123" s="210"/>
      <c r="M123" s="210"/>
      <c r="N123" s="210"/>
      <c r="P123" s="210"/>
      <c r="Q123" s="210"/>
      <c r="R123" s="210"/>
      <c r="S123" s="210"/>
      <c r="T123" s="210"/>
      <c r="V123" s="210"/>
      <c r="W123" s="210"/>
      <c r="X123" s="429"/>
      <c r="Y123" s="429"/>
      <c r="Z123" s="210"/>
      <c r="AA123" s="210"/>
      <c r="AB123" s="210"/>
      <c r="AC123" s="210"/>
      <c r="AD123" s="210"/>
      <c r="AE123" s="210"/>
      <c r="AF123" s="210"/>
      <c r="AG123" s="210"/>
      <c r="AJ123" s="210"/>
      <c r="AK123" s="210"/>
      <c r="AL123" s="210"/>
      <c r="AM123" s="210"/>
      <c r="AN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D123" s="210"/>
      <c r="BE123" s="210"/>
      <c r="BF123" s="210"/>
      <c r="BG123" s="210"/>
      <c r="BH123" s="210"/>
      <c r="BJ123" s="210"/>
      <c r="BK123" s="210"/>
      <c r="BL123" s="210"/>
      <c r="BM123" s="210"/>
      <c r="BN123" s="210"/>
      <c r="BO123" s="210"/>
      <c r="BP123" s="210"/>
      <c r="BQ123" s="210"/>
      <c r="BR123" s="210"/>
      <c r="BS123" s="210"/>
      <c r="BT123" s="210"/>
      <c r="BU123" s="210"/>
      <c r="BW123" s="210"/>
      <c r="BX123" s="210"/>
      <c r="BY123" s="210"/>
      <c r="BZ123" s="210"/>
      <c r="CA123" s="210"/>
      <c r="CB123" s="210"/>
      <c r="CC123" s="210"/>
      <c r="CD123" s="210"/>
      <c r="CE123" s="210"/>
      <c r="CG123" s="210"/>
      <c r="CH123" s="210"/>
      <c r="CI123" s="210"/>
      <c r="CJ123" s="210"/>
      <c r="CK123" s="210"/>
      <c r="CL123" s="210"/>
      <c r="CM123" s="210"/>
      <c r="CN123" s="210"/>
      <c r="CO123" s="210"/>
      <c r="CQ123" s="210"/>
      <c r="CZ123" s="429"/>
      <c r="DA123" s="429"/>
      <c r="DD123" s="429"/>
      <c r="DE123" s="429"/>
      <c r="DF123" s="429"/>
      <c r="DG123" s="429"/>
      <c r="DH123" s="429"/>
      <c r="DI123" s="429"/>
      <c r="DJ123" s="429"/>
      <c r="DK123" s="429"/>
      <c r="DL123" s="429"/>
      <c r="DM123" s="429"/>
      <c r="DN123" s="429"/>
      <c r="DO123" s="429"/>
      <c r="DP123" s="429"/>
      <c r="DQ123" s="429"/>
    </row>
    <row r="124" spans="1:139" ht="28.9" customHeight="1" x14ac:dyDescent="0.25">
      <c r="B124" s="156" t="s">
        <v>96</v>
      </c>
      <c r="C124" s="2162">
        <v>165140</v>
      </c>
      <c r="D124" s="2164" t="s">
        <v>80</v>
      </c>
      <c r="E124" s="402"/>
      <c r="I124" s="210"/>
      <c r="J124" s="210"/>
      <c r="K124" s="210"/>
      <c r="L124" s="210"/>
      <c r="M124" s="210"/>
      <c r="N124" s="210"/>
      <c r="P124" s="210"/>
      <c r="Q124" s="210"/>
      <c r="R124" s="210"/>
      <c r="S124" s="927"/>
      <c r="T124" s="210"/>
      <c r="V124" s="210"/>
      <c r="W124" s="210"/>
      <c r="X124" s="429"/>
      <c r="Y124" s="429"/>
      <c r="Z124" s="210"/>
      <c r="AA124" s="210"/>
      <c r="AB124" s="210"/>
      <c r="AC124" s="210"/>
      <c r="AD124" s="210"/>
      <c r="AE124" s="210"/>
      <c r="AF124" s="210"/>
      <c r="AG124" s="210"/>
      <c r="AJ124" s="210"/>
      <c r="AK124" s="210"/>
      <c r="AL124" s="210"/>
      <c r="AM124" s="210"/>
      <c r="AN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D124" s="210"/>
      <c r="BE124" s="210"/>
      <c r="BF124" s="210"/>
      <c r="BG124" s="210"/>
      <c r="BH124" s="210"/>
      <c r="BJ124" s="210"/>
      <c r="BK124" s="210"/>
      <c r="BL124" s="210"/>
      <c r="BM124" s="210"/>
      <c r="BN124" s="210"/>
      <c r="BO124" s="210"/>
      <c r="BP124" s="210"/>
      <c r="BQ124" s="210"/>
      <c r="BR124" s="210"/>
      <c r="BS124" s="210"/>
      <c r="BT124" s="210"/>
      <c r="BU124" s="210"/>
      <c r="BW124" s="210"/>
      <c r="BX124" s="210"/>
      <c r="BY124" s="210"/>
      <c r="BZ124" s="210"/>
      <c r="CA124" s="210"/>
      <c r="CB124" s="210"/>
      <c r="CC124" s="210"/>
      <c r="CD124" s="210"/>
      <c r="CE124" s="210"/>
      <c r="CG124" s="210"/>
      <c r="CH124" s="210"/>
      <c r="CI124" s="210"/>
      <c r="CJ124" s="210"/>
      <c r="CK124" s="210"/>
      <c r="CL124" s="210"/>
      <c r="CM124" s="210"/>
      <c r="CN124" s="210"/>
      <c r="CO124" s="210"/>
      <c r="CZ124" s="429"/>
      <c r="DA124" s="429"/>
      <c r="DD124" s="429"/>
      <c r="DE124" s="429"/>
      <c r="DF124" s="429"/>
      <c r="DG124" s="429"/>
      <c r="DH124" s="429"/>
      <c r="DI124" s="429"/>
      <c r="DJ124" s="429"/>
      <c r="DK124" s="429"/>
      <c r="DL124" s="429"/>
      <c r="DM124" s="429"/>
      <c r="DN124" s="429"/>
      <c r="DO124" s="429"/>
      <c r="DP124" s="429"/>
      <c r="DQ124" s="429"/>
    </row>
    <row r="125" spans="1:139" ht="28.9" customHeight="1" x14ac:dyDescent="0.25">
      <c r="B125" s="156" t="s">
        <v>81</v>
      </c>
      <c r="C125" s="2162">
        <v>55821</v>
      </c>
      <c r="D125" s="2164" t="s">
        <v>80</v>
      </c>
      <c r="E125" s="402"/>
      <c r="I125" s="210"/>
      <c r="J125" s="210"/>
      <c r="K125" s="210"/>
      <c r="L125" s="210"/>
      <c r="M125" s="210"/>
      <c r="N125" s="210"/>
      <c r="P125" s="210"/>
      <c r="Q125" s="210"/>
      <c r="R125" s="210"/>
      <c r="S125" s="927"/>
      <c r="T125" s="210"/>
      <c r="V125" s="210"/>
      <c r="W125" s="210"/>
      <c r="X125" s="429"/>
      <c r="Y125" s="429"/>
      <c r="Z125" s="210"/>
      <c r="AA125" s="210"/>
      <c r="AB125" s="210"/>
      <c r="AC125" s="210"/>
      <c r="AD125" s="210"/>
      <c r="AE125" s="210"/>
      <c r="AF125" s="210"/>
      <c r="AG125" s="210"/>
      <c r="AJ125" s="210"/>
      <c r="AK125" s="210"/>
      <c r="AL125" s="210"/>
      <c r="AM125" s="210"/>
      <c r="AN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D125" s="210"/>
      <c r="BE125" s="210"/>
      <c r="BF125" s="210"/>
      <c r="BG125" s="210"/>
      <c r="BH125" s="210"/>
      <c r="BJ125" s="210"/>
      <c r="BK125" s="210"/>
      <c r="BL125" s="210"/>
      <c r="BM125" s="210"/>
      <c r="BN125" s="210"/>
      <c r="BO125" s="210"/>
      <c r="BP125" s="210"/>
      <c r="BQ125" s="210"/>
      <c r="BR125" s="210"/>
      <c r="BS125" s="210"/>
      <c r="BT125" s="210"/>
      <c r="BU125" s="210"/>
      <c r="BW125" s="210"/>
      <c r="BX125" s="210"/>
      <c r="BY125" s="210"/>
      <c r="BZ125" s="210"/>
      <c r="CA125" s="210"/>
      <c r="CB125" s="210"/>
      <c r="CC125" s="210"/>
      <c r="CD125" s="210"/>
      <c r="CE125" s="210"/>
      <c r="CG125" s="210"/>
      <c r="CH125" s="210"/>
      <c r="CI125" s="210"/>
      <c r="CJ125" s="210"/>
      <c r="CK125" s="210"/>
      <c r="CL125" s="210"/>
      <c r="CM125" s="210"/>
      <c r="CN125" s="210"/>
      <c r="CO125" s="210"/>
      <c r="CZ125" s="429"/>
      <c r="DA125" s="429"/>
      <c r="DD125" s="429"/>
      <c r="DE125" s="429"/>
      <c r="DF125" s="429"/>
      <c r="DG125" s="429"/>
      <c r="DH125" s="429"/>
      <c r="DI125" s="429"/>
      <c r="DJ125" s="429"/>
      <c r="DK125" s="429"/>
      <c r="DL125" s="429"/>
      <c r="DM125" s="429"/>
      <c r="DN125" s="429"/>
      <c r="DO125" s="429"/>
      <c r="DP125" s="429"/>
      <c r="DQ125" s="429"/>
    </row>
    <row r="126" spans="1:139" ht="28.9" customHeight="1" x14ac:dyDescent="0.25">
      <c r="B126" s="156" t="s">
        <v>99</v>
      </c>
      <c r="C126" s="2162">
        <v>32520</v>
      </c>
      <c r="D126" s="2164" t="s">
        <v>80</v>
      </c>
      <c r="E126" s="402"/>
      <c r="I126" s="210"/>
      <c r="J126" s="210"/>
      <c r="K126" s="210"/>
      <c r="L126" s="210"/>
      <c r="M126" s="210"/>
      <c r="N126" s="210"/>
      <c r="P126" s="210"/>
      <c r="Q126" s="210"/>
      <c r="R126" s="210"/>
      <c r="S126" s="210"/>
      <c r="T126" s="210"/>
      <c r="V126" s="210"/>
      <c r="W126" s="210"/>
      <c r="X126" s="429"/>
      <c r="Y126" s="429"/>
      <c r="Z126" s="210"/>
      <c r="AA126" s="210"/>
      <c r="AB126" s="210"/>
      <c r="AC126" s="210"/>
      <c r="AD126" s="210"/>
      <c r="AE126" s="210"/>
      <c r="AF126" s="210"/>
      <c r="AG126" s="210"/>
      <c r="AJ126" s="210"/>
      <c r="AK126" s="210"/>
      <c r="AL126" s="210"/>
      <c r="AM126" s="210"/>
      <c r="AN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D126" s="210"/>
      <c r="BE126" s="210"/>
      <c r="BF126" s="210"/>
      <c r="BG126" s="210"/>
      <c r="BH126" s="210"/>
      <c r="BJ126" s="210"/>
      <c r="BK126" s="210"/>
      <c r="BL126" s="210"/>
      <c r="BM126" s="210"/>
      <c r="BN126" s="210"/>
      <c r="BO126" s="210"/>
      <c r="BP126" s="210"/>
      <c r="BQ126" s="210"/>
      <c r="BR126" s="210"/>
      <c r="BS126" s="210"/>
      <c r="BT126" s="210"/>
      <c r="BU126" s="210"/>
      <c r="BW126" s="210"/>
      <c r="BX126" s="210"/>
      <c r="BY126" s="210"/>
      <c r="BZ126" s="210"/>
      <c r="CA126" s="210"/>
      <c r="CB126" s="210"/>
      <c r="CC126" s="210"/>
      <c r="CD126" s="210"/>
      <c r="CE126" s="210"/>
      <c r="CG126" s="210"/>
      <c r="CH126" s="210"/>
      <c r="CI126" s="210"/>
      <c r="CJ126" s="210"/>
      <c r="CK126" s="210"/>
      <c r="CL126" s="210"/>
      <c r="CM126" s="210"/>
      <c r="CN126" s="210"/>
      <c r="CO126" s="210"/>
      <c r="CZ126" s="429"/>
      <c r="DA126" s="429"/>
      <c r="DD126" s="429"/>
      <c r="DE126" s="429"/>
      <c r="DF126" s="429"/>
      <c r="DG126" s="429"/>
      <c r="DH126" s="429"/>
      <c r="DI126" s="429"/>
      <c r="DJ126" s="429"/>
      <c r="DK126" s="429"/>
      <c r="DL126" s="429"/>
      <c r="DM126" s="429"/>
      <c r="DN126" s="429"/>
      <c r="DO126" s="429"/>
      <c r="DP126" s="429"/>
      <c r="DQ126" s="429"/>
    </row>
    <row r="127" spans="1:139" ht="28.9" customHeight="1" x14ac:dyDescent="0.25">
      <c r="B127" s="156" t="s">
        <v>100</v>
      </c>
      <c r="C127" s="2163">
        <v>8222</v>
      </c>
      <c r="D127" s="2164" t="s">
        <v>80</v>
      </c>
      <c r="E127" s="402"/>
      <c r="I127" s="210"/>
      <c r="J127" s="210"/>
      <c r="K127" s="210"/>
      <c r="L127" s="210"/>
      <c r="M127" s="210"/>
      <c r="N127" s="210"/>
      <c r="P127" s="210"/>
      <c r="Q127" s="210"/>
      <c r="R127" s="210"/>
      <c r="S127" s="927"/>
      <c r="T127" s="210"/>
      <c r="V127" s="210"/>
      <c r="W127" s="210"/>
      <c r="X127" s="429"/>
      <c r="Y127" s="429"/>
      <c r="Z127" s="210"/>
      <c r="AA127" s="210"/>
      <c r="AB127" s="210"/>
      <c r="AC127" s="210"/>
      <c r="AD127" s="210"/>
      <c r="AE127" s="210"/>
      <c r="AF127" s="210"/>
      <c r="AG127" s="210"/>
      <c r="AJ127" s="210"/>
      <c r="AK127" s="210"/>
      <c r="AL127" s="210"/>
      <c r="AM127" s="210"/>
      <c r="AN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D127" s="210"/>
      <c r="BE127" s="210"/>
      <c r="BF127" s="210"/>
      <c r="BG127" s="210"/>
      <c r="BH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0"/>
      <c r="BW127" s="210"/>
      <c r="BX127" s="210"/>
      <c r="BY127" s="210"/>
      <c r="BZ127" s="210"/>
      <c r="CA127" s="210"/>
      <c r="CB127" s="210"/>
      <c r="CC127" s="210"/>
      <c r="CD127" s="210"/>
      <c r="CE127" s="210"/>
      <c r="CG127" s="210"/>
      <c r="CH127" s="210"/>
      <c r="CI127" s="210"/>
      <c r="CJ127" s="210"/>
      <c r="CK127" s="210"/>
      <c r="CL127" s="210"/>
      <c r="CM127" s="210"/>
      <c r="CN127" s="210"/>
      <c r="CO127" s="210"/>
      <c r="CZ127" s="429"/>
      <c r="DA127" s="429"/>
      <c r="DD127" s="429"/>
      <c r="DE127" s="429"/>
      <c r="DF127" s="429"/>
      <c r="DG127" s="429"/>
      <c r="DH127" s="429"/>
      <c r="DI127" s="429"/>
      <c r="DJ127" s="429"/>
      <c r="DK127" s="429"/>
      <c r="DL127" s="429"/>
      <c r="DM127" s="429"/>
      <c r="DN127" s="429"/>
      <c r="DO127" s="429"/>
      <c r="DP127" s="429"/>
      <c r="DQ127" s="429"/>
    </row>
    <row r="128" spans="1:139" s="1" customFormat="1" ht="28.9" customHeight="1" x14ac:dyDescent="0.25">
      <c r="A128" s="928"/>
      <c r="B128" s="2259" t="s">
        <v>21</v>
      </c>
      <c r="C128" s="2259"/>
      <c r="D128" s="425"/>
      <c r="E128" s="425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929"/>
      <c r="Y128" s="929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  <c r="BI128" s="212"/>
      <c r="BJ128" s="212"/>
      <c r="BK128" s="212"/>
      <c r="BL128" s="212"/>
      <c r="BM128" s="212"/>
      <c r="BN128" s="212"/>
      <c r="BO128" s="212"/>
      <c r="BP128" s="212"/>
      <c r="BQ128" s="212"/>
      <c r="BR128" s="212"/>
      <c r="BS128" s="212"/>
      <c r="BT128" s="212"/>
      <c r="BU128" s="212"/>
      <c r="BV128" s="212"/>
      <c r="BW128" s="212"/>
      <c r="BX128" s="212"/>
      <c r="BY128" s="212"/>
      <c r="BZ128" s="212"/>
      <c r="CA128" s="212"/>
      <c r="CB128" s="212"/>
      <c r="CC128" s="212"/>
      <c r="CD128" s="212"/>
      <c r="CE128" s="212"/>
      <c r="CF128" s="427"/>
      <c r="CG128" s="212"/>
      <c r="CH128" s="212"/>
      <c r="CI128" s="212"/>
      <c r="CJ128" s="212"/>
      <c r="CK128" s="212"/>
      <c r="CL128" s="212"/>
      <c r="CM128" s="212"/>
      <c r="CN128" s="212"/>
      <c r="CO128" s="212"/>
      <c r="CZ128" s="929"/>
      <c r="DA128" s="929"/>
      <c r="DB128" s="928"/>
      <c r="DC128" s="928"/>
      <c r="DD128" s="929"/>
      <c r="DE128" s="929"/>
      <c r="DF128" s="929"/>
      <c r="DG128" s="929"/>
      <c r="DH128" s="929"/>
      <c r="DI128" s="929"/>
      <c r="DJ128" s="929"/>
      <c r="DK128" s="929"/>
      <c r="DL128" s="929"/>
      <c r="DM128" s="929"/>
      <c r="DN128" s="929"/>
      <c r="DO128" s="929"/>
      <c r="DP128" s="929"/>
      <c r="DQ128" s="929"/>
      <c r="DR128" s="930"/>
      <c r="DS128" s="931"/>
      <c r="DT128" s="928"/>
      <c r="DU128" s="928"/>
      <c r="DV128" s="928"/>
      <c r="DW128" s="932"/>
      <c r="DX128" s="933"/>
      <c r="DY128" s="933"/>
      <c r="DZ128" s="928"/>
      <c r="EA128" s="928"/>
      <c r="EB128" s="928"/>
      <c r="EC128" s="928"/>
      <c r="ED128" s="928"/>
      <c r="EE128" s="928"/>
      <c r="EF128" s="928"/>
      <c r="EG128" s="928"/>
      <c r="EH128" s="928"/>
    </row>
    <row r="129" spans="1:139" s="1" customFormat="1" ht="28.9" customHeight="1" x14ac:dyDescent="0.25">
      <c r="A129" s="2260" t="s">
        <v>103</v>
      </c>
      <c r="B129" s="2260"/>
      <c r="C129" s="2261">
        <v>95098</v>
      </c>
      <c r="D129" s="2262" t="s">
        <v>102</v>
      </c>
      <c r="E129" s="425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929"/>
      <c r="Y129" s="929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  <c r="BI129" s="212"/>
      <c r="BJ129" s="212"/>
      <c r="BK129" s="212"/>
      <c r="BL129" s="212"/>
      <c r="BM129" s="212"/>
      <c r="BN129" s="212"/>
      <c r="BO129" s="212"/>
      <c r="BP129" s="212"/>
      <c r="BQ129" s="212"/>
      <c r="BR129" s="212"/>
      <c r="BS129" s="212"/>
      <c r="BT129" s="212"/>
      <c r="BU129" s="212"/>
      <c r="BV129" s="212"/>
      <c r="BW129" s="212"/>
      <c r="BX129" s="212"/>
      <c r="BY129" s="212"/>
      <c r="BZ129" s="212"/>
      <c r="CA129" s="212"/>
      <c r="CB129" s="212"/>
      <c r="CC129" s="212"/>
      <c r="CD129" s="212"/>
      <c r="CE129" s="212"/>
      <c r="CF129" s="427"/>
      <c r="CG129" s="212"/>
      <c r="CH129" s="212"/>
      <c r="CI129" s="212"/>
      <c r="CJ129" s="212"/>
      <c r="CK129" s="212"/>
      <c r="CL129" s="212"/>
      <c r="CM129" s="212"/>
      <c r="CN129" s="212"/>
      <c r="CO129" s="212"/>
      <c r="CZ129" s="929"/>
      <c r="DA129" s="929"/>
      <c r="DB129" s="928"/>
      <c r="DC129" s="928"/>
      <c r="DD129" s="929"/>
      <c r="DE129" s="929"/>
      <c r="DF129" s="929"/>
      <c r="DG129" s="929"/>
      <c r="DH129" s="929"/>
      <c r="DI129" s="929"/>
      <c r="DJ129" s="929"/>
      <c r="DK129" s="929"/>
      <c r="DL129" s="929"/>
      <c r="DM129" s="929"/>
      <c r="DN129" s="929"/>
      <c r="DO129" s="929"/>
      <c r="DP129" s="929"/>
      <c r="DQ129" s="929"/>
      <c r="DR129" s="930"/>
      <c r="DS129" s="931"/>
      <c r="DT129" s="928"/>
      <c r="DU129" s="928"/>
      <c r="DV129" s="928"/>
      <c r="DW129" s="932"/>
      <c r="DX129" s="933"/>
      <c r="DY129" s="933"/>
      <c r="DZ129" s="928"/>
      <c r="EA129" s="928"/>
      <c r="EB129" s="928"/>
      <c r="EC129" s="928"/>
      <c r="ED129" s="928"/>
      <c r="EE129" s="928"/>
      <c r="EF129" s="928"/>
      <c r="EG129" s="928"/>
      <c r="EH129" s="928"/>
    </row>
    <row r="130" spans="1:139" s="1" customFormat="1" ht="28.9" customHeight="1" x14ac:dyDescent="0.25">
      <c r="A130" s="2260"/>
      <c r="B130" s="2260"/>
      <c r="C130" s="2261"/>
      <c r="D130" s="2262"/>
      <c r="E130" s="425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929"/>
      <c r="Y130" s="929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  <c r="BI130" s="212"/>
      <c r="BJ130" s="212"/>
      <c r="BK130" s="212"/>
      <c r="BL130" s="212"/>
      <c r="BM130" s="212"/>
      <c r="BN130" s="212"/>
      <c r="BO130" s="212"/>
      <c r="BP130" s="212"/>
      <c r="BQ130" s="212"/>
      <c r="BR130" s="212"/>
      <c r="BS130" s="212"/>
      <c r="BT130" s="212"/>
      <c r="BU130" s="212"/>
      <c r="BV130" s="212"/>
      <c r="BW130" s="212"/>
      <c r="BX130" s="212"/>
      <c r="BY130" s="212"/>
      <c r="BZ130" s="212"/>
      <c r="CA130" s="212"/>
      <c r="CB130" s="212"/>
      <c r="CC130" s="212"/>
      <c r="CD130" s="212"/>
      <c r="CE130" s="212"/>
      <c r="CF130" s="427"/>
      <c r="CG130" s="212"/>
      <c r="CH130" s="212"/>
      <c r="CI130" s="212"/>
      <c r="CJ130" s="212"/>
      <c r="CK130" s="212"/>
      <c r="CL130" s="212"/>
      <c r="CM130" s="212"/>
      <c r="CN130" s="212"/>
      <c r="CO130" s="212"/>
      <c r="CZ130" s="929"/>
      <c r="DA130" s="929"/>
      <c r="DB130" s="928"/>
      <c r="DC130" s="928"/>
      <c r="DD130" s="929"/>
      <c r="DE130" s="929"/>
      <c r="DF130" s="929"/>
      <c r="DG130" s="929"/>
      <c r="DH130" s="929"/>
      <c r="DI130" s="929"/>
      <c r="DJ130" s="929"/>
      <c r="DK130" s="929"/>
      <c r="DL130" s="929"/>
      <c r="DM130" s="929"/>
      <c r="DN130" s="929"/>
      <c r="DO130" s="929"/>
      <c r="DP130" s="929"/>
      <c r="DQ130" s="929"/>
      <c r="DR130" s="930"/>
      <c r="DS130" s="931"/>
      <c r="DT130" s="928"/>
      <c r="DU130" s="928"/>
      <c r="DV130" s="928"/>
      <c r="DW130" s="932"/>
      <c r="DX130" s="933"/>
      <c r="DY130" s="933"/>
      <c r="DZ130" s="928"/>
      <c r="EA130" s="928"/>
      <c r="EB130" s="928"/>
      <c r="EC130" s="928"/>
      <c r="ED130" s="928"/>
      <c r="EE130" s="928"/>
      <c r="EF130" s="928"/>
      <c r="EG130" s="928"/>
      <c r="EH130" s="928"/>
    </row>
    <row r="131" spans="1:139" s="159" customFormat="1" ht="12.75" x14ac:dyDescent="0.2">
      <c r="A131" s="158"/>
      <c r="B131" s="1054" t="s">
        <v>82</v>
      </c>
      <c r="K131" s="160"/>
      <c r="AD131" s="160"/>
      <c r="AE131" s="160"/>
      <c r="AI131" s="1055"/>
      <c r="BL131" s="1341"/>
      <c r="BM131" s="1341"/>
      <c r="BN131" s="1341"/>
      <c r="BO131" s="1341"/>
      <c r="BP131" s="1341"/>
      <c r="BQ131" s="1341"/>
      <c r="BR131" s="1341"/>
      <c r="BS131" s="1341"/>
      <c r="BT131" s="1341"/>
      <c r="BU131" s="1341"/>
      <c r="BV131" s="1341"/>
      <c r="BW131" s="1341"/>
      <c r="BX131" s="1341"/>
      <c r="BY131" s="1341"/>
      <c r="BZ131" s="1341"/>
      <c r="CA131" s="1341"/>
      <c r="CB131" s="1341"/>
      <c r="CC131" s="1341"/>
      <c r="CD131" s="1341"/>
      <c r="CE131" s="1341"/>
      <c r="CF131" s="936"/>
      <c r="CZ131" s="936"/>
    </row>
    <row r="132" spans="1:139" ht="49.9" customHeight="1" x14ac:dyDescent="0.25">
      <c r="A132" s="158"/>
      <c r="B132" s="159" t="s">
        <v>83</v>
      </c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59"/>
      <c r="BV132" s="159"/>
      <c r="BW132" s="159"/>
      <c r="BX132" s="159"/>
      <c r="BY132" s="159"/>
      <c r="BZ132" s="159"/>
      <c r="CA132" s="159"/>
      <c r="CB132" s="159"/>
      <c r="CC132" s="159"/>
      <c r="CD132" s="159"/>
      <c r="CE132" s="159"/>
      <c r="CF132" s="936"/>
      <c r="CG132" s="159"/>
      <c r="CH132" s="159"/>
      <c r="CI132" s="159"/>
      <c r="CJ132" s="159"/>
      <c r="CK132" s="159"/>
      <c r="CL132" s="159"/>
      <c r="CM132" s="159"/>
      <c r="CN132" s="159"/>
      <c r="CO132" s="159"/>
      <c r="CP132" s="159"/>
      <c r="CQ132" s="159"/>
      <c r="CR132" s="159"/>
      <c r="CS132" s="159"/>
      <c r="CT132" s="159"/>
      <c r="CU132" s="159"/>
      <c r="CV132" s="159"/>
      <c r="CW132" s="159"/>
      <c r="CX132" s="159"/>
      <c r="CY132" s="159"/>
      <c r="CZ132" s="166"/>
      <c r="DA132" s="167"/>
      <c r="DB132" s="167"/>
      <c r="DC132" s="167"/>
      <c r="DD132" s="167"/>
      <c r="DE132" s="167"/>
      <c r="DF132" s="167"/>
      <c r="DG132" s="167"/>
      <c r="DH132" s="166"/>
      <c r="DI132" s="166"/>
      <c r="DJ132" s="166"/>
      <c r="DK132" s="166"/>
      <c r="DL132" s="166"/>
      <c r="DM132" s="166"/>
      <c r="DN132" s="166"/>
      <c r="DO132" s="166"/>
      <c r="DP132" s="166"/>
      <c r="DQ132" s="166"/>
      <c r="DR132" s="166"/>
      <c r="DS132" s="161"/>
      <c r="DT132" s="159"/>
      <c r="DU132" s="159"/>
      <c r="DV132" s="159"/>
      <c r="DW132" s="162"/>
      <c r="DX132" s="163"/>
      <c r="DY132" s="163"/>
      <c r="DZ132" s="159"/>
      <c r="EA132" s="159"/>
      <c r="EB132" s="159"/>
      <c r="EC132" s="159"/>
      <c r="ED132" s="159"/>
      <c r="EE132" s="159"/>
      <c r="EF132" s="159"/>
      <c r="EG132" s="159"/>
      <c r="EH132" s="159"/>
      <c r="EI132" s="159"/>
    </row>
    <row r="133" spans="1:139" x14ac:dyDescent="0.25">
      <c r="A133" s="158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59"/>
      <c r="BN133" s="159"/>
      <c r="BO133" s="159"/>
      <c r="BP133" s="159"/>
      <c r="BQ133" s="159"/>
      <c r="BR133" s="159"/>
      <c r="BS133" s="159"/>
      <c r="BT133" s="159"/>
      <c r="BU133" s="159"/>
      <c r="BV133" s="159"/>
      <c r="BW133" s="159"/>
      <c r="BX133" s="159"/>
      <c r="BY133" s="159"/>
      <c r="BZ133" s="159"/>
      <c r="CA133" s="159"/>
      <c r="CB133" s="159"/>
      <c r="CC133" s="159"/>
      <c r="CD133" s="159"/>
      <c r="CE133" s="159"/>
      <c r="CF133" s="936"/>
      <c r="CG133" s="159"/>
      <c r="CH133" s="159"/>
      <c r="CI133" s="159"/>
      <c r="CJ133" s="159"/>
      <c r="CK133" s="159"/>
      <c r="CL133" s="159"/>
      <c r="CM133" s="159"/>
      <c r="CN133" s="159"/>
      <c r="CO133" s="159"/>
      <c r="CP133" s="159"/>
      <c r="CQ133" s="159"/>
      <c r="CR133" s="159"/>
      <c r="CS133" s="159"/>
      <c r="CT133" s="159"/>
      <c r="CU133" s="159"/>
      <c r="CV133" s="159"/>
      <c r="CW133" s="159"/>
      <c r="CX133" s="159"/>
      <c r="CY133" s="159"/>
      <c r="CZ133" s="166"/>
      <c r="DA133" s="167"/>
      <c r="DB133" s="166"/>
      <c r="DC133" s="166"/>
      <c r="DD133" s="166"/>
      <c r="DE133" s="167"/>
      <c r="DF133" s="166"/>
      <c r="DG133" s="166"/>
      <c r="DH133" s="166"/>
      <c r="DI133" s="166"/>
      <c r="DJ133" s="166"/>
      <c r="DK133" s="166"/>
      <c r="DL133" s="166"/>
      <c r="DM133" s="166"/>
      <c r="DN133" s="166"/>
      <c r="DO133" s="166"/>
      <c r="DP133" s="166"/>
      <c r="DQ133" s="166"/>
      <c r="DR133" s="166"/>
      <c r="DS133" s="161"/>
      <c r="DT133" s="159"/>
      <c r="DU133" s="159"/>
      <c r="DV133" s="159"/>
      <c r="DW133" s="162"/>
      <c r="DX133" s="163"/>
      <c r="DY133" s="163"/>
      <c r="DZ133" s="159"/>
      <c r="EA133" s="159"/>
      <c r="EB133" s="159"/>
      <c r="EC133" s="159"/>
      <c r="ED133" s="159"/>
      <c r="EE133" s="159"/>
      <c r="EF133" s="159"/>
      <c r="EG133" s="159"/>
      <c r="EH133" s="159"/>
      <c r="EI133" s="159"/>
    </row>
    <row r="134" spans="1:139" x14ac:dyDescent="0.25">
      <c r="A134" s="158"/>
      <c r="B134" s="159" t="s">
        <v>84</v>
      </c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59"/>
      <c r="BN134" s="159"/>
      <c r="BO134" s="159"/>
      <c r="BP134" s="159"/>
      <c r="BQ134" s="159"/>
      <c r="BR134" s="159"/>
      <c r="BS134" s="159"/>
      <c r="BT134" s="159"/>
      <c r="BU134" s="159"/>
      <c r="BV134" s="159"/>
      <c r="BW134" s="159"/>
      <c r="BX134" s="159"/>
      <c r="BY134" s="159"/>
      <c r="BZ134" s="159"/>
      <c r="CA134" s="159"/>
      <c r="CB134" s="159"/>
      <c r="CC134" s="159"/>
      <c r="CD134" s="159"/>
      <c r="CE134" s="159"/>
      <c r="CF134" s="936"/>
      <c r="CG134" s="159"/>
      <c r="CH134" s="159"/>
      <c r="CI134" s="159"/>
      <c r="CJ134" s="159"/>
      <c r="CK134" s="159"/>
      <c r="CL134" s="159"/>
      <c r="CM134" s="159"/>
      <c r="CN134" s="159"/>
      <c r="CO134" s="159"/>
      <c r="CP134" s="159"/>
      <c r="CQ134" s="159"/>
      <c r="CR134" s="159"/>
      <c r="CS134" s="159"/>
      <c r="CT134" s="159"/>
      <c r="CU134" s="159"/>
      <c r="CV134" s="159"/>
      <c r="CW134" s="159"/>
      <c r="CX134" s="159"/>
      <c r="CY134" s="159"/>
      <c r="CZ134" s="166"/>
      <c r="DA134" s="167"/>
      <c r="DB134" s="166"/>
      <c r="DC134" s="166"/>
      <c r="DD134" s="166"/>
      <c r="DE134" s="167"/>
      <c r="DF134" s="166"/>
      <c r="DG134" s="166"/>
      <c r="DH134" s="166"/>
      <c r="DI134" s="166"/>
      <c r="DJ134" s="166"/>
      <c r="DK134" s="166"/>
      <c r="DL134" s="166"/>
      <c r="DM134" s="166"/>
      <c r="DN134" s="166"/>
      <c r="DO134" s="166"/>
      <c r="DP134" s="166"/>
      <c r="DQ134" s="166"/>
      <c r="DR134" s="166"/>
      <c r="DS134" s="161"/>
      <c r="DT134" s="159"/>
      <c r="DU134" s="159"/>
      <c r="DV134" s="159"/>
      <c r="DW134" s="162"/>
      <c r="DX134" s="163"/>
      <c r="DY134" s="163"/>
      <c r="DZ134" s="159"/>
      <c r="EA134" s="159"/>
      <c r="EB134" s="159"/>
      <c r="EC134" s="159"/>
      <c r="ED134" s="159"/>
      <c r="EE134" s="159"/>
      <c r="EF134" s="159"/>
      <c r="EG134" s="159"/>
      <c r="EH134" s="159"/>
      <c r="EI134" s="159"/>
    </row>
    <row r="135" spans="1:139" x14ac:dyDescent="0.25">
      <c r="A135" s="158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59"/>
      <c r="BN135" s="159"/>
      <c r="BO135" s="159"/>
      <c r="BP135" s="159"/>
      <c r="BQ135" s="159"/>
      <c r="BR135" s="159"/>
      <c r="BS135" s="159"/>
      <c r="BT135" s="159"/>
      <c r="BU135" s="159"/>
      <c r="BV135" s="159"/>
      <c r="BW135" s="159"/>
      <c r="BX135" s="159"/>
      <c r="BY135" s="159"/>
      <c r="BZ135" s="159"/>
      <c r="CA135" s="159"/>
      <c r="CB135" s="159"/>
      <c r="CC135" s="159"/>
      <c r="CD135" s="159"/>
      <c r="CE135" s="159"/>
      <c r="CF135" s="936"/>
      <c r="CG135" s="159"/>
      <c r="CH135" s="159"/>
      <c r="CI135" s="159"/>
      <c r="CJ135" s="159"/>
      <c r="CK135" s="159"/>
      <c r="CL135" s="159"/>
      <c r="CM135" s="159"/>
      <c r="CN135" s="159"/>
      <c r="CO135" s="159"/>
      <c r="CP135" s="159"/>
      <c r="CQ135" s="159"/>
      <c r="CR135" s="159"/>
      <c r="CS135" s="159"/>
      <c r="CT135" s="159"/>
      <c r="CU135" s="159"/>
      <c r="CV135" s="159"/>
      <c r="CW135" s="159"/>
      <c r="CX135" s="159"/>
      <c r="CY135" s="159"/>
      <c r="CZ135" s="166"/>
      <c r="DA135" s="167"/>
      <c r="DB135" s="166"/>
      <c r="DC135" s="166"/>
      <c r="DD135" s="166"/>
      <c r="DE135" s="167"/>
      <c r="DF135" s="166"/>
      <c r="DG135" s="166"/>
      <c r="DH135" s="166"/>
      <c r="DI135" s="166"/>
      <c r="DJ135" s="166"/>
      <c r="DK135" s="166"/>
      <c r="DL135" s="166"/>
      <c r="DM135" s="166"/>
      <c r="DN135" s="166"/>
      <c r="DO135" s="166"/>
      <c r="DP135" s="166"/>
      <c r="DQ135" s="166"/>
      <c r="DR135" s="166"/>
      <c r="DS135" s="161"/>
      <c r="DT135" s="159"/>
      <c r="DU135" s="159"/>
      <c r="DV135" s="159"/>
      <c r="DW135" s="162"/>
      <c r="DX135" s="163"/>
      <c r="DY135" s="163"/>
      <c r="DZ135" s="159"/>
      <c r="EA135" s="159"/>
      <c r="EB135" s="159"/>
      <c r="EC135" s="159"/>
      <c r="ED135" s="159"/>
      <c r="EE135" s="159"/>
      <c r="EF135" s="159"/>
      <c r="EG135" s="159"/>
      <c r="EH135" s="159"/>
      <c r="EI135" s="159"/>
    </row>
    <row r="136" spans="1:139" x14ac:dyDescent="0.25">
      <c r="A136" s="158"/>
      <c r="B136" s="164" t="s">
        <v>85</v>
      </c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59"/>
      <c r="BN136" s="159"/>
      <c r="BO136" s="159"/>
      <c r="BP136" s="159"/>
      <c r="BQ136" s="159"/>
      <c r="BR136" s="159"/>
      <c r="BS136" s="159"/>
      <c r="BT136" s="159"/>
      <c r="BU136" s="159"/>
      <c r="BV136" s="159"/>
      <c r="BW136" s="159"/>
      <c r="BX136" s="159"/>
      <c r="BY136" s="159"/>
      <c r="BZ136" s="159"/>
      <c r="CA136" s="159"/>
      <c r="CB136" s="159"/>
      <c r="CC136" s="159"/>
      <c r="CD136" s="159"/>
      <c r="CE136" s="159"/>
      <c r="CF136" s="936"/>
      <c r="CG136" s="159"/>
      <c r="CH136" s="159"/>
      <c r="CI136" s="159"/>
      <c r="CJ136" s="159"/>
      <c r="CK136" s="159"/>
      <c r="CL136" s="159"/>
      <c r="CM136" s="159"/>
      <c r="CN136" s="159"/>
      <c r="CO136" s="159"/>
      <c r="CP136" s="159"/>
      <c r="CQ136" s="159"/>
      <c r="CR136" s="159"/>
      <c r="CS136" s="159"/>
      <c r="CT136" s="159"/>
      <c r="CU136" s="159"/>
      <c r="CV136" s="159"/>
      <c r="CW136" s="159"/>
      <c r="CX136" s="159"/>
      <c r="CY136" s="159"/>
      <c r="CZ136" s="159"/>
      <c r="DA136" s="159"/>
      <c r="DB136" s="159"/>
      <c r="DC136" s="159"/>
      <c r="DD136" s="159"/>
      <c r="DE136" s="159"/>
      <c r="DF136" s="159"/>
      <c r="DG136" s="159"/>
      <c r="DH136" s="159"/>
      <c r="DI136" s="159"/>
      <c r="DJ136" s="159"/>
      <c r="DK136" s="159"/>
      <c r="DL136" s="159"/>
      <c r="DM136" s="159"/>
      <c r="DN136" s="159"/>
      <c r="DO136" s="159"/>
      <c r="DP136" s="159"/>
      <c r="DQ136" s="159"/>
      <c r="DR136" s="159"/>
      <c r="DS136" s="161"/>
      <c r="DT136" s="159"/>
      <c r="DU136" s="159"/>
      <c r="DV136" s="159"/>
      <c r="DW136" s="162"/>
      <c r="DX136" s="163"/>
      <c r="DY136" s="163"/>
      <c r="DZ136" s="159"/>
      <c r="EA136" s="159"/>
      <c r="EB136" s="159"/>
      <c r="EC136" s="159"/>
      <c r="ED136" s="159"/>
      <c r="EE136" s="159"/>
      <c r="EF136" s="159"/>
      <c r="EG136" s="159"/>
      <c r="EH136" s="159"/>
      <c r="EI136" s="159"/>
    </row>
    <row r="137" spans="1:139" x14ac:dyDescent="0.25">
      <c r="A137" s="158"/>
      <c r="B137" s="2256" t="s">
        <v>86</v>
      </c>
      <c r="C137" s="2256"/>
      <c r="D137" s="2256"/>
      <c r="E137" s="2256"/>
      <c r="F137" s="2256"/>
      <c r="G137" s="2256"/>
      <c r="H137" s="2256"/>
      <c r="I137" s="2256"/>
      <c r="J137" s="2256"/>
      <c r="K137" s="2256"/>
      <c r="L137" s="2256"/>
      <c r="M137" s="2256"/>
      <c r="N137" s="2256"/>
      <c r="O137" s="2256"/>
      <c r="P137" s="164"/>
      <c r="Q137" s="164"/>
      <c r="R137" s="164"/>
      <c r="S137" s="164"/>
      <c r="T137" s="164"/>
      <c r="U137" s="164"/>
      <c r="V137" s="164"/>
      <c r="W137" s="164"/>
      <c r="X137" s="164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59"/>
      <c r="BV137" s="159"/>
      <c r="BW137" s="159"/>
      <c r="BX137" s="159"/>
      <c r="BY137" s="159"/>
      <c r="BZ137" s="159"/>
      <c r="CA137" s="159"/>
      <c r="CB137" s="159"/>
      <c r="CC137" s="159"/>
      <c r="CD137" s="159"/>
      <c r="CE137" s="159"/>
      <c r="CF137" s="936"/>
      <c r="CG137" s="159"/>
      <c r="CH137" s="159"/>
      <c r="CI137" s="159"/>
      <c r="CJ137" s="159"/>
      <c r="CK137" s="159"/>
      <c r="CL137" s="159"/>
      <c r="CM137" s="159"/>
      <c r="CN137" s="159"/>
      <c r="CO137" s="159"/>
      <c r="CP137" s="159"/>
      <c r="CQ137" s="159"/>
      <c r="CR137" s="159"/>
      <c r="CS137" s="159"/>
      <c r="CT137" s="159"/>
      <c r="CU137" s="159"/>
      <c r="CV137" s="159"/>
      <c r="CW137" s="159"/>
      <c r="CX137" s="159"/>
      <c r="CY137" s="159"/>
      <c r="CZ137" s="159"/>
      <c r="DA137" s="159"/>
      <c r="DB137" s="159"/>
      <c r="DC137" s="159"/>
      <c r="DD137" s="159"/>
      <c r="DE137" s="159"/>
      <c r="DF137" s="159"/>
      <c r="DG137" s="159"/>
      <c r="DH137" s="159"/>
      <c r="DI137" s="159"/>
      <c r="DJ137" s="159"/>
      <c r="DK137" s="159"/>
      <c r="DL137" s="159"/>
      <c r="DM137" s="159"/>
      <c r="DN137" s="159"/>
      <c r="DO137" s="159"/>
      <c r="DP137" s="159"/>
      <c r="DQ137" s="159"/>
      <c r="DR137" s="159"/>
      <c r="DS137" s="161"/>
      <c r="DT137" s="159"/>
      <c r="DU137" s="159"/>
      <c r="DV137" s="159"/>
      <c r="DW137" s="162"/>
      <c r="DX137" s="163"/>
      <c r="DY137" s="163"/>
      <c r="DZ137" s="159"/>
      <c r="EA137" s="159"/>
      <c r="EB137" s="159"/>
      <c r="EC137" s="159"/>
      <c r="ED137" s="159"/>
      <c r="EE137" s="159"/>
      <c r="EF137" s="159"/>
      <c r="EG137" s="159"/>
      <c r="EH137" s="159"/>
      <c r="EI137" s="159"/>
    </row>
    <row r="138" spans="1:139" x14ac:dyDescent="0.25">
      <c r="A138" s="165"/>
      <c r="B138" s="2257" t="s">
        <v>87</v>
      </c>
      <c r="C138" s="2257"/>
      <c r="D138" s="2257"/>
      <c r="E138" s="2257"/>
      <c r="F138" s="2257"/>
      <c r="G138" s="2257"/>
      <c r="H138" s="2257"/>
      <c r="I138" s="2257"/>
      <c r="J138" s="2257"/>
      <c r="K138" s="2257"/>
      <c r="L138" s="2257"/>
      <c r="M138" s="2257"/>
      <c r="N138" s="2257"/>
      <c r="O138" s="2257"/>
      <c r="P138" s="2257"/>
      <c r="Q138" s="2257"/>
      <c r="R138" s="2257"/>
      <c r="S138" s="2257"/>
      <c r="T138" s="2257"/>
      <c r="U138" s="2257"/>
      <c r="V138" s="2257"/>
      <c r="W138" s="2257"/>
      <c r="X138" s="2257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66"/>
      <c r="BI138" s="166"/>
      <c r="BJ138" s="166"/>
      <c r="BK138" s="166"/>
      <c r="BL138" s="166"/>
      <c r="BM138" s="166"/>
      <c r="BN138" s="166"/>
      <c r="BO138" s="166"/>
      <c r="BP138" s="166"/>
      <c r="BQ138" s="166"/>
      <c r="BR138" s="166"/>
      <c r="BS138" s="166"/>
      <c r="BT138" s="166"/>
      <c r="BU138" s="166"/>
      <c r="BV138" s="166"/>
      <c r="BW138" s="166"/>
      <c r="BX138" s="166"/>
      <c r="BY138" s="166"/>
      <c r="BZ138" s="166"/>
      <c r="CA138" s="166"/>
      <c r="CB138" s="166"/>
      <c r="CC138" s="166"/>
      <c r="CD138" s="166"/>
      <c r="CE138" s="166"/>
      <c r="CF138" s="167"/>
      <c r="CG138" s="166"/>
      <c r="CH138" s="166"/>
      <c r="CI138" s="166"/>
      <c r="CJ138" s="166"/>
      <c r="CK138" s="166"/>
      <c r="CL138" s="166"/>
      <c r="CM138" s="166"/>
      <c r="CN138" s="166"/>
      <c r="CO138" s="166"/>
      <c r="CP138" s="166"/>
      <c r="CQ138" s="166"/>
      <c r="CR138" s="166"/>
      <c r="CS138" s="166"/>
      <c r="CT138" s="166"/>
      <c r="CU138" s="166"/>
      <c r="CV138" s="166"/>
      <c r="CW138" s="166"/>
      <c r="CX138" s="166"/>
      <c r="CY138" s="166"/>
      <c r="CZ138" s="166"/>
      <c r="DA138" s="166"/>
      <c r="DB138" s="166"/>
      <c r="DC138" s="166"/>
      <c r="DD138" s="166"/>
      <c r="DE138" s="166"/>
      <c r="DF138" s="166"/>
      <c r="DG138" s="166"/>
      <c r="DH138" s="166"/>
      <c r="DI138" s="166"/>
      <c r="DJ138" s="166"/>
      <c r="DK138" s="166"/>
      <c r="DL138" s="166"/>
      <c r="DM138" s="166"/>
      <c r="DN138" s="166"/>
      <c r="DO138" s="166"/>
      <c r="DP138" s="166"/>
      <c r="DQ138" s="166"/>
      <c r="DR138" s="166"/>
      <c r="DS138" s="168"/>
      <c r="DT138" s="166"/>
      <c r="DU138" s="166"/>
      <c r="DV138" s="166"/>
      <c r="DW138" s="169"/>
      <c r="DX138" s="170"/>
      <c r="DY138" s="170"/>
      <c r="DZ138" s="166"/>
      <c r="EA138" s="166"/>
      <c r="EB138" s="166"/>
      <c r="EC138" s="166"/>
      <c r="ED138" s="166"/>
      <c r="EE138" s="166"/>
      <c r="EF138" s="166"/>
      <c r="EG138" s="166"/>
      <c r="EH138" s="166"/>
      <c r="EI138" s="166"/>
    </row>
    <row r="139" spans="1:139" x14ac:dyDescent="0.25">
      <c r="A139" s="158"/>
      <c r="B139" s="2252" t="s">
        <v>88</v>
      </c>
      <c r="C139" s="2252"/>
      <c r="D139" s="2252"/>
      <c r="E139" s="2252"/>
      <c r="F139" s="2252"/>
      <c r="G139" s="2252"/>
      <c r="H139" s="2252"/>
      <c r="I139" s="2252"/>
      <c r="J139" s="225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59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159"/>
      <c r="BY139" s="159"/>
      <c r="BZ139" s="159"/>
      <c r="CA139" s="159"/>
      <c r="CB139" s="159"/>
      <c r="CC139" s="159"/>
      <c r="CD139" s="159"/>
      <c r="CE139" s="159"/>
      <c r="CF139" s="936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61"/>
      <c r="DT139" s="159"/>
      <c r="DU139" s="159"/>
      <c r="DV139" s="159"/>
      <c r="DW139" s="162"/>
      <c r="DX139" s="163"/>
      <c r="DY139" s="163"/>
      <c r="DZ139" s="159"/>
      <c r="EA139" s="159"/>
      <c r="EB139" s="159"/>
      <c r="EC139" s="159"/>
      <c r="ED139" s="159"/>
      <c r="EE139" s="159"/>
      <c r="EF139" s="159"/>
      <c r="EG139" s="159"/>
      <c r="EH139" s="159"/>
      <c r="EI139" s="159"/>
    </row>
    <row r="140" spans="1:139" x14ac:dyDescent="0.25">
      <c r="A140" s="165"/>
      <c r="B140" s="173" t="s">
        <v>89</v>
      </c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66"/>
      <c r="BN140" s="166"/>
      <c r="BO140" s="166"/>
      <c r="BP140" s="166"/>
      <c r="BQ140" s="166"/>
      <c r="BR140" s="166"/>
      <c r="BS140" s="166"/>
      <c r="BT140" s="166"/>
      <c r="BU140" s="166"/>
      <c r="BV140" s="166"/>
      <c r="BW140" s="166"/>
      <c r="BX140" s="166"/>
      <c r="BY140" s="166"/>
      <c r="BZ140" s="166"/>
      <c r="CA140" s="166"/>
      <c r="CB140" s="166"/>
      <c r="CC140" s="166"/>
      <c r="CD140" s="166"/>
      <c r="CE140" s="166"/>
      <c r="CF140" s="167"/>
      <c r="CG140" s="166"/>
      <c r="CH140" s="166"/>
      <c r="CI140" s="166"/>
      <c r="CJ140" s="166"/>
      <c r="CK140" s="166"/>
      <c r="CL140" s="166"/>
      <c r="CM140" s="166"/>
      <c r="CN140" s="166"/>
      <c r="CO140" s="166"/>
      <c r="CP140" s="166"/>
      <c r="CQ140" s="166"/>
      <c r="CR140" s="166"/>
      <c r="CS140" s="166"/>
      <c r="CT140" s="166"/>
      <c r="CU140" s="166"/>
      <c r="CV140" s="166"/>
      <c r="CW140" s="166"/>
      <c r="CX140" s="166"/>
      <c r="CY140" s="166"/>
      <c r="CZ140" s="166"/>
      <c r="DA140" s="166"/>
      <c r="DB140" s="166"/>
      <c r="DC140" s="166"/>
      <c r="DD140" s="166"/>
      <c r="DE140" s="166"/>
      <c r="DF140" s="166"/>
      <c r="DG140" s="166"/>
      <c r="DH140" s="166"/>
      <c r="DI140" s="166"/>
      <c r="DJ140" s="166"/>
      <c r="DK140" s="166"/>
      <c r="DL140" s="166"/>
      <c r="DM140" s="166"/>
      <c r="DN140" s="166"/>
      <c r="DO140" s="166"/>
      <c r="DP140" s="166"/>
      <c r="DQ140" s="166"/>
      <c r="DR140" s="166"/>
      <c r="DS140" s="168"/>
      <c r="DT140" s="166"/>
      <c r="DU140" s="166"/>
      <c r="DV140" s="166"/>
      <c r="DW140" s="169"/>
      <c r="DX140" s="170"/>
      <c r="DY140" s="170"/>
      <c r="DZ140" s="166"/>
      <c r="EA140" s="166"/>
      <c r="EB140" s="166"/>
      <c r="EC140" s="166"/>
      <c r="ED140" s="166"/>
      <c r="EE140" s="166"/>
      <c r="EF140" s="166"/>
      <c r="EG140" s="166"/>
      <c r="EH140" s="166"/>
      <c r="EI140" s="166"/>
    </row>
    <row r="141" spans="1:139" x14ac:dyDescent="0.25">
      <c r="A141" s="158"/>
      <c r="B141" s="2251" t="s">
        <v>90</v>
      </c>
      <c r="C141" s="2251"/>
      <c r="D141" s="2251"/>
      <c r="E141" s="2251"/>
      <c r="F141" s="2251"/>
      <c r="G141" s="2251"/>
      <c r="H141" s="2251"/>
      <c r="I141" s="2251"/>
      <c r="J141" s="2251"/>
      <c r="K141" s="2251"/>
      <c r="L141" s="2251"/>
      <c r="M141" s="2251"/>
      <c r="N141" s="2251"/>
      <c r="O141" s="2251"/>
      <c r="P141" s="164"/>
      <c r="Q141" s="164"/>
      <c r="R141" s="164"/>
      <c r="S141" s="164"/>
      <c r="T141" s="164"/>
      <c r="U141" s="164"/>
      <c r="V141" s="164"/>
      <c r="W141" s="164"/>
      <c r="X141" s="164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159"/>
      <c r="BK141" s="159"/>
      <c r="BL141" s="159"/>
      <c r="BM141" s="159"/>
      <c r="BN141" s="159"/>
      <c r="BO141" s="159"/>
      <c r="BP141" s="159"/>
      <c r="BQ141" s="159"/>
      <c r="BR141" s="159"/>
      <c r="BS141" s="159"/>
      <c r="BT141" s="159"/>
      <c r="BU141" s="159"/>
      <c r="BV141" s="159"/>
      <c r="BW141" s="159"/>
      <c r="BX141" s="159"/>
      <c r="BY141" s="159"/>
      <c r="BZ141" s="159"/>
      <c r="CA141" s="159"/>
      <c r="CB141" s="159"/>
      <c r="CC141" s="159"/>
      <c r="CD141" s="159"/>
      <c r="CE141" s="159"/>
      <c r="CF141" s="936"/>
      <c r="CG141" s="159"/>
      <c r="CH141" s="159"/>
      <c r="CI141" s="159"/>
      <c r="CJ141" s="159"/>
      <c r="CK141" s="159"/>
      <c r="CL141" s="159"/>
      <c r="CM141" s="159"/>
      <c r="CN141" s="159"/>
      <c r="CO141" s="159"/>
      <c r="CP141" s="159"/>
      <c r="CQ141" s="159"/>
      <c r="CR141" s="159"/>
      <c r="CS141" s="159"/>
      <c r="CT141" s="159"/>
      <c r="CU141" s="159"/>
      <c r="CV141" s="159"/>
      <c r="CW141" s="159"/>
      <c r="CX141" s="159"/>
      <c r="CY141" s="159"/>
      <c r="CZ141" s="159"/>
      <c r="DA141" s="159"/>
      <c r="DB141" s="159"/>
      <c r="DC141" s="159"/>
      <c r="DD141" s="159"/>
      <c r="DE141" s="159"/>
      <c r="DF141" s="159"/>
      <c r="DG141" s="159"/>
      <c r="DH141" s="159"/>
      <c r="DI141" s="159"/>
      <c r="DJ141" s="159"/>
      <c r="DK141" s="159"/>
      <c r="DL141" s="159"/>
      <c r="DM141" s="159"/>
      <c r="DN141" s="159"/>
      <c r="DO141" s="159"/>
      <c r="DP141" s="159"/>
      <c r="DQ141" s="159"/>
      <c r="DR141" s="159"/>
      <c r="DS141" s="161"/>
      <c r="DT141" s="159"/>
      <c r="DU141" s="159"/>
      <c r="DV141" s="159"/>
      <c r="DW141" s="162"/>
      <c r="DX141" s="163"/>
      <c r="DY141" s="163"/>
      <c r="DZ141" s="159"/>
      <c r="EA141" s="159"/>
      <c r="EB141" s="159"/>
      <c r="EC141" s="159"/>
      <c r="ED141" s="159"/>
      <c r="EE141" s="159"/>
      <c r="EF141" s="159"/>
      <c r="EG141" s="159"/>
      <c r="EH141" s="159"/>
      <c r="EI141" s="159"/>
    </row>
    <row r="142" spans="1:139" x14ac:dyDescent="0.25">
      <c r="A142" s="158"/>
      <c r="B142" s="2251" t="s">
        <v>91</v>
      </c>
      <c r="C142" s="2251"/>
      <c r="D142" s="2251"/>
      <c r="E142" s="2251"/>
      <c r="F142" s="2251"/>
      <c r="G142" s="174"/>
      <c r="H142" s="174"/>
      <c r="I142" s="171"/>
      <c r="J142" s="171"/>
      <c r="K142" s="171"/>
      <c r="L142" s="171"/>
      <c r="M142" s="171"/>
      <c r="N142" s="171"/>
      <c r="O142" s="171"/>
      <c r="P142" s="164"/>
      <c r="Q142" s="164"/>
      <c r="R142" s="164"/>
      <c r="S142" s="164"/>
      <c r="T142" s="164"/>
      <c r="U142" s="164"/>
      <c r="V142" s="164"/>
      <c r="W142" s="164"/>
      <c r="X142" s="164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159"/>
      <c r="BK142" s="159"/>
      <c r="BL142" s="159"/>
      <c r="BM142" s="159"/>
      <c r="BN142" s="159"/>
      <c r="BO142" s="159"/>
      <c r="BP142" s="159"/>
      <c r="BQ142" s="159"/>
      <c r="BR142" s="159"/>
      <c r="BS142" s="159"/>
      <c r="BT142" s="159"/>
      <c r="BU142" s="159"/>
      <c r="BV142" s="159"/>
      <c r="BW142" s="159"/>
      <c r="BX142" s="159"/>
      <c r="BY142" s="159"/>
      <c r="BZ142" s="159"/>
      <c r="CA142" s="159"/>
      <c r="CB142" s="159"/>
      <c r="CC142" s="159"/>
      <c r="CD142" s="159"/>
      <c r="CE142" s="159"/>
      <c r="CF142" s="936"/>
      <c r="CG142" s="159"/>
      <c r="CH142" s="159"/>
      <c r="CI142" s="159"/>
      <c r="CJ142" s="159"/>
      <c r="CK142" s="159"/>
      <c r="CL142" s="159"/>
      <c r="CM142" s="159"/>
      <c r="CN142" s="159"/>
      <c r="CO142" s="159"/>
      <c r="CP142" s="159"/>
      <c r="CQ142" s="159"/>
      <c r="CR142" s="159"/>
      <c r="CS142" s="159"/>
      <c r="CT142" s="159"/>
      <c r="CU142" s="159"/>
      <c r="CV142" s="159"/>
      <c r="CW142" s="159"/>
      <c r="CX142" s="159"/>
      <c r="CY142" s="159"/>
      <c r="CZ142" s="159"/>
      <c r="DA142" s="159"/>
      <c r="DB142" s="159"/>
      <c r="DC142" s="159"/>
      <c r="DD142" s="159"/>
      <c r="DE142" s="159"/>
      <c r="DF142" s="159"/>
      <c r="DG142" s="159"/>
      <c r="DH142" s="159"/>
      <c r="DI142" s="159"/>
      <c r="DJ142" s="159"/>
      <c r="DK142" s="159"/>
      <c r="DL142" s="159"/>
      <c r="DM142" s="159"/>
      <c r="DN142" s="159"/>
      <c r="DO142" s="159"/>
      <c r="DP142" s="159"/>
      <c r="DQ142" s="159"/>
      <c r="DR142" s="159"/>
      <c r="DS142" s="161"/>
      <c r="DT142" s="159"/>
      <c r="DU142" s="159"/>
      <c r="DV142" s="159"/>
      <c r="DW142" s="162"/>
      <c r="DX142" s="163"/>
      <c r="DY142" s="163"/>
      <c r="DZ142" s="159"/>
      <c r="EA142" s="159"/>
      <c r="EB142" s="159"/>
      <c r="EC142" s="159"/>
      <c r="ED142" s="159"/>
      <c r="EE142" s="159"/>
      <c r="EF142" s="159"/>
      <c r="EG142" s="159"/>
      <c r="EH142" s="159"/>
      <c r="EI142" s="159"/>
    </row>
    <row r="143" spans="1:139" x14ac:dyDescent="0.25">
      <c r="A143" s="158"/>
      <c r="B143" s="2252" t="s">
        <v>92</v>
      </c>
      <c r="C143" s="2252"/>
      <c r="D143" s="2252"/>
      <c r="E143" s="2252"/>
      <c r="F143" s="2252"/>
      <c r="G143" s="171"/>
      <c r="H143" s="171"/>
      <c r="I143" s="171"/>
      <c r="J143" s="171"/>
      <c r="K143" s="171"/>
      <c r="L143" s="171"/>
      <c r="M143" s="171"/>
      <c r="N143" s="171"/>
      <c r="O143" s="171"/>
      <c r="P143" s="164"/>
      <c r="Q143" s="164"/>
      <c r="R143" s="164"/>
      <c r="S143" s="164"/>
      <c r="T143" s="164"/>
      <c r="U143" s="164"/>
      <c r="V143" s="164"/>
      <c r="W143" s="164"/>
      <c r="X143" s="164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  <c r="AV143" s="159"/>
      <c r="AW143" s="159"/>
      <c r="AX143" s="159"/>
      <c r="AY143" s="159"/>
      <c r="AZ143" s="159"/>
      <c r="BA143" s="159"/>
      <c r="BB143" s="159"/>
      <c r="BC143" s="159"/>
      <c r="BD143" s="159"/>
      <c r="BE143" s="159"/>
      <c r="BF143" s="159"/>
      <c r="BG143" s="159"/>
      <c r="BH143" s="159"/>
      <c r="BI143" s="159"/>
      <c r="BJ143" s="159"/>
      <c r="BK143" s="159"/>
      <c r="BL143" s="159"/>
      <c r="BM143" s="159"/>
      <c r="BN143" s="159"/>
      <c r="BO143" s="159"/>
      <c r="BP143" s="159"/>
      <c r="BQ143" s="159"/>
      <c r="BR143" s="159"/>
      <c r="BS143" s="159"/>
      <c r="BT143" s="159"/>
      <c r="BU143" s="159"/>
      <c r="BV143" s="159"/>
      <c r="BW143" s="159"/>
      <c r="BX143" s="159"/>
      <c r="BY143" s="159"/>
      <c r="BZ143" s="159"/>
      <c r="CA143" s="159"/>
      <c r="CB143" s="159"/>
      <c r="CC143" s="159"/>
      <c r="CD143" s="159"/>
      <c r="CE143" s="159"/>
      <c r="CF143" s="936"/>
      <c r="CG143" s="159"/>
      <c r="CH143" s="159"/>
      <c r="CI143" s="159"/>
      <c r="CJ143" s="159"/>
      <c r="CK143" s="159"/>
      <c r="CL143" s="159"/>
      <c r="CM143" s="159"/>
      <c r="CN143" s="159"/>
      <c r="CO143" s="159"/>
      <c r="CP143" s="159"/>
      <c r="CQ143" s="159"/>
      <c r="CR143" s="159"/>
      <c r="CS143" s="159"/>
      <c r="CT143" s="159"/>
      <c r="CU143" s="159"/>
      <c r="CV143" s="159"/>
      <c r="CW143" s="159"/>
      <c r="CX143" s="159"/>
      <c r="CY143" s="159"/>
      <c r="CZ143" s="159"/>
      <c r="DA143" s="159"/>
      <c r="DB143" s="159"/>
      <c r="DC143" s="159"/>
      <c r="DD143" s="159"/>
      <c r="DE143" s="159"/>
      <c r="DF143" s="159"/>
      <c r="DG143" s="159"/>
      <c r="DH143" s="159"/>
      <c r="DI143" s="159"/>
      <c r="DJ143" s="159"/>
      <c r="DK143" s="159"/>
      <c r="DL143" s="159"/>
      <c r="DM143" s="159"/>
      <c r="DN143" s="159"/>
      <c r="DO143" s="159"/>
      <c r="DP143" s="159"/>
      <c r="DQ143" s="159"/>
      <c r="DR143" s="159"/>
      <c r="DS143" s="161"/>
      <c r="DT143" s="159"/>
      <c r="DU143" s="159"/>
      <c r="DV143" s="159"/>
      <c r="DW143" s="162"/>
      <c r="DX143" s="163"/>
      <c r="DY143" s="163"/>
      <c r="DZ143" s="159"/>
      <c r="EA143" s="159"/>
      <c r="EB143" s="159"/>
      <c r="EC143" s="159"/>
      <c r="ED143" s="159"/>
      <c r="EE143" s="159"/>
      <c r="EF143" s="159"/>
      <c r="EG143" s="159"/>
      <c r="EH143" s="159"/>
      <c r="EI143" s="159"/>
    </row>
    <row r="144" spans="1:139" x14ac:dyDescent="0.25">
      <c r="A144" s="158"/>
      <c r="B144" s="2252" t="s">
        <v>93</v>
      </c>
      <c r="C144" s="2252"/>
      <c r="D144" s="2252"/>
      <c r="E144" s="2252"/>
      <c r="F144" s="2252"/>
      <c r="G144" s="171"/>
      <c r="H144" s="171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  <c r="AW144" s="159"/>
      <c r="AX144" s="159"/>
      <c r="AY144" s="159"/>
      <c r="AZ144" s="159"/>
      <c r="BA144" s="159"/>
      <c r="BB144" s="159"/>
      <c r="BC144" s="159"/>
      <c r="BD144" s="159"/>
      <c r="BE144" s="159"/>
      <c r="BF144" s="159"/>
      <c r="BG144" s="159"/>
      <c r="BH144" s="159"/>
      <c r="BI144" s="159"/>
      <c r="BJ144" s="159"/>
      <c r="BK144" s="159"/>
      <c r="BL144" s="159"/>
      <c r="BM144" s="159"/>
      <c r="BN144" s="159"/>
      <c r="BO144" s="159"/>
      <c r="BP144" s="159"/>
      <c r="BQ144" s="159"/>
      <c r="BR144" s="159"/>
      <c r="BS144" s="159"/>
      <c r="BT144" s="159"/>
      <c r="BU144" s="159"/>
      <c r="BV144" s="159"/>
      <c r="BW144" s="159"/>
      <c r="BX144" s="159"/>
      <c r="BY144" s="159"/>
      <c r="BZ144" s="159"/>
      <c r="CA144" s="159"/>
      <c r="CB144" s="159"/>
      <c r="CC144" s="159"/>
      <c r="CD144" s="159"/>
      <c r="CE144" s="159"/>
      <c r="CF144" s="936"/>
      <c r="CG144" s="159"/>
      <c r="CH144" s="159"/>
      <c r="CI144" s="159"/>
      <c r="CJ144" s="159"/>
      <c r="CK144" s="159"/>
      <c r="CL144" s="159"/>
      <c r="CM144" s="159"/>
      <c r="CN144" s="159"/>
      <c r="CO144" s="159"/>
      <c r="CP144" s="159"/>
      <c r="CQ144" s="159"/>
      <c r="CR144" s="159"/>
      <c r="CS144" s="159"/>
      <c r="CT144" s="159"/>
      <c r="CU144" s="159"/>
      <c r="CV144" s="159"/>
      <c r="CW144" s="159"/>
      <c r="CX144" s="159"/>
      <c r="CY144" s="159"/>
      <c r="CZ144" s="159"/>
      <c r="DA144" s="159"/>
      <c r="DB144" s="159"/>
      <c r="DC144" s="159"/>
      <c r="DD144" s="159"/>
      <c r="DE144" s="159"/>
      <c r="DF144" s="159"/>
      <c r="DG144" s="159"/>
      <c r="DH144" s="159"/>
      <c r="DI144" s="159"/>
      <c r="DJ144" s="159"/>
      <c r="DK144" s="159"/>
      <c r="DL144" s="159"/>
      <c r="DM144" s="159"/>
      <c r="DN144" s="159"/>
      <c r="DO144" s="159"/>
      <c r="DP144" s="159"/>
      <c r="DQ144" s="159"/>
      <c r="DR144" s="159"/>
      <c r="DS144" s="161"/>
      <c r="DT144" s="159"/>
      <c r="DU144" s="159"/>
      <c r="DV144" s="159"/>
      <c r="DW144" s="162"/>
      <c r="DX144" s="163"/>
      <c r="DY144" s="163"/>
      <c r="DZ144" s="159"/>
      <c r="EA144" s="159"/>
      <c r="EB144" s="159"/>
      <c r="EC144" s="159"/>
      <c r="ED144" s="159"/>
      <c r="EE144" s="159"/>
      <c r="EF144" s="159"/>
      <c r="EG144" s="159"/>
      <c r="EH144" s="159"/>
      <c r="EI144" s="159"/>
    </row>
    <row r="145" spans="1:139" x14ac:dyDescent="0.25">
      <c r="A145" s="165"/>
      <c r="B145" s="2253" t="s">
        <v>94</v>
      </c>
      <c r="C145" s="2253"/>
      <c r="D145" s="2253"/>
      <c r="E145" s="2253"/>
      <c r="F145" s="2253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6"/>
      <c r="BD145" s="166"/>
      <c r="BE145" s="166"/>
      <c r="BF145" s="166"/>
      <c r="BG145" s="166"/>
      <c r="BH145" s="166"/>
      <c r="BI145" s="166"/>
      <c r="BJ145" s="166"/>
      <c r="BK145" s="166"/>
      <c r="BL145" s="166"/>
      <c r="BM145" s="166"/>
      <c r="BN145" s="166"/>
      <c r="BO145" s="166"/>
      <c r="BP145" s="166"/>
      <c r="BQ145" s="166"/>
      <c r="BR145" s="166"/>
      <c r="BS145" s="166"/>
      <c r="BT145" s="166"/>
      <c r="BU145" s="166"/>
      <c r="BV145" s="166"/>
      <c r="BW145" s="166"/>
      <c r="BX145" s="166"/>
      <c r="BY145" s="166"/>
      <c r="BZ145" s="166"/>
      <c r="CA145" s="166"/>
      <c r="CB145" s="166"/>
      <c r="CC145" s="166"/>
      <c r="CD145" s="166"/>
      <c r="CE145" s="166"/>
      <c r="CF145" s="167"/>
      <c r="CG145" s="166"/>
      <c r="CH145" s="166"/>
      <c r="CI145" s="166"/>
      <c r="CJ145" s="166"/>
      <c r="CK145" s="166"/>
      <c r="CL145" s="166"/>
      <c r="CM145" s="166"/>
      <c r="CN145" s="166"/>
      <c r="CO145" s="166"/>
      <c r="CP145" s="166"/>
      <c r="CQ145" s="166"/>
      <c r="CR145" s="166"/>
      <c r="CS145" s="166"/>
      <c r="CT145" s="166"/>
      <c r="CU145" s="166"/>
      <c r="CV145" s="166"/>
      <c r="CW145" s="166"/>
      <c r="CX145" s="166"/>
      <c r="CY145" s="166"/>
      <c r="CZ145" s="166"/>
      <c r="DA145" s="166"/>
      <c r="DB145" s="166"/>
      <c r="DC145" s="166"/>
      <c r="DD145" s="166"/>
      <c r="DE145" s="166"/>
      <c r="DF145" s="166"/>
      <c r="DG145" s="166"/>
      <c r="DH145" s="166"/>
      <c r="DI145" s="166"/>
      <c r="DJ145" s="166"/>
      <c r="DK145" s="166"/>
      <c r="DL145" s="166"/>
      <c r="DM145" s="166"/>
      <c r="DN145" s="166"/>
      <c r="DO145" s="166"/>
      <c r="DP145" s="166"/>
      <c r="DQ145" s="166"/>
      <c r="DR145" s="166"/>
      <c r="DS145" s="168"/>
      <c r="DT145" s="166"/>
      <c r="DU145" s="166"/>
      <c r="DV145" s="166"/>
      <c r="DW145" s="169"/>
      <c r="DX145" s="170"/>
      <c r="DY145" s="170"/>
      <c r="DZ145" s="166"/>
      <c r="EA145" s="166"/>
      <c r="EB145" s="166"/>
      <c r="EC145" s="166"/>
      <c r="ED145" s="166"/>
      <c r="EE145" s="166"/>
      <c r="EF145" s="166"/>
      <c r="EG145" s="166"/>
      <c r="EH145" s="166"/>
      <c r="EI145" s="166"/>
    </row>
  </sheetData>
  <mergeCells count="173">
    <mergeCell ref="A4:C4"/>
    <mergeCell ref="CZ98:DC98"/>
    <mergeCell ref="B56:C56"/>
    <mergeCell ref="A63:A65"/>
    <mergeCell ref="A77:A88"/>
    <mergeCell ref="B83:C83"/>
    <mergeCell ref="B91:C91"/>
    <mergeCell ref="A92:A96"/>
    <mergeCell ref="B92:C92"/>
    <mergeCell ref="BL9:BM9"/>
    <mergeCell ref="BN9:BO9"/>
    <mergeCell ref="AR6:BJ6"/>
    <mergeCell ref="BL6:CC6"/>
    <mergeCell ref="CF6:CW6"/>
    <mergeCell ref="CZ6:DO6"/>
    <mergeCell ref="BP9:BQ9"/>
    <mergeCell ref="AR9:AS9"/>
    <mergeCell ref="AT9:AU9"/>
    <mergeCell ref="AV9:AW9"/>
    <mergeCell ref="AX9:AY9"/>
    <mergeCell ref="AZ9:BA9"/>
    <mergeCell ref="BB9:BC9"/>
    <mergeCell ref="BR9:BS9"/>
    <mergeCell ref="BT9:BU9"/>
    <mergeCell ref="EH10:EI10"/>
    <mergeCell ref="A13:A62"/>
    <mergeCell ref="B13:C13"/>
    <mergeCell ref="B19:C19"/>
    <mergeCell ref="B26:C26"/>
    <mergeCell ref="B28:C28"/>
    <mergeCell ref="B33:C33"/>
    <mergeCell ref="B39:C39"/>
    <mergeCell ref="B45:C45"/>
    <mergeCell ref="B50:C50"/>
    <mergeCell ref="A7:A11"/>
    <mergeCell ref="D7:G8"/>
    <mergeCell ref="H7:M8"/>
    <mergeCell ref="N7:W7"/>
    <mergeCell ref="X7:AA8"/>
    <mergeCell ref="N8:Q8"/>
    <mergeCell ref="EF9:EG9"/>
    <mergeCell ref="DR10:DS10"/>
    <mergeCell ref="DT10:DU10"/>
    <mergeCell ref="DV10:DW10"/>
    <mergeCell ref="DX10:DY10"/>
    <mergeCell ref="DZ10:EA10"/>
    <mergeCell ref="EB10:EC10"/>
    <mergeCell ref="ED10:EE10"/>
    <mergeCell ref="EF10:EG10"/>
    <mergeCell ref="DZ9:EA9"/>
    <mergeCell ref="EB9:EC9"/>
    <mergeCell ref="ED9:EE9"/>
    <mergeCell ref="DH9:DI9"/>
    <mergeCell ref="DL8:DO8"/>
    <mergeCell ref="DV8:DW9"/>
    <mergeCell ref="DX8:DY9"/>
    <mergeCell ref="DJ9:DK9"/>
    <mergeCell ref="DL9:DM9"/>
    <mergeCell ref="DN9:DO9"/>
    <mergeCell ref="DZ8:EC8"/>
    <mergeCell ref="D9:E9"/>
    <mergeCell ref="F9:G9"/>
    <mergeCell ref="H9:I9"/>
    <mergeCell ref="J9:K9"/>
    <mergeCell ref="L9:M9"/>
    <mergeCell ref="BZ8:CC8"/>
    <mergeCell ref="CD8:CE9"/>
    <mergeCell ref="CP8:CS8"/>
    <mergeCell ref="CT8:CW8"/>
    <mergeCell ref="CF9:CG9"/>
    <mergeCell ref="CH9:CI9"/>
    <mergeCell ref="CJ9:CK9"/>
    <mergeCell ref="CL9:CM9"/>
    <mergeCell ref="BJ8:BK9"/>
    <mergeCell ref="BV8:BY8"/>
    <mergeCell ref="P9:Q9"/>
    <mergeCell ref="BX9:BY9"/>
    <mergeCell ref="BZ9:CA9"/>
    <mergeCell ref="CB9:CC9"/>
    <mergeCell ref="BD9:BE9"/>
    <mergeCell ref="BF9:BG9"/>
    <mergeCell ref="BH9:BI9"/>
    <mergeCell ref="CF7:CI8"/>
    <mergeCell ref="CJ7:CO8"/>
    <mergeCell ref="DR6:EI6"/>
    <mergeCell ref="EH7:EI9"/>
    <mergeCell ref="DH7:DO7"/>
    <mergeCell ref="ED8:EG8"/>
    <mergeCell ref="CX8:CY9"/>
    <mergeCell ref="CZ8:DA9"/>
    <mergeCell ref="DP7:DQ9"/>
    <mergeCell ref="DR7:DS9"/>
    <mergeCell ref="DT7:DU9"/>
    <mergeCell ref="DV7:EG7"/>
    <mergeCell ref="DF8:DG9"/>
    <mergeCell ref="DH8:DK8"/>
    <mergeCell ref="CP7:CY7"/>
    <mergeCell ref="CZ7:DC7"/>
    <mergeCell ref="DD7:DG7"/>
    <mergeCell ref="DB8:DC9"/>
    <mergeCell ref="DD8:DE9"/>
    <mergeCell ref="AR7:AU8"/>
    <mergeCell ref="AV7:BA8"/>
    <mergeCell ref="BB7:BK7"/>
    <mergeCell ref="BL7:BO8"/>
    <mergeCell ref="BP7:BU8"/>
    <mergeCell ref="BV7:CE7"/>
    <mergeCell ref="BB8:BE8"/>
    <mergeCell ref="BF8:BI8"/>
    <mergeCell ref="BV9:BW9"/>
    <mergeCell ref="CN9:CO9"/>
    <mergeCell ref="CP9:CQ9"/>
    <mergeCell ref="CR9:CS9"/>
    <mergeCell ref="CT9:CU9"/>
    <mergeCell ref="CV9:CW9"/>
    <mergeCell ref="A2:S2"/>
    <mergeCell ref="B6:B11"/>
    <mergeCell ref="C6:C11"/>
    <mergeCell ref="D6:W6"/>
    <mergeCell ref="X6:AQ6"/>
    <mergeCell ref="AB7:AG8"/>
    <mergeCell ref="AH7:AQ7"/>
    <mergeCell ref="AP8:AQ9"/>
    <mergeCell ref="N9:O9"/>
    <mergeCell ref="R9:S9"/>
    <mergeCell ref="T9:U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R8:U8"/>
    <mergeCell ref="V8:W9"/>
    <mergeCell ref="AH8:AK8"/>
    <mergeCell ref="AL8:AO8"/>
    <mergeCell ref="B142:F142"/>
    <mergeCell ref="B143:F143"/>
    <mergeCell ref="B144:F144"/>
    <mergeCell ref="B145:F145"/>
    <mergeCell ref="B112:C112"/>
    <mergeCell ref="B117:C117"/>
    <mergeCell ref="B137:O137"/>
    <mergeCell ref="B138:X138"/>
    <mergeCell ref="B139:J139"/>
    <mergeCell ref="B141:O141"/>
    <mergeCell ref="B121:C121"/>
    <mergeCell ref="B123:C123"/>
    <mergeCell ref="B128:C128"/>
    <mergeCell ref="A129:B130"/>
    <mergeCell ref="C129:C130"/>
    <mergeCell ref="D129:D130"/>
    <mergeCell ref="B101:C101"/>
    <mergeCell ref="B102:C102"/>
    <mergeCell ref="B103:C103"/>
    <mergeCell ref="B114:C114"/>
    <mergeCell ref="B115:C115"/>
    <mergeCell ref="B116:C116"/>
    <mergeCell ref="B118:C118"/>
    <mergeCell ref="B119:C119"/>
    <mergeCell ref="B120:C120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3:C1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</vt:i4>
      </vt:variant>
    </vt:vector>
  </HeadingPairs>
  <TitlesOfParts>
    <vt:vector size="4" baseType="lpstr">
      <vt:lpstr>2024_gada_plāns</vt:lpstr>
      <vt:lpstr>Grozījumi</vt:lpstr>
      <vt:lpstr>2024_ar_grozījumiem</vt:lpstr>
      <vt:lpstr>'2024_gada_plāns'!Drukāt_virsrakstus</vt:lpstr>
    </vt:vector>
  </TitlesOfParts>
  <Company>Latvijas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Ina Poriete</cp:lastModifiedBy>
  <cp:lastPrinted>2024-01-30T08:56:59Z</cp:lastPrinted>
  <dcterms:created xsi:type="dcterms:W3CDTF">2023-04-28T08:41:12Z</dcterms:created>
  <dcterms:modified xsi:type="dcterms:W3CDTF">2024-08-13T14:16:58Z</dcterms:modified>
</cp:coreProperties>
</file>