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olvita.bataraga\Desktop\Leemumi Padomes sedei\SP grozijumi\LR\"/>
    </mc:Choice>
  </mc:AlternateContent>
  <xr:revisionPtr revIDLastSave="0" documentId="8_{8B9DBE52-B3FA-4CC5-A731-16F8DA178387}" xr6:coauthVersionLast="47" xr6:coauthVersionMax="47" xr10:uidLastSave="{00000000-0000-0000-0000-000000000000}"/>
  <bookViews>
    <workbookView xWindow="-110" yWindow="-110" windowWidth="19420" windowHeight="10420" activeTab="2" xr2:uid="{DFBCB7CA-8352-4319-8403-DCF885F5A5F9}"/>
  </bookViews>
  <sheets>
    <sheet name="plans (27122022)" sheetId="1" r:id="rId1"/>
    <sheet name="PLĀNS_ar_grozījumiem" sheetId="2" r:id="rId2"/>
    <sheet name="Izmaiņas" sheetId="3" r:id="rId3"/>
  </sheets>
  <definedNames>
    <definedName name="_xlnm._FilterDatabase" localSheetId="2" hidden="1">Izmaiņas!$A$12:$EH$12</definedName>
    <definedName name="_xlnm.Print_Area" localSheetId="0">'plans (27122022)'!$X$6:$AQ$106</definedName>
    <definedName name="_xlnm.Print_Titles" localSheetId="0">'plans (27122022)'!$A:$C,'plans (27122022)'!$6:$11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1" i="2" l="1"/>
  <c r="BB101" i="2"/>
  <c r="N109" i="2"/>
  <c r="N110" i="2" s="1"/>
  <c r="N111" i="2" s="1"/>
  <c r="J110" i="2"/>
  <c r="J111" i="2" s="1"/>
  <c r="J109" i="2"/>
  <c r="BH90" i="2"/>
  <c r="BD90" i="2"/>
  <c r="BF90" i="2"/>
  <c r="BB90" i="2"/>
  <c r="CH106" i="2" l="1"/>
  <c r="CH105" i="2"/>
  <c r="CH104" i="2"/>
  <c r="CH103" i="2"/>
  <c r="CH102" i="2"/>
  <c r="CH101" i="2"/>
  <c r="BN106" i="2"/>
  <c r="BN105" i="2"/>
  <c r="BN104" i="2"/>
  <c r="BN103" i="2"/>
  <c r="BN102" i="2"/>
  <c r="BN101" i="2"/>
  <c r="AT106" i="2"/>
  <c r="AT105" i="2"/>
  <c r="AT104" i="2"/>
  <c r="AT103" i="2"/>
  <c r="AT102" i="2"/>
  <c r="AT101" i="2"/>
  <c r="AT68" i="2"/>
  <c r="BN68" i="2"/>
  <c r="CH68" i="2"/>
  <c r="CH64" i="2"/>
  <c r="CH25" i="2"/>
  <c r="BN25" i="2"/>
  <c r="BN64" i="2"/>
  <c r="AT64" i="2"/>
  <c r="AT25" i="2"/>
  <c r="DT17" i="3"/>
  <c r="BB59" i="2"/>
  <c r="BZ43" i="2"/>
  <c r="BX90" i="2" l="1"/>
  <c r="BB92" i="2"/>
  <c r="BB91" i="2"/>
  <c r="BV91" i="2"/>
  <c r="BV92" i="2"/>
  <c r="BB69" i="2"/>
  <c r="BB67" i="2"/>
  <c r="BN82" i="2"/>
  <c r="BN81" i="2"/>
  <c r="BN80" i="2"/>
  <c r="BN79" i="2"/>
  <c r="BN78" i="2"/>
  <c r="BN76" i="2"/>
  <c r="BN75" i="2"/>
  <c r="BN74" i="2"/>
  <c r="BN72" i="2"/>
  <c r="BL76" i="2"/>
  <c r="BL73" i="2"/>
  <c r="BN73" i="2" s="1"/>
  <c r="BL14" i="2"/>
  <c r="CU98" i="2"/>
  <c r="CS98" i="2"/>
  <c r="CQ98" i="2"/>
  <c r="CO98" i="2"/>
  <c r="CM98" i="2"/>
  <c r="CK98" i="2"/>
  <c r="CV97" i="2"/>
  <c r="CU97" i="2"/>
  <c r="CS97" i="2"/>
  <c r="CR97" i="2"/>
  <c r="CQ97" i="2"/>
  <c r="CO97" i="2"/>
  <c r="CM97" i="2"/>
  <c r="CK97" i="2"/>
  <c r="BN14" i="2" l="1"/>
  <c r="BL67" i="2"/>
  <c r="BN67" i="2" s="1"/>
  <c r="BL69" i="2"/>
  <c r="BN69" i="2" s="1"/>
  <c r="BL70" i="2"/>
  <c r="BN70" i="2" s="1"/>
  <c r="BB61" i="2"/>
  <c r="BB60" i="2"/>
  <c r="BB58" i="2"/>
  <c r="BB57" i="2"/>
  <c r="BB55" i="2"/>
  <c r="BB54" i="2"/>
  <c r="BB52" i="2"/>
  <c r="BB51" i="2"/>
  <c r="BB48" i="2"/>
  <c r="BB47" i="2"/>
  <c r="BB45" i="2" s="1"/>
  <c r="BB46" i="2"/>
  <c r="BB43" i="2"/>
  <c r="BB42" i="2"/>
  <c r="BB41" i="2"/>
  <c r="BB39" i="2" s="1"/>
  <c r="BB40" i="2"/>
  <c r="BB37" i="2"/>
  <c r="BB38" i="2"/>
  <c r="BB34" i="2"/>
  <c r="BB33" i="2" s="1"/>
  <c r="BB31" i="2"/>
  <c r="BB30" i="2"/>
  <c r="BB29" i="2"/>
  <c r="BB27" i="2"/>
  <c r="CP27" i="2" s="1"/>
  <c r="DX27" i="3" s="1"/>
  <c r="DY27" i="3" s="1"/>
  <c r="BB24" i="2"/>
  <c r="BB23" i="2"/>
  <c r="BB21" i="2"/>
  <c r="BB20" i="2"/>
  <c r="CP20" i="2" s="1"/>
  <c r="DX20" i="3" s="1"/>
  <c r="DY20" i="3" s="1"/>
  <c r="BB17" i="2"/>
  <c r="BB14" i="2"/>
  <c r="BV70" i="2"/>
  <c r="BR70" i="2" s="1"/>
  <c r="BV69" i="2"/>
  <c r="CP69" i="2" s="1"/>
  <c r="DX69" i="3" s="1"/>
  <c r="DY69" i="3" s="1"/>
  <c r="BV67" i="2"/>
  <c r="BV61" i="2"/>
  <c r="BV60" i="2"/>
  <c r="BV59" i="2"/>
  <c r="BR59" i="2" s="1"/>
  <c r="CD59" i="2" s="1"/>
  <c r="BV58" i="2"/>
  <c r="BR58" i="2"/>
  <c r="BV57" i="2"/>
  <c r="BR57" i="2" s="1"/>
  <c r="BV55" i="2"/>
  <c r="BV54" i="2"/>
  <c r="BV52" i="2"/>
  <c r="BV51" i="2"/>
  <c r="BR51" i="2" s="1"/>
  <c r="CD51" i="2" s="1"/>
  <c r="BV48" i="2"/>
  <c r="BR48" i="2" s="1"/>
  <c r="BV47" i="2"/>
  <c r="BV46" i="2"/>
  <c r="BV45" i="2" s="1"/>
  <c r="BV43" i="2"/>
  <c r="BV42" i="2"/>
  <c r="BV41" i="2"/>
  <c r="BV40" i="2"/>
  <c r="CP40" i="2" s="1"/>
  <c r="DX40" i="3" s="1"/>
  <c r="DY40" i="3" s="1"/>
  <c r="BV38" i="2"/>
  <c r="BL37" i="2"/>
  <c r="BL34" i="2"/>
  <c r="BV37" i="2"/>
  <c r="BV33" i="2" s="1"/>
  <c r="BR33" i="2" s="1"/>
  <c r="BV34" i="2"/>
  <c r="BV31" i="2"/>
  <c r="BV30" i="2"/>
  <c r="BV29" i="2"/>
  <c r="CP29" i="2" s="1"/>
  <c r="DX29" i="3" s="1"/>
  <c r="DY29" i="3" s="1"/>
  <c r="BV27" i="2"/>
  <c r="BV24" i="2"/>
  <c r="BV23" i="2"/>
  <c r="BR23" i="2"/>
  <c r="BV21" i="2"/>
  <c r="BV20" i="2"/>
  <c r="BV17" i="2"/>
  <c r="BR17" i="2" s="1"/>
  <c r="BV14" i="2"/>
  <c r="BV13" i="2" s="1"/>
  <c r="BL88" i="2"/>
  <c r="BN88" i="2" s="1"/>
  <c r="BL87" i="2"/>
  <c r="BN87" i="2" s="1"/>
  <c r="BL86" i="2"/>
  <c r="BN86" i="2" s="1"/>
  <c r="BV79" i="2"/>
  <c r="BV103" i="2" s="1"/>
  <c r="BV85" i="2"/>
  <c r="BL85" i="2"/>
  <c r="BN85" i="2" s="1"/>
  <c r="BV78" i="2"/>
  <c r="BV84" i="2"/>
  <c r="CP84" i="2" s="1"/>
  <c r="DX84" i="3" s="1"/>
  <c r="DY84" i="3" s="1"/>
  <c r="BL84" i="2"/>
  <c r="BN84" i="2" s="1"/>
  <c r="BL20" i="2"/>
  <c r="BL19" i="2" s="1"/>
  <c r="BN19" i="2" s="1"/>
  <c r="BZ66" i="2"/>
  <c r="BN61" i="2"/>
  <c r="BN60" i="2"/>
  <c r="BN59" i="2"/>
  <c r="BN58" i="2"/>
  <c r="BN57" i="2"/>
  <c r="BN55" i="2"/>
  <c r="BN54" i="2"/>
  <c r="BN53" i="2"/>
  <c r="BN52" i="2"/>
  <c r="BN51" i="2"/>
  <c r="BN49" i="2"/>
  <c r="BN48" i="2"/>
  <c r="BN47" i="2"/>
  <c r="BN46" i="2"/>
  <c r="BN44" i="2"/>
  <c r="BN43" i="2"/>
  <c r="BN42" i="2"/>
  <c r="BN41" i="2"/>
  <c r="BN40" i="2"/>
  <c r="BN38" i="2"/>
  <c r="BN37" i="2"/>
  <c r="BN36" i="2"/>
  <c r="BN35" i="2"/>
  <c r="BN34" i="2"/>
  <c r="BN32" i="2"/>
  <c r="BN31" i="2"/>
  <c r="BN30" i="2"/>
  <c r="BN29" i="2"/>
  <c r="BN27" i="2"/>
  <c r="BN24" i="2"/>
  <c r="BN23" i="2"/>
  <c r="BN22" i="2"/>
  <c r="BN21" i="2"/>
  <c r="BN20" i="2"/>
  <c r="BN15" i="2"/>
  <c r="BN16" i="2"/>
  <c r="BN17" i="2"/>
  <c r="BN18" i="2"/>
  <c r="BB50" i="2"/>
  <c r="BZ107" i="2"/>
  <c r="BV107" i="2"/>
  <c r="BR107" i="2" s="1"/>
  <c r="BL107" i="2"/>
  <c r="BZ106" i="2"/>
  <c r="BL106" i="2"/>
  <c r="BZ105" i="2"/>
  <c r="BZ104" i="2"/>
  <c r="BL104" i="2"/>
  <c r="BZ103" i="2"/>
  <c r="BL103" i="2"/>
  <c r="BZ102" i="2"/>
  <c r="BV102" i="2"/>
  <c r="BL102" i="2"/>
  <c r="BZ101" i="2"/>
  <c r="CC98" i="2"/>
  <c r="CB98" i="2"/>
  <c r="BZ97" i="2"/>
  <c r="BV97" i="2"/>
  <c r="BT97" i="2"/>
  <c r="BR92" i="2"/>
  <c r="BT91" i="2"/>
  <c r="BR89" i="2"/>
  <c r="BR88" i="2"/>
  <c r="CD88" i="2" s="1"/>
  <c r="BR87" i="2"/>
  <c r="BR86" i="2"/>
  <c r="CD86" i="2" s="1"/>
  <c r="BR85" i="2"/>
  <c r="BV83" i="2"/>
  <c r="BR83" i="2" s="1"/>
  <c r="BL83" i="2"/>
  <c r="BN83" i="2" s="1"/>
  <c r="BR82" i="2"/>
  <c r="CD82" i="2" s="1"/>
  <c r="BR81" i="2"/>
  <c r="CD81" i="2" s="1"/>
  <c r="BR80" i="2"/>
  <c r="CD80" i="2" s="1"/>
  <c r="BR78" i="2"/>
  <c r="CD78" i="2" s="1"/>
  <c r="BL77" i="2"/>
  <c r="BN77" i="2" s="1"/>
  <c r="BR76" i="2"/>
  <c r="CD76" i="2" s="1"/>
  <c r="BR75" i="2"/>
  <c r="BR74" i="2"/>
  <c r="CD74" i="2" s="1"/>
  <c r="BR73" i="2"/>
  <c r="BR72" i="2"/>
  <c r="CD72" i="2" s="1"/>
  <c r="BV71" i="2"/>
  <c r="BR71" i="2" s="1"/>
  <c r="BL71" i="2"/>
  <c r="BN71" i="2" s="1"/>
  <c r="BR69" i="2"/>
  <c r="BR68" i="2"/>
  <c r="BR67" i="2"/>
  <c r="CD67" i="2" s="1"/>
  <c r="BL66" i="2"/>
  <c r="BN66" i="2" s="1"/>
  <c r="BR64" i="2"/>
  <c r="CD64" i="2" s="1"/>
  <c r="CA62" i="2"/>
  <c r="BR61" i="2"/>
  <c r="CD61" i="2" s="1"/>
  <c r="BR60" i="2"/>
  <c r="BL56" i="2"/>
  <c r="BN56" i="2" s="1"/>
  <c r="BR55" i="2"/>
  <c r="CD55" i="2" s="1"/>
  <c r="BR54" i="2"/>
  <c r="CD54" i="2" s="1"/>
  <c r="BR53" i="2"/>
  <c r="CD53" i="2" s="1"/>
  <c r="BR52" i="2"/>
  <c r="CD52" i="2" s="1"/>
  <c r="BL50" i="2"/>
  <c r="BN50" i="2" s="1"/>
  <c r="BR49" i="2"/>
  <c r="BR47" i="2"/>
  <c r="BL45" i="2"/>
  <c r="BN45" i="2" s="1"/>
  <c r="BR44" i="2"/>
  <c r="BR42" i="2"/>
  <c r="BR41" i="2"/>
  <c r="CD41" i="2" s="1"/>
  <c r="BR40" i="2"/>
  <c r="CD40" i="2" s="1"/>
  <c r="BZ39" i="2"/>
  <c r="BR38" i="2"/>
  <c r="CD38" i="2" s="1"/>
  <c r="BR37" i="2"/>
  <c r="BR36" i="2"/>
  <c r="CD36" i="2" s="1"/>
  <c r="BR35" i="2"/>
  <c r="BR34" i="2"/>
  <c r="CD34" i="2" s="1"/>
  <c r="BL33" i="2"/>
  <c r="BN33" i="2" s="1"/>
  <c r="BR32" i="2"/>
  <c r="BR31" i="2"/>
  <c r="CD31" i="2" s="1"/>
  <c r="BR30" i="2"/>
  <c r="CD30" i="2" s="1"/>
  <c r="BR29" i="2"/>
  <c r="BL28" i="2"/>
  <c r="BN28" i="2" s="1"/>
  <c r="BR27" i="2"/>
  <c r="CD27" i="2" s="1"/>
  <c r="BV26" i="2"/>
  <c r="BR26" i="2" s="1"/>
  <c r="BL26" i="2"/>
  <c r="BN26" i="2" s="1"/>
  <c r="BR25" i="2"/>
  <c r="CD25" i="2" s="1"/>
  <c r="BR24" i="2"/>
  <c r="BR22" i="2"/>
  <c r="BR21" i="2"/>
  <c r="CD21" i="2" s="1"/>
  <c r="BZ19" i="2"/>
  <c r="BR18" i="2"/>
  <c r="CD18" i="2" s="1"/>
  <c r="BR16" i="2"/>
  <c r="CD16" i="2" s="1"/>
  <c r="BR15" i="2"/>
  <c r="BZ13" i="2"/>
  <c r="BL13" i="2"/>
  <c r="BN13" i="2" s="1"/>
  <c r="BF97" i="2"/>
  <c r="EF99" i="3"/>
  <c r="EG99" i="3" s="1"/>
  <c r="ED99" i="3"/>
  <c r="ED91" i="3"/>
  <c r="EB99" i="3"/>
  <c r="EC99" i="3" s="1"/>
  <c r="DZ99" i="3"/>
  <c r="DX99" i="3"/>
  <c r="DY99" i="3" s="1"/>
  <c r="DW91" i="3"/>
  <c r="DT99" i="3"/>
  <c r="DU99" i="3" s="1"/>
  <c r="DR99" i="3"/>
  <c r="DS99" i="3" s="1"/>
  <c r="EA107" i="3"/>
  <c r="EA106" i="3"/>
  <c r="EA105" i="3"/>
  <c r="EA104" i="3"/>
  <c r="EA103" i="3"/>
  <c r="EA102" i="3"/>
  <c r="EA101" i="3"/>
  <c r="EE99" i="3"/>
  <c r="EA99" i="3"/>
  <c r="EE98" i="3"/>
  <c r="EE97" i="3"/>
  <c r="EA97" i="3"/>
  <c r="EA92" i="3"/>
  <c r="EA91" i="3"/>
  <c r="DW89" i="3"/>
  <c r="DW88" i="3"/>
  <c r="DW87" i="3"/>
  <c r="DW86" i="3"/>
  <c r="DW85" i="3"/>
  <c r="DW84" i="3"/>
  <c r="DW83" i="3"/>
  <c r="DW82" i="3"/>
  <c r="DW81" i="3"/>
  <c r="DW80" i="3"/>
  <c r="DW79" i="3"/>
  <c r="DW78" i="3"/>
  <c r="DW77" i="3"/>
  <c r="DW76" i="3"/>
  <c r="DW75" i="3"/>
  <c r="DW74" i="3"/>
  <c r="DW73" i="3"/>
  <c r="DW72" i="3"/>
  <c r="DW71" i="3"/>
  <c r="DW70" i="3"/>
  <c r="DW69" i="3"/>
  <c r="DW68" i="3"/>
  <c r="DW67" i="3"/>
  <c r="DW66" i="3"/>
  <c r="DW65" i="3"/>
  <c r="DW64" i="3"/>
  <c r="DW62" i="3"/>
  <c r="DW61" i="3"/>
  <c r="DW60" i="3"/>
  <c r="DW59" i="3"/>
  <c r="DW58" i="3"/>
  <c r="DW57" i="3"/>
  <c r="DW56" i="3"/>
  <c r="DW55" i="3"/>
  <c r="DW54" i="3"/>
  <c r="DW53" i="3"/>
  <c r="DW52" i="3"/>
  <c r="DW51" i="3"/>
  <c r="DW50" i="3"/>
  <c r="DW49" i="3"/>
  <c r="DW48" i="3"/>
  <c r="DW47" i="3"/>
  <c r="DW46" i="3"/>
  <c r="DW45" i="3"/>
  <c r="DW44" i="3"/>
  <c r="DW43" i="3"/>
  <c r="DW42" i="3"/>
  <c r="DW41"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ED97" i="3"/>
  <c r="CV90" i="2"/>
  <c r="ED90" i="3" s="1"/>
  <c r="CR90" i="2"/>
  <c r="DZ90" i="3" s="1"/>
  <c r="EA90" i="3" s="1"/>
  <c r="CR91" i="2"/>
  <c r="DZ91" i="3" s="1"/>
  <c r="DZ97" i="3"/>
  <c r="CT92" i="2"/>
  <c r="EB92" i="3" s="1"/>
  <c r="EC92" i="3" s="1"/>
  <c r="CT91" i="2"/>
  <c r="EB91" i="3" s="1"/>
  <c r="CT89" i="2"/>
  <c r="EB89" i="3" s="1"/>
  <c r="CT88" i="2"/>
  <c r="EB88" i="3" s="1"/>
  <c r="CT87" i="2"/>
  <c r="EB87" i="3" s="1"/>
  <c r="CT86" i="2"/>
  <c r="EB86" i="3" s="1"/>
  <c r="CT85" i="2"/>
  <c r="EB85" i="3" s="1"/>
  <c r="CT84" i="2"/>
  <c r="EB84" i="3" s="1"/>
  <c r="CT83" i="2"/>
  <c r="EB83" i="3" s="1"/>
  <c r="CT82" i="2"/>
  <c r="EB82" i="3" s="1"/>
  <c r="CT81" i="2"/>
  <c r="EB81" i="3" s="1"/>
  <c r="CT80" i="2"/>
  <c r="EB80" i="3" s="1"/>
  <c r="CT79" i="2"/>
  <c r="EB79" i="3" s="1"/>
  <c r="CT78" i="2"/>
  <c r="EB78" i="3" s="1"/>
  <c r="CT77" i="2"/>
  <c r="EB77" i="3" s="1"/>
  <c r="CT76" i="2"/>
  <c r="EB76" i="3" s="1"/>
  <c r="CT75" i="2"/>
  <c r="EB75" i="3" s="1"/>
  <c r="CT74" i="2"/>
  <c r="EB74" i="3" s="1"/>
  <c r="CT73" i="2"/>
  <c r="EB73" i="3" s="1"/>
  <c r="CT72" i="2"/>
  <c r="EB72" i="3" s="1"/>
  <c r="CT71" i="2"/>
  <c r="EB71" i="3" s="1"/>
  <c r="CT70" i="2"/>
  <c r="EB70" i="3" s="1"/>
  <c r="CT69" i="2"/>
  <c r="EB69" i="3" s="1"/>
  <c r="CT68" i="2"/>
  <c r="EB68" i="3" s="1"/>
  <c r="CT67" i="2"/>
  <c r="EB67" i="3" s="1"/>
  <c r="EC67" i="3" s="1"/>
  <c r="CT66" i="2"/>
  <c r="EB66" i="3" s="1"/>
  <c r="EC66" i="3" s="1"/>
  <c r="CT64" i="2"/>
  <c r="EB64" i="3" s="1"/>
  <c r="CT61" i="2"/>
  <c r="EB61" i="3" s="1"/>
  <c r="CT60" i="2"/>
  <c r="EB60" i="3" s="1"/>
  <c r="CT59" i="2"/>
  <c r="EB59" i="3" s="1"/>
  <c r="CT58" i="2"/>
  <c r="EB58" i="3" s="1"/>
  <c r="CT57" i="2"/>
  <c r="EB57" i="3" s="1"/>
  <c r="CT56" i="2"/>
  <c r="EB56" i="3" s="1"/>
  <c r="CT55" i="2"/>
  <c r="EB55" i="3" s="1"/>
  <c r="CT54" i="2"/>
  <c r="EB54" i="3" s="1"/>
  <c r="CT53" i="2"/>
  <c r="EB53" i="3" s="1"/>
  <c r="CT52" i="2"/>
  <c r="EB52" i="3" s="1"/>
  <c r="CT51" i="2"/>
  <c r="EB51" i="3" s="1"/>
  <c r="CT50" i="2"/>
  <c r="EB50" i="3" s="1"/>
  <c r="CT49" i="2"/>
  <c r="EB49" i="3" s="1"/>
  <c r="CT48" i="2"/>
  <c r="EB48" i="3" s="1"/>
  <c r="CT47" i="2"/>
  <c r="EB47" i="3" s="1"/>
  <c r="CT46" i="2"/>
  <c r="EB46" i="3" s="1"/>
  <c r="CT45" i="2"/>
  <c r="EB45" i="3" s="1"/>
  <c r="CT44" i="2"/>
  <c r="EB44" i="3" s="1"/>
  <c r="CT43" i="2"/>
  <c r="EB43" i="3" s="1"/>
  <c r="EC43" i="3" s="1"/>
  <c r="CT42" i="2"/>
  <c r="EB42" i="3" s="1"/>
  <c r="CT41" i="2"/>
  <c r="EB41" i="3" s="1"/>
  <c r="CT40" i="2"/>
  <c r="EB40" i="3" s="1"/>
  <c r="CT38" i="2"/>
  <c r="EB38" i="3" s="1"/>
  <c r="CT37" i="2"/>
  <c r="EB37" i="3" s="1"/>
  <c r="CT36" i="2"/>
  <c r="EB36" i="3" s="1"/>
  <c r="CT35" i="2"/>
  <c r="EB35" i="3" s="1"/>
  <c r="CT34" i="2"/>
  <c r="EB34" i="3" s="1"/>
  <c r="CT33" i="2"/>
  <c r="EB33" i="3" s="1"/>
  <c r="CT32" i="2"/>
  <c r="EB32" i="3" s="1"/>
  <c r="CT31" i="2"/>
  <c r="EB31" i="3" s="1"/>
  <c r="CT30" i="2"/>
  <c r="EB30" i="3" s="1"/>
  <c r="CT29" i="2"/>
  <c r="EB29" i="3" s="1"/>
  <c r="CT28" i="2"/>
  <c r="EB28" i="3" s="1"/>
  <c r="CT27" i="2"/>
  <c r="EB27" i="3" s="1"/>
  <c r="CT26" i="2"/>
  <c r="EB26" i="3" s="1"/>
  <c r="CT25" i="2"/>
  <c r="EB25" i="3" s="1"/>
  <c r="CT24" i="2"/>
  <c r="EB24" i="3" s="1"/>
  <c r="CT23" i="2"/>
  <c r="EB23" i="3" s="1"/>
  <c r="CT22" i="2"/>
  <c r="EB22" i="3" s="1"/>
  <c r="CT21" i="2"/>
  <c r="EB21" i="3" s="1"/>
  <c r="CT20" i="2"/>
  <c r="EB20" i="3" s="1"/>
  <c r="CT18" i="2"/>
  <c r="EB18" i="3" s="1"/>
  <c r="CT17" i="2"/>
  <c r="EB17" i="3" s="1"/>
  <c r="CT16" i="2"/>
  <c r="EB16" i="3" s="1"/>
  <c r="CT15" i="2"/>
  <c r="EB15" i="3" s="1"/>
  <c r="CT14" i="2"/>
  <c r="EB14" i="3" s="1"/>
  <c r="EC14" i="3" s="1"/>
  <c r="CP92" i="2"/>
  <c r="DX92" i="3" s="1"/>
  <c r="DY92" i="3" s="1"/>
  <c r="CP91" i="2"/>
  <c r="DX91" i="3" s="1"/>
  <c r="DY91" i="3" s="1"/>
  <c r="CP89" i="2"/>
  <c r="DX89" i="3" s="1"/>
  <c r="DY89" i="3" s="1"/>
  <c r="CP88" i="2"/>
  <c r="DX88" i="3" s="1"/>
  <c r="CP87" i="2"/>
  <c r="DX87" i="3" s="1"/>
  <c r="DY87" i="3" s="1"/>
  <c r="CP86" i="2"/>
  <c r="DX86" i="3" s="1"/>
  <c r="DY86" i="3" s="1"/>
  <c r="CP85" i="2"/>
  <c r="DX85" i="3" s="1"/>
  <c r="DY85" i="3" s="1"/>
  <c r="CP82" i="2"/>
  <c r="DX82" i="3" s="1"/>
  <c r="CP81" i="2"/>
  <c r="DX81" i="3" s="1"/>
  <c r="DY81" i="3" s="1"/>
  <c r="CP80" i="2"/>
  <c r="DX80" i="3" s="1"/>
  <c r="DY80" i="3" s="1"/>
  <c r="CP78" i="2"/>
  <c r="DX78" i="3" s="1"/>
  <c r="DY78" i="3" s="1"/>
  <c r="CP76" i="2"/>
  <c r="DX76" i="3" s="1"/>
  <c r="CP75" i="2"/>
  <c r="DX75" i="3" s="1"/>
  <c r="DY75" i="3" s="1"/>
  <c r="CP74" i="2"/>
  <c r="DX74" i="3" s="1"/>
  <c r="DY74" i="3" s="1"/>
  <c r="CP73" i="2"/>
  <c r="DX73" i="3" s="1"/>
  <c r="DY73" i="3" s="1"/>
  <c r="CP72" i="2"/>
  <c r="DX72" i="3" s="1"/>
  <c r="DY72" i="3" s="1"/>
  <c r="CP70" i="2"/>
  <c r="DX70" i="3" s="1"/>
  <c r="DY70" i="3" s="1"/>
  <c r="CP68" i="2"/>
  <c r="DX68" i="3" s="1"/>
  <c r="DY68" i="3" s="1"/>
  <c r="CP67" i="2"/>
  <c r="DX67" i="3" s="1"/>
  <c r="DY67" i="3" s="1"/>
  <c r="CP64" i="2"/>
  <c r="DX64" i="3" s="1"/>
  <c r="DY64" i="3" s="1"/>
  <c r="CP61" i="2"/>
  <c r="DX61" i="3" s="1"/>
  <c r="DY61" i="3" s="1"/>
  <c r="CP60" i="2"/>
  <c r="DX60" i="3" s="1"/>
  <c r="DY60" i="3" s="1"/>
  <c r="CP59" i="2"/>
  <c r="DX59" i="3" s="1"/>
  <c r="DY59" i="3" s="1"/>
  <c r="CP58" i="2"/>
  <c r="DX58" i="3" s="1"/>
  <c r="DY58" i="3" s="1"/>
  <c r="CP55" i="2"/>
  <c r="DX55" i="3" s="1"/>
  <c r="DY55" i="3" s="1"/>
  <c r="CP54" i="2"/>
  <c r="DX54" i="3" s="1"/>
  <c r="DY54" i="3" s="1"/>
  <c r="CP53" i="2"/>
  <c r="DX53" i="3" s="1"/>
  <c r="DY53" i="3" s="1"/>
  <c r="CP52" i="2"/>
  <c r="DX52" i="3" s="1"/>
  <c r="DY52" i="3" s="1"/>
  <c r="CP49" i="2"/>
  <c r="DX49" i="3" s="1"/>
  <c r="DY49" i="3" s="1"/>
  <c r="CP48" i="2"/>
  <c r="DX48" i="3" s="1"/>
  <c r="DY48" i="3" s="1"/>
  <c r="CP44" i="2"/>
  <c r="DX44" i="3" s="1"/>
  <c r="DY44" i="3" s="1"/>
  <c r="CP43" i="2"/>
  <c r="DX43" i="3" s="1"/>
  <c r="DY43" i="3" s="1"/>
  <c r="CP42" i="2"/>
  <c r="DX42" i="3" s="1"/>
  <c r="DY42" i="3" s="1"/>
  <c r="CP41" i="2"/>
  <c r="DX41" i="3" s="1"/>
  <c r="DY41" i="3" s="1"/>
  <c r="CP38" i="2"/>
  <c r="DX38" i="3" s="1"/>
  <c r="DY38" i="3" s="1"/>
  <c r="CP36" i="2"/>
  <c r="DX36" i="3" s="1"/>
  <c r="DY36" i="3" s="1"/>
  <c r="CP35" i="2"/>
  <c r="DX35" i="3" s="1"/>
  <c r="CP32" i="2"/>
  <c r="DX32" i="3" s="1"/>
  <c r="DY32" i="3" s="1"/>
  <c r="CP31" i="2"/>
  <c r="DX31" i="3" s="1"/>
  <c r="DY31" i="3" s="1"/>
  <c r="CP30" i="2"/>
  <c r="DX30" i="3" s="1"/>
  <c r="DY30" i="3" s="1"/>
  <c r="CP25" i="2"/>
  <c r="DX25" i="3" s="1"/>
  <c r="DY25" i="3" s="1"/>
  <c r="CP24" i="2"/>
  <c r="DX24" i="3" s="1"/>
  <c r="DY24" i="3" s="1"/>
  <c r="CP23" i="2"/>
  <c r="DX23" i="3" s="1"/>
  <c r="DY23" i="3" s="1"/>
  <c r="CP22" i="2"/>
  <c r="DX22" i="3" s="1"/>
  <c r="CP21" i="2"/>
  <c r="DX21" i="3" s="1"/>
  <c r="DY21" i="3" s="1"/>
  <c r="CP18" i="2"/>
  <c r="DX18" i="3" s="1"/>
  <c r="CP17" i="2"/>
  <c r="DX17" i="3" s="1"/>
  <c r="DY17" i="3" s="1"/>
  <c r="CP16" i="2"/>
  <c r="DX16" i="3" s="1"/>
  <c r="CP15" i="2"/>
  <c r="DX15" i="3" s="1"/>
  <c r="CH22" i="2"/>
  <c r="CF88" i="2"/>
  <c r="CF87" i="2"/>
  <c r="CH87" i="2" s="1"/>
  <c r="CF86" i="2"/>
  <c r="DR86" i="3" s="1"/>
  <c r="DS86" i="3" s="1"/>
  <c r="CF85" i="2"/>
  <c r="CF84" i="2"/>
  <c r="CF82" i="2"/>
  <c r="CH82" i="2" s="1"/>
  <c r="CF81" i="2"/>
  <c r="DR81" i="3" s="1"/>
  <c r="DS81" i="3" s="1"/>
  <c r="CF80" i="2"/>
  <c r="CF79" i="2"/>
  <c r="CH79" i="2" s="1"/>
  <c r="CF78" i="2"/>
  <c r="DR78" i="3" s="1"/>
  <c r="DS78" i="3" s="1"/>
  <c r="CF76" i="2"/>
  <c r="DR76" i="3" s="1"/>
  <c r="DS76" i="3" s="1"/>
  <c r="CF74" i="2"/>
  <c r="CH74" i="2" s="1"/>
  <c r="CF73" i="2"/>
  <c r="DR73" i="3" s="1"/>
  <c r="DS73" i="3" s="1"/>
  <c r="CF72" i="2"/>
  <c r="DR72" i="3" s="1"/>
  <c r="DS72" i="3" s="1"/>
  <c r="CF70" i="2"/>
  <c r="DR70" i="3" s="1"/>
  <c r="DS70" i="3" s="1"/>
  <c r="CF69" i="2"/>
  <c r="CF68" i="2"/>
  <c r="DR68" i="3" s="1"/>
  <c r="DS68" i="3" s="1"/>
  <c r="CF64" i="2"/>
  <c r="CF61" i="2"/>
  <c r="CH61" i="2" s="1"/>
  <c r="CF60" i="2"/>
  <c r="DR60" i="3" s="1"/>
  <c r="DS60" i="3" s="1"/>
  <c r="CF59" i="2"/>
  <c r="DR59" i="3" s="1"/>
  <c r="DS59" i="3" s="1"/>
  <c r="CF58" i="2"/>
  <c r="CH58" i="2" s="1"/>
  <c r="CF57" i="2"/>
  <c r="CH57" i="2" s="1"/>
  <c r="CF55" i="2"/>
  <c r="DR55" i="3" s="1"/>
  <c r="DS55" i="3" s="1"/>
  <c r="CF54" i="2"/>
  <c r="DR54" i="3" s="1"/>
  <c r="DS54" i="3" s="1"/>
  <c r="CF53" i="2"/>
  <c r="CH53" i="2" s="1"/>
  <c r="CF52" i="2"/>
  <c r="CF51" i="2"/>
  <c r="DR51" i="3" s="1"/>
  <c r="DS51" i="3" s="1"/>
  <c r="CF49" i="2"/>
  <c r="CH49" i="2" s="1"/>
  <c r="CF48" i="2"/>
  <c r="CF47" i="2"/>
  <c r="CF46" i="2"/>
  <c r="DR46" i="3" s="1"/>
  <c r="DS46" i="3" s="1"/>
  <c r="CF44" i="2"/>
  <c r="DR44" i="3" s="1"/>
  <c r="DS44" i="3" s="1"/>
  <c r="CF42" i="2"/>
  <c r="CH42" i="2" s="1"/>
  <c r="CF41" i="2"/>
  <c r="CF40" i="2"/>
  <c r="DR40" i="3" s="1"/>
  <c r="DS40" i="3" s="1"/>
  <c r="CF38" i="2"/>
  <c r="CH38" i="2" s="1"/>
  <c r="CF37" i="2"/>
  <c r="CH37" i="2" s="1"/>
  <c r="CF36" i="2"/>
  <c r="DR36" i="3" s="1"/>
  <c r="DS36" i="3" s="1"/>
  <c r="CF35" i="2"/>
  <c r="DR35" i="3" s="1"/>
  <c r="CF34" i="2"/>
  <c r="CH34" i="2" s="1"/>
  <c r="CF32" i="2"/>
  <c r="CF31" i="2"/>
  <c r="DR31" i="3" s="1"/>
  <c r="DS31" i="3" s="1"/>
  <c r="CF30" i="2"/>
  <c r="DR30" i="3" s="1"/>
  <c r="DS30" i="3" s="1"/>
  <c r="CF29" i="2"/>
  <c r="DR29" i="3" s="1"/>
  <c r="DS29" i="3" s="1"/>
  <c r="CF27" i="2"/>
  <c r="CF25" i="2"/>
  <c r="DR25" i="3" s="1"/>
  <c r="DS25" i="3" s="1"/>
  <c r="CF24" i="2"/>
  <c r="CF23" i="2"/>
  <c r="DR23" i="3" s="1"/>
  <c r="DS23" i="3" s="1"/>
  <c r="CF22" i="2"/>
  <c r="CF21" i="2"/>
  <c r="CH21" i="2" s="1"/>
  <c r="CF18" i="2"/>
  <c r="DR18" i="3" s="1"/>
  <c r="DS18" i="3" s="1"/>
  <c r="CF17" i="2"/>
  <c r="DR17" i="3" s="1"/>
  <c r="DS17" i="3" s="1"/>
  <c r="CF16" i="2"/>
  <c r="CF15" i="2"/>
  <c r="CF14" i="2"/>
  <c r="CH14" i="2" s="1"/>
  <c r="AT88" i="2"/>
  <c r="AT87" i="2"/>
  <c r="AT86" i="2"/>
  <c r="AT85" i="2"/>
  <c r="AT84" i="2"/>
  <c r="AT82" i="2"/>
  <c r="AT81" i="2"/>
  <c r="AT80" i="2"/>
  <c r="AT79" i="2"/>
  <c r="AT78" i="2"/>
  <c r="AT76" i="2"/>
  <c r="AT74" i="2"/>
  <c r="AT73" i="2"/>
  <c r="AT72" i="2"/>
  <c r="AT70" i="2"/>
  <c r="AT69" i="2"/>
  <c r="AT61" i="2"/>
  <c r="AT60" i="2"/>
  <c r="AT59" i="2"/>
  <c r="AT58" i="2"/>
  <c r="AT57" i="2"/>
  <c r="AT55" i="2"/>
  <c r="AT54" i="2"/>
  <c r="AT53" i="2"/>
  <c r="AT52" i="2"/>
  <c r="AT51" i="2"/>
  <c r="AT49" i="2"/>
  <c r="AT48" i="2"/>
  <c r="AT47" i="2"/>
  <c r="AT46" i="2"/>
  <c r="AT44" i="2"/>
  <c r="AT42" i="2"/>
  <c r="AT41" i="2"/>
  <c r="AT40" i="2"/>
  <c r="AT38" i="2"/>
  <c r="AT37" i="2"/>
  <c r="AT36" i="2"/>
  <c r="AT35" i="2"/>
  <c r="AT34" i="2"/>
  <c r="AT32" i="2"/>
  <c r="AT31" i="2"/>
  <c r="AT30" i="2"/>
  <c r="AT29" i="2"/>
  <c r="AT27" i="2"/>
  <c r="AT24" i="2"/>
  <c r="AT23" i="2"/>
  <c r="AT22" i="2"/>
  <c r="AT21" i="2"/>
  <c r="AT18" i="2"/>
  <c r="AT17" i="2"/>
  <c r="AT16" i="2"/>
  <c r="AT15" i="2"/>
  <c r="AT14" i="2"/>
  <c r="CP33" i="2" l="1"/>
  <c r="DX33" i="3" s="1"/>
  <c r="DY33" i="3" s="1"/>
  <c r="BR45" i="2"/>
  <c r="CP45" i="2"/>
  <c r="DX45" i="3" s="1"/>
  <c r="DY45" i="3" s="1"/>
  <c r="CP37" i="2"/>
  <c r="DX37" i="3" s="1"/>
  <c r="DY37" i="3" s="1"/>
  <c r="CP46" i="2"/>
  <c r="DX46" i="3" s="1"/>
  <c r="DY46" i="3" s="1"/>
  <c r="CP51" i="2"/>
  <c r="DX51" i="3" s="1"/>
  <c r="DY51" i="3" s="1"/>
  <c r="BR46" i="2"/>
  <c r="CD46" i="2" s="1"/>
  <c r="BV66" i="2"/>
  <c r="BR66" i="2" s="1"/>
  <c r="BV77" i="2"/>
  <c r="BR77" i="2" s="1"/>
  <c r="BR84" i="2"/>
  <c r="CD84" i="2" s="1"/>
  <c r="BV28" i="2"/>
  <c r="CP28" i="2" s="1"/>
  <c r="DX28" i="3" s="1"/>
  <c r="DY28" i="3" s="1"/>
  <c r="BV50" i="2"/>
  <c r="BB56" i="2"/>
  <c r="CP14" i="2"/>
  <c r="DX14" i="3" s="1"/>
  <c r="DY14" i="3" s="1"/>
  <c r="CP34" i="2"/>
  <c r="DX34" i="3" s="1"/>
  <c r="DY34" i="3" s="1"/>
  <c r="CP47" i="2"/>
  <c r="DX47" i="3" s="1"/>
  <c r="DY47" i="3" s="1"/>
  <c r="CP57" i="2"/>
  <c r="DX57" i="3" s="1"/>
  <c r="DY57" i="3" s="1"/>
  <c r="BR14" i="2"/>
  <c r="CD14" i="2" s="1"/>
  <c r="BV104" i="2"/>
  <c r="BV106" i="2"/>
  <c r="BR106" i="2" s="1"/>
  <c r="BV39" i="2"/>
  <c r="CP39" i="2" s="1"/>
  <c r="DX39" i="3" s="1"/>
  <c r="DY39" i="3" s="1"/>
  <c r="CH17" i="2"/>
  <c r="CP79" i="2"/>
  <c r="DX79" i="3" s="1"/>
  <c r="DY79" i="3" s="1"/>
  <c r="DR49" i="3"/>
  <c r="DS49" i="3" s="1"/>
  <c r="BR79" i="2"/>
  <c r="CD79" i="2" s="1"/>
  <c r="CT97" i="2"/>
  <c r="BV56" i="2"/>
  <c r="BR56" i="2" s="1"/>
  <c r="CD56" i="2" s="1"/>
  <c r="BB28" i="2"/>
  <c r="BL105" i="2"/>
  <c r="CD70" i="2"/>
  <c r="CD57" i="2"/>
  <c r="BR50" i="2"/>
  <c r="CD50" i="2" s="1"/>
  <c r="CP50" i="2"/>
  <c r="DX50" i="3" s="1"/>
  <c r="DY50" i="3" s="1"/>
  <c r="CD48" i="2"/>
  <c r="BR39" i="2"/>
  <c r="CD37" i="2"/>
  <c r="BR28" i="2"/>
  <c r="CD23" i="2"/>
  <c r="CD17" i="2"/>
  <c r="DR87" i="3"/>
  <c r="DS87" i="3" s="1"/>
  <c r="CD83" i="2"/>
  <c r="DR79" i="3"/>
  <c r="DS79" i="3" s="1"/>
  <c r="DR74" i="3"/>
  <c r="DS74" i="3" s="1"/>
  <c r="CD47" i="2"/>
  <c r="CH41" i="2"/>
  <c r="DR41" i="3"/>
  <c r="DS41" i="3" s="1"/>
  <c r="DR37" i="3"/>
  <c r="DS37" i="3" s="1"/>
  <c r="EB97" i="3"/>
  <c r="EC97" i="3" s="1"/>
  <c r="BR13" i="2"/>
  <c r="CD13" i="2" s="1"/>
  <c r="CD75" i="2"/>
  <c r="CD85" i="2"/>
  <c r="CD87" i="2"/>
  <c r="BR97" i="2"/>
  <c r="CD42" i="2"/>
  <c r="BR104" i="2"/>
  <c r="CD45" i="2"/>
  <c r="CD58" i="2"/>
  <c r="CD29" i="2"/>
  <c r="CD26" i="2"/>
  <c r="CD24" i="2"/>
  <c r="BR103" i="2"/>
  <c r="CD15" i="2"/>
  <c r="CH86" i="2"/>
  <c r="DR82" i="3"/>
  <c r="DS82" i="3" s="1"/>
  <c r="CH78" i="2"/>
  <c r="CH72" i="2"/>
  <c r="CH70" i="2"/>
  <c r="CD107" i="2"/>
  <c r="CH59" i="2"/>
  <c r="DR57" i="3"/>
  <c r="DS57" i="3" s="1"/>
  <c r="CH60" i="2"/>
  <c r="DR58" i="3"/>
  <c r="DS58" i="3" s="1"/>
  <c r="DR61" i="3"/>
  <c r="DS61" i="3" s="1"/>
  <c r="CH51" i="2"/>
  <c r="DR53" i="3"/>
  <c r="DS53" i="3" s="1"/>
  <c r="CH54" i="2"/>
  <c r="CH46" i="2"/>
  <c r="DR42" i="3"/>
  <c r="DS42" i="3" s="1"/>
  <c r="CH44" i="2"/>
  <c r="DR38" i="3"/>
  <c r="DS38" i="3" s="1"/>
  <c r="DR34" i="3"/>
  <c r="DS34" i="3" s="1"/>
  <c r="CH29" i="2"/>
  <c r="CH30" i="2"/>
  <c r="CH31" i="2"/>
  <c r="CD28" i="2"/>
  <c r="DR21" i="3"/>
  <c r="DS21" i="3" s="1"/>
  <c r="DR22" i="3"/>
  <c r="CH18" i="2"/>
  <c r="DR14" i="3"/>
  <c r="DS14" i="3" s="1"/>
  <c r="DR64" i="3"/>
  <c r="DS64" i="3" s="1"/>
  <c r="DR85" i="3"/>
  <c r="DS85" i="3" s="1"/>
  <c r="CH85" i="2"/>
  <c r="CD60" i="2"/>
  <c r="DR48" i="3"/>
  <c r="DS48" i="3" s="1"/>
  <c r="CH48" i="2"/>
  <c r="DR52" i="3"/>
  <c r="DS52" i="3" s="1"/>
  <c r="CH52" i="2"/>
  <c r="CH23" i="2"/>
  <c r="CH36" i="2"/>
  <c r="CH73" i="2"/>
  <c r="BT90" i="2"/>
  <c r="BX98" i="2"/>
  <c r="BR102" i="2"/>
  <c r="DR47" i="3"/>
  <c r="DS47" i="3" s="1"/>
  <c r="CH47" i="2"/>
  <c r="DR69" i="3"/>
  <c r="DS69" i="3" s="1"/>
  <c r="CH69" i="2"/>
  <c r="CH35" i="2"/>
  <c r="CH81" i="2"/>
  <c r="CD73" i="2"/>
  <c r="DR15" i="3"/>
  <c r="DS15" i="3" s="1"/>
  <c r="CH15" i="2"/>
  <c r="DR27" i="3"/>
  <c r="DS27" i="3" s="1"/>
  <c r="CH27" i="2"/>
  <c r="DR16" i="3"/>
  <c r="DS16" i="3" s="1"/>
  <c r="CH16" i="2"/>
  <c r="DR24" i="3"/>
  <c r="DS24" i="3" s="1"/>
  <c r="CH24" i="2"/>
  <c r="DR32" i="3"/>
  <c r="DS32" i="3" s="1"/>
  <c r="CH32" i="2"/>
  <c r="CH80" i="2"/>
  <c r="DR80" i="3"/>
  <c r="DS80" i="3" s="1"/>
  <c r="DR84" i="3"/>
  <c r="DS84" i="3" s="1"/>
  <c r="CH84" i="2"/>
  <c r="DR88" i="3"/>
  <c r="DS88" i="3" s="1"/>
  <c r="CH88" i="2"/>
  <c r="CH40" i="2"/>
  <c r="CH55" i="2"/>
  <c r="CH76" i="2"/>
  <c r="BL39" i="2"/>
  <c r="CD69" i="2"/>
  <c r="BR91" i="2"/>
  <c r="BR20" i="2"/>
  <c r="BV19" i="2"/>
  <c r="CD66" i="2"/>
  <c r="CD71" i="2"/>
  <c r="CD77" i="2"/>
  <c r="CD33" i="2"/>
  <c r="BZ62" i="2"/>
  <c r="BV105" i="2"/>
  <c r="BR43" i="2"/>
  <c r="BV101" i="2"/>
  <c r="BL101" i="2"/>
  <c r="CP56" i="2" l="1"/>
  <c r="DX56" i="3" s="1"/>
  <c r="DY56" i="3" s="1"/>
  <c r="BP97" i="2"/>
  <c r="CD39" i="2"/>
  <c r="BN39" i="2"/>
  <c r="CD106" i="2"/>
  <c r="CD104" i="2"/>
  <c r="CD103" i="2"/>
  <c r="BR101" i="2"/>
  <c r="CD43" i="2"/>
  <c r="BL62" i="2"/>
  <c r="BN62" i="2" s="1"/>
  <c r="CD20" i="2"/>
  <c r="BT98" i="2"/>
  <c r="BZ65" i="2"/>
  <c r="BV62" i="2"/>
  <c r="BR19" i="2"/>
  <c r="BR105" i="2"/>
  <c r="BP91" i="2"/>
  <c r="CD102" i="2"/>
  <c r="BZ90" i="2" l="1"/>
  <c r="CD105" i="2"/>
  <c r="CD19" i="2"/>
  <c r="BR62" i="2"/>
  <c r="BL65" i="2"/>
  <c r="BN65" i="2" s="1"/>
  <c r="CD101" i="2"/>
  <c r="BV65" i="2"/>
  <c r="CT90" i="2" l="1"/>
  <c r="EB90" i="3" s="1"/>
  <c r="EC90" i="3" s="1"/>
  <c r="BZ98" i="2"/>
  <c r="BV90" i="2"/>
  <c r="BR65" i="2"/>
  <c r="CD62" i="2"/>
  <c r="CD65" i="2" s="1"/>
  <c r="BN90" i="2"/>
  <c r="BL90" i="2"/>
  <c r="BR90" i="2" l="1"/>
  <c r="BV98" i="2"/>
  <c r="BR98" i="2" l="1"/>
  <c r="BP98" i="2" s="1"/>
  <c r="CD90" i="2"/>
  <c r="BP90" i="2"/>
  <c r="BF107" i="2" l="1"/>
  <c r="CT107" i="2" s="1"/>
  <c r="EB107" i="3" s="1"/>
  <c r="BF106" i="2"/>
  <c r="CT106" i="2" s="1"/>
  <c r="EB106" i="3" s="1"/>
  <c r="BF105" i="2"/>
  <c r="CT105" i="2" s="1"/>
  <c r="EB105" i="3" s="1"/>
  <c r="BF104" i="2"/>
  <c r="CT104" i="2" s="1"/>
  <c r="EB104" i="3" s="1"/>
  <c r="BF103" i="2"/>
  <c r="CT103" i="2" s="1"/>
  <c r="EB103" i="3" s="1"/>
  <c r="BF102" i="2"/>
  <c r="CT102" i="2" s="1"/>
  <c r="EB102" i="3" s="1"/>
  <c r="BF101" i="2"/>
  <c r="CT101" i="2" s="1"/>
  <c r="EB101" i="3" s="1"/>
  <c r="BB105" i="2"/>
  <c r="CP105" i="2" s="1"/>
  <c r="DX105" i="3" s="1"/>
  <c r="DY105" i="3" s="1"/>
  <c r="AR75" i="2"/>
  <c r="AR43" i="2"/>
  <c r="AR71" i="2"/>
  <c r="AZ97" i="2"/>
  <c r="CN97" i="2" s="1"/>
  <c r="DV97" i="3" s="1"/>
  <c r="DW97" i="3" s="1"/>
  <c r="AZ91" i="2"/>
  <c r="CN91" i="2" s="1"/>
  <c r="AZ90" i="2"/>
  <c r="CN90" i="2" s="1"/>
  <c r="BB107" i="2"/>
  <c r="CP107" i="2" s="1"/>
  <c r="DX107" i="3" s="1"/>
  <c r="DY107" i="3" s="1"/>
  <c r="BB106" i="2"/>
  <c r="CP106" i="2" s="1"/>
  <c r="DX106" i="3" s="1"/>
  <c r="DY106" i="3" s="1"/>
  <c r="BB104" i="2"/>
  <c r="CP104" i="2" s="1"/>
  <c r="DX104" i="3" s="1"/>
  <c r="DY104" i="3" s="1"/>
  <c r="BB103" i="2"/>
  <c r="CP103" i="2" s="1"/>
  <c r="DX103" i="3" s="1"/>
  <c r="DY103" i="3" s="1"/>
  <c r="BB102" i="2"/>
  <c r="CP102" i="2" s="1"/>
  <c r="DX102" i="3" s="1"/>
  <c r="DY102" i="3" s="1"/>
  <c r="AR107" i="2"/>
  <c r="CF107" i="2" s="1"/>
  <c r="DR107" i="3" s="1"/>
  <c r="DS107" i="3" s="1"/>
  <c r="BF39" i="2"/>
  <c r="CT39" i="2" s="1"/>
  <c r="EB39" i="3" s="1"/>
  <c r="EC39" i="3" s="1"/>
  <c r="BF19" i="2"/>
  <c r="CT19" i="2" s="1"/>
  <c r="EB19" i="3" s="1"/>
  <c r="BF13" i="2"/>
  <c r="CT13" i="2" s="1"/>
  <c r="EB13" i="3" s="1"/>
  <c r="EC13" i="3" s="1"/>
  <c r="BI98" i="2"/>
  <c r="BH98" i="2"/>
  <c r="CV98" i="2" s="1"/>
  <c r="ED98" i="3" s="1"/>
  <c r="BF98" i="2"/>
  <c r="BD98" i="2"/>
  <c r="BB97" i="2"/>
  <c r="CP97" i="2" s="1"/>
  <c r="DX97" i="3" s="1"/>
  <c r="DY97" i="3" s="1"/>
  <c r="BB83" i="2"/>
  <c r="CP83" i="2" s="1"/>
  <c r="DX83" i="3" s="1"/>
  <c r="DY83" i="3" s="1"/>
  <c r="BB77" i="2"/>
  <c r="CP77" i="2" s="1"/>
  <c r="DX77" i="3" s="1"/>
  <c r="DY77" i="3" s="1"/>
  <c r="BB71" i="2"/>
  <c r="CP71" i="2" s="1"/>
  <c r="DX71" i="3" s="1"/>
  <c r="DY71" i="3" s="1"/>
  <c r="CP101" i="2"/>
  <c r="DX101" i="3" s="1"/>
  <c r="DY101" i="3" s="1"/>
  <c r="AR83" i="2"/>
  <c r="AR77" i="2"/>
  <c r="AR66" i="2"/>
  <c r="AR106" i="2"/>
  <c r="CF106" i="2" s="1"/>
  <c r="DR106" i="3" s="1"/>
  <c r="DS106" i="3" s="1"/>
  <c r="AR104" i="2"/>
  <c r="CF104" i="2" s="1"/>
  <c r="DR104" i="3" s="1"/>
  <c r="DS104" i="3" s="1"/>
  <c r="AR103" i="2"/>
  <c r="CF103" i="2" s="1"/>
  <c r="DR103" i="3" s="1"/>
  <c r="DS103" i="3" s="1"/>
  <c r="AR102" i="2"/>
  <c r="CF102" i="2" s="1"/>
  <c r="DR102" i="3" s="1"/>
  <c r="DS102" i="3" s="1"/>
  <c r="BG62" i="2"/>
  <c r="AR56" i="2"/>
  <c r="AR50" i="2"/>
  <c r="AR45" i="2"/>
  <c r="AR33" i="2"/>
  <c r="AR28" i="2"/>
  <c r="AR67" i="2"/>
  <c r="CF66" i="2" l="1"/>
  <c r="AT66" i="2"/>
  <c r="AT71" i="2"/>
  <c r="CF71" i="2"/>
  <c r="AT67" i="2"/>
  <c r="CF67" i="2"/>
  <c r="AT50" i="2"/>
  <c r="CF50" i="2"/>
  <c r="AT77" i="2"/>
  <c r="CF77" i="2"/>
  <c r="CT98" i="2"/>
  <c r="EB98" i="3" s="1"/>
  <c r="EC98" i="3" s="1"/>
  <c r="AR39" i="2"/>
  <c r="AT43" i="2"/>
  <c r="CF43" i="2"/>
  <c r="CF28" i="2"/>
  <c r="AT28" i="2"/>
  <c r="AT56" i="2"/>
  <c r="CF56" i="2"/>
  <c r="CF83" i="2"/>
  <c r="AT83" i="2"/>
  <c r="AR105" i="2"/>
  <c r="CF105" i="2" s="1"/>
  <c r="DR105" i="3" s="1"/>
  <c r="DS105" i="3" s="1"/>
  <c r="AT45" i="2"/>
  <c r="CF45" i="2"/>
  <c r="AT33" i="2"/>
  <c r="CF33" i="2"/>
  <c r="CF75" i="2"/>
  <c r="AT75" i="2"/>
  <c r="CR98" i="2"/>
  <c r="DZ98" i="3" s="1"/>
  <c r="EA98" i="3" s="1"/>
  <c r="DV90" i="3"/>
  <c r="DW90" i="3" s="1"/>
  <c r="AZ98" i="2"/>
  <c r="BB66" i="2"/>
  <c r="CP66" i="2" s="1"/>
  <c r="DX66" i="3" s="1"/>
  <c r="DY66" i="3" s="1"/>
  <c r="BF62" i="2"/>
  <c r="BB26" i="2"/>
  <c r="CP26" i="2" s="1"/>
  <c r="DX26" i="3" s="1"/>
  <c r="DY26" i="3" s="1"/>
  <c r="AR26" i="2"/>
  <c r="AX20" i="2"/>
  <c r="CL20" i="2" s="1"/>
  <c r="AR20" i="2"/>
  <c r="AR19" i="2"/>
  <c r="AR13" i="2"/>
  <c r="AX14" i="2"/>
  <c r="AX107" i="2"/>
  <c r="AX106" i="2"/>
  <c r="AX105" i="2"/>
  <c r="AX104" i="2"/>
  <c r="AX103" i="2"/>
  <c r="AX102" i="2"/>
  <c r="AX101" i="2"/>
  <c r="AX97" i="2"/>
  <c r="CL97" i="2" s="1"/>
  <c r="AX92" i="2"/>
  <c r="CL92" i="2" s="1"/>
  <c r="DT92" i="3" s="1"/>
  <c r="DU92" i="3" s="1"/>
  <c r="AX91" i="2"/>
  <c r="AX89" i="2"/>
  <c r="CL89" i="2" s="1"/>
  <c r="DT89" i="3" s="1"/>
  <c r="DU89" i="3" s="1"/>
  <c r="AX88" i="2"/>
  <c r="AX87" i="2"/>
  <c r="AX86" i="2"/>
  <c r="AX85" i="2"/>
  <c r="AX84" i="2"/>
  <c r="AX83" i="2"/>
  <c r="AX82" i="2"/>
  <c r="AX81" i="2"/>
  <c r="AX80" i="2"/>
  <c r="AX79" i="2"/>
  <c r="CL79" i="2" s="1"/>
  <c r="AX78" i="2"/>
  <c r="AX77" i="2"/>
  <c r="AX76" i="2"/>
  <c r="AX75" i="2"/>
  <c r="AX74" i="2"/>
  <c r="CL74" i="2" s="1"/>
  <c r="AX73" i="2"/>
  <c r="AX72" i="2"/>
  <c r="AX71" i="2"/>
  <c r="AX70" i="2"/>
  <c r="AX69" i="2"/>
  <c r="AX68" i="2"/>
  <c r="AX67" i="2"/>
  <c r="AX64" i="2"/>
  <c r="AX61" i="2"/>
  <c r="AX60" i="2"/>
  <c r="AX59" i="2"/>
  <c r="AX58" i="2"/>
  <c r="AX57" i="2"/>
  <c r="AX56" i="2"/>
  <c r="CL56" i="2" s="1"/>
  <c r="AX55" i="2"/>
  <c r="AX54" i="2"/>
  <c r="AX53" i="2"/>
  <c r="AX52" i="2"/>
  <c r="AX51" i="2"/>
  <c r="AX50" i="2"/>
  <c r="AX49" i="2"/>
  <c r="AX48" i="2"/>
  <c r="AX47" i="2"/>
  <c r="AX46" i="2"/>
  <c r="AX45" i="2"/>
  <c r="CL45" i="2" s="1"/>
  <c r="AX44" i="2"/>
  <c r="AX43" i="2"/>
  <c r="AX42" i="2"/>
  <c r="AX41" i="2"/>
  <c r="AX40" i="2"/>
  <c r="AX39" i="2"/>
  <c r="AX38" i="2"/>
  <c r="AX37" i="2"/>
  <c r="AX36" i="2"/>
  <c r="AX35" i="2"/>
  <c r="CL35" i="2" s="1"/>
  <c r="AX34" i="2"/>
  <c r="AX33" i="2"/>
  <c r="CL33" i="2" s="1"/>
  <c r="AX32" i="2"/>
  <c r="AX31" i="2"/>
  <c r="AX30" i="2"/>
  <c r="AX29" i="2"/>
  <c r="AX28" i="2"/>
  <c r="AX27" i="2"/>
  <c r="AX25" i="2"/>
  <c r="AX24" i="2"/>
  <c r="CL24" i="2" s="1"/>
  <c r="AX23" i="2"/>
  <c r="AX22" i="2"/>
  <c r="CL22" i="2" s="1"/>
  <c r="AX21" i="2"/>
  <c r="AX18" i="2"/>
  <c r="CL18" i="2" s="1"/>
  <c r="AX17" i="2"/>
  <c r="AX16" i="2"/>
  <c r="AX15" i="2"/>
  <c r="DT18" i="3" l="1"/>
  <c r="CX18" i="2"/>
  <c r="EF18" i="3" s="1"/>
  <c r="BJ49" i="2"/>
  <c r="CL49" i="2"/>
  <c r="BJ77" i="2"/>
  <c r="CL77" i="2"/>
  <c r="DR28" i="3"/>
  <c r="DS28" i="3" s="1"/>
  <c r="CH28" i="2"/>
  <c r="CH71" i="2"/>
  <c r="DR71" i="3"/>
  <c r="DS71" i="3" s="1"/>
  <c r="BJ15" i="2"/>
  <c r="CL15" i="2"/>
  <c r="BJ25" i="2"/>
  <c r="CL25" i="2"/>
  <c r="BJ64" i="2"/>
  <c r="CL64" i="2"/>
  <c r="BJ70" i="2"/>
  <c r="CL70" i="2"/>
  <c r="DT74" i="3"/>
  <c r="DU74" i="3" s="1"/>
  <c r="CX74" i="2"/>
  <c r="EF74" i="3" s="1"/>
  <c r="EG74" i="3" s="1"/>
  <c r="BJ78" i="2"/>
  <c r="CL78" i="2"/>
  <c r="BJ82" i="2"/>
  <c r="CL82" i="2"/>
  <c r="BJ86" i="2"/>
  <c r="CL86" i="2"/>
  <c r="BJ102" i="2"/>
  <c r="CL102" i="2"/>
  <c r="BJ74" i="2"/>
  <c r="AT19" i="2"/>
  <c r="CF19" i="2"/>
  <c r="CH75" i="2"/>
  <c r="DR75" i="3"/>
  <c r="DS75" i="3" s="1"/>
  <c r="CH56" i="2"/>
  <c r="DR56" i="3"/>
  <c r="DS56" i="3" s="1"/>
  <c r="CH43" i="2"/>
  <c r="DR43" i="3"/>
  <c r="DS43" i="3" s="1"/>
  <c r="BJ53" i="2"/>
  <c r="CL53" i="2"/>
  <c r="BJ73" i="2"/>
  <c r="CL73" i="2"/>
  <c r="BJ81" i="2"/>
  <c r="CL81" i="2"/>
  <c r="BJ85" i="2"/>
  <c r="CL85" i="2"/>
  <c r="AT13" i="2"/>
  <c r="CF13" i="2"/>
  <c r="DR45" i="3"/>
  <c r="DS45" i="3" s="1"/>
  <c r="CH45" i="2"/>
  <c r="DT22" i="3"/>
  <c r="BJ71" i="2"/>
  <c r="CL71" i="2"/>
  <c r="CX79" i="2"/>
  <c r="EF79" i="3" s="1"/>
  <c r="EG79" i="3" s="1"/>
  <c r="DT79" i="3"/>
  <c r="DU79" i="3" s="1"/>
  <c r="BJ83" i="2"/>
  <c r="CL83" i="2"/>
  <c r="BJ87" i="2"/>
  <c r="CL87" i="2"/>
  <c r="BJ107" i="2"/>
  <c r="CL107" i="2"/>
  <c r="BJ79" i="2"/>
  <c r="AR101" i="2"/>
  <c r="CF101" i="2" s="1"/>
  <c r="DR101" i="3" s="1"/>
  <c r="DS101" i="3" s="1"/>
  <c r="AT20" i="2"/>
  <c r="CF20" i="2"/>
  <c r="CH33" i="2"/>
  <c r="DR33" i="3"/>
  <c r="DS33" i="3" s="1"/>
  <c r="DR77" i="3"/>
  <c r="DS77" i="3" s="1"/>
  <c r="CH77" i="2"/>
  <c r="DR67" i="3"/>
  <c r="DS67" i="3" s="1"/>
  <c r="CH67" i="2"/>
  <c r="BJ24" i="2"/>
  <c r="AR62" i="2"/>
  <c r="AT26" i="2"/>
  <c r="CF26" i="2"/>
  <c r="DR83" i="3"/>
  <c r="DS83" i="3" s="1"/>
  <c r="CH83" i="2"/>
  <c r="CH50" i="2"/>
  <c r="DR50" i="3"/>
  <c r="DS50" i="3" s="1"/>
  <c r="BJ16" i="2"/>
  <c r="CL16" i="2"/>
  <c r="DT35" i="3"/>
  <c r="BJ75" i="2"/>
  <c r="CL75" i="2"/>
  <c r="BJ32" i="2"/>
  <c r="CL32" i="2"/>
  <c r="BJ36" i="2"/>
  <c r="CL36" i="2"/>
  <c r="BJ44" i="2"/>
  <c r="CL44" i="2"/>
  <c r="BJ68" i="2"/>
  <c r="CL68" i="2"/>
  <c r="BJ72" i="2"/>
  <c r="CL72" i="2"/>
  <c r="BJ76" i="2"/>
  <c r="CL76" i="2"/>
  <c r="BJ80" i="2"/>
  <c r="CL80" i="2"/>
  <c r="BJ84" i="2"/>
  <c r="CL84" i="2"/>
  <c r="BJ88" i="2"/>
  <c r="CL88" i="2"/>
  <c r="BJ18" i="2"/>
  <c r="BF65" i="2"/>
  <c r="CT65" i="2" s="1"/>
  <c r="EB65" i="3" s="1"/>
  <c r="EC65" i="3" s="1"/>
  <c r="CT62" i="2"/>
  <c r="EB62" i="3" s="1"/>
  <c r="EC62" i="3" s="1"/>
  <c r="AT39" i="2"/>
  <c r="CF39" i="2"/>
  <c r="CH66" i="2"/>
  <c r="DR66" i="3"/>
  <c r="DS66" i="3" s="1"/>
  <c r="CL91" i="2"/>
  <c r="DT91" i="3" s="1"/>
  <c r="DU91" i="3" s="1"/>
  <c r="AV91" i="2"/>
  <c r="CJ91" i="2" s="1"/>
  <c r="BJ69" i="2"/>
  <c r="CL69" i="2"/>
  <c r="BJ67" i="2"/>
  <c r="CL67" i="2"/>
  <c r="AX66" i="2"/>
  <c r="CN98" i="2"/>
  <c r="DV98" i="3" s="1"/>
  <c r="DW98" i="3" s="1"/>
  <c r="BJ61" i="2"/>
  <c r="CL61" i="2"/>
  <c r="BJ60" i="2"/>
  <c r="CL60" i="2"/>
  <c r="BJ59" i="2"/>
  <c r="CL59" i="2"/>
  <c r="BJ58" i="2"/>
  <c r="CL58" i="2"/>
  <c r="BJ57" i="2"/>
  <c r="CL57" i="2"/>
  <c r="BJ55" i="2"/>
  <c r="CL55" i="2"/>
  <c r="BJ54" i="2"/>
  <c r="CL54" i="2"/>
  <c r="BJ52" i="2"/>
  <c r="CL52" i="2"/>
  <c r="BJ51" i="2"/>
  <c r="CL51" i="2"/>
  <c r="BJ48" i="2"/>
  <c r="CL48" i="2"/>
  <c r="BJ47" i="2"/>
  <c r="CL47" i="2"/>
  <c r="BJ46" i="2"/>
  <c r="CL46" i="2"/>
  <c r="BJ43" i="2"/>
  <c r="CL43" i="2"/>
  <c r="BJ42" i="2"/>
  <c r="CL42" i="2"/>
  <c r="BJ104" i="2"/>
  <c r="CL104" i="2"/>
  <c r="BJ41" i="2"/>
  <c r="CL41" i="2"/>
  <c r="BJ40" i="2"/>
  <c r="CL40" i="2"/>
  <c r="BJ37" i="2"/>
  <c r="CL37" i="2"/>
  <c r="BJ38" i="2"/>
  <c r="CL38" i="2"/>
  <c r="BJ34" i="2"/>
  <c r="CL34" i="2"/>
  <c r="BJ33" i="2"/>
  <c r="BJ31" i="2"/>
  <c r="CL31" i="2"/>
  <c r="BJ30" i="2"/>
  <c r="CL30" i="2"/>
  <c r="BJ29" i="2"/>
  <c r="CL29" i="2"/>
  <c r="BJ27" i="2"/>
  <c r="CL27" i="2"/>
  <c r="AX26" i="2"/>
  <c r="CL26" i="2" s="1"/>
  <c r="BJ106" i="2"/>
  <c r="CL106" i="2"/>
  <c r="DT24" i="3"/>
  <c r="DU24" i="3" s="1"/>
  <c r="CX24" i="2"/>
  <c r="EF24" i="3" s="1"/>
  <c r="EG24" i="3" s="1"/>
  <c r="BJ23" i="2"/>
  <c r="CL23" i="2"/>
  <c r="BJ21" i="2"/>
  <c r="CL21" i="2"/>
  <c r="BJ103" i="2"/>
  <c r="CL103" i="2"/>
  <c r="CX20" i="2"/>
  <c r="EF20" i="3" s="1"/>
  <c r="EG20" i="3" s="1"/>
  <c r="DT20" i="3"/>
  <c r="DU20" i="3" s="1"/>
  <c r="BJ105" i="2"/>
  <c r="CL105" i="2"/>
  <c r="BJ17" i="2"/>
  <c r="CL17" i="2"/>
  <c r="BJ14" i="2"/>
  <c r="CL14" i="2"/>
  <c r="BJ101" i="2"/>
  <c r="CL101" i="2"/>
  <c r="DT33" i="3"/>
  <c r="DU33" i="3" s="1"/>
  <c r="CX33" i="2"/>
  <c r="EF33" i="3" s="1"/>
  <c r="EG33" i="3" s="1"/>
  <c r="BJ28" i="2"/>
  <c r="CL28" i="2"/>
  <c r="BJ39" i="2"/>
  <c r="CL39" i="2"/>
  <c r="BJ50" i="2"/>
  <c r="CL50" i="2"/>
  <c r="BJ45" i="2"/>
  <c r="DT45" i="3"/>
  <c r="DU45" i="3" s="1"/>
  <c r="CX45" i="2"/>
  <c r="EF45" i="3" s="1"/>
  <c r="EG45" i="3" s="1"/>
  <c r="DT56" i="3"/>
  <c r="DU56" i="3" s="1"/>
  <c r="CX56" i="2"/>
  <c r="EF56" i="3" s="1"/>
  <c r="EG56" i="3" s="1"/>
  <c r="BJ56" i="2"/>
  <c r="DT97" i="3"/>
  <c r="DU97" i="3" s="1"/>
  <c r="AV97" i="2"/>
  <c r="CJ97" i="2" s="1"/>
  <c r="BJ20" i="2"/>
  <c r="BB19" i="2"/>
  <c r="BB13" i="2"/>
  <c r="CX102" i="2" l="1"/>
  <c r="EF102" i="3" s="1"/>
  <c r="EG102" i="3" s="1"/>
  <c r="DT102" i="3"/>
  <c r="DU102" i="3" s="1"/>
  <c r="DT82" i="3"/>
  <c r="CX82" i="2"/>
  <c r="EF82" i="3" s="1"/>
  <c r="CX64" i="2"/>
  <c r="EF64" i="3" s="1"/>
  <c r="EG64" i="3" s="1"/>
  <c r="DT64" i="3"/>
  <c r="DU64" i="3" s="1"/>
  <c r="CX15" i="2"/>
  <c r="EF15" i="3" s="1"/>
  <c r="DT15" i="3"/>
  <c r="DT88" i="3"/>
  <c r="CX88" i="2"/>
  <c r="EF88" i="3" s="1"/>
  <c r="DT80" i="3"/>
  <c r="DU80" i="3" s="1"/>
  <c r="CX80" i="2"/>
  <c r="EF80" i="3" s="1"/>
  <c r="EG80" i="3" s="1"/>
  <c r="DT72" i="3"/>
  <c r="DU72" i="3" s="1"/>
  <c r="CX72" i="2"/>
  <c r="EF72" i="3" s="1"/>
  <c r="EG72" i="3" s="1"/>
  <c r="DT44" i="3"/>
  <c r="DU44" i="3" s="1"/>
  <c r="CX44" i="2"/>
  <c r="EF44" i="3" s="1"/>
  <c r="EG44" i="3" s="1"/>
  <c r="DT32" i="3"/>
  <c r="DU32" i="3" s="1"/>
  <c r="CX32" i="2"/>
  <c r="EF32" i="3" s="1"/>
  <c r="EG32" i="3" s="1"/>
  <c r="CH26" i="2"/>
  <c r="DR26" i="3"/>
  <c r="DS26" i="3" s="1"/>
  <c r="CX87" i="2"/>
  <c r="EF87" i="3" s="1"/>
  <c r="EG87" i="3" s="1"/>
  <c r="DT87" i="3"/>
  <c r="DU87" i="3" s="1"/>
  <c r="CH13" i="2"/>
  <c r="DR13" i="3"/>
  <c r="DS13" i="3" s="1"/>
  <c r="DT81" i="3"/>
  <c r="DU81" i="3" s="1"/>
  <c r="CX81" i="2"/>
  <c r="EF81" i="3" s="1"/>
  <c r="EG81" i="3" s="1"/>
  <c r="DT53" i="3"/>
  <c r="DU53" i="3" s="1"/>
  <c r="CX53" i="2"/>
  <c r="EF53" i="3" s="1"/>
  <c r="EG53" i="3" s="1"/>
  <c r="CH19" i="2"/>
  <c r="DR19" i="3"/>
  <c r="DS19" i="3" s="1"/>
  <c r="DT49" i="3"/>
  <c r="DU49" i="3" s="1"/>
  <c r="CX49" i="2"/>
  <c r="EF49" i="3" s="1"/>
  <c r="EG49" i="3" s="1"/>
  <c r="DT86" i="3"/>
  <c r="DU86" i="3" s="1"/>
  <c r="CX86" i="2"/>
  <c r="EF86" i="3" s="1"/>
  <c r="EG86" i="3" s="1"/>
  <c r="DT78" i="3"/>
  <c r="DU78" i="3" s="1"/>
  <c r="CX78" i="2"/>
  <c r="EF78" i="3" s="1"/>
  <c r="EG78" i="3" s="1"/>
  <c r="DT70" i="3"/>
  <c r="DU70" i="3" s="1"/>
  <c r="CX70" i="2"/>
  <c r="EF70" i="3" s="1"/>
  <c r="EG70" i="3" s="1"/>
  <c r="DT25" i="3"/>
  <c r="DU25" i="3" s="1"/>
  <c r="CX25" i="2"/>
  <c r="EF25" i="3" s="1"/>
  <c r="EG25" i="3" s="1"/>
  <c r="DT77" i="3"/>
  <c r="DU77" i="3" s="1"/>
  <c r="CX77" i="2"/>
  <c r="EF77" i="3" s="1"/>
  <c r="EG77" i="3" s="1"/>
  <c r="CH39" i="2"/>
  <c r="DR39" i="3"/>
  <c r="DS39" i="3" s="1"/>
  <c r="CX84" i="2"/>
  <c r="EF84" i="3" s="1"/>
  <c r="EG84" i="3" s="1"/>
  <c r="DT84" i="3"/>
  <c r="DU84" i="3" s="1"/>
  <c r="DT76" i="3"/>
  <c r="CX76" i="2"/>
  <c r="EF76" i="3" s="1"/>
  <c r="CX68" i="2"/>
  <c r="EF68" i="3" s="1"/>
  <c r="EG68" i="3" s="1"/>
  <c r="DT68" i="3"/>
  <c r="DU68" i="3" s="1"/>
  <c r="DT36" i="3"/>
  <c r="DU36" i="3" s="1"/>
  <c r="CX36" i="2"/>
  <c r="EF36" i="3" s="1"/>
  <c r="EG36" i="3" s="1"/>
  <c r="CX75" i="2"/>
  <c r="EF75" i="3" s="1"/>
  <c r="EG75" i="3" s="1"/>
  <c r="DT75" i="3"/>
  <c r="DU75" i="3" s="1"/>
  <c r="DT16" i="3"/>
  <c r="CX16" i="2"/>
  <c r="EF16" i="3" s="1"/>
  <c r="AR65" i="2"/>
  <c r="AT62" i="2"/>
  <c r="CF62" i="2"/>
  <c r="DR20" i="3"/>
  <c r="DS20" i="3" s="1"/>
  <c r="CH20" i="2"/>
  <c r="DT107" i="3"/>
  <c r="DU107" i="3" s="1"/>
  <c r="CX107" i="2"/>
  <c r="EF107" i="3" s="1"/>
  <c r="EG107" i="3" s="1"/>
  <c r="DT83" i="3"/>
  <c r="DU83" i="3" s="1"/>
  <c r="CX83" i="2"/>
  <c r="EF83" i="3" s="1"/>
  <c r="EG83" i="3" s="1"/>
  <c r="DT71" i="3"/>
  <c r="DU71" i="3" s="1"/>
  <c r="CX71" i="2"/>
  <c r="EF71" i="3" s="1"/>
  <c r="EG71" i="3" s="1"/>
  <c r="DT85" i="3"/>
  <c r="DU85" i="3" s="1"/>
  <c r="CX85" i="2"/>
  <c r="EF85" i="3" s="1"/>
  <c r="EG85" i="3" s="1"/>
  <c r="DT73" i="3"/>
  <c r="DU73" i="3" s="1"/>
  <c r="CX73" i="2"/>
  <c r="EF73" i="3" s="1"/>
  <c r="EG73" i="3" s="1"/>
  <c r="CX69" i="2"/>
  <c r="EF69" i="3" s="1"/>
  <c r="EG69" i="3" s="1"/>
  <c r="DT69" i="3"/>
  <c r="DU69" i="3" s="1"/>
  <c r="BJ66" i="2"/>
  <c r="CL66" i="2"/>
  <c r="CX67" i="2"/>
  <c r="EF67" i="3" s="1"/>
  <c r="EG67" i="3" s="1"/>
  <c r="DT67" i="3"/>
  <c r="DU67" i="3" s="1"/>
  <c r="DT61" i="3"/>
  <c r="DU61" i="3" s="1"/>
  <c r="CX61" i="2"/>
  <c r="EF61" i="3" s="1"/>
  <c r="EG61" i="3" s="1"/>
  <c r="DT60" i="3"/>
  <c r="DU60" i="3" s="1"/>
  <c r="CX60" i="2"/>
  <c r="EF60" i="3" s="1"/>
  <c r="EG60" i="3" s="1"/>
  <c r="DT59" i="3"/>
  <c r="DU59" i="3" s="1"/>
  <c r="CX59" i="2"/>
  <c r="EF59" i="3" s="1"/>
  <c r="EG59" i="3" s="1"/>
  <c r="DT58" i="3"/>
  <c r="DU58" i="3" s="1"/>
  <c r="CX58" i="2"/>
  <c r="EF58" i="3" s="1"/>
  <c r="EG58" i="3" s="1"/>
  <c r="DT57" i="3"/>
  <c r="DU57" i="3" s="1"/>
  <c r="CX57" i="2"/>
  <c r="EF57" i="3" s="1"/>
  <c r="EG57" i="3" s="1"/>
  <c r="DT55" i="3"/>
  <c r="DU55" i="3" s="1"/>
  <c r="CX55" i="2"/>
  <c r="EF55" i="3" s="1"/>
  <c r="EG55" i="3" s="1"/>
  <c r="CX54" i="2"/>
  <c r="EF54" i="3" s="1"/>
  <c r="EG54" i="3" s="1"/>
  <c r="DT54" i="3"/>
  <c r="DU54" i="3" s="1"/>
  <c r="CX52" i="2"/>
  <c r="EF52" i="3" s="1"/>
  <c r="EG52" i="3" s="1"/>
  <c r="DT52" i="3"/>
  <c r="DU52" i="3" s="1"/>
  <c r="CX51" i="2"/>
  <c r="EF51" i="3" s="1"/>
  <c r="EG51" i="3" s="1"/>
  <c r="DT51" i="3"/>
  <c r="DU51" i="3" s="1"/>
  <c r="DT48" i="3"/>
  <c r="DU48" i="3" s="1"/>
  <c r="CX48" i="2"/>
  <c r="EF48" i="3" s="1"/>
  <c r="EG48" i="3" s="1"/>
  <c r="DT47" i="3"/>
  <c r="DU47" i="3" s="1"/>
  <c r="CX47" i="2"/>
  <c r="EF47" i="3" s="1"/>
  <c r="EG47" i="3" s="1"/>
  <c r="CX46" i="2"/>
  <c r="EF46" i="3" s="1"/>
  <c r="EG46" i="3" s="1"/>
  <c r="DT46" i="3"/>
  <c r="DU46" i="3" s="1"/>
  <c r="DT43" i="3"/>
  <c r="DU43" i="3" s="1"/>
  <c r="CX43" i="2"/>
  <c r="EF43" i="3" s="1"/>
  <c r="EG43" i="3" s="1"/>
  <c r="DT104" i="3"/>
  <c r="DU104" i="3" s="1"/>
  <c r="CX104" i="2"/>
  <c r="EF104" i="3" s="1"/>
  <c r="EG104" i="3" s="1"/>
  <c r="DT42" i="3"/>
  <c r="DU42" i="3" s="1"/>
  <c r="CX42" i="2"/>
  <c r="EF42" i="3" s="1"/>
  <c r="EG42" i="3" s="1"/>
  <c r="DT41" i="3"/>
  <c r="DU41" i="3" s="1"/>
  <c r="CX41" i="2"/>
  <c r="EF41" i="3" s="1"/>
  <c r="EG41" i="3" s="1"/>
  <c r="CX40" i="2"/>
  <c r="EF40" i="3" s="1"/>
  <c r="EG40" i="3" s="1"/>
  <c r="DT40" i="3"/>
  <c r="DU40" i="3" s="1"/>
  <c r="DT37" i="3"/>
  <c r="DU37" i="3" s="1"/>
  <c r="CX37" i="2"/>
  <c r="EF37" i="3" s="1"/>
  <c r="EG37" i="3" s="1"/>
  <c r="DT38" i="3"/>
  <c r="DU38" i="3" s="1"/>
  <c r="CX38" i="2"/>
  <c r="EF38" i="3" s="1"/>
  <c r="EG38" i="3" s="1"/>
  <c r="DT34" i="3"/>
  <c r="DU34" i="3" s="1"/>
  <c r="CX34" i="2"/>
  <c r="EF34" i="3" s="1"/>
  <c r="EG34" i="3" s="1"/>
  <c r="DT31" i="3"/>
  <c r="DU31" i="3" s="1"/>
  <c r="CX31" i="2"/>
  <c r="EF31" i="3" s="1"/>
  <c r="EG31" i="3" s="1"/>
  <c r="DT30" i="3"/>
  <c r="DU30" i="3" s="1"/>
  <c r="CX30" i="2"/>
  <c r="EF30" i="3" s="1"/>
  <c r="EG30" i="3" s="1"/>
  <c r="DT29" i="3"/>
  <c r="DU29" i="3" s="1"/>
  <c r="CX29" i="2"/>
  <c r="EF29" i="3" s="1"/>
  <c r="EG29" i="3" s="1"/>
  <c r="DT26" i="3"/>
  <c r="DU26" i="3" s="1"/>
  <c r="CX26" i="2"/>
  <c r="EF26" i="3" s="1"/>
  <c r="EG26" i="3" s="1"/>
  <c r="DT27" i="3"/>
  <c r="DU27" i="3" s="1"/>
  <c r="CX27" i="2"/>
  <c r="EF27" i="3" s="1"/>
  <c r="EG27" i="3" s="1"/>
  <c r="BJ26" i="2"/>
  <c r="DT106" i="3"/>
  <c r="DU106" i="3" s="1"/>
  <c r="CX106" i="2"/>
  <c r="EF106" i="3" s="1"/>
  <c r="EG106" i="3" s="1"/>
  <c r="DT23" i="3"/>
  <c r="DU23" i="3" s="1"/>
  <c r="CX23" i="2"/>
  <c r="EF23" i="3" s="1"/>
  <c r="EG23" i="3" s="1"/>
  <c r="DT103" i="3"/>
  <c r="DU103" i="3" s="1"/>
  <c r="CX103" i="2"/>
  <c r="EF103" i="3" s="1"/>
  <c r="EG103" i="3" s="1"/>
  <c r="DT21" i="3"/>
  <c r="DU21" i="3" s="1"/>
  <c r="CX21" i="2"/>
  <c r="EF21" i="3" s="1"/>
  <c r="EG21" i="3" s="1"/>
  <c r="AX19" i="2"/>
  <c r="CP19" i="2"/>
  <c r="DX19" i="3" s="1"/>
  <c r="DY19" i="3" s="1"/>
  <c r="DU17" i="3"/>
  <c r="CX17" i="2"/>
  <c r="EF17" i="3" s="1"/>
  <c r="EG17" i="3" s="1"/>
  <c r="DT105" i="3"/>
  <c r="DU105" i="3" s="1"/>
  <c r="CX105" i="2"/>
  <c r="EF105" i="3" s="1"/>
  <c r="EG105" i="3" s="1"/>
  <c r="CX101" i="2"/>
  <c r="EF101" i="3" s="1"/>
  <c r="EG101" i="3" s="1"/>
  <c r="DT101" i="3"/>
  <c r="DU101" i="3" s="1"/>
  <c r="AX13" i="2"/>
  <c r="CL13" i="2" s="1"/>
  <c r="CP13" i="2"/>
  <c r="DX13" i="3" s="1"/>
  <c r="DY13" i="3" s="1"/>
  <c r="DT14" i="3"/>
  <c r="DU14" i="3" s="1"/>
  <c r="CX14" i="2"/>
  <c r="EF14" i="3" s="1"/>
  <c r="EG14" i="3" s="1"/>
  <c r="CX28" i="2"/>
  <c r="EF28" i="3" s="1"/>
  <c r="EG28" i="3" s="1"/>
  <c r="DT28" i="3"/>
  <c r="DU28" i="3" s="1"/>
  <c r="DT39" i="3"/>
  <c r="DU39" i="3" s="1"/>
  <c r="CX39" i="2"/>
  <c r="EF39" i="3" s="1"/>
  <c r="EG39" i="3" s="1"/>
  <c r="DT50" i="3"/>
  <c r="DU50" i="3" s="1"/>
  <c r="CX50" i="2"/>
  <c r="EF50" i="3" s="1"/>
  <c r="EG50" i="3" s="1"/>
  <c r="BB62" i="2"/>
  <c r="CH62" i="2" l="1"/>
  <c r="DR62" i="3"/>
  <c r="DS62" i="3" s="1"/>
  <c r="AX62" i="2"/>
  <c r="BJ62" i="2" s="1"/>
  <c r="BJ65" i="2" s="1"/>
  <c r="AT65" i="2"/>
  <c r="AT90" i="2" s="1"/>
  <c r="CF65" i="2"/>
  <c r="AR90" i="2"/>
  <c r="CF90" i="2" s="1"/>
  <c r="DR90" i="3" s="1"/>
  <c r="DS90" i="3" s="1"/>
  <c r="DT66" i="3"/>
  <c r="DU66" i="3" s="1"/>
  <c r="CX66" i="2"/>
  <c r="EF66" i="3" s="1"/>
  <c r="EG66" i="3" s="1"/>
  <c r="BJ19" i="2"/>
  <c r="CL19" i="2"/>
  <c r="BJ13" i="2"/>
  <c r="CX13" i="2"/>
  <c r="EF13" i="3" s="1"/>
  <c r="EG13" i="3" s="1"/>
  <c r="DT13" i="3"/>
  <c r="DU13" i="3" s="1"/>
  <c r="BB65" i="2"/>
  <c r="CP62" i="2"/>
  <c r="DX62" i="3" s="1"/>
  <c r="DY62" i="3" s="1"/>
  <c r="CL62" i="2" l="1"/>
  <c r="DT62" i="3" s="1"/>
  <c r="DU62" i="3" s="1"/>
  <c r="DR65" i="3"/>
  <c r="DS65" i="3" s="1"/>
  <c r="CH65" i="2"/>
  <c r="CH90" i="2" s="1"/>
  <c r="DT19" i="3"/>
  <c r="DU19" i="3" s="1"/>
  <c r="CX19" i="2"/>
  <c r="EF19" i="3" s="1"/>
  <c r="EG19" i="3" s="1"/>
  <c r="CP65" i="2"/>
  <c r="DX65" i="3" s="1"/>
  <c r="DY65" i="3" s="1"/>
  <c r="AX65" i="2"/>
  <c r="CL65" i="2" s="1"/>
  <c r="CX62" i="2"/>
  <c r="EF62" i="3" s="1"/>
  <c r="EG62" i="3" s="1"/>
  <c r="CX65" i="2" l="1"/>
  <c r="EF65" i="3" s="1"/>
  <c r="EG65" i="3" s="1"/>
  <c r="DT65" i="3"/>
  <c r="DU65" i="3" s="1"/>
  <c r="BB98" i="2"/>
  <c r="CP98" i="2" s="1"/>
  <c r="CP90" i="2"/>
  <c r="DX90" i="3" s="1"/>
  <c r="DY90" i="3" s="1"/>
  <c r="AX90" i="2"/>
  <c r="DX98" i="3" l="1"/>
  <c r="DY98" i="3" s="1"/>
  <c r="AX98" i="2"/>
  <c r="CL98" i="2" s="1"/>
  <c r="AV90" i="2"/>
  <c r="CJ90" i="2" s="1"/>
  <c r="CL90" i="2"/>
  <c r="BJ90" i="2"/>
  <c r="DT90" i="3" l="1"/>
  <c r="DU90" i="3" s="1"/>
  <c r="CX90" i="2"/>
  <c r="EF90" i="3" s="1"/>
  <c r="EG90" i="3" s="1"/>
  <c r="DT98" i="3"/>
  <c r="DU98" i="3" s="1"/>
  <c r="AV98" i="2"/>
  <c r="CJ98" i="2" l="1"/>
  <c r="CY107" i="3"/>
  <c r="CX107" i="3"/>
  <c r="CW107" i="3"/>
  <c r="CV107" i="3"/>
  <c r="CU107" i="3"/>
  <c r="CT107" i="3"/>
  <c r="CS107" i="3"/>
  <c r="CR107" i="3"/>
  <c r="CQ107" i="3"/>
  <c r="CP107" i="3"/>
  <c r="CO107" i="3"/>
  <c r="CN107" i="3"/>
  <c r="CM107" i="3"/>
  <c r="CL107" i="3"/>
  <c r="CK107" i="3"/>
  <c r="CJ107" i="3"/>
  <c r="CI107" i="3"/>
  <c r="CH107" i="3"/>
  <c r="CG107" i="3"/>
  <c r="CF107" i="3"/>
  <c r="CE107" i="3"/>
  <c r="CD107" i="3"/>
  <c r="CC107" i="3"/>
  <c r="CB107" i="3"/>
  <c r="CA107"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U107" i="3"/>
  <c r="AT107" i="3"/>
  <c r="AS107" i="3"/>
  <c r="CY106" i="3"/>
  <c r="CX106" i="3"/>
  <c r="CW106" i="3"/>
  <c r="CV106" i="3"/>
  <c r="CU106" i="3"/>
  <c r="CT106" i="3"/>
  <c r="CS106" i="3"/>
  <c r="CR106" i="3"/>
  <c r="CQ106" i="3"/>
  <c r="CP106" i="3"/>
  <c r="CO106" i="3"/>
  <c r="CN106" i="3"/>
  <c r="CM106" i="3"/>
  <c r="CL106" i="3"/>
  <c r="CK106" i="3"/>
  <c r="CJ106" i="3"/>
  <c r="CI106" i="3"/>
  <c r="CH106" i="3"/>
  <c r="CG106" i="3"/>
  <c r="CF106" i="3"/>
  <c r="CE106" i="3"/>
  <c r="CD106" i="3"/>
  <c r="CC106" i="3"/>
  <c r="CB106" i="3"/>
  <c r="CA106" i="3"/>
  <c r="BZ106" i="3"/>
  <c r="BY106" i="3"/>
  <c r="BX106" i="3"/>
  <c r="BW106" i="3"/>
  <c r="BV106" i="3"/>
  <c r="BU106"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U106" i="3"/>
  <c r="AT106" i="3"/>
  <c r="AS106" i="3"/>
  <c r="CY105" i="3"/>
  <c r="CX105" i="3"/>
  <c r="CW105" i="3"/>
  <c r="CV105" i="3"/>
  <c r="CU105" i="3"/>
  <c r="CT105" i="3"/>
  <c r="CS105" i="3"/>
  <c r="CR105" i="3"/>
  <c r="CQ105" i="3"/>
  <c r="CP105" i="3"/>
  <c r="CO105" i="3"/>
  <c r="CN105" i="3"/>
  <c r="CM105" i="3"/>
  <c r="CL105" i="3"/>
  <c r="CK105" i="3"/>
  <c r="CJ105" i="3"/>
  <c r="CI105" i="3"/>
  <c r="CH105" i="3"/>
  <c r="CG105" i="3"/>
  <c r="CF105" i="3"/>
  <c r="CE105" i="3"/>
  <c r="CD105" i="3"/>
  <c r="CC105" i="3"/>
  <c r="CB105" i="3"/>
  <c r="CA105" i="3"/>
  <c r="BZ105" i="3"/>
  <c r="BY105" i="3"/>
  <c r="BX105" i="3"/>
  <c r="BW105" i="3"/>
  <c r="BV105" i="3"/>
  <c r="BU105"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U105" i="3"/>
  <c r="AT105" i="3"/>
  <c r="AS105" i="3"/>
  <c r="CY104" i="3"/>
  <c r="CX104" i="3"/>
  <c r="CW104" i="3"/>
  <c r="CV104" i="3"/>
  <c r="CU104" i="3"/>
  <c r="CT104" i="3"/>
  <c r="CS104" i="3"/>
  <c r="CR104" i="3"/>
  <c r="CQ104" i="3"/>
  <c r="CP104" i="3"/>
  <c r="CO104" i="3"/>
  <c r="CN104" i="3"/>
  <c r="CM104" i="3"/>
  <c r="CL104" i="3"/>
  <c r="CK104" i="3"/>
  <c r="CJ104" i="3"/>
  <c r="CI104" i="3"/>
  <c r="CH104" i="3"/>
  <c r="CG104" i="3"/>
  <c r="CF104" i="3"/>
  <c r="CE104" i="3"/>
  <c r="CD104" i="3"/>
  <c r="CC104" i="3"/>
  <c r="CB104" i="3"/>
  <c r="CA104" i="3"/>
  <c r="BZ104" i="3"/>
  <c r="BY104" i="3"/>
  <c r="BX104" i="3"/>
  <c r="BW104" i="3"/>
  <c r="BV104" i="3"/>
  <c r="BU104"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U104" i="3"/>
  <c r="AT104" i="3"/>
  <c r="AS104" i="3"/>
  <c r="CY103" i="3"/>
  <c r="CX103" i="3"/>
  <c r="CW103" i="3"/>
  <c r="CV103" i="3"/>
  <c r="CU103" i="3"/>
  <c r="CT103" i="3"/>
  <c r="CS103" i="3"/>
  <c r="CR103" i="3"/>
  <c r="CQ103" i="3"/>
  <c r="CP103" i="3"/>
  <c r="CO103" i="3"/>
  <c r="CN103" i="3"/>
  <c r="CM103" i="3"/>
  <c r="CL103" i="3"/>
  <c r="CK103" i="3"/>
  <c r="CJ103" i="3"/>
  <c r="CI103" i="3"/>
  <c r="CH103" i="3"/>
  <c r="CG103" i="3"/>
  <c r="CF103" i="3"/>
  <c r="CE103" i="3"/>
  <c r="CD103" i="3"/>
  <c r="CC103" i="3"/>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U103" i="3"/>
  <c r="AT103" i="3"/>
  <c r="AS103" i="3"/>
  <c r="CY102" i="3"/>
  <c r="CX102"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U102"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U102" i="3"/>
  <c r="AT102" i="3"/>
  <c r="AS102" i="3"/>
  <c r="CY101" i="3"/>
  <c r="CX101"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U101"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U101" i="3"/>
  <c r="AT101" i="3"/>
  <c r="AS101" i="3"/>
  <c r="CY100" i="3"/>
  <c r="CX100" i="3"/>
  <c r="CW100" i="3"/>
  <c r="CV100" i="3"/>
  <c r="CU100" i="3"/>
  <c r="CT100" i="3"/>
  <c r="CS100" i="3"/>
  <c r="CR100" i="3"/>
  <c r="CQ100" i="3"/>
  <c r="CP100" i="3"/>
  <c r="CO100" i="3"/>
  <c r="CN100" i="3"/>
  <c r="CM100" i="3"/>
  <c r="CL100" i="3"/>
  <c r="CK100" i="3"/>
  <c r="CJ100" i="3"/>
  <c r="CI100" i="3"/>
  <c r="CH100" i="3"/>
  <c r="CG100" i="3"/>
  <c r="CF100" i="3"/>
  <c r="CE100" i="3"/>
  <c r="CD100" i="3"/>
  <c r="CC100" i="3"/>
  <c r="CB100" i="3"/>
  <c r="CA100" i="3"/>
  <c r="BZ100" i="3"/>
  <c r="BY100" i="3"/>
  <c r="BX100" i="3"/>
  <c r="BW100" i="3"/>
  <c r="BV100" i="3"/>
  <c r="BU100"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U100" i="3"/>
  <c r="AT100" i="3"/>
  <c r="AS100" i="3"/>
  <c r="CY99" i="3"/>
  <c r="CX99" i="3"/>
  <c r="CW99" i="3"/>
  <c r="CV99" i="3"/>
  <c r="CU99" i="3"/>
  <c r="CT99" i="3"/>
  <c r="CS99" i="3"/>
  <c r="CR99" i="3"/>
  <c r="CQ99" i="3"/>
  <c r="CP99" i="3"/>
  <c r="CO99" i="3"/>
  <c r="CN99" i="3"/>
  <c r="CM99" i="3"/>
  <c r="CL99" i="3"/>
  <c r="CK99" i="3"/>
  <c r="CJ99" i="3"/>
  <c r="CI99" i="3"/>
  <c r="CH99" i="3"/>
  <c r="CG99" i="3"/>
  <c r="CF99" i="3"/>
  <c r="CE99" i="3"/>
  <c r="CD99" i="3"/>
  <c r="CC99" i="3"/>
  <c r="CB99" i="3"/>
  <c r="CA99" i="3"/>
  <c r="BZ99" i="3"/>
  <c r="BY99" i="3"/>
  <c r="BX99" i="3"/>
  <c r="BW99" i="3"/>
  <c r="BV99" i="3"/>
  <c r="BU99"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U99" i="3"/>
  <c r="AT99" i="3"/>
  <c r="AS99" i="3"/>
  <c r="CY98" i="3"/>
  <c r="CX98"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U98"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U98" i="3"/>
  <c r="AT98" i="3"/>
  <c r="AS98" i="3"/>
  <c r="CY97" i="3"/>
  <c r="CX97" i="3"/>
  <c r="CW97" i="3"/>
  <c r="CV97" i="3"/>
  <c r="CU97" i="3"/>
  <c r="CT97" i="3"/>
  <c r="CS97" i="3"/>
  <c r="CR97" i="3"/>
  <c r="CQ97" i="3"/>
  <c r="CP97" i="3"/>
  <c r="CO97" i="3"/>
  <c r="CN97" i="3"/>
  <c r="CM97" i="3"/>
  <c r="CL97" i="3"/>
  <c r="CK97" i="3"/>
  <c r="CJ97" i="3"/>
  <c r="CI97" i="3"/>
  <c r="CH97" i="3"/>
  <c r="CG97" i="3"/>
  <c r="CF97" i="3"/>
  <c r="CE97" i="3"/>
  <c r="CD97" i="3"/>
  <c r="CC97" i="3"/>
  <c r="CB97" i="3"/>
  <c r="CA97" i="3"/>
  <c r="BZ97" i="3"/>
  <c r="BY97" i="3"/>
  <c r="BX97" i="3"/>
  <c r="BW97" i="3"/>
  <c r="BV97" i="3"/>
  <c r="BU97"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U97" i="3"/>
  <c r="AT97" i="3"/>
  <c r="AS97" i="3"/>
  <c r="CY96" i="3"/>
  <c r="CX96" i="3"/>
  <c r="CW96" i="3"/>
  <c r="CV96" i="3"/>
  <c r="CU96" i="3"/>
  <c r="CT96" i="3"/>
  <c r="CS96" i="3"/>
  <c r="CR96" i="3"/>
  <c r="CQ96" i="3"/>
  <c r="CP96" i="3"/>
  <c r="CO96" i="3"/>
  <c r="CN96" i="3"/>
  <c r="CM96" i="3"/>
  <c r="CL96" i="3"/>
  <c r="CK96" i="3"/>
  <c r="CJ96" i="3"/>
  <c r="CI96" i="3"/>
  <c r="CH96" i="3"/>
  <c r="CG96" i="3"/>
  <c r="CF96" i="3"/>
  <c r="CE96" i="3"/>
  <c r="CD96" i="3"/>
  <c r="CC96" i="3"/>
  <c r="CB96" i="3"/>
  <c r="CA96" i="3"/>
  <c r="BZ96" i="3"/>
  <c r="BY96" i="3"/>
  <c r="BX96" i="3"/>
  <c r="BW96" i="3"/>
  <c r="BV96" i="3"/>
  <c r="BU96"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U96" i="3"/>
  <c r="AT96" i="3"/>
  <c r="AS96" i="3"/>
  <c r="CY95" i="3"/>
  <c r="CX95"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U95"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U95" i="3"/>
  <c r="AT95" i="3"/>
  <c r="AS95"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U94" i="3"/>
  <c r="AT94" i="3"/>
  <c r="AS94" i="3"/>
  <c r="CY93" i="3"/>
  <c r="CX93" i="3"/>
  <c r="CW93" i="3"/>
  <c r="CV93" i="3"/>
  <c r="CU93" i="3"/>
  <c r="CT93" i="3"/>
  <c r="CS93" i="3"/>
  <c r="CR93" i="3"/>
  <c r="CQ93" i="3"/>
  <c r="CP93" i="3"/>
  <c r="CO93" i="3"/>
  <c r="CN93" i="3"/>
  <c r="CM93" i="3"/>
  <c r="CL93" i="3"/>
  <c r="CK93" i="3"/>
  <c r="CJ93" i="3"/>
  <c r="CI93" i="3"/>
  <c r="CH93" i="3"/>
  <c r="CG93" i="3"/>
  <c r="CF93" i="3"/>
  <c r="CE93" i="3"/>
  <c r="CD93" i="3"/>
  <c r="CC93" i="3"/>
  <c r="CB93" i="3"/>
  <c r="CA93" i="3"/>
  <c r="BZ93" i="3"/>
  <c r="BY93" i="3"/>
  <c r="BX93" i="3"/>
  <c r="BW93" i="3"/>
  <c r="BV93" i="3"/>
  <c r="BU93"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U93" i="3"/>
  <c r="AT93" i="3"/>
  <c r="AS93"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U92" i="3"/>
  <c r="AT92" i="3"/>
  <c r="AS92" i="3"/>
  <c r="CY91" i="3"/>
  <c r="CX91" i="3"/>
  <c r="CW91" i="3"/>
  <c r="CV91" i="3"/>
  <c r="CU91" i="3"/>
  <c r="CT91" i="3"/>
  <c r="CS91" i="3"/>
  <c r="CR91" i="3"/>
  <c r="CQ91" i="3"/>
  <c r="CP91" i="3"/>
  <c r="CO91" i="3"/>
  <c r="CN91" i="3"/>
  <c r="CM91" i="3"/>
  <c r="CL91" i="3"/>
  <c r="CK91" i="3"/>
  <c r="CJ91" i="3"/>
  <c r="CI91" i="3"/>
  <c r="CH91" i="3"/>
  <c r="CG91" i="3"/>
  <c r="CF91" i="3"/>
  <c r="CE91" i="3"/>
  <c r="CD91" i="3"/>
  <c r="CC91" i="3"/>
  <c r="CB91" i="3"/>
  <c r="CA91" i="3"/>
  <c r="BZ91" i="3"/>
  <c r="BY91" i="3"/>
  <c r="BX91" i="3"/>
  <c r="BW91" i="3"/>
  <c r="BV91" i="3"/>
  <c r="BU91"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U91" i="3"/>
  <c r="AT91" i="3"/>
  <c r="AS91" i="3"/>
  <c r="CY90" i="3"/>
  <c r="CX90" i="3"/>
  <c r="CW90" i="3"/>
  <c r="CV90" i="3"/>
  <c r="CU90" i="3"/>
  <c r="CT90" i="3"/>
  <c r="CS90" i="3"/>
  <c r="CR90" i="3"/>
  <c r="CQ90" i="3"/>
  <c r="CP90" i="3"/>
  <c r="CO90" i="3"/>
  <c r="CN90" i="3"/>
  <c r="CM90" i="3"/>
  <c r="CL90" i="3"/>
  <c r="CK90" i="3"/>
  <c r="CJ90" i="3"/>
  <c r="CI90" i="3"/>
  <c r="CH90" i="3"/>
  <c r="CG90" i="3"/>
  <c r="CF90" i="3"/>
  <c r="CE90" i="3"/>
  <c r="CD90" i="3"/>
  <c r="CC90" i="3"/>
  <c r="CB90" i="3"/>
  <c r="CA90" i="3"/>
  <c r="BZ90" i="3"/>
  <c r="BY90" i="3"/>
  <c r="BX90" i="3"/>
  <c r="BW90" i="3"/>
  <c r="BV90" i="3"/>
  <c r="BU90"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U90" i="3"/>
  <c r="AT90" i="3"/>
  <c r="AS90" i="3"/>
  <c r="CY89" i="3"/>
  <c r="CX89"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U89"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U89" i="3"/>
  <c r="AT89" i="3"/>
  <c r="AS89" i="3"/>
  <c r="CY88" i="3"/>
  <c r="CX88" i="3"/>
  <c r="CW88" i="3"/>
  <c r="CV88" i="3"/>
  <c r="CU88" i="3"/>
  <c r="CT88" i="3"/>
  <c r="CS88" i="3"/>
  <c r="CR88" i="3"/>
  <c r="CQ88" i="3"/>
  <c r="CP88" i="3"/>
  <c r="CO88" i="3"/>
  <c r="CN88" i="3"/>
  <c r="CM88" i="3"/>
  <c r="CL88" i="3"/>
  <c r="CK88" i="3"/>
  <c r="CJ88" i="3"/>
  <c r="CI88" i="3"/>
  <c r="CH88" i="3"/>
  <c r="CG88" i="3"/>
  <c r="CF88" i="3"/>
  <c r="CE88" i="3"/>
  <c r="CD88" i="3"/>
  <c r="CC88" i="3"/>
  <c r="CB88" i="3"/>
  <c r="CA88" i="3"/>
  <c r="BZ88" i="3"/>
  <c r="BY88" i="3"/>
  <c r="BX88" i="3"/>
  <c r="BW88" i="3"/>
  <c r="BV88" i="3"/>
  <c r="BU88"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U88" i="3"/>
  <c r="AT88" i="3"/>
  <c r="AS88" i="3"/>
  <c r="CY87" i="3"/>
  <c r="CX87" i="3"/>
  <c r="CW87" i="3"/>
  <c r="CV87" i="3"/>
  <c r="CU87" i="3"/>
  <c r="CT87" i="3"/>
  <c r="CS87" i="3"/>
  <c r="CR87" i="3"/>
  <c r="CQ87" i="3"/>
  <c r="CP87" i="3"/>
  <c r="CO87" i="3"/>
  <c r="CN87" i="3"/>
  <c r="CM87" i="3"/>
  <c r="CL87" i="3"/>
  <c r="CK87" i="3"/>
  <c r="CJ87" i="3"/>
  <c r="CI87" i="3"/>
  <c r="CH87" i="3"/>
  <c r="CG87" i="3"/>
  <c r="CF87" i="3"/>
  <c r="CE87" i="3"/>
  <c r="CD87" i="3"/>
  <c r="CC87" i="3"/>
  <c r="CB87" i="3"/>
  <c r="CA87" i="3"/>
  <c r="BZ87" i="3"/>
  <c r="BY87" i="3"/>
  <c r="BX87" i="3"/>
  <c r="BW87" i="3"/>
  <c r="BV87" i="3"/>
  <c r="BU87"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U87" i="3"/>
  <c r="AT87" i="3"/>
  <c r="AS87"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U86" i="3"/>
  <c r="AT86" i="3"/>
  <c r="AS86" i="3"/>
  <c r="CY85" i="3"/>
  <c r="CX85" i="3"/>
  <c r="CW85" i="3"/>
  <c r="CV85" i="3"/>
  <c r="CU85" i="3"/>
  <c r="CT85" i="3"/>
  <c r="CS85" i="3"/>
  <c r="CR85" i="3"/>
  <c r="CQ85" i="3"/>
  <c r="CP85" i="3"/>
  <c r="CO85" i="3"/>
  <c r="CN85" i="3"/>
  <c r="CM85" i="3"/>
  <c r="CL85" i="3"/>
  <c r="CK85" i="3"/>
  <c r="CJ85" i="3"/>
  <c r="CI85" i="3"/>
  <c r="CH85" i="3"/>
  <c r="CG85" i="3"/>
  <c r="CF85" i="3"/>
  <c r="CE85" i="3"/>
  <c r="CD85" i="3"/>
  <c r="CC85" i="3"/>
  <c r="CB85" i="3"/>
  <c r="CA85" i="3"/>
  <c r="BZ85" i="3"/>
  <c r="BY85" i="3"/>
  <c r="BX85" i="3"/>
  <c r="BW85" i="3"/>
  <c r="BV85" i="3"/>
  <c r="BU85"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U85" i="3"/>
  <c r="AT85" i="3"/>
  <c r="AS85" i="3"/>
  <c r="CY84" i="3"/>
  <c r="CX84" i="3"/>
  <c r="CW84" i="3"/>
  <c r="CV84" i="3"/>
  <c r="CU84" i="3"/>
  <c r="CT84" i="3"/>
  <c r="CS84" i="3"/>
  <c r="CR84" i="3"/>
  <c r="CQ84" i="3"/>
  <c r="CP84" i="3"/>
  <c r="CO84" i="3"/>
  <c r="CN84" i="3"/>
  <c r="CM84" i="3"/>
  <c r="CL84" i="3"/>
  <c r="CK84" i="3"/>
  <c r="CJ84" i="3"/>
  <c r="CI84" i="3"/>
  <c r="CH84" i="3"/>
  <c r="CG84" i="3"/>
  <c r="CF84" i="3"/>
  <c r="CE84" i="3"/>
  <c r="CD84" i="3"/>
  <c r="CC84" i="3"/>
  <c r="CB84" i="3"/>
  <c r="CA84" i="3"/>
  <c r="BZ84" i="3"/>
  <c r="BY84" i="3"/>
  <c r="BX84" i="3"/>
  <c r="BW84" i="3"/>
  <c r="BV84" i="3"/>
  <c r="BU84"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U84" i="3"/>
  <c r="AT84" i="3"/>
  <c r="AS84"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CY82" i="3"/>
  <c r="CX82" i="3"/>
  <c r="CW82" i="3"/>
  <c r="CV82" i="3"/>
  <c r="CU82" i="3"/>
  <c r="CT82" i="3"/>
  <c r="CS82" i="3"/>
  <c r="CR82" i="3"/>
  <c r="CQ82" i="3"/>
  <c r="CP82" i="3"/>
  <c r="CO82" i="3"/>
  <c r="CN82" i="3"/>
  <c r="CM82" i="3"/>
  <c r="CL82" i="3"/>
  <c r="CK82" i="3"/>
  <c r="CJ82" i="3"/>
  <c r="CI82" i="3"/>
  <c r="CH82" i="3"/>
  <c r="CG82" i="3"/>
  <c r="CF82" i="3"/>
  <c r="CE82" i="3"/>
  <c r="CD82" i="3"/>
  <c r="CC82" i="3"/>
  <c r="CB82" i="3"/>
  <c r="CA82" i="3"/>
  <c r="BZ82" i="3"/>
  <c r="BY82" i="3"/>
  <c r="BX82" i="3"/>
  <c r="BW82" i="3"/>
  <c r="BV82" i="3"/>
  <c r="BU82"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U82" i="3"/>
  <c r="AT82" i="3"/>
  <c r="AS82" i="3"/>
  <c r="CY81" i="3"/>
  <c r="CX81" i="3"/>
  <c r="CW81" i="3"/>
  <c r="CV81" i="3"/>
  <c r="CU81" i="3"/>
  <c r="CT81" i="3"/>
  <c r="CS81" i="3"/>
  <c r="CR81" i="3"/>
  <c r="CQ81" i="3"/>
  <c r="CP81" i="3"/>
  <c r="CO81" i="3"/>
  <c r="CN81" i="3"/>
  <c r="CM81" i="3"/>
  <c r="CL81" i="3"/>
  <c r="CK81" i="3"/>
  <c r="CJ81" i="3"/>
  <c r="CI81" i="3"/>
  <c r="CH81" i="3"/>
  <c r="CG81" i="3"/>
  <c r="CF81" i="3"/>
  <c r="CE81" i="3"/>
  <c r="CD81" i="3"/>
  <c r="CC81" i="3"/>
  <c r="CB81" i="3"/>
  <c r="CA81" i="3"/>
  <c r="BZ81" i="3"/>
  <c r="BY81" i="3"/>
  <c r="BX81" i="3"/>
  <c r="BW81" i="3"/>
  <c r="BV81" i="3"/>
  <c r="BU81"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U81" i="3"/>
  <c r="AT81" i="3"/>
  <c r="AS81"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U80" i="3"/>
  <c r="AT80" i="3"/>
  <c r="AS80" i="3"/>
  <c r="CY79" i="3"/>
  <c r="CX79" i="3"/>
  <c r="CW79" i="3"/>
  <c r="CV79" i="3"/>
  <c r="CU79" i="3"/>
  <c r="CT79" i="3"/>
  <c r="CS79" i="3"/>
  <c r="CR79" i="3"/>
  <c r="CQ79" i="3"/>
  <c r="CP79" i="3"/>
  <c r="CO79" i="3"/>
  <c r="CN79" i="3"/>
  <c r="CM79" i="3"/>
  <c r="CL79" i="3"/>
  <c r="CK79" i="3"/>
  <c r="CJ79" i="3"/>
  <c r="CI79" i="3"/>
  <c r="CH79" i="3"/>
  <c r="CG79" i="3"/>
  <c r="CF79" i="3"/>
  <c r="CE79" i="3"/>
  <c r="CD79" i="3"/>
  <c r="CC79" i="3"/>
  <c r="CB79" i="3"/>
  <c r="CA79" i="3"/>
  <c r="BZ79" i="3"/>
  <c r="BY79" i="3"/>
  <c r="BX79" i="3"/>
  <c r="BW79" i="3"/>
  <c r="BV79" i="3"/>
  <c r="BU79"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U79" i="3"/>
  <c r="AT79" i="3"/>
  <c r="AS79" i="3"/>
  <c r="CY78" i="3"/>
  <c r="CX78" i="3"/>
  <c r="CW78" i="3"/>
  <c r="CV78" i="3"/>
  <c r="CU78" i="3"/>
  <c r="CT78" i="3"/>
  <c r="CS78" i="3"/>
  <c r="CR78" i="3"/>
  <c r="CQ78" i="3"/>
  <c r="CP78" i="3"/>
  <c r="CO78" i="3"/>
  <c r="CN78" i="3"/>
  <c r="CM78" i="3"/>
  <c r="CL78" i="3"/>
  <c r="CK78" i="3"/>
  <c r="CJ78" i="3"/>
  <c r="CI78" i="3"/>
  <c r="CH78" i="3"/>
  <c r="CG78" i="3"/>
  <c r="CF78" i="3"/>
  <c r="CE78" i="3"/>
  <c r="CD78" i="3"/>
  <c r="CC78" i="3"/>
  <c r="CB78" i="3"/>
  <c r="CA78" i="3"/>
  <c r="BZ78" i="3"/>
  <c r="BY78" i="3"/>
  <c r="BX78" i="3"/>
  <c r="BW78" i="3"/>
  <c r="BV78" i="3"/>
  <c r="BU78"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U78" i="3"/>
  <c r="AT78" i="3"/>
  <c r="AS78"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CY76" i="3"/>
  <c r="CX76" i="3"/>
  <c r="CW76" i="3"/>
  <c r="CV76" i="3"/>
  <c r="CU76" i="3"/>
  <c r="CT76" i="3"/>
  <c r="CS76" i="3"/>
  <c r="CR76" i="3"/>
  <c r="CQ76" i="3"/>
  <c r="CP76" i="3"/>
  <c r="CO76" i="3"/>
  <c r="CN76" i="3"/>
  <c r="CM76" i="3"/>
  <c r="CL76" i="3"/>
  <c r="CK76" i="3"/>
  <c r="CJ76" i="3"/>
  <c r="CI76" i="3"/>
  <c r="CH76" i="3"/>
  <c r="CG76" i="3"/>
  <c r="CF76" i="3"/>
  <c r="CE76" i="3"/>
  <c r="CD76" i="3"/>
  <c r="CC76" i="3"/>
  <c r="CB76" i="3"/>
  <c r="CA76" i="3"/>
  <c r="BZ76" i="3"/>
  <c r="BY76" i="3"/>
  <c r="BX76" i="3"/>
  <c r="BW76" i="3"/>
  <c r="BV76" i="3"/>
  <c r="BU76"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U76" i="3"/>
  <c r="AT76" i="3"/>
  <c r="AS76" i="3"/>
  <c r="CY75" i="3"/>
  <c r="CX75" i="3"/>
  <c r="CW75" i="3"/>
  <c r="CV75" i="3"/>
  <c r="CU75" i="3"/>
  <c r="CT75" i="3"/>
  <c r="CS75" i="3"/>
  <c r="CR75" i="3"/>
  <c r="CQ75" i="3"/>
  <c r="CP75" i="3"/>
  <c r="CO75" i="3"/>
  <c r="CN75" i="3"/>
  <c r="CM75" i="3"/>
  <c r="CL75" i="3"/>
  <c r="CK75" i="3"/>
  <c r="CJ75" i="3"/>
  <c r="CI75" i="3"/>
  <c r="CH75" i="3"/>
  <c r="CG75" i="3"/>
  <c r="CF75" i="3"/>
  <c r="CE75" i="3"/>
  <c r="CD75" i="3"/>
  <c r="CC75" i="3"/>
  <c r="CB75" i="3"/>
  <c r="CA75" i="3"/>
  <c r="BZ75" i="3"/>
  <c r="BY75" i="3"/>
  <c r="BX75" i="3"/>
  <c r="BW75" i="3"/>
  <c r="BV75" i="3"/>
  <c r="BU75"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U75" i="3"/>
  <c r="AT75" i="3"/>
  <c r="AS75"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U74" i="3"/>
  <c r="AT74" i="3"/>
  <c r="AS74" i="3"/>
  <c r="CY73" i="3"/>
  <c r="CX73" i="3"/>
  <c r="CW73" i="3"/>
  <c r="CV73" i="3"/>
  <c r="CU73" i="3"/>
  <c r="CT73" i="3"/>
  <c r="CS73" i="3"/>
  <c r="CR73" i="3"/>
  <c r="CQ73" i="3"/>
  <c r="CP73" i="3"/>
  <c r="CO73" i="3"/>
  <c r="CN73" i="3"/>
  <c r="CM73" i="3"/>
  <c r="CL73" i="3"/>
  <c r="CK73" i="3"/>
  <c r="CJ73" i="3"/>
  <c r="CI73" i="3"/>
  <c r="CH73" i="3"/>
  <c r="CG73" i="3"/>
  <c r="CF73" i="3"/>
  <c r="CE73" i="3"/>
  <c r="CD73" i="3"/>
  <c r="CC73" i="3"/>
  <c r="CB73" i="3"/>
  <c r="CA73" i="3"/>
  <c r="BZ73" i="3"/>
  <c r="BY73" i="3"/>
  <c r="BX73" i="3"/>
  <c r="BW73" i="3"/>
  <c r="BV73" i="3"/>
  <c r="BU73"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U73" i="3"/>
  <c r="AT73" i="3"/>
  <c r="AS73"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CY70" i="3"/>
  <c r="CX70" i="3"/>
  <c r="CW70" i="3"/>
  <c r="CV70" i="3"/>
  <c r="CU70" i="3"/>
  <c r="CT70" i="3"/>
  <c r="CS70" i="3"/>
  <c r="CR70" i="3"/>
  <c r="CQ70" i="3"/>
  <c r="CP70" i="3"/>
  <c r="CO70" i="3"/>
  <c r="CN70" i="3"/>
  <c r="CM70" i="3"/>
  <c r="CL70" i="3"/>
  <c r="CK70" i="3"/>
  <c r="CJ70" i="3"/>
  <c r="CI70" i="3"/>
  <c r="CH70" i="3"/>
  <c r="CG70" i="3"/>
  <c r="CF70" i="3"/>
  <c r="CE70" i="3"/>
  <c r="CD70" i="3"/>
  <c r="CC70" i="3"/>
  <c r="CB70" i="3"/>
  <c r="CA70" i="3"/>
  <c r="BZ70" i="3"/>
  <c r="BY70" i="3"/>
  <c r="BX70" i="3"/>
  <c r="BW70" i="3"/>
  <c r="BV70" i="3"/>
  <c r="BU70"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U70" i="3"/>
  <c r="AT70" i="3"/>
  <c r="AS70" i="3"/>
  <c r="CY69" i="3"/>
  <c r="CX69" i="3"/>
  <c r="CW69" i="3"/>
  <c r="CV69" i="3"/>
  <c r="CU69" i="3"/>
  <c r="CT69" i="3"/>
  <c r="CS69" i="3"/>
  <c r="CR69" i="3"/>
  <c r="CQ69" i="3"/>
  <c r="CP69" i="3"/>
  <c r="CO69" i="3"/>
  <c r="CN69" i="3"/>
  <c r="CM69" i="3"/>
  <c r="CL69" i="3"/>
  <c r="CK69" i="3"/>
  <c r="CJ69" i="3"/>
  <c r="CI69" i="3"/>
  <c r="CH69" i="3"/>
  <c r="CG69" i="3"/>
  <c r="CF69" i="3"/>
  <c r="CE69" i="3"/>
  <c r="CD69" i="3"/>
  <c r="CC69" i="3"/>
  <c r="CB69" i="3"/>
  <c r="CA69" i="3"/>
  <c r="BZ69" i="3"/>
  <c r="BY69" i="3"/>
  <c r="BX69" i="3"/>
  <c r="BW69" i="3"/>
  <c r="BV69" i="3"/>
  <c r="BU69"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U69" i="3"/>
  <c r="AT69" i="3"/>
  <c r="AS69"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CY67" i="3"/>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CY66" i="3"/>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U66" i="3"/>
  <c r="AT66" i="3"/>
  <c r="AS66"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U65" i="3"/>
  <c r="AT65" i="3"/>
  <c r="AS65" i="3"/>
  <c r="CY64" i="3"/>
  <c r="CX64" i="3"/>
  <c r="CW64" i="3"/>
  <c r="CV64" i="3"/>
  <c r="CU64" i="3"/>
  <c r="CT64" i="3"/>
  <c r="CS64" i="3"/>
  <c r="CR64" i="3"/>
  <c r="CQ64" i="3"/>
  <c r="CP64" i="3"/>
  <c r="CO64" i="3"/>
  <c r="CN64" i="3"/>
  <c r="CM64" i="3"/>
  <c r="CL64" i="3"/>
  <c r="CK64" i="3"/>
  <c r="CJ64" i="3"/>
  <c r="CI64" i="3"/>
  <c r="CH64" i="3"/>
  <c r="CG64" i="3"/>
  <c r="CF64" i="3"/>
  <c r="CE64" i="3"/>
  <c r="CD64" i="3"/>
  <c r="CC64" i="3"/>
  <c r="CB64" i="3"/>
  <c r="CA64" i="3"/>
  <c r="BZ64" i="3"/>
  <c r="BY64" i="3"/>
  <c r="BX64" i="3"/>
  <c r="BW64" i="3"/>
  <c r="BV64" i="3"/>
  <c r="BU64"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U64" i="3"/>
  <c r="AT64" i="3"/>
  <c r="AS64" i="3"/>
  <c r="CY63" i="3"/>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U63" i="3"/>
  <c r="AT63" i="3"/>
  <c r="AS63"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U62" i="3"/>
  <c r="AT62" i="3"/>
  <c r="AS62" i="3"/>
  <c r="CY61" i="3"/>
  <c r="CX61" i="3"/>
  <c r="CW61" i="3"/>
  <c r="CV61" i="3"/>
  <c r="CU61" i="3"/>
  <c r="CT61" i="3"/>
  <c r="CS61" i="3"/>
  <c r="CR61" i="3"/>
  <c r="CQ61" i="3"/>
  <c r="CP61" i="3"/>
  <c r="CO61" i="3"/>
  <c r="CN61" i="3"/>
  <c r="CM61" i="3"/>
  <c r="CL61" i="3"/>
  <c r="CK61" i="3"/>
  <c r="CJ61" i="3"/>
  <c r="CI61" i="3"/>
  <c r="CH61" i="3"/>
  <c r="CG61" i="3"/>
  <c r="CF61" i="3"/>
  <c r="CE61" i="3"/>
  <c r="CD61" i="3"/>
  <c r="CC61" i="3"/>
  <c r="CB61" i="3"/>
  <c r="CA61" i="3"/>
  <c r="BZ61" i="3"/>
  <c r="BY61" i="3"/>
  <c r="BX61" i="3"/>
  <c r="BW61" i="3"/>
  <c r="BV61" i="3"/>
  <c r="BU61"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U61" i="3"/>
  <c r="AT61" i="3"/>
  <c r="AS61" i="3"/>
  <c r="CY60" i="3"/>
  <c r="CX60" i="3"/>
  <c r="CW60" i="3"/>
  <c r="CV60" i="3"/>
  <c r="CU60" i="3"/>
  <c r="CT60" i="3"/>
  <c r="CS60" i="3"/>
  <c r="CR60" i="3"/>
  <c r="CQ60" i="3"/>
  <c r="CP60" i="3"/>
  <c r="CO60" i="3"/>
  <c r="CN60" i="3"/>
  <c r="CM60" i="3"/>
  <c r="CL60" i="3"/>
  <c r="CK60" i="3"/>
  <c r="CJ60" i="3"/>
  <c r="CI60" i="3"/>
  <c r="CH60" i="3"/>
  <c r="CG60" i="3"/>
  <c r="CF60" i="3"/>
  <c r="CE60" i="3"/>
  <c r="CD60" i="3"/>
  <c r="CC60" i="3"/>
  <c r="CB60" i="3"/>
  <c r="CA60" i="3"/>
  <c r="BZ60" i="3"/>
  <c r="BY60" i="3"/>
  <c r="BX60" i="3"/>
  <c r="BW60" i="3"/>
  <c r="BV60" i="3"/>
  <c r="BU60"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U60" i="3"/>
  <c r="AT60" i="3"/>
  <c r="AS60"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U59" i="3"/>
  <c r="AT59" i="3"/>
  <c r="AS59" i="3"/>
  <c r="CY58" i="3"/>
  <c r="CX58" i="3"/>
  <c r="CW58" i="3"/>
  <c r="CV58" i="3"/>
  <c r="CU58" i="3"/>
  <c r="CT58" i="3"/>
  <c r="CS58" i="3"/>
  <c r="CR58" i="3"/>
  <c r="CQ58" i="3"/>
  <c r="CP58" i="3"/>
  <c r="CO58" i="3"/>
  <c r="CN58" i="3"/>
  <c r="CM58" i="3"/>
  <c r="CL58" i="3"/>
  <c r="CK58" i="3"/>
  <c r="CJ58" i="3"/>
  <c r="CI58" i="3"/>
  <c r="CH58" i="3"/>
  <c r="CG58" i="3"/>
  <c r="CF58" i="3"/>
  <c r="CE58" i="3"/>
  <c r="CD58" i="3"/>
  <c r="CC58" i="3"/>
  <c r="CB58" i="3"/>
  <c r="CA58" i="3"/>
  <c r="BZ58" i="3"/>
  <c r="BY58" i="3"/>
  <c r="BX58" i="3"/>
  <c r="BW58" i="3"/>
  <c r="BV58" i="3"/>
  <c r="BU58"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U58" i="3"/>
  <c r="AT58" i="3"/>
  <c r="AS58"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U57" i="3"/>
  <c r="AT57" i="3"/>
  <c r="AS57"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U56" i="3"/>
  <c r="AT56" i="3"/>
  <c r="AS56" i="3"/>
  <c r="CY55" i="3"/>
  <c r="CX55" i="3"/>
  <c r="CW55" i="3"/>
  <c r="CV55" i="3"/>
  <c r="CU55" i="3"/>
  <c r="CT55" i="3"/>
  <c r="CS55" i="3"/>
  <c r="CR55" i="3"/>
  <c r="CQ55" i="3"/>
  <c r="CP55" i="3"/>
  <c r="CO55" i="3"/>
  <c r="CN55" i="3"/>
  <c r="CM55" i="3"/>
  <c r="CL55" i="3"/>
  <c r="CK55" i="3"/>
  <c r="CJ55" i="3"/>
  <c r="CI55" i="3"/>
  <c r="CH55" i="3"/>
  <c r="CG55" i="3"/>
  <c r="CF55" i="3"/>
  <c r="CE55" i="3"/>
  <c r="CD55" i="3"/>
  <c r="CC55" i="3"/>
  <c r="CB55" i="3"/>
  <c r="CA55" i="3"/>
  <c r="BZ55" i="3"/>
  <c r="BY55" i="3"/>
  <c r="BX55" i="3"/>
  <c r="BW55" i="3"/>
  <c r="BV55" i="3"/>
  <c r="BU55"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U55" i="3"/>
  <c r="AT55" i="3"/>
  <c r="AS55"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CY52" i="3"/>
  <c r="CX52" i="3"/>
  <c r="CW52" i="3"/>
  <c r="CV52" i="3"/>
  <c r="CU52" i="3"/>
  <c r="CT52" i="3"/>
  <c r="CS52" i="3"/>
  <c r="CR52" i="3"/>
  <c r="CQ52" i="3"/>
  <c r="CP52" i="3"/>
  <c r="CO52" i="3"/>
  <c r="CN52" i="3"/>
  <c r="CM52" i="3"/>
  <c r="CL52" i="3"/>
  <c r="CK52" i="3"/>
  <c r="CJ52" i="3"/>
  <c r="CI52" i="3"/>
  <c r="CH52" i="3"/>
  <c r="CG52" i="3"/>
  <c r="CF52" i="3"/>
  <c r="CE52" i="3"/>
  <c r="CD52" i="3"/>
  <c r="CC52" i="3"/>
  <c r="CB52" i="3"/>
  <c r="CA52" i="3"/>
  <c r="BZ52" i="3"/>
  <c r="BY52" i="3"/>
  <c r="BX52" i="3"/>
  <c r="BW52" i="3"/>
  <c r="BV52" i="3"/>
  <c r="BU52"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U52" i="3"/>
  <c r="AT52" i="3"/>
  <c r="AS52" i="3"/>
  <c r="CY51" i="3"/>
  <c r="CX51" i="3"/>
  <c r="CW51" i="3"/>
  <c r="CV51" i="3"/>
  <c r="CU51" i="3"/>
  <c r="CT51" i="3"/>
  <c r="CS51" i="3"/>
  <c r="CR51" i="3"/>
  <c r="CQ51" i="3"/>
  <c r="CP51" i="3"/>
  <c r="CO51" i="3"/>
  <c r="CN51" i="3"/>
  <c r="CM51" i="3"/>
  <c r="CL51" i="3"/>
  <c r="CK51" i="3"/>
  <c r="CJ51" i="3"/>
  <c r="CI51" i="3"/>
  <c r="CH51" i="3"/>
  <c r="CG51" i="3"/>
  <c r="CF51" i="3"/>
  <c r="CE51" i="3"/>
  <c r="CD51" i="3"/>
  <c r="CC51" i="3"/>
  <c r="CB51" i="3"/>
  <c r="CA51" i="3"/>
  <c r="BZ51" i="3"/>
  <c r="BY51" i="3"/>
  <c r="BX51" i="3"/>
  <c r="BW51" i="3"/>
  <c r="BV51" i="3"/>
  <c r="BU51"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U51" i="3"/>
  <c r="AT51" i="3"/>
  <c r="AS51"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U50" i="3"/>
  <c r="AT50" i="3"/>
  <c r="AS50" i="3"/>
  <c r="CY49" i="3"/>
  <c r="CX49" i="3"/>
  <c r="CW49" i="3"/>
  <c r="CV49" i="3"/>
  <c r="CU49" i="3"/>
  <c r="CT49" i="3"/>
  <c r="CS49" i="3"/>
  <c r="CR49" i="3"/>
  <c r="CQ49" i="3"/>
  <c r="CP49" i="3"/>
  <c r="CO49" i="3"/>
  <c r="CN49" i="3"/>
  <c r="CM49" i="3"/>
  <c r="CL49" i="3"/>
  <c r="CK49" i="3"/>
  <c r="CJ49" i="3"/>
  <c r="CI49" i="3"/>
  <c r="CH49" i="3"/>
  <c r="CG49" i="3"/>
  <c r="CF49" i="3"/>
  <c r="CE49" i="3"/>
  <c r="CD49" i="3"/>
  <c r="CC49" i="3"/>
  <c r="CB49" i="3"/>
  <c r="CA49" i="3"/>
  <c r="BZ49" i="3"/>
  <c r="BY49" i="3"/>
  <c r="BX49" i="3"/>
  <c r="BW49" i="3"/>
  <c r="BV49" i="3"/>
  <c r="BU49"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U49" i="3"/>
  <c r="AT49" i="3"/>
  <c r="AS49" i="3"/>
  <c r="CY48" i="3"/>
  <c r="CX48" i="3"/>
  <c r="CW48" i="3"/>
  <c r="CV48" i="3"/>
  <c r="CU48" i="3"/>
  <c r="CT48" i="3"/>
  <c r="CS48" i="3"/>
  <c r="CR48" i="3"/>
  <c r="CQ48" i="3"/>
  <c r="CP48" i="3"/>
  <c r="CO48" i="3"/>
  <c r="CN48" i="3"/>
  <c r="CM48" i="3"/>
  <c r="CL48" i="3"/>
  <c r="CK48" i="3"/>
  <c r="CJ48" i="3"/>
  <c r="CI48" i="3"/>
  <c r="CH48" i="3"/>
  <c r="CG48" i="3"/>
  <c r="CF48" i="3"/>
  <c r="CE48" i="3"/>
  <c r="CD48" i="3"/>
  <c r="CC48" i="3"/>
  <c r="CB48" i="3"/>
  <c r="CA48" i="3"/>
  <c r="BZ48" i="3"/>
  <c r="BY48" i="3"/>
  <c r="BX48" i="3"/>
  <c r="BW48" i="3"/>
  <c r="BV48" i="3"/>
  <c r="BU48"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U48" i="3"/>
  <c r="AT48" i="3"/>
  <c r="AS48"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CY46" i="3"/>
  <c r="CX46" i="3"/>
  <c r="CW46" i="3"/>
  <c r="CV46" i="3"/>
  <c r="CU46" i="3"/>
  <c r="CT46" i="3"/>
  <c r="CS46" i="3"/>
  <c r="CR46" i="3"/>
  <c r="CQ46" i="3"/>
  <c r="CP46" i="3"/>
  <c r="CO46" i="3"/>
  <c r="CN46" i="3"/>
  <c r="CM46" i="3"/>
  <c r="CL46" i="3"/>
  <c r="CK46" i="3"/>
  <c r="CJ46" i="3"/>
  <c r="CI46" i="3"/>
  <c r="CH46" i="3"/>
  <c r="CG46" i="3"/>
  <c r="CF46" i="3"/>
  <c r="CE46" i="3"/>
  <c r="CD46" i="3"/>
  <c r="CC46" i="3"/>
  <c r="CB46" i="3"/>
  <c r="CA46" i="3"/>
  <c r="BZ46" i="3"/>
  <c r="BY46" i="3"/>
  <c r="BX46" i="3"/>
  <c r="BW46" i="3"/>
  <c r="BV46" i="3"/>
  <c r="BU46"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U46" i="3"/>
  <c r="AT46" i="3"/>
  <c r="AS46"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U44" i="3"/>
  <c r="AT44" i="3"/>
  <c r="AS44"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U43" i="3"/>
  <c r="AT43" i="3"/>
  <c r="AS43" i="3"/>
  <c r="CY42" i="3"/>
  <c r="CX42" i="3"/>
  <c r="CW42" i="3"/>
  <c r="CV42" i="3"/>
  <c r="CU42" i="3"/>
  <c r="CT42" i="3"/>
  <c r="CS42" i="3"/>
  <c r="CR42" i="3"/>
  <c r="CQ42" i="3"/>
  <c r="CP42" i="3"/>
  <c r="CO42" i="3"/>
  <c r="CN42" i="3"/>
  <c r="CM42" i="3"/>
  <c r="CL42" i="3"/>
  <c r="CK42" i="3"/>
  <c r="CJ42" i="3"/>
  <c r="CI42" i="3"/>
  <c r="CH42" i="3"/>
  <c r="CG42" i="3"/>
  <c r="CF42" i="3"/>
  <c r="CE42" i="3"/>
  <c r="CD42" i="3"/>
  <c r="CC42" i="3"/>
  <c r="CB42" i="3"/>
  <c r="CA42" i="3"/>
  <c r="BZ42" i="3"/>
  <c r="BY42" i="3"/>
  <c r="BX42" i="3"/>
  <c r="BW42" i="3"/>
  <c r="BV42" i="3"/>
  <c r="BU42"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U42" i="3"/>
  <c r="AT42" i="3"/>
  <c r="AS42"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U41" i="3"/>
  <c r="AT41" i="3"/>
  <c r="AS41" i="3"/>
  <c r="CY40" i="3"/>
  <c r="CX40"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U40"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U40" i="3"/>
  <c r="AT40" i="3"/>
  <c r="AS40" i="3"/>
  <c r="CY39" i="3"/>
  <c r="CX39" i="3"/>
  <c r="CW39" i="3"/>
  <c r="CV39" i="3"/>
  <c r="CU39" i="3"/>
  <c r="CT39" i="3"/>
  <c r="CS39" i="3"/>
  <c r="CR39" i="3"/>
  <c r="CQ39" i="3"/>
  <c r="CP39" i="3"/>
  <c r="CO39" i="3"/>
  <c r="CN39" i="3"/>
  <c r="CM39" i="3"/>
  <c r="CL39" i="3"/>
  <c r="CK39" i="3"/>
  <c r="CJ39" i="3"/>
  <c r="CI39" i="3"/>
  <c r="CH39" i="3"/>
  <c r="CG39" i="3"/>
  <c r="CF39" i="3"/>
  <c r="CE39" i="3"/>
  <c r="CD39" i="3"/>
  <c r="CC39" i="3"/>
  <c r="CB39" i="3"/>
  <c r="CA39" i="3"/>
  <c r="BZ39" i="3"/>
  <c r="BY39" i="3"/>
  <c r="BX39" i="3"/>
  <c r="BW39" i="3"/>
  <c r="BV39" i="3"/>
  <c r="BU39"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U39" i="3"/>
  <c r="AT39" i="3"/>
  <c r="AS39"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U38" i="3"/>
  <c r="AT38" i="3"/>
  <c r="AS38" i="3"/>
  <c r="CY37" i="3"/>
  <c r="CX37" i="3"/>
  <c r="CW37" i="3"/>
  <c r="CV37" i="3"/>
  <c r="CU37" i="3"/>
  <c r="CT37" i="3"/>
  <c r="CS37" i="3"/>
  <c r="CR37" i="3"/>
  <c r="CQ37" i="3"/>
  <c r="CP37" i="3"/>
  <c r="CO37" i="3"/>
  <c r="CN37" i="3"/>
  <c r="CM37" i="3"/>
  <c r="CL37" i="3"/>
  <c r="CK37" i="3"/>
  <c r="CJ37" i="3"/>
  <c r="CI37" i="3"/>
  <c r="CH37" i="3"/>
  <c r="CG37" i="3"/>
  <c r="CF37" i="3"/>
  <c r="CE37" i="3"/>
  <c r="CD37" i="3"/>
  <c r="CC37" i="3"/>
  <c r="CB37" i="3"/>
  <c r="CA37" i="3"/>
  <c r="BZ37" i="3"/>
  <c r="BY37" i="3"/>
  <c r="BX37" i="3"/>
  <c r="BW37" i="3"/>
  <c r="BV37" i="3"/>
  <c r="BU37"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U37" i="3"/>
  <c r="AT37" i="3"/>
  <c r="AS37" i="3"/>
  <c r="CY36" i="3"/>
  <c r="CX36" i="3"/>
  <c r="CW36" i="3"/>
  <c r="CV36" i="3"/>
  <c r="CU36" i="3"/>
  <c r="CT36" i="3"/>
  <c r="CS36" i="3"/>
  <c r="CR36" i="3"/>
  <c r="CQ36" i="3"/>
  <c r="CP36" i="3"/>
  <c r="CO36" i="3"/>
  <c r="CN36" i="3"/>
  <c r="CM36" i="3"/>
  <c r="CL36" i="3"/>
  <c r="CK36" i="3"/>
  <c r="CJ36" i="3"/>
  <c r="CI36" i="3"/>
  <c r="CH36" i="3"/>
  <c r="CG36" i="3"/>
  <c r="CF36" i="3"/>
  <c r="CE36" i="3"/>
  <c r="CD36" i="3"/>
  <c r="CC36" i="3"/>
  <c r="CB36" i="3"/>
  <c r="CA36" i="3"/>
  <c r="BZ36" i="3"/>
  <c r="BY36" i="3"/>
  <c r="BX36" i="3"/>
  <c r="BW36" i="3"/>
  <c r="BV36" i="3"/>
  <c r="BU36"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U36" i="3"/>
  <c r="AT36" i="3"/>
  <c r="AS36"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U35" i="3"/>
  <c r="AT35" i="3"/>
  <c r="AS35" i="3"/>
  <c r="CY34" i="3"/>
  <c r="CX34" i="3"/>
  <c r="CW34" i="3"/>
  <c r="CV34" i="3"/>
  <c r="CU34" i="3"/>
  <c r="CT34" i="3"/>
  <c r="CS34" i="3"/>
  <c r="CR34" i="3"/>
  <c r="CQ34" i="3"/>
  <c r="CP34" i="3"/>
  <c r="CO34" i="3"/>
  <c r="CN34" i="3"/>
  <c r="CM34" i="3"/>
  <c r="CL34" i="3"/>
  <c r="CK34" i="3"/>
  <c r="CJ34" i="3"/>
  <c r="CI34" i="3"/>
  <c r="CH34" i="3"/>
  <c r="CG34" i="3"/>
  <c r="CF34" i="3"/>
  <c r="CE34" i="3"/>
  <c r="CD34" i="3"/>
  <c r="CC34" i="3"/>
  <c r="CB34" i="3"/>
  <c r="CA34" i="3"/>
  <c r="BZ34" i="3"/>
  <c r="BY34" i="3"/>
  <c r="BX34" i="3"/>
  <c r="BW34" i="3"/>
  <c r="BV34" i="3"/>
  <c r="BU34"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U34" i="3"/>
  <c r="AT34" i="3"/>
  <c r="AS34" i="3"/>
  <c r="CY33" i="3"/>
  <c r="CX33" i="3"/>
  <c r="CW33" i="3"/>
  <c r="CV33" i="3"/>
  <c r="CU33" i="3"/>
  <c r="CT33" i="3"/>
  <c r="CS33" i="3"/>
  <c r="CR33" i="3"/>
  <c r="CQ33" i="3"/>
  <c r="CP33" i="3"/>
  <c r="CO33" i="3"/>
  <c r="CN33" i="3"/>
  <c r="CM33" i="3"/>
  <c r="CL33" i="3"/>
  <c r="CK33" i="3"/>
  <c r="CJ33" i="3"/>
  <c r="CI33" i="3"/>
  <c r="CH33" i="3"/>
  <c r="CG33" i="3"/>
  <c r="CF33" i="3"/>
  <c r="CE33" i="3"/>
  <c r="CD33" i="3"/>
  <c r="CC33" i="3"/>
  <c r="CB33" i="3"/>
  <c r="CA33" i="3"/>
  <c r="BZ33" i="3"/>
  <c r="BY33" i="3"/>
  <c r="BX33" i="3"/>
  <c r="BW33" i="3"/>
  <c r="BV33" i="3"/>
  <c r="BU33"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U33" i="3"/>
  <c r="AT33" i="3"/>
  <c r="AS33"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CY31" i="3"/>
  <c r="CX31" i="3"/>
  <c r="CW31" i="3"/>
  <c r="CV31" i="3"/>
  <c r="CU31" i="3"/>
  <c r="CT31" i="3"/>
  <c r="CS31" i="3"/>
  <c r="CR31" i="3"/>
  <c r="CQ31" i="3"/>
  <c r="CP31" i="3"/>
  <c r="CO31" i="3"/>
  <c r="CN31" i="3"/>
  <c r="CM31" i="3"/>
  <c r="CL31" i="3"/>
  <c r="CK31" i="3"/>
  <c r="CJ31" i="3"/>
  <c r="CI31" i="3"/>
  <c r="CH31" i="3"/>
  <c r="CG31" i="3"/>
  <c r="CF31" i="3"/>
  <c r="CE31" i="3"/>
  <c r="CD31" i="3"/>
  <c r="CC31" i="3"/>
  <c r="CB31" i="3"/>
  <c r="CA31" i="3"/>
  <c r="BZ31" i="3"/>
  <c r="BY31" i="3"/>
  <c r="BX31" i="3"/>
  <c r="BW31" i="3"/>
  <c r="BV31" i="3"/>
  <c r="BU31"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U31" i="3"/>
  <c r="AT31" i="3"/>
  <c r="AS31" i="3"/>
  <c r="CY30" i="3"/>
  <c r="CX30" i="3"/>
  <c r="CW30" i="3"/>
  <c r="CV30" i="3"/>
  <c r="CU30" i="3"/>
  <c r="CT30" i="3"/>
  <c r="CS30" i="3"/>
  <c r="CR30" i="3"/>
  <c r="CQ30" i="3"/>
  <c r="CP30" i="3"/>
  <c r="CO30" i="3"/>
  <c r="CN30" i="3"/>
  <c r="CM30" i="3"/>
  <c r="CL30" i="3"/>
  <c r="CK30" i="3"/>
  <c r="CJ30" i="3"/>
  <c r="CI30" i="3"/>
  <c r="CH30" i="3"/>
  <c r="CG30" i="3"/>
  <c r="CF30" i="3"/>
  <c r="CE30" i="3"/>
  <c r="CD30" i="3"/>
  <c r="CC30" i="3"/>
  <c r="CB30" i="3"/>
  <c r="CA30" i="3"/>
  <c r="BZ30" i="3"/>
  <c r="BY30" i="3"/>
  <c r="BX30" i="3"/>
  <c r="BW30" i="3"/>
  <c r="BV30" i="3"/>
  <c r="BU30"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U30" i="3"/>
  <c r="AT30" i="3"/>
  <c r="AS30"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U29" i="3"/>
  <c r="AT29" i="3"/>
  <c r="AS29"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U28" i="3"/>
  <c r="AT28" i="3"/>
  <c r="AS28"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U27" i="3"/>
  <c r="AT27" i="3"/>
  <c r="AS27"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U26" i="3"/>
  <c r="AT26" i="3"/>
  <c r="AS26" i="3"/>
  <c r="CY25" i="3"/>
  <c r="CX25" i="3"/>
  <c r="CW25" i="3"/>
  <c r="CV25" i="3"/>
  <c r="CU25" i="3"/>
  <c r="CT25" i="3"/>
  <c r="CS25" i="3"/>
  <c r="CR25" i="3"/>
  <c r="CQ25" i="3"/>
  <c r="CP25" i="3"/>
  <c r="CO25" i="3"/>
  <c r="CN25" i="3"/>
  <c r="CM25" i="3"/>
  <c r="CL25" i="3"/>
  <c r="CK25" i="3"/>
  <c r="CJ25" i="3"/>
  <c r="CI25" i="3"/>
  <c r="CH25" i="3"/>
  <c r="CG25" i="3"/>
  <c r="CF25" i="3"/>
  <c r="CE25" i="3"/>
  <c r="CD25" i="3"/>
  <c r="CC25" i="3"/>
  <c r="CB25" i="3"/>
  <c r="CA25" i="3"/>
  <c r="BZ25" i="3"/>
  <c r="BY25" i="3"/>
  <c r="BX25" i="3"/>
  <c r="BW25" i="3"/>
  <c r="BV25" i="3"/>
  <c r="BU25"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U25" i="3"/>
  <c r="AT25" i="3"/>
  <c r="AS25" i="3"/>
  <c r="CY24" i="3"/>
  <c r="CX24" i="3"/>
  <c r="CW24" i="3"/>
  <c r="CV24" i="3"/>
  <c r="CU24" i="3"/>
  <c r="CT24" i="3"/>
  <c r="CS24" i="3"/>
  <c r="CR24" i="3"/>
  <c r="CQ24" i="3"/>
  <c r="CP24" i="3"/>
  <c r="CO24" i="3"/>
  <c r="CN24" i="3"/>
  <c r="CM24" i="3"/>
  <c r="CL24" i="3"/>
  <c r="CK24" i="3"/>
  <c r="CJ24" i="3"/>
  <c r="CI24" i="3"/>
  <c r="CH24" i="3"/>
  <c r="CG24" i="3"/>
  <c r="CF24" i="3"/>
  <c r="CE24" i="3"/>
  <c r="CD24" i="3"/>
  <c r="CC24" i="3"/>
  <c r="CB24" i="3"/>
  <c r="CA24" i="3"/>
  <c r="BZ24" i="3"/>
  <c r="BY24" i="3"/>
  <c r="BX24" i="3"/>
  <c r="BW24" i="3"/>
  <c r="BV24" i="3"/>
  <c r="BU24"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U24" i="3"/>
  <c r="AT24" i="3"/>
  <c r="AS24"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CY22" i="3"/>
  <c r="CX22" i="3"/>
  <c r="CW22" i="3"/>
  <c r="CV22" i="3"/>
  <c r="CU22" i="3"/>
  <c r="CT22" i="3"/>
  <c r="CS22" i="3"/>
  <c r="CR22" i="3"/>
  <c r="CQ22" i="3"/>
  <c r="CP22" i="3"/>
  <c r="CO22" i="3"/>
  <c r="CN22" i="3"/>
  <c r="CM22" i="3"/>
  <c r="CL22" i="3"/>
  <c r="CK22" i="3"/>
  <c r="CJ22" i="3"/>
  <c r="CI22" i="3"/>
  <c r="CH22" i="3"/>
  <c r="CG22" i="3"/>
  <c r="CF22" i="3"/>
  <c r="CE22" i="3"/>
  <c r="CD22" i="3"/>
  <c r="CC22" i="3"/>
  <c r="CB22" i="3"/>
  <c r="CA22" i="3"/>
  <c r="BZ22" i="3"/>
  <c r="BY22" i="3"/>
  <c r="BX22" i="3"/>
  <c r="BW22" i="3"/>
  <c r="BV22" i="3"/>
  <c r="BU22"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U22" i="3"/>
  <c r="AT22" i="3"/>
  <c r="AS22"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U21" i="3"/>
  <c r="AT21" i="3"/>
  <c r="AS21"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U20" i="3"/>
  <c r="AT20" i="3"/>
  <c r="AS20" i="3"/>
  <c r="CY19" i="3"/>
  <c r="CX19" i="3"/>
  <c r="CW19" i="3"/>
  <c r="CV19" i="3"/>
  <c r="CU19" i="3"/>
  <c r="CT19" i="3"/>
  <c r="CS19" i="3"/>
  <c r="CR19" i="3"/>
  <c r="CQ19" i="3"/>
  <c r="CP19" i="3"/>
  <c r="CO19" i="3"/>
  <c r="CN19" i="3"/>
  <c r="CM19" i="3"/>
  <c r="CL19" i="3"/>
  <c r="CK19" i="3"/>
  <c r="CJ19" i="3"/>
  <c r="CI19" i="3"/>
  <c r="CH19" i="3"/>
  <c r="CG19" i="3"/>
  <c r="CF19" i="3"/>
  <c r="CE19" i="3"/>
  <c r="CD19" i="3"/>
  <c r="CC19" i="3"/>
  <c r="CB19" i="3"/>
  <c r="CA19" i="3"/>
  <c r="BZ19" i="3"/>
  <c r="BY19" i="3"/>
  <c r="BX19" i="3"/>
  <c r="BW19" i="3"/>
  <c r="BV19" i="3"/>
  <c r="BU19"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U19" i="3"/>
  <c r="AT19" i="3"/>
  <c r="AS19"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U18" i="3"/>
  <c r="AT18" i="3"/>
  <c r="AS18"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U17" i="3"/>
  <c r="AT17" i="3"/>
  <c r="AS17" i="3"/>
  <c r="CY16" i="3"/>
  <c r="CX16" i="3"/>
  <c r="CW16" i="3"/>
  <c r="CV16" i="3"/>
  <c r="CU16" i="3"/>
  <c r="CT16" i="3"/>
  <c r="CS16" i="3"/>
  <c r="CR16" i="3"/>
  <c r="CQ16" i="3"/>
  <c r="CP16" i="3"/>
  <c r="CO16" i="3"/>
  <c r="CN16" i="3"/>
  <c r="CM16" i="3"/>
  <c r="CL16" i="3"/>
  <c r="CK16" i="3"/>
  <c r="CJ16" i="3"/>
  <c r="CI16" i="3"/>
  <c r="CH16" i="3"/>
  <c r="CG16" i="3"/>
  <c r="CF16" i="3"/>
  <c r="CE16" i="3"/>
  <c r="CD16" i="3"/>
  <c r="CC16" i="3"/>
  <c r="CB16" i="3"/>
  <c r="CA16" i="3"/>
  <c r="BZ16" i="3"/>
  <c r="BY16" i="3"/>
  <c r="BX16" i="3"/>
  <c r="BW16" i="3"/>
  <c r="BV16" i="3"/>
  <c r="BU16"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U16" i="3"/>
  <c r="AT16" i="3"/>
  <c r="AS16" i="3"/>
  <c r="CY15" i="3"/>
  <c r="CX15"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U15"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U15" i="3"/>
  <c r="AT15" i="3"/>
  <c r="AS15"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U14" i="3"/>
  <c r="AT14" i="3"/>
  <c r="AS14" i="3"/>
  <c r="CY13" i="3"/>
  <c r="CX13" i="3"/>
  <c r="CW13" i="3"/>
  <c r="CV13" i="3"/>
  <c r="CU13" i="3"/>
  <c r="CT13" i="3"/>
  <c r="CS13" i="3"/>
  <c r="CR13" i="3"/>
  <c r="CQ13" i="3"/>
  <c r="CP13" i="3"/>
  <c r="CO13" i="3"/>
  <c r="CN13" i="3"/>
  <c r="CM13" i="3"/>
  <c r="CL13" i="3"/>
  <c r="CK13" i="3"/>
  <c r="CJ13" i="3"/>
  <c r="CI13" i="3"/>
  <c r="CH13" i="3"/>
  <c r="CG13" i="3"/>
  <c r="CF13" i="3"/>
  <c r="CE13" i="3"/>
  <c r="CD13" i="3"/>
  <c r="CC13" i="3"/>
  <c r="CB13" i="3"/>
  <c r="CA13" i="3"/>
  <c r="BZ13" i="3"/>
  <c r="BY13" i="3"/>
  <c r="BX13" i="3"/>
  <c r="BW13" i="3"/>
  <c r="BV13" i="3"/>
  <c r="BU13"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U13" i="3"/>
  <c r="AT13" i="3"/>
  <c r="AS13" i="3"/>
  <c r="AR13" i="3"/>
  <c r="DO107" i="3"/>
  <c r="DN107" i="3"/>
  <c r="DM107" i="3"/>
  <c r="DL107" i="3"/>
  <c r="DK107" i="3"/>
  <c r="DJ107" i="3"/>
  <c r="DI107" i="3"/>
  <c r="DH107" i="3"/>
  <c r="DG107" i="3"/>
  <c r="DF107" i="3"/>
  <c r="DE107" i="3"/>
  <c r="DD107" i="3"/>
  <c r="DA107" i="3"/>
  <c r="CZ107" i="3"/>
  <c r="DO106" i="3"/>
  <c r="DN106" i="3"/>
  <c r="DM106" i="3"/>
  <c r="DL106" i="3"/>
  <c r="DK106" i="3"/>
  <c r="DJ106" i="3"/>
  <c r="DI106" i="3"/>
  <c r="DH106" i="3"/>
  <c r="DG106" i="3"/>
  <c r="DF106" i="3"/>
  <c r="DE106" i="3"/>
  <c r="DD106" i="3"/>
  <c r="DA106" i="3"/>
  <c r="CZ106" i="3"/>
  <c r="DO105" i="3"/>
  <c r="DN105" i="3"/>
  <c r="DM105" i="3"/>
  <c r="DL105" i="3"/>
  <c r="DK105" i="3"/>
  <c r="DJ105" i="3"/>
  <c r="DI105" i="3"/>
  <c r="DH105" i="3"/>
  <c r="DG105" i="3"/>
  <c r="DF105" i="3"/>
  <c r="DE105" i="3"/>
  <c r="DD105" i="3"/>
  <c r="DA105" i="3"/>
  <c r="CZ105" i="3"/>
  <c r="DO104" i="3"/>
  <c r="DN104" i="3"/>
  <c r="DM104" i="3"/>
  <c r="DL104" i="3"/>
  <c r="DK104" i="3"/>
  <c r="DJ104" i="3"/>
  <c r="DI104" i="3"/>
  <c r="DH104" i="3"/>
  <c r="DG104" i="3"/>
  <c r="DF104" i="3"/>
  <c r="DE104" i="3"/>
  <c r="DD104" i="3"/>
  <c r="DA104" i="3"/>
  <c r="CZ104" i="3"/>
  <c r="DO103" i="3"/>
  <c r="DN103" i="3"/>
  <c r="DM103" i="3"/>
  <c r="DL103" i="3"/>
  <c r="DK103" i="3"/>
  <c r="DJ103" i="3"/>
  <c r="DI103" i="3"/>
  <c r="DH103" i="3"/>
  <c r="DG103" i="3"/>
  <c r="DF103" i="3"/>
  <c r="DE103" i="3"/>
  <c r="DD103" i="3"/>
  <c r="DA103" i="3"/>
  <c r="CZ103" i="3"/>
  <c r="DO102" i="3"/>
  <c r="DN102" i="3"/>
  <c r="DM102" i="3"/>
  <c r="DL102" i="3"/>
  <c r="DK102" i="3"/>
  <c r="DJ102" i="3"/>
  <c r="DI102" i="3"/>
  <c r="DH102" i="3"/>
  <c r="DG102" i="3"/>
  <c r="DF102" i="3"/>
  <c r="DE102" i="3"/>
  <c r="DQ102" i="3" s="1"/>
  <c r="DD102" i="3"/>
  <c r="DA102" i="3"/>
  <c r="CZ102" i="3"/>
  <c r="DO101" i="3"/>
  <c r="DN101" i="3"/>
  <c r="DM101" i="3"/>
  <c r="DL101" i="3"/>
  <c r="DK101" i="3"/>
  <c r="DJ101" i="3"/>
  <c r="DI101" i="3"/>
  <c r="DH101" i="3"/>
  <c r="DG101" i="3"/>
  <c r="DF101" i="3"/>
  <c r="DE101" i="3"/>
  <c r="DD101" i="3"/>
  <c r="DA101" i="3"/>
  <c r="CZ101" i="3"/>
  <c r="DO98" i="3"/>
  <c r="DN98" i="3"/>
  <c r="DM98" i="3"/>
  <c r="DL98" i="3"/>
  <c r="DK98" i="3"/>
  <c r="DJ98" i="3"/>
  <c r="DI98" i="3"/>
  <c r="DH98" i="3"/>
  <c r="DG98" i="3"/>
  <c r="DF98" i="3"/>
  <c r="DE98" i="3"/>
  <c r="DD98" i="3"/>
  <c r="DO97" i="3"/>
  <c r="DN97" i="3"/>
  <c r="DM97" i="3"/>
  <c r="DL97" i="3"/>
  <c r="DK97" i="3"/>
  <c r="DJ97" i="3"/>
  <c r="DI97" i="3"/>
  <c r="DH97" i="3"/>
  <c r="DG97" i="3"/>
  <c r="DF97" i="3"/>
  <c r="DE97" i="3"/>
  <c r="DD97" i="3"/>
  <c r="DO96" i="3"/>
  <c r="DN96" i="3"/>
  <c r="DM96" i="3"/>
  <c r="DL96" i="3"/>
  <c r="DK96" i="3"/>
  <c r="DJ96" i="3"/>
  <c r="DI96" i="3"/>
  <c r="DH96" i="3"/>
  <c r="DG96" i="3"/>
  <c r="DF96" i="3"/>
  <c r="DE96" i="3"/>
  <c r="DD96" i="3"/>
  <c r="DO93" i="3"/>
  <c r="DN93" i="3"/>
  <c r="DM93" i="3"/>
  <c r="DL93" i="3"/>
  <c r="DK93" i="3"/>
  <c r="DJ93" i="3"/>
  <c r="DI93" i="3"/>
  <c r="DH93" i="3"/>
  <c r="DG93" i="3"/>
  <c r="DF93" i="3"/>
  <c r="DE93" i="3"/>
  <c r="DD93" i="3"/>
  <c r="DO92" i="3"/>
  <c r="DN92" i="3"/>
  <c r="DM92" i="3"/>
  <c r="DL92" i="3"/>
  <c r="DK92" i="3"/>
  <c r="DJ92" i="3"/>
  <c r="DI92" i="3"/>
  <c r="DH92" i="3"/>
  <c r="DG92" i="3"/>
  <c r="DF92" i="3"/>
  <c r="DE92" i="3"/>
  <c r="DD92" i="3"/>
  <c r="DO91" i="3"/>
  <c r="DN91" i="3"/>
  <c r="DM91" i="3"/>
  <c r="DL91" i="3"/>
  <c r="DK91" i="3"/>
  <c r="DJ91" i="3"/>
  <c r="DI91" i="3"/>
  <c r="DH91" i="3"/>
  <c r="DG91" i="3"/>
  <c r="DF91" i="3"/>
  <c r="DE91" i="3"/>
  <c r="DD91" i="3"/>
  <c r="DO90" i="3"/>
  <c r="DN90" i="3"/>
  <c r="DM90" i="3"/>
  <c r="DL90" i="3"/>
  <c r="DK90" i="3"/>
  <c r="DJ90" i="3"/>
  <c r="DI90" i="3"/>
  <c r="DH90" i="3"/>
  <c r="DG90" i="3"/>
  <c r="DF90" i="3"/>
  <c r="DE90" i="3"/>
  <c r="DD90" i="3"/>
  <c r="DO89" i="3"/>
  <c r="DN89" i="3"/>
  <c r="DM89" i="3"/>
  <c r="DL89" i="3"/>
  <c r="DK89" i="3"/>
  <c r="DJ89" i="3"/>
  <c r="DI89" i="3"/>
  <c r="DH89" i="3"/>
  <c r="DG89" i="3"/>
  <c r="DF89" i="3"/>
  <c r="DE89" i="3"/>
  <c r="DD89" i="3"/>
  <c r="DO88" i="3"/>
  <c r="DN88" i="3"/>
  <c r="DM88" i="3"/>
  <c r="DL88" i="3"/>
  <c r="DK88" i="3"/>
  <c r="DJ88" i="3"/>
  <c r="DI88" i="3"/>
  <c r="DH88" i="3"/>
  <c r="DG88" i="3"/>
  <c r="DF88" i="3"/>
  <c r="DE88" i="3"/>
  <c r="DD88" i="3"/>
  <c r="DA88" i="3"/>
  <c r="DC88" i="3" s="1"/>
  <c r="CZ88" i="3"/>
  <c r="DO87" i="3"/>
  <c r="DN87" i="3"/>
  <c r="DM87" i="3"/>
  <c r="DL87" i="3"/>
  <c r="DK87" i="3"/>
  <c r="DJ87" i="3"/>
  <c r="DI87" i="3"/>
  <c r="DH87" i="3"/>
  <c r="DG87" i="3"/>
  <c r="DF87" i="3"/>
  <c r="DE87" i="3"/>
  <c r="DD87" i="3"/>
  <c r="DA87" i="3"/>
  <c r="DC87" i="3" s="1"/>
  <c r="CZ87" i="3"/>
  <c r="DB87" i="3" s="1"/>
  <c r="DO86" i="3"/>
  <c r="DN86" i="3"/>
  <c r="DM86" i="3"/>
  <c r="DL86" i="3"/>
  <c r="DK86" i="3"/>
  <c r="DJ86" i="3"/>
  <c r="DI86" i="3"/>
  <c r="DH86" i="3"/>
  <c r="DG86" i="3"/>
  <c r="DF86" i="3"/>
  <c r="DE86" i="3"/>
  <c r="DD86" i="3"/>
  <c r="DA86" i="3"/>
  <c r="CZ86" i="3"/>
  <c r="DB86" i="3" s="1"/>
  <c r="DO85" i="3"/>
  <c r="DN85" i="3"/>
  <c r="DM85" i="3"/>
  <c r="DL85" i="3"/>
  <c r="DK85" i="3"/>
  <c r="DJ85" i="3"/>
  <c r="DI85" i="3"/>
  <c r="DH85" i="3"/>
  <c r="DG85" i="3"/>
  <c r="DF85" i="3"/>
  <c r="DE85" i="3"/>
  <c r="DD85" i="3"/>
  <c r="DA85" i="3"/>
  <c r="DC85" i="3" s="1"/>
  <c r="CZ85" i="3"/>
  <c r="DO84" i="3"/>
  <c r="DN84" i="3"/>
  <c r="DM84" i="3"/>
  <c r="DL84" i="3"/>
  <c r="DK84" i="3"/>
  <c r="DJ84" i="3"/>
  <c r="DI84" i="3"/>
  <c r="DH84" i="3"/>
  <c r="DG84" i="3"/>
  <c r="DF84" i="3"/>
  <c r="DE84" i="3"/>
  <c r="DD84" i="3"/>
  <c r="DA84" i="3"/>
  <c r="DC84" i="3" s="1"/>
  <c r="CZ84" i="3"/>
  <c r="DB84" i="3" s="1"/>
  <c r="DO83" i="3"/>
  <c r="DN83" i="3"/>
  <c r="DM83" i="3"/>
  <c r="DL83" i="3"/>
  <c r="DK83" i="3"/>
  <c r="DJ83" i="3"/>
  <c r="DI83" i="3"/>
  <c r="DH83" i="3"/>
  <c r="DG83" i="3"/>
  <c r="DF83" i="3"/>
  <c r="DE83" i="3"/>
  <c r="DD83" i="3"/>
  <c r="DA83" i="3"/>
  <c r="DC83" i="3" s="1"/>
  <c r="CZ83" i="3"/>
  <c r="DO82" i="3"/>
  <c r="DN82" i="3"/>
  <c r="DM82" i="3"/>
  <c r="DL82" i="3"/>
  <c r="DK82" i="3"/>
  <c r="DJ82" i="3"/>
  <c r="DI82" i="3"/>
  <c r="DH82" i="3"/>
  <c r="DG82" i="3"/>
  <c r="DF82" i="3"/>
  <c r="DE82" i="3"/>
  <c r="DD82" i="3"/>
  <c r="DA82" i="3"/>
  <c r="DC82" i="3" s="1"/>
  <c r="CZ82" i="3"/>
  <c r="DO81" i="3"/>
  <c r="DN81" i="3"/>
  <c r="DM81" i="3"/>
  <c r="DL81" i="3"/>
  <c r="DK81" i="3"/>
  <c r="DJ81" i="3"/>
  <c r="DI81" i="3"/>
  <c r="DH81" i="3"/>
  <c r="DG81" i="3"/>
  <c r="DF81" i="3"/>
  <c r="DE81" i="3"/>
  <c r="DD81" i="3"/>
  <c r="DA81" i="3"/>
  <c r="DC81" i="3" s="1"/>
  <c r="CZ81" i="3"/>
  <c r="DO80" i="3"/>
  <c r="DN80" i="3"/>
  <c r="DM80" i="3"/>
  <c r="DL80" i="3"/>
  <c r="DK80" i="3"/>
  <c r="DJ80" i="3"/>
  <c r="DI80" i="3"/>
  <c r="DH80" i="3"/>
  <c r="DG80" i="3"/>
  <c r="DF80" i="3"/>
  <c r="DE80" i="3"/>
  <c r="DD80" i="3"/>
  <c r="DA80" i="3"/>
  <c r="DC80" i="3" s="1"/>
  <c r="CZ80" i="3"/>
  <c r="DB80" i="3" s="1"/>
  <c r="DO79" i="3"/>
  <c r="DN79" i="3"/>
  <c r="DM79" i="3"/>
  <c r="DL79" i="3"/>
  <c r="DK79" i="3"/>
  <c r="DJ79" i="3"/>
  <c r="DI79" i="3"/>
  <c r="DH79" i="3"/>
  <c r="DG79" i="3"/>
  <c r="DF79" i="3"/>
  <c r="DE79" i="3"/>
  <c r="DD79" i="3"/>
  <c r="DA79" i="3"/>
  <c r="DC79" i="3" s="1"/>
  <c r="CZ79" i="3"/>
  <c r="DB79" i="3" s="1"/>
  <c r="DO78" i="3"/>
  <c r="DN78" i="3"/>
  <c r="DM78" i="3"/>
  <c r="DL78" i="3"/>
  <c r="DK78" i="3"/>
  <c r="DJ78" i="3"/>
  <c r="DI78" i="3"/>
  <c r="DH78" i="3"/>
  <c r="DG78" i="3"/>
  <c r="DF78" i="3"/>
  <c r="DE78" i="3"/>
  <c r="DD78" i="3"/>
  <c r="DA78" i="3"/>
  <c r="DC78" i="3" s="1"/>
  <c r="CZ78" i="3"/>
  <c r="DO77" i="3"/>
  <c r="DN77" i="3"/>
  <c r="DM77" i="3"/>
  <c r="DL77" i="3"/>
  <c r="DK77" i="3"/>
  <c r="DJ77" i="3"/>
  <c r="DI77" i="3"/>
  <c r="DH77" i="3"/>
  <c r="DG77" i="3"/>
  <c r="DF77" i="3"/>
  <c r="DE77" i="3"/>
  <c r="DD77" i="3"/>
  <c r="DA77" i="3"/>
  <c r="DC77" i="3" s="1"/>
  <c r="CZ77" i="3"/>
  <c r="DO76" i="3"/>
  <c r="DN76" i="3"/>
  <c r="DM76" i="3"/>
  <c r="DL76" i="3"/>
  <c r="DK76" i="3"/>
  <c r="DJ76" i="3"/>
  <c r="DI76" i="3"/>
  <c r="DH76" i="3"/>
  <c r="DG76" i="3"/>
  <c r="DF76" i="3"/>
  <c r="DE76" i="3"/>
  <c r="DD76" i="3"/>
  <c r="DA76" i="3"/>
  <c r="DC76" i="3" s="1"/>
  <c r="CZ76" i="3"/>
  <c r="DB76" i="3" s="1"/>
  <c r="DO75" i="3"/>
  <c r="DN75" i="3"/>
  <c r="DM75" i="3"/>
  <c r="DL75" i="3"/>
  <c r="DK75" i="3"/>
  <c r="DJ75" i="3"/>
  <c r="DI75" i="3"/>
  <c r="DH75" i="3"/>
  <c r="DG75" i="3"/>
  <c r="DF75" i="3"/>
  <c r="DE75" i="3"/>
  <c r="DD75" i="3"/>
  <c r="DA75" i="3"/>
  <c r="DC75" i="3" s="1"/>
  <c r="CZ75" i="3"/>
  <c r="DB75" i="3" s="1"/>
  <c r="DO74" i="3"/>
  <c r="DN74" i="3"/>
  <c r="DM74" i="3"/>
  <c r="DL74" i="3"/>
  <c r="DK74" i="3"/>
  <c r="DJ74" i="3"/>
  <c r="DI74" i="3"/>
  <c r="DH74" i="3"/>
  <c r="DG74" i="3"/>
  <c r="DF74" i="3"/>
  <c r="DE74" i="3"/>
  <c r="DD74" i="3"/>
  <c r="DA74" i="3"/>
  <c r="DC74" i="3" s="1"/>
  <c r="CZ74" i="3"/>
  <c r="DO73" i="3"/>
  <c r="DN73" i="3"/>
  <c r="DM73" i="3"/>
  <c r="DL73" i="3"/>
  <c r="DK73" i="3"/>
  <c r="DJ73" i="3"/>
  <c r="DI73" i="3"/>
  <c r="DH73" i="3"/>
  <c r="DG73" i="3"/>
  <c r="DF73" i="3"/>
  <c r="DE73" i="3"/>
  <c r="DD73" i="3"/>
  <c r="DA73" i="3"/>
  <c r="DC73" i="3" s="1"/>
  <c r="CZ73" i="3"/>
  <c r="DO72" i="3"/>
  <c r="DN72" i="3"/>
  <c r="DM72" i="3"/>
  <c r="DL72" i="3"/>
  <c r="DK72" i="3"/>
  <c r="DJ72" i="3"/>
  <c r="DI72" i="3"/>
  <c r="DH72" i="3"/>
  <c r="DG72" i="3"/>
  <c r="DF72" i="3"/>
  <c r="DE72" i="3"/>
  <c r="DD72" i="3"/>
  <c r="DA72" i="3"/>
  <c r="DC72" i="3" s="1"/>
  <c r="CZ72" i="3"/>
  <c r="DB72" i="3" s="1"/>
  <c r="DO71" i="3"/>
  <c r="DN71" i="3"/>
  <c r="DM71" i="3"/>
  <c r="DL71" i="3"/>
  <c r="DK71" i="3"/>
  <c r="DJ71" i="3"/>
  <c r="DI71" i="3"/>
  <c r="DH71" i="3"/>
  <c r="DG71" i="3"/>
  <c r="DF71" i="3"/>
  <c r="DE71" i="3"/>
  <c r="DD71" i="3"/>
  <c r="DA71" i="3"/>
  <c r="DC71" i="3" s="1"/>
  <c r="CZ71" i="3"/>
  <c r="DB71" i="3" s="1"/>
  <c r="DA66" i="3"/>
  <c r="DC66" i="3" s="1"/>
  <c r="DO65" i="3"/>
  <c r="DN65" i="3"/>
  <c r="DM65" i="3"/>
  <c r="DL65" i="3"/>
  <c r="DK65" i="3"/>
  <c r="DJ65" i="3"/>
  <c r="DI65" i="3"/>
  <c r="DH65" i="3"/>
  <c r="DG65" i="3"/>
  <c r="DF65" i="3"/>
  <c r="DE65" i="3"/>
  <c r="DD65" i="3"/>
  <c r="DA65" i="3"/>
  <c r="DC65" i="3" s="1"/>
  <c r="CZ65" i="3"/>
  <c r="DO64" i="3"/>
  <c r="DN64" i="3"/>
  <c r="DM64" i="3"/>
  <c r="DL64" i="3"/>
  <c r="DK64" i="3"/>
  <c r="DJ64" i="3"/>
  <c r="DI64" i="3"/>
  <c r="DH64" i="3"/>
  <c r="DG64" i="3"/>
  <c r="DF64" i="3"/>
  <c r="DE64" i="3"/>
  <c r="DD64" i="3"/>
  <c r="DA64" i="3"/>
  <c r="DC64" i="3" s="1"/>
  <c r="CZ64" i="3"/>
  <c r="DO62" i="3"/>
  <c r="DN62" i="3"/>
  <c r="DM62" i="3"/>
  <c r="DL62" i="3"/>
  <c r="DK62" i="3"/>
  <c r="DJ62" i="3"/>
  <c r="DI62" i="3"/>
  <c r="DH62" i="3"/>
  <c r="DG62" i="3"/>
  <c r="DF62" i="3"/>
  <c r="DE62" i="3"/>
  <c r="DD62" i="3"/>
  <c r="DA62" i="3"/>
  <c r="DC62" i="3" s="1"/>
  <c r="CZ62" i="3"/>
  <c r="DO61" i="3"/>
  <c r="DN61" i="3"/>
  <c r="DM61" i="3"/>
  <c r="DL61" i="3"/>
  <c r="DK61" i="3"/>
  <c r="DJ61" i="3"/>
  <c r="DI61" i="3"/>
  <c r="DH61" i="3"/>
  <c r="DG61" i="3"/>
  <c r="DF61" i="3"/>
  <c r="DE61" i="3"/>
  <c r="DD61" i="3"/>
  <c r="DA61" i="3"/>
  <c r="DC61" i="3" s="1"/>
  <c r="CZ61" i="3"/>
  <c r="DB61" i="3" s="1"/>
  <c r="DO60" i="3"/>
  <c r="DN60" i="3"/>
  <c r="DM60" i="3"/>
  <c r="DL60" i="3"/>
  <c r="DK60" i="3"/>
  <c r="DJ60" i="3"/>
  <c r="DI60" i="3"/>
  <c r="DH60" i="3"/>
  <c r="DG60" i="3"/>
  <c r="DF60" i="3"/>
  <c r="DE60" i="3"/>
  <c r="DD60" i="3"/>
  <c r="DB60" i="3"/>
  <c r="DA60" i="3"/>
  <c r="DC60" i="3" s="1"/>
  <c r="CZ60" i="3"/>
  <c r="DO59" i="3"/>
  <c r="DN59" i="3"/>
  <c r="DM59" i="3"/>
  <c r="DL59" i="3"/>
  <c r="DK59" i="3"/>
  <c r="DJ59" i="3"/>
  <c r="DI59" i="3"/>
  <c r="DH59" i="3"/>
  <c r="DG59" i="3"/>
  <c r="DF59" i="3"/>
  <c r="DE59" i="3"/>
  <c r="DD59" i="3"/>
  <c r="DA59" i="3"/>
  <c r="DC59" i="3" s="1"/>
  <c r="CZ59" i="3"/>
  <c r="DO58" i="3"/>
  <c r="DN58" i="3"/>
  <c r="DM58" i="3"/>
  <c r="DL58" i="3"/>
  <c r="DK58" i="3"/>
  <c r="DJ58" i="3"/>
  <c r="DI58" i="3"/>
  <c r="DH58" i="3"/>
  <c r="DG58" i="3"/>
  <c r="DF58" i="3"/>
  <c r="DE58" i="3"/>
  <c r="DD58" i="3"/>
  <c r="DA58" i="3"/>
  <c r="DC58" i="3" s="1"/>
  <c r="CZ58" i="3"/>
  <c r="DO57" i="3"/>
  <c r="DN57" i="3"/>
  <c r="DM57" i="3"/>
  <c r="DL57" i="3"/>
  <c r="DK57" i="3"/>
  <c r="DJ57" i="3"/>
  <c r="DI57" i="3"/>
  <c r="DH57" i="3"/>
  <c r="DG57" i="3"/>
  <c r="DF57" i="3"/>
  <c r="DE57" i="3"/>
  <c r="DD57" i="3"/>
  <c r="DA57" i="3"/>
  <c r="DC57" i="3" s="1"/>
  <c r="CZ57" i="3"/>
  <c r="DB57" i="3" s="1"/>
  <c r="DO56" i="3"/>
  <c r="DN56" i="3"/>
  <c r="DM56" i="3"/>
  <c r="DL56" i="3"/>
  <c r="DK56" i="3"/>
  <c r="DJ56" i="3"/>
  <c r="DI56" i="3"/>
  <c r="DH56" i="3"/>
  <c r="DG56" i="3"/>
  <c r="DF56" i="3"/>
  <c r="DE56" i="3"/>
  <c r="DD56" i="3"/>
  <c r="DA56" i="3"/>
  <c r="DC56" i="3" s="1"/>
  <c r="CZ56" i="3"/>
  <c r="DB56" i="3" s="1"/>
  <c r="DO55" i="3"/>
  <c r="DN55" i="3"/>
  <c r="DM55" i="3"/>
  <c r="DL55" i="3"/>
  <c r="DK55" i="3"/>
  <c r="DJ55" i="3"/>
  <c r="DI55" i="3"/>
  <c r="DH55" i="3"/>
  <c r="DG55" i="3"/>
  <c r="DF55" i="3"/>
  <c r="DE55" i="3"/>
  <c r="DD55" i="3"/>
  <c r="DA55" i="3"/>
  <c r="DC55" i="3" s="1"/>
  <c r="CZ55" i="3"/>
  <c r="DO54" i="3"/>
  <c r="DN54" i="3"/>
  <c r="DM54" i="3"/>
  <c r="DL54" i="3"/>
  <c r="DK54" i="3"/>
  <c r="DJ54" i="3"/>
  <c r="DI54" i="3"/>
  <c r="DH54" i="3"/>
  <c r="DG54" i="3"/>
  <c r="DF54" i="3"/>
  <c r="DE54" i="3"/>
  <c r="DD54" i="3"/>
  <c r="DA54" i="3"/>
  <c r="DC54" i="3" s="1"/>
  <c r="CZ54" i="3"/>
  <c r="DB54" i="3" s="1"/>
  <c r="DO53" i="3"/>
  <c r="DN53" i="3"/>
  <c r="DM53" i="3"/>
  <c r="DL53" i="3"/>
  <c r="DK53" i="3"/>
  <c r="DJ53" i="3"/>
  <c r="DI53" i="3"/>
  <c r="DH53" i="3"/>
  <c r="DG53" i="3"/>
  <c r="DF53" i="3"/>
  <c r="DE53" i="3"/>
  <c r="DD53" i="3"/>
  <c r="DA53" i="3"/>
  <c r="DC53" i="3" s="1"/>
  <c r="CZ53" i="3"/>
  <c r="DB53" i="3" s="1"/>
  <c r="DO52" i="3"/>
  <c r="DN52" i="3"/>
  <c r="DM52" i="3"/>
  <c r="DL52" i="3"/>
  <c r="DK52" i="3"/>
  <c r="DJ52" i="3"/>
  <c r="DI52" i="3"/>
  <c r="DH52" i="3"/>
  <c r="DG52" i="3"/>
  <c r="DF52" i="3"/>
  <c r="DE52" i="3"/>
  <c r="DD52" i="3"/>
  <c r="DA52" i="3"/>
  <c r="DC52" i="3" s="1"/>
  <c r="CZ52" i="3"/>
  <c r="DO51" i="3"/>
  <c r="DN51" i="3"/>
  <c r="DM51" i="3"/>
  <c r="DL51" i="3"/>
  <c r="DK51" i="3"/>
  <c r="DJ51" i="3"/>
  <c r="DI51" i="3"/>
  <c r="DH51" i="3"/>
  <c r="DG51" i="3"/>
  <c r="DF51" i="3"/>
  <c r="DE51" i="3"/>
  <c r="DD51" i="3"/>
  <c r="DA51" i="3"/>
  <c r="DC51" i="3" s="1"/>
  <c r="CZ51" i="3"/>
  <c r="DO50" i="3"/>
  <c r="DN50" i="3"/>
  <c r="DM50" i="3"/>
  <c r="DL50" i="3"/>
  <c r="DK50" i="3"/>
  <c r="DJ50" i="3"/>
  <c r="DI50" i="3"/>
  <c r="DH50" i="3"/>
  <c r="DG50" i="3"/>
  <c r="DF50" i="3"/>
  <c r="DE50" i="3"/>
  <c r="DD50" i="3"/>
  <c r="DA50" i="3"/>
  <c r="DC50" i="3" s="1"/>
  <c r="CZ50" i="3"/>
  <c r="DB50" i="3" s="1"/>
  <c r="DO49" i="3"/>
  <c r="DN49" i="3"/>
  <c r="DM49" i="3"/>
  <c r="DL49" i="3"/>
  <c r="DK49" i="3"/>
  <c r="DJ49" i="3"/>
  <c r="DI49" i="3"/>
  <c r="DH49" i="3"/>
  <c r="DG49" i="3"/>
  <c r="DF49" i="3"/>
  <c r="DE49" i="3"/>
  <c r="DD49" i="3"/>
  <c r="DA49" i="3"/>
  <c r="DC49" i="3" s="1"/>
  <c r="CZ49" i="3"/>
  <c r="DB49" i="3" s="1"/>
  <c r="DO48" i="3"/>
  <c r="DN48" i="3"/>
  <c r="DM48" i="3"/>
  <c r="DL48" i="3"/>
  <c r="DK48" i="3"/>
  <c r="DJ48" i="3"/>
  <c r="DI48" i="3"/>
  <c r="DH48" i="3"/>
  <c r="DG48" i="3"/>
  <c r="DF48" i="3"/>
  <c r="DE48" i="3"/>
  <c r="DD48" i="3"/>
  <c r="DA48" i="3"/>
  <c r="DC48" i="3" s="1"/>
  <c r="CZ48" i="3"/>
  <c r="DO47" i="3"/>
  <c r="DN47" i="3"/>
  <c r="DM47" i="3"/>
  <c r="DL47" i="3"/>
  <c r="DK47" i="3"/>
  <c r="DJ47" i="3"/>
  <c r="DI47" i="3"/>
  <c r="DH47" i="3"/>
  <c r="DG47" i="3"/>
  <c r="DF47" i="3"/>
  <c r="DE47" i="3"/>
  <c r="DD47" i="3"/>
  <c r="DA47" i="3"/>
  <c r="DC47" i="3" s="1"/>
  <c r="CZ47" i="3"/>
  <c r="DO46" i="3"/>
  <c r="DN46" i="3"/>
  <c r="DM46" i="3"/>
  <c r="DL46" i="3"/>
  <c r="DK46" i="3"/>
  <c r="DJ46" i="3"/>
  <c r="DI46" i="3"/>
  <c r="DH46" i="3"/>
  <c r="DG46" i="3"/>
  <c r="DF46" i="3"/>
  <c r="DE46" i="3"/>
  <c r="DD46" i="3"/>
  <c r="DA46" i="3"/>
  <c r="DC46" i="3" s="1"/>
  <c r="CZ46" i="3"/>
  <c r="DB46" i="3" s="1"/>
  <c r="DO45" i="3"/>
  <c r="DN45" i="3"/>
  <c r="DM45" i="3"/>
  <c r="DL45" i="3"/>
  <c r="DK45" i="3"/>
  <c r="DJ45" i="3"/>
  <c r="DI45" i="3"/>
  <c r="DH45" i="3"/>
  <c r="DG45" i="3"/>
  <c r="DF45" i="3"/>
  <c r="DE45" i="3"/>
  <c r="DD45" i="3"/>
  <c r="DA45" i="3"/>
  <c r="DC45" i="3" s="1"/>
  <c r="CZ45" i="3"/>
  <c r="DB45" i="3" s="1"/>
  <c r="DO44" i="3"/>
  <c r="DN44" i="3"/>
  <c r="DM44" i="3"/>
  <c r="DL44" i="3"/>
  <c r="DK44" i="3"/>
  <c r="DJ44" i="3"/>
  <c r="DI44" i="3"/>
  <c r="DH44" i="3"/>
  <c r="DG44" i="3"/>
  <c r="DF44" i="3"/>
  <c r="DE44" i="3"/>
  <c r="DD44" i="3"/>
  <c r="DA44" i="3"/>
  <c r="DC44" i="3" s="1"/>
  <c r="CZ44" i="3"/>
  <c r="DO43" i="3"/>
  <c r="DN43" i="3"/>
  <c r="DM43" i="3"/>
  <c r="DL43" i="3"/>
  <c r="DK43" i="3"/>
  <c r="DJ43" i="3"/>
  <c r="DI43" i="3"/>
  <c r="DH43" i="3"/>
  <c r="DG43" i="3"/>
  <c r="DF43" i="3"/>
  <c r="DE43" i="3"/>
  <c r="DD43" i="3"/>
  <c r="DA43" i="3"/>
  <c r="DC43" i="3" s="1"/>
  <c r="CZ43" i="3"/>
  <c r="DO42" i="3"/>
  <c r="DN42" i="3"/>
  <c r="DM42" i="3"/>
  <c r="DL42" i="3"/>
  <c r="DK42" i="3"/>
  <c r="DJ42" i="3"/>
  <c r="DI42" i="3"/>
  <c r="DH42" i="3"/>
  <c r="DG42" i="3"/>
  <c r="DF42" i="3"/>
  <c r="DE42" i="3"/>
  <c r="DD42" i="3"/>
  <c r="DA42" i="3"/>
  <c r="DC42" i="3" s="1"/>
  <c r="CZ42" i="3"/>
  <c r="DO41" i="3"/>
  <c r="DN41" i="3"/>
  <c r="DM41" i="3"/>
  <c r="DL41" i="3"/>
  <c r="DK41" i="3"/>
  <c r="DJ41" i="3"/>
  <c r="DI41" i="3"/>
  <c r="DH41" i="3"/>
  <c r="DG41" i="3"/>
  <c r="DF41" i="3"/>
  <c r="DE41" i="3"/>
  <c r="DD41" i="3"/>
  <c r="DA41" i="3"/>
  <c r="DC41" i="3" s="1"/>
  <c r="CZ41" i="3"/>
  <c r="DB41" i="3" s="1"/>
  <c r="DO40" i="3"/>
  <c r="DN40" i="3"/>
  <c r="DM40" i="3"/>
  <c r="DL40" i="3"/>
  <c r="DK40" i="3"/>
  <c r="DJ40" i="3"/>
  <c r="DI40" i="3"/>
  <c r="DH40" i="3"/>
  <c r="DG40" i="3"/>
  <c r="DF40" i="3"/>
  <c r="DE40" i="3"/>
  <c r="DD40" i="3"/>
  <c r="DA40" i="3"/>
  <c r="DC40" i="3" s="1"/>
  <c r="CZ40" i="3"/>
  <c r="DB40" i="3" s="1"/>
  <c r="DO39" i="3"/>
  <c r="DN39" i="3"/>
  <c r="DM39" i="3"/>
  <c r="DL39" i="3"/>
  <c r="DK39" i="3"/>
  <c r="DJ39" i="3"/>
  <c r="DI39" i="3"/>
  <c r="DH39" i="3"/>
  <c r="DG39" i="3"/>
  <c r="DF39" i="3"/>
  <c r="DE39" i="3"/>
  <c r="DD39" i="3"/>
  <c r="DA39" i="3"/>
  <c r="DC39" i="3" s="1"/>
  <c r="CZ39" i="3"/>
  <c r="DB39" i="3" s="1"/>
  <c r="DO38" i="3"/>
  <c r="DN38" i="3"/>
  <c r="DM38" i="3"/>
  <c r="DL38" i="3"/>
  <c r="DK38" i="3"/>
  <c r="DJ38" i="3"/>
  <c r="DI38" i="3"/>
  <c r="DH38" i="3"/>
  <c r="DG38" i="3"/>
  <c r="DF38" i="3"/>
  <c r="DE38" i="3"/>
  <c r="DD38" i="3"/>
  <c r="DA38" i="3"/>
  <c r="DC38" i="3" s="1"/>
  <c r="CZ38" i="3"/>
  <c r="DB38" i="3" s="1"/>
  <c r="DO37" i="3"/>
  <c r="DN37" i="3"/>
  <c r="DM37" i="3"/>
  <c r="DL37" i="3"/>
  <c r="DK37" i="3"/>
  <c r="DJ37" i="3"/>
  <c r="DI37" i="3"/>
  <c r="DH37" i="3"/>
  <c r="DG37" i="3"/>
  <c r="DF37" i="3"/>
  <c r="DE37" i="3"/>
  <c r="DD37" i="3"/>
  <c r="DA37" i="3"/>
  <c r="DC37" i="3" s="1"/>
  <c r="CZ37" i="3"/>
  <c r="DO36" i="3"/>
  <c r="DN36" i="3"/>
  <c r="DM36" i="3"/>
  <c r="DL36" i="3"/>
  <c r="DK36" i="3"/>
  <c r="DJ36" i="3"/>
  <c r="DI36" i="3"/>
  <c r="DH36" i="3"/>
  <c r="DG36" i="3"/>
  <c r="DF36" i="3"/>
  <c r="DE36" i="3"/>
  <c r="DD36" i="3"/>
  <c r="DA36" i="3"/>
  <c r="DC36" i="3" s="1"/>
  <c r="CZ36" i="3"/>
  <c r="DO35" i="3"/>
  <c r="DN35" i="3"/>
  <c r="DM35" i="3"/>
  <c r="DL35" i="3"/>
  <c r="DK35" i="3"/>
  <c r="DJ35" i="3"/>
  <c r="DI35" i="3"/>
  <c r="DH35" i="3"/>
  <c r="DG35" i="3"/>
  <c r="DF35" i="3"/>
  <c r="DE35" i="3"/>
  <c r="DD35" i="3"/>
  <c r="DA35" i="3"/>
  <c r="DC35" i="3" s="1"/>
  <c r="CZ35" i="3"/>
  <c r="DB35" i="3" s="1"/>
  <c r="DO34" i="3"/>
  <c r="DN34" i="3"/>
  <c r="DM34" i="3"/>
  <c r="DL34" i="3"/>
  <c r="DK34" i="3"/>
  <c r="DJ34" i="3"/>
  <c r="DI34" i="3"/>
  <c r="DH34" i="3"/>
  <c r="DG34" i="3"/>
  <c r="DF34" i="3"/>
  <c r="DE34" i="3"/>
  <c r="DD34" i="3"/>
  <c r="DA34" i="3"/>
  <c r="DC34" i="3" s="1"/>
  <c r="CZ34" i="3"/>
  <c r="DB34" i="3" s="1"/>
  <c r="DO33" i="3"/>
  <c r="DN33" i="3"/>
  <c r="DM33" i="3"/>
  <c r="DL33" i="3"/>
  <c r="DK33" i="3"/>
  <c r="DJ33" i="3"/>
  <c r="DI33" i="3"/>
  <c r="DH33" i="3"/>
  <c r="DG33" i="3"/>
  <c r="DF33" i="3"/>
  <c r="DE33" i="3"/>
  <c r="DD33" i="3"/>
  <c r="DA33" i="3"/>
  <c r="CZ33" i="3"/>
  <c r="DB33" i="3" s="1"/>
  <c r="DO32" i="3"/>
  <c r="DN32" i="3"/>
  <c r="DM32" i="3"/>
  <c r="DL32" i="3"/>
  <c r="DK32" i="3"/>
  <c r="DJ32" i="3"/>
  <c r="DI32" i="3"/>
  <c r="DH32" i="3"/>
  <c r="DG32" i="3"/>
  <c r="DF32" i="3"/>
  <c r="DE32" i="3"/>
  <c r="DD32" i="3"/>
  <c r="DA32" i="3"/>
  <c r="DC32" i="3" s="1"/>
  <c r="CZ32" i="3"/>
  <c r="DO31" i="3"/>
  <c r="DN31" i="3"/>
  <c r="DM31" i="3"/>
  <c r="DL31" i="3"/>
  <c r="DK31" i="3"/>
  <c r="DJ31" i="3"/>
  <c r="DI31" i="3"/>
  <c r="DH31" i="3"/>
  <c r="DG31" i="3"/>
  <c r="DF31" i="3"/>
  <c r="DE31" i="3"/>
  <c r="DD31" i="3"/>
  <c r="DA31" i="3"/>
  <c r="DC31" i="3" s="1"/>
  <c r="CZ31" i="3"/>
  <c r="DO30" i="3"/>
  <c r="DN30" i="3"/>
  <c r="DM30" i="3"/>
  <c r="DL30" i="3"/>
  <c r="DK30" i="3"/>
  <c r="DJ30" i="3"/>
  <c r="DI30" i="3"/>
  <c r="DH30" i="3"/>
  <c r="DG30" i="3"/>
  <c r="DF30" i="3"/>
  <c r="DE30" i="3"/>
  <c r="DD30" i="3"/>
  <c r="DA30" i="3"/>
  <c r="DC30" i="3" s="1"/>
  <c r="CZ30" i="3"/>
  <c r="DB30" i="3" s="1"/>
  <c r="DO29" i="3"/>
  <c r="DN29" i="3"/>
  <c r="DM29" i="3"/>
  <c r="DL29" i="3"/>
  <c r="DK29" i="3"/>
  <c r="DJ29" i="3"/>
  <c r="DI29" i="3"/>
  <c r="DH29" i="3"/>
  <c r="DG29" i="3"/>
  <c r="DF29" i="3"/>
  <c r="DE29" i="3"/>
  <c r="DD29" i="3"/>
  <c r="DA29" i="3"/>
  <c r="CZ29" i="3"/>
  <c r="DB29" i="3" s="1"/>
  <c r="DO28" i="3"/>
  <c r="DN28" i="3"/>
  <c r="DM28" i="3"/>
  <c r="DL28" i="3"/>
  <c r="DK28" i="3"/>
  <c r="DJ28" i="3"/>
  <c r="DI28" i="3"/>
  <c r="DH28" i="3"/>
  <c r="DG28" i="3"/>
  <c r="DF28" i="3"/>
  <c r="DE28" i="3"/>
  <c r="DD28" i="3"/>
  <c r="DA28" i="3"/>
  <c r="DC28" i="3" s="1"/>
  <c r="CZ28" i="3"/>
  <c r="DO27" i="3"/>
  <c r="DN27" i="3"/>
  <c r="DM27" i="3"/>
  <c r="DL27" i="3"/>
  <c r="DK27" i="3"/>
  <c r="DJ27" i="3"/>
  <c r="DI27" i="3"/>
  <c r="DH27" i="3"/>
  <c r="DG27" i="3"/>
  <c r="DF27" i="3"/>
  <c r="DE27" i="3"/>
  <c r="DD27" i="3"/>
  <c r="DA27" i="3"/>
  <c r="DC27" i="3" s="1"/>
  <c r="CZ27" i="3"/>
  <c r="DO26" i="3"/>
  <c r="DN26" i="3"/>
  <c r="DM26" i="3"/>
  <c r="DL26" i="3"/>
  <c r="DK26" i="3"/>
  <c r="DJ26" i="3"/>
  <c r="DI26" i="3"/>
  <c r="DH26" i="3"/>
  <c r="DG26" i="3"/>
  <c r="DF26" i="3"/>
  <c r="DE26" i="3"/>
  <c r="DD26" i="3"/>
  <c r="DA26" i="3"/>
  <c r="DC26" i="3" s="1"/>
  <c r="CZ26" i="3"/>
  <c r="DB26" i="3" s="1"/>
  <c r="DO25" i="3"/>
  <c r="DN25" i="3"/>
  <c r="DM25" i="3"/>
  <c r="DL25" i="3"/>
  <c r="DK25" i="3"/>
  <c r="DJ25" i="3"/>
  <c r="DI25" i="3"/>
  <c r="DH25" i="3"/>
  <c r="DG25" i="3"/>
  <c r="DF25" i="3"/>
  <c r="DE25" i="3"/>
  <c r="DD25" i="3"/>
  <c r="DA25" i="3"/>
  <c r="CZ25" i="3"/>
  <c r="DB25" i="3" s="1"/>
  <c r="DB102" i="3" s="1"/>
  <c r="DO24" i="3"/>
  <c r="DN24" i="3"/>
  <c r="DM24" i="3"/>
  <c r="DL24" i="3"/>
  <c r="DK24" i="3"/>
  <c r="DJ24" i="3"/>
  <c r="DI24" i="3"/>
  <c r="DH24" i="3"/>
  <c r="DG24" i="3"/>
  <c r="DF24" i="3"/>
  <c r="DE24" i="3"/>
  <c r="DD24" i="3"/>
  <c r="DA24" i="3"/>
  <c r="DC24" i="3" s="1"/>
  <c r="CZ24" i="3"/>
  <c r="DO23" i="3"/>
  <c r="DN23" i="3"/>
  <c r="DM23" i="3"/>
  <c r="DL23" i="3"/>
  <c r="DK23" i="3"/>
  <c r="DJ23" i="3"/>
  <c r="DI23" i="3"/>
  <c r="DH23" i="3"/>
  <c r="DG23" i="3"/>
  <c r="DF23" i="3"/>
  <c r="DE23" i="3"/>
  <c r="DD23" i="3"/>
  <c r="DA23" i="3"/>
  <c r="DC23" i="3" s="1"/>
  <c r="CZ23" i="3"/>
  <c r="DO22" i="3"/>
  <c r="DN22" i="3"/>
  <c r="DM22" i="3"/>
  <c r="DL22" i="3"/>
  <c r="DK22" i="3"/>
  <c r="DJ22" i="3"/>
  <c r="DI22" i="3"/>
  <c r="DH22" i="3"/>
  <c r="DG22" i="3"/>
  <c r="DF22" i="3"/>
  <c r="DE22" i="3"/>
  <c r="DD22" i="3"/>
  <c r="DA22" i="3"/>
  <c r="DC22" i="3" s="1"/>
  <c r="CZ22" i="3"/>
  <c r="DB22" i="3" s="1"/>
  <c r="DO21" i="3"/>
  <c r="DN21" i="3"/>
  <c r="DM21" i="3"/>
  <c r="DL21" i="3"/>
  <c r="DK21" i="3"/>
  <c r="DJ21" i="3"/>
  <c r="DI21" i="3"/>
  <c r="DH21" i="3"/>
  <c r="DG21" i="3"/>
  <c r="DF21" i="3"/>
  <c r="DE21" i="3"/>
  <c r="DD21" i="3"/>
  <c r="DA21" i="3"/>
  <c r="DC21" i="3" s="1"/>
  <c r="CZ21" i="3"/>
  <c r="DB21" i="3" s="1"/>
  <c r="DO20" i="3"/>
  <c r="DN20" i="3"/>
  <c r="DM20" i="3"/>
  <c r="DL20" i="3"/>
  <c r="DK20" i="3"/>
  <c r="DJ20" i="3"/>
  <c r="DI20" i="3"/>
  <c r="DH20" i="3"/>
  <c r="DG20" i="3"/>
  <c r="DF20" i="3"/>
  <c r="DE20" i="3"/>
  <c r="DD20" i="3"/>
  <c r="DA20" i="3"/>
  <c r="DC20" i="3" s="1"/>
  <c r="CZ20" i="3"/>
  <c r="DO19" i="3"/>
  <c r="DN19" i="3"/>
  <c r="DM19" i="3"/>
  <c r="DL19" i="3"/>
  <c r="DK19" i="3"/>
  <c r="DJ19" i="3"/>
  <c r="DI19" i="3"/>
  <c r="DH19" i="3"/>
  <c r="DG19" i="3"/>
  <c r="DF19" i="3"/>
  <c r="DE19" i="3"/>
  <c r="DD19" i="3"/>
  <c r="DA19" i="3"/>
  <c r="DC19" i="3" s="1"/>
  <c r="CZ19" i="3"/>
  <c r="DO18" i="3"/>
  <c r="DN18" i="3"/>
  <c r="DM18" i="3"/>
  <c r="DL18" i="3"/>
  <c r="DK18" i="3"/>
  <c r="DJ18" i="3"/>
  <c r="DI18" i="3"/>
  <c r="DH18" i="3"/>
  <c r="DG18" i="3"/>
  <c r="DF18" i="3"/>
  <c r="DE18" i="3"/>
  <c r="DD18" i="3"/>
  <c r="DA18" i="3"/>
  <c r="DC18" i="3" s="1"/>
  <c r="CZ18" i="3"/>
  <c r="DB18" i="3" s="1"/>
  <c r="DO17" i="3"/>
  <c r="DN17" i="3"/>
  <c r="DM17" i="3"/>
  <c r="DL17" i="3"/>
  <c r="DK17" i="3"/>
  <c r="DJ17" i="3"/>
  <c r="DI17" i="3"/>
  <c r="DH17" i="3"/>
  <c r="DG17" i="3"/>
  <c r="DF17" i="3"/>
  <c r="DE17" i="3"/>
  <c r="DD17" i="3"/>
  <c r="DA17" i="3"/>
  <c r="DC17" i="3" s="1"/>
  <c r="CZ17" i="3"/>
  <c r="DB17" i="3" s="1"/>
  <c r="DO16" i="3"/>
  <c r="DN16" i="3"/>
  <c r="DM16" i="3"/>
  <c r="DL16" i="3"/>
  <c r="DK16" i="3"/>
  <c r="DJ16" i="3"/>
  <c r="DI16" i="3"/>
  <c r="DH16" i="3"/>
  <c r="DG16" i="3"/>
  <c r="DF16" i="3"/>
  <c r="DE16" i="3"/>
  <c r="DD16" i="3"/>
  <c r="DA16" i="3"/>
  <c r="DC16" i="3" s="1"/>
  <c r="CZ16" i="3"/>
  <c r="DO15" i="3"/>
  <c r="DN15" i="3"/>
  <c r="DM15" i="3"/>
  <c r="DL15" i="3"/>
  <c r="DK15" i="3"/>
  <c r="DJ15" i="3"/>
  <c r="DI15" i="3"/>
  <c r="DH15" i="3"/>
  <c r="DG15" i="3"/>
  <c r="DF15" i="3"/>
  <c r="DE15" i="3"/>
  <c r="DD15" i="3"/>
  <c r="DA15" i="3"/>
  <c r="DC15" i="3" s="1"/>
  <c r="CZ15" i="3"/>
  <c r="DO14" i="3"/>
  <c r="DN14" i="3"/>
  <c r="DM14" i="3"/>
  <c r="DL14" i="3"/>
  <c r="DK14" i="3"/>
  <c r="DJ14" i="3"/>
  <c r="DI14" i="3"/>
  <c r="DH14" i="3"/>
  <c r="DG14" i="3"/>
  <c r="DF14" i="3"/>
  <c r="DE14" i="3"/>
  <c r="DD14" i="3"/>
  <c r="DA14" i="3"/>
  <c r="DC14" i="3" s="1"/>
  <c r="CZ14" i="3"/>
  <c r="DB14" i="3" s="1"/>
  <c r="DO13" i="3"/>
  <c r="DN13" i="3"/>
  <c r="DM13" i="3"/>
  <c r="DL13" i="3"/>
  <c r="DK13" i="3"/>
  <c r="DJ13" i="3"/>
  <c r="DI13" i="3"/>
  <c r="DH13" i="3"/>
  <c r="DG13" i="3"/>
  <c r="DF13" i="3"/>
  <c r="DE13" i="3"/>
  <c r="DD13" i="3"/>
  <c r="DA13" i="3"/>
  <c r="CZ13" i="3"/>
  <c r="DB13" i="3" s="1"/>
  <c r="C110" i="2"/>
  <c r="DO107" i="2"/>
  <c r="DN107" i="2"/>
  <c r="DM107" i="2"/>
  <c r="DL107" i="2"/>
  <c r="DK107" i="2"/>
  <c r="DJ107" i="2"/>
  <c r="DI107" i="2"/>
  <c r="DH107" i="2"/>
  <c r="DZ107" i="2" s="1"/>
  <c r="EA107" i="2" s="1"/>
  <c r="DG107" i="2"/>
  <c r="DF107" i="2"/>
  <c r="DE107" i="2"/>
  <c r="DD107" i="2"/>
  <c r="DV107" i="2" s="1"/>
  <c r="DW107" i="2" s="1"/>
  <c r="DA107" i="2"/>
  <c r="CZ107" i="2"/>
  <c r="DO106" i="2"/>
  <c r="DN106" i="2"/>
  <c r="DM106" i="2"/>
  <c r="DL106" i="2"/>
  <c r="DK106" i="2"/>
  <c r="DJ106" i="2"/>
  <c r="DI106" i="2"/>
  <c r="DH106" i="2"/>
  <c r="DG106" i="2"/>
  <c r="DF106" i="2"/>
  <c r="DE106" i="2"/>
  <c r="DD106" i="2"/>
  <c r="DA106" i="2"/>
  <c r="CZ106" i="2"/>
  <c r="DR106" i="2" s="1"/>
  <c r="DS106" i="2" s="1"/>
  <c r="DO105" i="2"/>
  <c r="DN105" i="2"/>
  <c r="DM105" i="2"/>
  <c r="DL105" i="2"/>
  <c r="DK105" i="2"/>
  <c r="DJ105" i="2"/>
  <c r="DI105" i="2"/>
  <c r="DH105" i="2"/>
  <c r="DG105" i="2"/>
  <c r="DF105" i="2"/>
  <c r="DE105" i="2"/>
  <c r="DD105" i="2"/>
  <c r="DA105" i="2"/>
  <c r="CZ105" i="2"/>
  <c r="DO104" i="2"/>
  <c r="DN104" i="2"/>
  <c r="DM104" i="2"/>
  <c r="DL104" i="2"/>
  <c r="DK104" i="2"/>
  <c r="DJ104" i="2"/>
  <c r="DI104" i="2"/>
  <c r="DH104" i="2"/>
  <c r="DG104" i="2"/>
  <c r="DF104" i="2"/>
  <c r="DE104" i="2"/>
  <c r="DD104" i="2"/>
  <c r="DA104" i="2"/>
  <c r="CZ104" i="2"/>
  <c r="DO103" i="2"/>
  <c r="EF103" i="2" s="1"/>
  <c r="EG103" i="2" s="1"/>
  <c r="DN103" i="2"/>
  <c r="DM103" i="2"/>
  <c r="DL103" i="2"/>
  <c r="DK103" i="2"/>
  <c r="DJ103" i="2"/>
  <c r="DI103" i="2"/>
  <c r="DH103" i="2"/>
  <c r="DG103" i="2"/>
  <c r="DF103" i="2"/>
  <c r="DE103" i="2"/>
  <c r="DD103" i="2"/>
  <c r="DA103" i="2"/>
  <c r="CZ103" i="2"/>
  <c r="DO102" i="2"/>
  <c r="DN102" i="2"/>
  <c r="DM102" i="2"/>
  <c r="ED102" i="2" s="1"/>
  <c r="DL102" i="2"/>
  <c r="DK102" i="2"/>
  <c r="DJ102" i="2"/>
  <c r="DI102" i="2"/>
  <c r="DZ102" i="2" s="1"/>
  <c r="EA102" i="2" s="1"/>
  <c r="DH102" i="2"/>
  <c r="DG102" i="2"/>
  <c r="DF102" i="2"/>
  <c r="DE102" i="2"/>
  <c r="DQ102" i="2" s="1"/>
  <c r="DD102" i="2"/>
  <c r="DA102" i="2"/>
  <c r="CZ102" i="2"/>
  <c r="DR102" i="2" s="1"/>
  <c r="DS102" i="2" s="1"/>
  <c r="DO101" i="2"/>
  <c r="DN101" i="2"/>
  <c r="DM101" i="2"/>
  <c r="DL101" i="2"/>
  <c r="ED101" i="2" s="1"/>
  <c r="EE101" i="2" s="1"/>
  <c r="DK101" i="2"/>
  <c r="DJ101" i="2"/>
  <c r="DI101" i="2"/>
  <c r="DH101" i="2"/>
  <c r="DZ101" i="2" s="1"/>
  <c r="EA101" i="2" s="1"/>
  <c r="DG101" i="2"/>
  <c r="DF101" i="2"/>
  <c r="DE101" i="2"/>
  <c r="DD101" i="2"/>
  <c r="DA101" i="2"/>
  <c r="CZ101" i="2"/>
  <c r="DR101" i="2" s="1"/>
  <c r="DS101" i="2" s="1"/>
  <c r="DO98" i="2"/>
  <c r="DN98" i="2"/>
  <c r="DM98" i="2"/>
  <c r="DL98" i="2"/>
  <c r="ED98" i="2" s="1"/>
  <c r="EE98" i="2" s="1"/>
  <c r="DK98" i="2"/>
  <c r="DJ98" i="2"/>
  <c r="DI98" i="2"/>
  <c r="DH98" i="2"/>
  <c r="DZ98" i="2" s="1"/>
  <c r="EA98" i="2" s="1"/>
  <c r="DG98" i="2"/>
  <c r="DX98" i="2" s="1"/>
  <c r="DY98" i="2" s="1"/>
  <c r="DF98" i="2"/>
  <c r="DE98" i="2"/>
  <c r="DD98" i="2"/>
  <c r="DV98" i="2" s="1"/>
  <c r="DW98" i="2" s="1"/>
  <c r="DO97" i="2"/>
  <c r="DN97" i="2"/>
  <c r="DM97" i="2"/>
  <c r="DL97" i="2"/>
  <c r="ED97" i="2" s="1"/>
  <c r="DK97" i="2"/>
  <c r="DJ97" i="2"/>
  <c r="DI97" i="2"/>
  <c r="DH97" i="2"/>
  <c r="DZ97" i="2" s="1"/>
  <c r="EA97" i="2" s="1"/>
  <c r="DG97" i="2"/>
  <c r="DF97" i="2"/>
  <c r="DE97" i="2"/>
  <c r="DD97" i="2"/>
  <c r="DO96" i="2"/>
  <c r="DN96" i="2"/>
  <c r="DM96" i="2"/>
  <c r="DL96" i="2"/>
  <c r="DK96" i="2"/>
  <c r="DJ96" i="2"/>
  <c r="DI96" i="2"/>
  <c r="DH96" i="2"/>
  <c r="DG96" i="2"/>
  <c r="DF96" i="2"/>
  <c r="DE96" i="2"/>
  <c r="DD96" i="2"/>
  <c r="DO93" i="2"/>
  <c r="DN93" i="2"/>
  <c r="DM93" i="2"/>
  <c r="DL93" i="2"/>
  <c r="ED93" i="2" s="1"/>
  <c r="DK93" i="2"/>
  <c r="DJ93" i="2"/>
  <c r="DI93" i="2"/>
  <c r="DH93" i="2"/>
  <c r="DZ93" i="2" s="1"/>
  <c r="DG93" i="2"/>
  <c r="DF93" i="2"/>
  <c r="DE93" i="2"/>
  <c r="DD93" i="2"/>
  <c r="DV93" i="2" s="1"/>
  <c r="EB92" i="2"/>
  <c r="EC92" i="2" s="1"/>
  <c r="DO92" i="2"/>
  <c r="DN92" i="2"/>
  <c r="DM92" i="2"/>
  <c r="DL92" i="2"/>
  <c r="DK92" i="2"/>
  <c r="DJ92" i="2"/>
  <c r="DI92" i="2"/>
  <c r="DH92" i="2"/>
  <c r="DG92" i="2"/>
  <c r="DF92" i="2"/>
  <c r="DX92" i="2" s="1"/>
  <c r="DY92" i="2" s="1"/>
  <c r="DE92" i="2"/>
  <c r="DD92" i="2"/>
  <c r="DO91" i="2"/>
  <c r="DN91" i="2"/>
  <c r="EF91" i="2" s="1"/>
  <c r="EG91" i="2" s="1"/>
  <c r="DM91" i="2"/>
  <c r="DL91" i="2"/>
  <c r="ED91" i="2" s="1"/>
  <c r="DK91" i="2"/>
  <c r="DJ91" i="2"/>
  <c r="EB91" i="2" s="1"/>
  <c r="EC91" i="2" s="1"/>
  <c r="DI91" i="2"/>
  <c r="DH91" i="2"/>
  <c r="DZ91" i="2" s="1"/>
  <c r="EA91" i="2" s="1"/>
  <c r="DG91" i="2"/>
  <c r="DF91" i="2"/>
  <c r="DX91" i="2" s="1"/>
  <c r="DY91" i="2" s="1"/>
  <c r="DE91" i="2"/>
  <c r="DD91" i="2"/>
  <c r="DO90" i="2"/>
  <c r="DN90" i="2"/>
  <c r="DM90" i="2"/>
  <c r="DL90" i="2"/>
  <c r="DK90" i="2"/>
  <c r="DJ90" i="2"/>
  <c r="DI90" i="2"/>
  <c r="DH90" i="2"/>
  <c r="DG90" i="2"/>
  <c r="DF90" i="2"/>
  <c r="DE90" i="2"/>
  <c r="DD90" i="2"/>
  <c r="DO89" i="2"/>
  <c r="DN89" i="2"/>
  <c r="DM89" i="2"/>
  <c r="DL89" i="2"/>
  <c r="DK89" i="2"/>
  <c r="DJ89" i="2"/>
  <c r="EB89" i="2" s="1"/>
  <c r="DI89" i="2"/>
  <c r="DH89" i="2"/>
  <c r="DG89" i="2"/>
  <c r="DF89" i="2"/>
  <c r="DE89" i="2"/>
  <c r="DD89" i="2"/>
  <c r="DO88" i="2"/>
  <c r="DN88" i="2"/>
  <c r="DM88" i="2"/>
  <c r="DL88" i="2"/>
  <c r="ED88" i="2" s="1"/>
  <c r="DK88" i="2"/>
  <c r="DJ88" i="2"/>
  <c r="DI88" i="2"/>
  <c r="DH88" i="2"/>
  <c r="DZ88" i="2" s="1"/>
  <c r="DG88" i="2"/>
  <c r="DF88" i="2"/>
  <c r="DE88" i="2"/>
  <c r="DD88" i="2"/>
  <c r="DV88" i="2" s="1"/>
  <c r="DA88" i="2"/>
  <c r="DC88" i="2" s="1"/>
  <c r="CZ88" i="2"/>
  <c r="DR87" i="2"/>
  <c r="DS87" i="2" s="1"/>
  <c r="DO87" i="2"/>
  <c r="DN87" i="2"/>
  <c r="DM87" i="2"/>
  <c r="DL87" i="2"/>
  <c r="ED87" i="2" s="1"/>
  <c r="DK87" i="2"/>
  <c r="DJ87" i="2"/>
  <c r="DI87" i="2"/>
  <c r="DH87" i="2"/>
  <c r="DZ87" i="2" s="1"/>
  <c r="EA87" i="2" s="1"/>
  <c r="DG87" i="2"/>
  <c r="DF87" i="2"/>
  <c r="DE87" i="2"/>
  <c r="DD87" i="2"/>
  <c r="DV87" i="2" s="1"/>
  <c r="DW87" i="2" s="1"/>
  <c r="DA87" i="2"/>
  <c r="DC87" i="2" s="1"/>
  <c r="CZ87" i="2"/>
  <c r="DB87" i="2" s="1"/>
  <c r="DO86" i="2"/>
  <c r="DN86" i="2"/>
  <c r="DM86" i="2"/>
  <c r="DL86" i="2"/>
  <c r="DK86" i="2"/>
  <c r="DJ86" i="2"/>
  <c r="DI86" i="2"/>
  <c r="DH86" i="2"/>
  <c r="DG86" i="2"/>
  <c r="DF86" i="2"/>
  <c r="DE86" i="2"/>
  <c r="DD86" i="2"/>
  <c r="DB86" i="2"/>
  <c r="DA86" i="2"/>
  <c r="CZ86" i="2"/>
  <c r="DX85" i="2"/>
  <c r="DY85" i="2" s="1"/>
  <c r="DO85" i="2"/>
  <c r="DN85" i="2"/>
  <c r="DM85" i="2"/>
  <c r="DL85" i="2"/>
  <c r="DK85" i="2"/>
  <c r="DJ85" i="2"/>
  <c r="EB85" i="2" s="1"/>
  <c r="EC85" i="2" s="1"/>
  <c r="DI85" i="2"/>
  <c r="DH85" i="2"/>
  <c r="DG85" i="2"/>
  <c r="DF85" i="2"/>
  <c r="DE85" i="2"/>
  <c r="DD85" i="2"/>
  <c r="DA85" i="2"/>
  <c r="DC85" i="2" s="1"/>
  <c r="CZ85" i="2"/>
  <c r="DO84" i="2"/>
  <c r="DN84" i="2"/>
  <c r="DM84" i="2"/>
  <c r="DL84" i="2"/>
  <c r="DK84" i="2"/>
  <c r="DJ84" i="2"/>
  <c r="DI84" i="2"/>
  <c r="DH84" i="2"/>
  <c r="DG84" i="2"/>
  <c r="DF84" i="2"/>
  <c r="DE84" i="2"/>
  <c r="DD84" i="2"/>
  <c r="DA84" i="2"/>
  <c r="DC84" i="2" s="1"/>
  <c r="CZ84" i="2"/>
  <c r="DB84" i="2" s="1"/>
  <c r="DO83" i="2"/>
  <c r="EF83" i="2" s="1"/>
  <c r="EG83" i="2" s="1"/>
  <c r="DN83" i="2"/>
  <c r="DM83" i="2"/>
  <c r="DL83" i="2"/>
  <c r="DK83" i="2"/>
  <c r="EB83" i="2" s="1"/>
  <c r="EC83" i="2" s="1"/>
  <c r="DJ83" i="2"/>
  <c r="DI83" i="2"/>
  <c r="DH83" i="2"/>
  <c r="DG83" i="2"/>
  <c r="DX83" i="2" s="1"/>
  <c r="DY83" i="2" s="1"/>
  <c r="DF83" i="2"/>
  <c r="DE83" i="2"/>
  <c r="DQ83" i="2" s="1"/>
  <c r="DD83" i="2"/>
  <c r="DA83" i="2"/>
  <c r="DC83" i="2" s="1"/>
  <c r="CZ83" i="2"/>
  <c r="DQ82" i="2"/>
  <c r="DO82" i="2"/>
  <c r="DN82" i="2"/>
  <c r="DM82" i="2"/>
  <c r="DL82" i="2"/>
  <c r="ED82" i="2" s="1"/>
  <c r="DK82" i="2"/>
  <c r="DJ82" i="2"/>
  <c r="EB82" i="2" s="1"/>
  <c r="DI82" i="2"/>
  <c r="DH82" i="2"/>
  <c r="DZ82" i="2" s="1"/>
  <c r="DG82" i="2"/>
  <c r="DF82" i="2"/>
  <c r="DE82" i="2"/>
  <c r="DD82" i="2"/>
  <c r="DT82" i="2" s="1"/>
  <c r="DA82" i="2"/>
  <c r="DC82" i="2" s="1"/>
  <c r="CZ82" i="2"/>
  <c r="DO81" i="2"/>
  <c r="EF81" i="2" s="1"/>
  <c r="EG81" i="2" s="1"/>
  <c r="DN81" i="2"/>
  <c r="DM81" i="2"/>
  <c r="DL81" i="2"/>
  <c r="DK81" i="2"/>
  <c r="DJ81" i="2"/>
  <c r="DI81" i="2"/>
  <c r="DH81" i="2"/>
  <c r="DG81" i="2"/>
  <c r="DF81" i="2"/>
  <c r="DX81" i="2" s="1"/>
  <c r="DY81" i="2" s="1"/>
  <c r="DE81" i="2"/>
  <c r="DQ81" i="2" s="1"/>
  <c r="DD81" i="2"/>
  <c r="DC81" i="2"/>
  <c r="DA81" i="2"/>
  <c r="CZ81" i="2"/>
  <c r="DO80" i="2"/>
  <c r="EF80" i="2" s="1"/>
  <c r="EG80" i="2" s="1"/>
  <c r="DN80" i="2"/>
  <c r="DM80" i="2"/>
  <c r="DL80" i="2"/>
  <c r="DK80" i="2"/>
  <c r="DJ80" i="2"/>
  <c r="DI80" i="2"/>
  <c r="DH80" i="2"/>
  <c r="DG80" i="2"/>
  <c r="DF80" i="2"/>
  <c r="DE80" i="2"/>
  <c r="DD80" i="2"/>
  <c r="DA80" i="2"/>
  <c r="DC80" i="2" s="1"/>
  <c r="CZ80" i="2"/>
  <c r="DB80" i="2" s="1"/>
  <c r="DO79" i="2"/>
  <c r="DN79" i="2"/>
  <c r="DM79" i="2"/>
  <c r="ED79" i="2" s="1"/>
  <c r="DL79" i="2"/>
  <c r="DK79" i="2"/>
  <c r="DJ79" i="2"/>
  <c r="DI79" i="2"/>
  <c r="DH79" i="2"/>
  <c r="DZ79" i="2" s="1"/>
  <c r="EA79" i="2" s="1"/>
  <c r="DG79" i="2"/>
  <c r="DF79" i="2"/>
  <c r="DE79" i="2"/>
  <c r="DD79" i="2"/>
  <c r="DB79" i="2"/>
  <c r="DA79" i="2"/>
  <c r="DC79" i="2" s="1"/>
  <c r="CZ79" i="2"/>
  <c r="DR79" i="2" s="1"/>
  <c r="DS79" i="2" s="1"/>
  <c r="DO78" i="2"/>
  <c r="DN78" i="2"/>
  <c r="DM78" i="2"/>
  <c r="DL78" i="2"/>
  <c r="DK78" i="2"/>
  <c r="DJ78" i="2"/>
  <c r="EB78" i="2" s="1"/>
  <c r="EC78" i="2" s="1"/>
  <c r="DI78" i="2"/>
  <c r="DH78" i="2"/>
  <c r="DG78" i="2"/>
  <c r="DF78" i="2"/>
  <c r="DX78" i="2" s="1"/>
  <c r="DY78" i="2" s="1"/>
  <c r="DE78" i="2"/>
  <c r="DQ78" i="2" s="1"/>
  <c r="DD78" i="2"/>
  <c r="DA78" i="2"/>
  <c r="DC78" i="2" s="1"/>
  <c r="CZ78" i="2"/>
  <c r="DO77" i="2"/>
  <c r="DN77" i="2"/>
  <c r="DM77" i="2"/>
  <c r="DL77" i="2"/>
  <c r="DK77" i="2"/>
  <c r="DJ77" i="2"/>
  <c r="EB77" i="2" s="1"/>
  <c r="EC77" i="2" s="1"/>
  <c r="DI77" i="2"/>
  <c r="DH77" i="2"/>
  <c r="DG77" i="2"/>
  <c r="DF77" i="2"/>
  <c r="DX77" i="2" s="1"/>
  <c r="DY77" i="2" s="1"/>
  <c r="DE77" i="2"/>
  <c r="DD77" i="2"/>
  <c r="DA77" i="2"/>
  <c r="DC77" i="2" s="1"/>
  <c r="CZ77" i="2"/>
  <c r="DO76" i="2"/>
  <c r="EF76" i="2" s="1"/>
  <c r="EG76" i="2" s="1"/>
  <c r="DN76" i="2"/>
  <c r="DM76" i="2"/>
  <c r="DL76" i="2"/>
  <c r="DK76" i="2"/>
  <c r="DJ76" i="2"/>
  <c r="DI76" i="2"/>
  <c r="DH76" i="2"/>
  <c r="DG76" i="2"/>
  <c r="DF76" i="2"/>
  <c r="DE76" i="2"/>
  <c r="DD76" i="2"/>
  <c r="DA76" i="2"/>
  <c r="DC76" i="2" s="1"/>
  <c r="CZ76" i="2"/>
  <c r="DB76" i="2" s="1"/>
  <c r="DO75" i="2"/>
  <c r="DN75" i="2"/>
  <c r="DM75" i="2"/>
  <c r="DL75" i="2"/>
  <c r="DK75" i="2"/>
  <c r="DJ75" i="2"/>
  <c r="DI75" i="2"/>
  <c r="DH75" i="2"/>
  <c r="DG75" i="2"/>
  <c r="DF75" i="2"/>
  <c r="DE75" i="2"/>
  <c r="DQ75" i="2" s="1"/>
  <c r="DD75" i="2"/>
  <c r="DA75" i="2"/>
  <c r="DC75" i="2" s="1"/>
  <c r="CZ75" i="2"/>
  <c r="DX74" i="2"/>
  <c r="DY74" i="2" s="1"/>
  <c r="DO74" i="2"/>
  <c r="DN74" i="2"/>
  <c r="DM74" i="2"/>
  <c r="DL74" i="2"/>
  <c r="DK74" i="2"/>
  <c r="DJ74" i="2"/>
  <c r="DI74" i="2"/>
  <c r="DH74" i="2"/>
  <c r="DG74" i="2"/>
  <c r="DF74" i="2"/>
  <c r="DE74" i="2"/>
  <c r="DD74" i="2"/>
  <c r="DA74" i="2"/>
  <c r="DC74" i="2" s="1"/>
  <c r="CZ74" i="2"/>
  <c r="DO73" i="2"/>
  <c r="DN73" i="2"/>
  <c r="DM73" i="2"/>
  <c r="DL73" i="2"/>
  <c r="DK73" i="2"/>
  <c r="DJ73" i="2"/>
  <c r="EB73" i="2" s="1"/>
  <c r="EC73" i="2" s="1"/>
  <c r="DI73" i="2"/>
  <c r="DH73" i="2"/>
  <c r="DG73" i="2"/>
  <c r="DF73" i="2"/>
  <c r="DX73" i="2" s="1"/>
  <c r="DY73" i="2" s="1"/>
  <c r="DE73" i="2"/>
  <c r="DD73" i="2"/>
  <c r="DA73" i="2"/>
  <c r="CZ73" i="2"/>
  <c r="DO72" i="2"/>
  <c r="EF72" i="2" s="1"/>
  <c r="EG72" i="2" s="1"/>
  <c r="DN72" i="2"/>
  <c r="DM72" i="2"/>
  <c r="DL72" i="2"/>
  <c r="DK72" i="2"/>
  <c r="DJ72" i="2"/>
  <c r="DI72" i="2"/>
  <c r="DH72" i="2"/>
  <c r="DG72" i="2"/>
  <c r="DF72" i="2"/>
  <c r="DE72" i="2"/>
  <c r="DD72" i="2"/>
  <c r="DA72" i="2"/>
  <c r="DC72" i="2" s="1"/>
  <c r="CZ72" i="2"/>
  <c r="DO71" i="2"/>
  <c r="DN71" i="2"/>
  <c r="DM71" i="2"/>
  <c r="DL71" i="2"/>
  <c r="DK71" i="2"/>
  <c r="DJ71" i="2"/>
  <c r="DI71" i="2"/>
  <c r="DH71" i="2"/>
  <c r="DG71" i="2"/>
  <c r="DF71" i="2"/>
  <c r="DE71" i="2"/>
  <c r="DD71" i="2"/>
  <c r="DA71" i="2"/>
  <c r="DC71" i="2" s="1"/>
  <c r="CZ71" i="2"/>
  <c r="DA66" i="2"/>
  <c r="DC66" i="2" s="1"/>
  <c r="DO65" i="2"/>
  <c r="DN65" i="2"/>
  <c r="EF65" i="2" s="1"/>
  <c r="EG65" i="2" s="1"/>
  <c r="DM65" i="2"/>
  <c r="DL65" i="2"/>
  <c r="DK65" i="2"/>
  <c r="DJ65" i="2"/>
  <c r="DI65" i="2"/>
  <c r="DH65" i="2"/>
  <c r="DG65" i="2"/>
  <c r="DF65" i="2"/>
  <c r="DE65" i="2"/>
  <c r="DD65" i="2"/>
  <c r="DA65" i="2"/>
  <c r="DA90" i="2" s="1"/>
  <c r="CZ65" i="2"/>
  <c r="DO64" i="2"/>
  <c r="DN64" i="2"/>
  <c r="DM64" i="2"/>
  <c r="DL64" i="2"/>
  <c r="DK64" i="2"/>
  <c r="DJ64" i="2"/>
  <c r="DI64" i="2"/>
  <c r="DH64" i="2"/>
  <c r="DG64" i="2"/>
  <c r="DF64" i="2"/>
  <c r="DX64" i="2" s="1"/>
  <c r="DE64" i="2"/>
  <c r="DQ64" i="2" s="1"/>
  <c r="DD64" i="2"/>
  <c r="DA64" i="2"/>
  <c r="DC64" i="2" s="1"/>
  <c r="CZ64" i="2"/>
  <c r="DO62" i="2"/>
  <c r="DN62" i="2"/>
  <c r="EF62" i="2" s="1"/>
  <c r="EG62" i="2" s="1"/>
  <c r="DM62" i="2"/>
  <c r="DL62" i="2"/>
  <c r="DK62" i="2"/>
  <c r="DJ62" i="2"/>
  <c r="DI62" i="2"/>
  <c r="DH62" i="2"/>
  <c r="DG62" i="2"/>
  <c r="DF62" i="2"/>
  <c r="DE62" i="2"/>
  <c r="DD62" i="2"/>
  <c r="DA62" i="2"/>
  <c r="DC62" i="2" s="1"/>
  <c r="CZ62" i="2"/>
  <c r="DO61" i="2"/>
  <c r="DN61" i="2"/>
  <c r="DM61" i="2"/>
  <c r="DL61" i="2"/>
  <c r="ED61" i="2" s="1"/>
  <c r="DK61" i="2"/>
  <c r="DJ61" i="2"/>
  <c r="EB61" i="2" s="1"/>
  <c r="EC61" i="2" s="1"/>
  <c r="DI61" i="2"/>
  <c r="DH61" i="2"/>
  <c r="DG61" i="2"/>
  <c r="DF61" i="2"/>
  <c r="DX61" i="2" s="1"/>
  <c r="DY61" i="2" s="1"/>
  <c r="DE61" i="2"/>
  <c r="DD61" i="2"/>
  <c r="DA61" i="2"/>
  <c r="DC61" i="2" s="1"/>
  <c r="CZ61" i="2"/>
  <c r="DB61" i="2" s="1"/>
  <c r="DO60" i="2"/>
  <c r="DN60" i="2"/>
  <c r="DM60" i="2"/>
  <c r="ED60" i="2" s="1"/>
  <c r="DL60" i="2"/>
  <c r="DK60" i="2"/>
  <c r="DJ60" i="2"/>
  <c r="DI60" i="2"/>
  <c r="DH60" i="2"/>
  <c r="DG60" i="2"/>
  <c r="DF60" i="2"/>
  <c r="DE60" i="2"/>
  <c r="DD60" i="2"/>
  <c r="DA60" i="2"/>
  <c r="DC60" i="2" s="1"/>
  <c r="CZ60" i="2"/>
  <c r="DB60" i="2" s="1"/>
  <c r="DO59" i="2"/>
  <c r="EF59" i="2" s="1"/>
  <c r="EG59" i="2" s="1"/>
  <c r="DN59" i="2"/>
  <c r="DM59" i="2"/>
  <c r="DL59" i="2"/>
  <c r="ED59" i="2" s="1"/>
  <c r="DK59" i="2"/>
  <c r="DJ59" i="2"/>
  <c r="DI59" i="2"/>
  <c r="DH59" i="2"/>
  <c r="DZ59" i="2" s="1"/>
  <c r="EA59" i="2" s="1"/>
  <c r="DG59" i="2"/>
  <c r="DF59" i="2"/>
  <c r="DE59" i="2"/>
  <c r="DD59" i="2"/>
  <c r="DV59" i="2" s="1"/>
  <c r="DW59" i="2" s="1"/>
  <c r="DA59" i="2"/>
  <c r="DC59" i="2" s="1"/>
  <c r="CZ59" i="2"/>
  <c r="DO58" i="2"/>
  <c r="DN58" i="2"/>
  <c r="DM58" i="2"/>
  <c r="DL58" i="2"/>
  <c r="DK58" i="2"/>
  <c r="DJ58" i="2"/>
  <c r="DI58" i="2"/>
  <c r="DH58" i="2"/>
  <c r="DG58" i="2"/>
  <c r="DF58" i="2"/>
  <c r="DE58" i="2"/>
  <c r="DQ58" i="2" s="1"/>
  <c r="DD58" i="2"/>
  <c r="DA58" i="2"/>
  <c r="DC58" i="2" s="1"/>
  <c r="CZ58" i="2"/>
  <c r="DO57" i="2"/>
  <c r="DN57" i="2"/>
  <c r="DM57" i="2"/>
  <c r="DL57" i="2"/>
  <c r="DK57" i="2"/>
  <c r="DJ57" i="2"/>
  <c r="DI57" i="2"/>
  <c r="DH57" i="2"/>
  <c r="DZ57" i="2" s="1"/>
  <c r="EA57" i="2" s="1"/>
  <c r="DG57" i="2"/>
  <c r="DF57" i="2"/>
  <c r="DE57" i="2"/>
  <c r="DD57" i="2"/>
  <c r="DA57" i="2"/>
  <c r="DC57" i="2" s="1"/>
  <c r="CZ57" i="2"/>
  <c r="DR57" i="2" s="1"/>
  <c r="DS57" i="2" s="1"/>
  <c r="DO56" i="2"/>
  <c r="DN56" i="2"/>
  <c r="DM56" i="2"/>
  <c r="DL56" i="2"/>
  <c r="ED56" i="2" s="1"/>
  <c r="DK56" i="2"/>
  <c r="DJ56" i="2"/>
  <c r="DI56" i="2"/>
  <c r="DH56" i="2"/>
  <c r="DG56" i="2"/>
  <c r="DF56" i="2"/>
  <c r="DE56" i="2"/>
  <c r="DD56" i="2"/>
  <c r="DV56" i="2" s="1"/>
  <c r="DW56" i="2" s="1"/>
  <c r="DA56" i="2"/>
  <c r="DC56" i="2" s="1"/>
  <c r="CZ56" i="2"/>
  <c r="DB56" i="2" s="1"/>
  <c r="DO55" i="2"/>
  <c r="DN55" i="2"/>
  <c r="DM55" i="2"/>
  <c r="DL55" i="2"/>
  <c r="DK55" i="2"/>
  <c r="DJ55" i="2"/>
  <c r="EB55" i="2" s="1"/>
  <c r="EC55" i="2" s="1"/>
  <c r="DI55" i="2"/>
  <c r="DH55" i="2"/>
  <c r="DG55" i="2"/>
  <c r="DF55" i="2"/>
  <c r="DX55" i="2" s="1"/>
  <c r="DY55" i="2" s="1"/>
  <c r="DE55" i="2"/>
  <c r="DD55" i="2"/>
  <c r="DA55" i="2"/>
  <c r="DC55" i="2" s="1"/>
  <c r="CZ55" i="2"/>
  <c r="DO54" i="2"/>
  <c r="EF54" i="2" s="1"/>
  <c r="EG54" i="2" s="1"/>
  <c r="DN54" i="2"/>
  <c r="DM54" i="2"/>
  <c r="DL54" i="2"/>
  <c r="DK54" i="2"/>
  <c r="EB54" i="2" s="1"/>
  <c r="EC54" i="2" s="1"/>
  <c r="DJ54" i="2"/>
  <c r="DI54" i="2"/>
  <c r="DH54" i="2"/>
  <c r="DG54" i="2"/>
  <c r="DF54" i="2"/>
  <c r="DE54" i="2"/>
  <c r="DD54" i="2"/>
  <c r="DA54" i="2"/>
  <c r="DC54" i="2" s="1"/>
  <c r="CZ54" i="2"/>
  <c r="DB54" i="2" s="1"/>
  <c r="DO53" i="2"/>
  <c r="DN53" i="2"/>
  <c r="DM53" i="2"/>
  <c r="ED53" i="2" s="1"/>
  <c r="DL53" i="2"/>
  <c r="DK53" i="2"/>
  <c r="DJ53" i="2"/>
  <c r="DI53" i="2"/>
  <c r="DZ53" i="2" s="1"/>
  <c r="EA53" i="2" s="1"/>
  <c r="DH53" i="2"/>
  <c r="DG53" i="2"/>
  <c r="DF53" i="2"/>
  <c r="DE53" i="2"/>
  <c r="DD53" i="2"/>
  <c r="DA53" i="2"/>
  <c r="DC53" i="2" s="1"/>
  <c r="CZ53" i="2"/>
  <c r="DB53" i="2" s="1"/>
  <c r="DO52" i="2"/>
  <c r="DN52" i="2"/>
  <c r="DM52" i="2"/>
  <c r="DL52" i="2"/>
  <c r="DK52" i="2"/>
  <c r="DJ52" i="2"/>
  <c r="DI52" i="2"/>
  <c r="DH52" i="2"/>
  <c r="DG52" i="2"/>
  <c r="DF52" i="2"/>
  <c r="DE52" i="2"/>
  <c r="DQ52" i="2" s="1"/>
  <c r="DD52" i="2"/>
  <c r="DB52" i="2"/>
  <c r="DA52" i="2"/>
  <c r="DC52" i="2" s="1"/>
  <c r="CZ52" i="2"/>
  <c r="DO51" i="2"/>
  <c r="DN51" i="2"/>
  <c r="DM51" i="2"/>
  <c r="DL51" i="2"/>
  <c r="DK51" i="2"/>
  <c r="DJ51" i="2"/>
  <c r="EB51" i="2" s="1"/>
  <c r="EC51" i="2" s="1"/>
  <c r="DI51" i="2"/>
  <c r="DH51" i="2"/>
  <c r="DG51" i="2"/>
  <c r="DF51" i="2"/>
  <c r="DE51" i="2"/>
  <c r="DD51" i="2"/>
  <c r="DA51" i="2"/>
  <c r="DQ51" i="2" s="1"/>
  <c r="CZ51" i="2"/>
  <c r="DO50" i="2"/>
  <c r="DN50" i="2"/>
  <c r="DM50" i="2"/>
  <c r="DL50" i="2"/>
  <c r="DK50" i="2"/>
  <c r="DJ50" i="2"/>
  <c r="DI50" i="2"/>
  <c r="DH50" i="2"/>
  <c r="DG50" i="2"/>
  <c r="DF50" i="2"/>
  <c r="DE50" i="2"/>
  <c r="DD50" i="2"/>
  <c r="DA50" i="2"/>
  <c r="DC50" i="2" s="1"/>
  <c r="CZ50" i="2"/>
  <c r="DR50" i="2" s="1"/>
  <c r="DS50" i="2" s="1"/>
  <c r="DQ49" i="2"/>
  <c r="DO49" i="2"/>
  <c r="DN49" i="2"/>
  <c r="DM49" i="2"/>
  <c r="DL49" i="2"/>
  <c r="ED49" i="2" s="1"/>
  <c r="DK49" i="2"/>
  <c r="DJ49" i="2"/>
  <c r="DI49" i="2"/>
  <c r="DH49" i="2"/>
  <c r="DZ49" i="2" s="1"/>
  <c r="EA49" i="2" s="1"/>
  <c r="DG49" i="2"/>
  <c r="DF49" i="2"/>
  <c r="DE49" i="2"/>
  <c r="DD49" i="2"/>
  <c r="DT49" i="2" s="1"/>
  <c r="DU49" i="2" s="1"/>
  <c r="DA49" i="2"/>
  <c r="DC49" i="2" s="1"/>
  <c r="CZ49" i="2"/>
  <c r="DR49" i="2" s="1"/>
  <c r="DS49" i="2" s="1"/>
  <c r="DO48" i="2"/>
  <c r="DN48" i="2"/>
  <c r="EF48" i="2" s="1"/>
  <c r="EG48" i="2" s="1"/>
  <c r="DM48" i="2"/>
  <c r="DL48" i="2"/>
  <c r="ED48" i="2" s="1"/>
  <c r="DK48" i="2"/>
  <c r="DJ48" i="2"/>
  <c r="EB48" i="2" s="1"/>
  <c r="EC48" i="2" s="1"/>
  <c r="DI48" i="2"/>
  <c r="DH48" i="2"/>
  <c r="DZ48" i="2" s="1"/>
  <c r="EA48" i="2" s="1"/>
  <c r="DG48" i="2"/>
  <c r="DF48" i="2"/>
  <c r="DX48" i="2" s="1"/>
  <c r="DY48" i="2" s="1"/>
  <c r="DE48" i="2"/>
  <c r="DD48" i="2"/>
  <c r="DV48" i="2" s="1"/>
  <c r="DW48" i="2" s="1"/>
  <c r="DB48" i="2"/>
  <c r="DA48" i="2"/>
  <c r="DC48" i="2" s="1"/>
  <c r="CZ48" i="2"/>
  <c r="DO47" i="2"/>
  <c r="DN47" i="2"/>
  <c r="DM47" i="2"/>
  <c r="ED47" i="2" s="1"/>
  <c r="DL47" i="2"/>
  <c r="DK47" i="2"/>
  <c r="DJ47" i="2"/>
  <c r="DI47" i="2"/>
  <c r="DZ47" i="2" s="1"/>
  <c r="EA47" i="2" s="1"/>
  <c r="DH47" i="2"/>
  <c r="DG47" i="2"/>
  <c r="DF47" i="2"/>
  <c r="DE47" i="2"/>
  <c r="DV47" i="2" s="1"/>
  <c r="DW47" i="2" s="1"/>
  <c r="DD47" i="2"/>
  <c r="DB47" i="2"/>
  <c r="DA47" i="2"/>
  <c r="CZ47" i="2"/>
  <c r="DO46" i="2"/>
  <c r="DN46" i="2"/>
  <c r="EF46" i="2" s="1"/>
  <c r="EG46" i="2" s="1"/>
  <c r="DM46" i="2"/>
  <c r="DL46" i="2"/>
  <c r="ED46" i="2" s="1"/>
  <c r="DK46" i="2"/>
  <c r="DJ46" i="2"/>
  <c r="EB46" i="2" s="1"/>
  <c r="EC46" i="2" s="1"/>
  <c r="DI46" i="2"/>
  <c r="DH46" i="2"/>
  <c r="DZ46" i="2" s="1"/>
  <c r="EA46" i="2" s="1"/>
  <c r="DG46" i="2"/>
  <c r="DF46" i="2"/>
  <c r="DX46" i="2" s="1"/>
  <c r="DY46" i="2" s="1"/>
  <c r="DE46" i="2"/>
  <c r="DD46" i="2"/>
  <c r="DA46" i="2"/>
  <c r="DC46" i="2" s="1"/>
  <c r="CZ46" i="2"/>
  <c r="DB46" i="2" s="1"/>
  <c r="DO45" i="2"/>
  <c r="DN45" i="2"/>
  <c r="DM45" i="2"/>
  <c r="DL45" i="2"/>
  <c r="DK45" i="2"/>
  <c r="DJ45" i="2"/>
  <c r="DI45" i="2"/>
  <c r="DH45" i="2"/>
  <c r="DG45" i="2"/>
  <c r="DF45" i="2"/>
  <c r="DE45" i="2"/>
  <c r="DD45" i="2"/>
  <c r="DA45" i="2"/>
  <c r="DC45" i="2" s="1"/>
  <c r="CZ45" i="2"/>
  <c r="DO44" i="2"/>
  <c r="DN44" i="2"/>
  <c r="DM44" i="2"/>
  <c r="DL44" i="2"/>
  <c r="DK44" i="2"/>
  <c r="DJ44" i="2"/>
  <c r="DI44" i="2"/>
  <c r="DH44" i="2"/>
  <c r="DG44" i="2"/>
  <c r="DF44" i="2"/>
  <c r="DE44" i="2"/>
  <c r="DD44" i="2"/>
  <c r="DA44" i="2"/>
  <c r="DC44" i="2" s="1"/>
  <c r="CZ44" i="2"/>
  <c r="DB44" i="2" s="1"/>
  <c r="DO43" i="2"/>
  <c r="DN43" i="2"/>
  <c r="DM43" i="2"/>
  <c r="DL43" i="2"/>
  <c r="DK43" i="2"/>
  <c r="DJ43" i="2"/>
  <c r="DI43" i="2"/>
  <c r="DH43" i="2"/>
  <c r="DG43" i="2"/>
  <c r="DF43" i="2"/>
  <c r="DE43" i="2"/>
  <c r="DD43" i="2"/>
  <c r="DA43" i="2"/>
  <c r="DC43" i="2" s="1"/>
  <c r="CZ43" i="2"/>
  <c r="DB43" i="2" s="1"/>
  <c r="DO42" i="2"/>
  <c r="DN42" i="2"/>
  <c r="EF42" i="2" s="1"/>
  <c r="EG42" i="2" s="1"/>
  <c r="DM42" i="2"/>
  <c r="DL42" i="2"/>
  <c r="DK42" i="2"/>
  <c r="DJ42" i="2"/>
  <c r="EB42" i="2" s="1"/>
  <c r="EC42" i="2" s="1"/>
  <c r="DI42" i="2"/>
  <c r="DZ42" i="2" s="1"/>
  <c r="EA42" i="2" s="1"/>
  <c r="DH42" i="2"/>
  <c r="DG42" i="2"/>
  <c r="DF42" i="2"/>
  <c r="DX42" i="2" s="1"/>
  <c r="DY42" i="2" s="1"/>
  <c r="DE42" i="2"/>
  <c r="DQ42" i="2" s="1"/>
  <c r="DD42" i="2"/>
  <c r="DB42" i="2"/>
  <c r="DA42" i="2"/>
  <c r="DC42" i="2" s="1"/>
  <c r="CZ42" i="2"/>
  <c r="DO41" i="2"/>
  <c r="DN41" i="2"/>
  <c r="DM41" i="2"/>
  <c r="DL41" i="2"/>
  <c r="DK41" i="2"/>
  <c r="DJ41" i="2"/>
  <c r="EB41" i="2" s="1"/>
  <c r="EC41" i="2" s="1"/>
  <c r="DI41" i="2"/>
  <c r="DH41" i="2"/>
  <c r="DG41" i="2"/>
  <c r="DF41" i="2"/>
  <c r="DE41" i="2"/>
  <c r="DD41" i="2"/>
  <c r="DA41" i="2"/>
  <c r="DC41" i="2" s="1"/>
  <c r="CZ41" i="2"/>
  <c r="DR41" i="2" s="1"/>
  <c r="DS41" i="2" s="1"/>
  <c r="DO40" i="2"/>
  <c r="DN40" i="2"/>
  <c r="DM40" i="2"/>
  <c r="DL40" i="2"/>
  <c r="DK40" i="2"/>
  <c r="DJ40" i="2"/>
  <c r="DI40" i="2"/>
  <c r="DH40" i="2"/>
  <c r="DG40" i="2"/>
  <c r="DF40" i="2"/>
  <c r="DE40" i="2"/>
  <c r="DD40" i="2"/>
  <c r="DP40" i="2" s="1"/>
  <c r="DA40" i="2"/>
  <c r="DC40" i="2" s="1"/>
  <c r="CZ40" i="2"/>
  <c r="DB40" i="2" s="1"/>
  <c r="DO39" i="2"/>
  <c r="DN39" i="2"/>
  <c r="EF39" i="2" s="1"/>
  <c r="EG39" i="2" s="1"/>
  <c r="DM39" i="2"/>
  <c r="DL39" i="2"/>
  <c r="ED39" i="2" s="1"/>
  <c r="EE39" i="2" s="1"/>
  <c r="DK39" i="2"/>
  <c r="DJ39" i="2"/>
  <c r="EB39" i="2" s="1"/>
  <c r="EC39" i="2" s="1"/>
  <c r="DI39" i="2"/>
  <c r="DH39" i="2"/>
  <c r="DZ39" i="2" s="1"/>
  <c r="EA39" i="2" s="1"/>
  <c r="DG39" i="2"/>
  <c r="DF39" i="2"/>
  <c r="DX39" i="2" s="1"/>
  <c r="DY39" i="2" s="1"/>
  <c r="DE39" i="2"/>
  <c r="DD39" i="2"/>
  <c r="DA39" i="2"/>
  <c r="DC39" i="2" s="1"/>
  <c r="CZ39" i="2"/>
  <c r="DO38" i="2"/>
  <c r="DN38" i="2"/>
  <c r="DM38" i="2"/>
  <c r="DL38" i="2"/>
  <c r="DK38" i="2"/>
  <c r="DJ38" i="2"/>
  <c r="DI38" i="2"/>
  <c r="DH38" i="2"/>
  <c r="DG38" i="2"/>
  <c r="DF38" i="2"/>
  <c r="DX38" i="2" s="1"/>
  <c r="DY38" i="2" s="1"/>
  <c r="DE38" i="2"/>
  <c r="DD38" i="2"/>
  <c r="DA38" i="2"/>
  <c r="DC38" i="2" s="1"/>
  <c r="CZ38" i="2"/>
  <c r="DO37" i="2"/>
  <c r="EF37" i="2" s="1"/>
  <c r="EG37" i="2" s="1"/>
  <c r="DN37" i="2"/>
  <c r="DM37" i="2"/>
  <c r="DL37" i="2"/>
  <c r="DK37" i="2"/>
  <c r="DJ37" i="2"/>
  <c r="DI37" i="2"/>
  <c r="DH37" i="2"/>
  <c r="DG37" i="2"/>
  <c r="DF37" i="2"/>
  <c r="DE37" i="2"/>
  <c r="DQ37" i="2" s="1"/>
  <c r="DD37" i="2"/>
  <c r="DC37" i="2"/>
  <c r="DA37" i="2"/>
  <c r="CZ37" i="2"/>
  <c r="DB37" i="2" s="1"/>
  <c r="DO36" i="2"/>
  <c r="DN36" i="2"/>
  <c r="DM36" i="2"/>
  <c r="DL36" i="2"/>
  <c r="DK36" i="2"/>
  <c r="DJ36" i="2"/>
  <c r="DI36" i="2"/>
  <c r="DH36" i="2"/>
  <c r="DZ36" i="2" s="1"/>
  <c r="EA36" i="2" s="1"/>
  <c r="DG36" i="2"/>
  <c r="DF36" i="2"/>
  <c r="DE36" i="2"/>
  <c r="DD36" i="2"/>
  <c r="DB36" i="2"/>
  <c r="DA36" i="2"/>
  <c r="DR36" i="2" s="1"/>
  <c r="DS36" i="2" s="1"/>
  <c r="CZ36" i="2"/>
  <c r="DO35" i="2"/>
  <c r="DN35" i="2"/>
  <c r="DM35" i="2"/>
  <c r="DL35" i="2"/>
  <c r="DK35" i="2"/>
  <c r="DJ35" i="2"/>
  <c r="DI35" i="2"/>
  <c r="DH35" i="2"/>
  <c r="DG35" i="2"/>
  <c r="DF35" i="2"/>
  <c r="DE35" i="2"/>
  <c r="DQ35" i="2" s="1"/>
  <c r="DD35" i="2"/>
  <c r="DA35" i="2"/>
  <c r="DC35" i="2" s="1"/>
  <c r="CZ35" i="2"/>
  <c r="DB35" i="2" s="1"/>
  <c r="DO34" i="2"/>
  <c r="DN34" i="2"/>
  <c r="DM34" i="2"/>
  <c r="DL34" i="2"/>
  <c r="DK34" i="2"/>
  <c r="DJ34" i="2"/>
  <c r="DI34" i="2"/>
  <c r="DH34" i="2"/>
  <c r="DG34" i="2"/>
  <c r="DF34" i="2"/>
  <c r="DE34" i="2"/>
  <c r="DD34" i="2"/>
  <c r="DA34" i="2"/>
  <c r="DC34" i="2" s="1"/>
  <c r="CZ34" i="2"/>
  <c r="DO33" i="2"/>
  <c r="DN33" i="2"/>
  <c r="DM33" i="2"/>
  <c r="ED33" i="2" s="1"/>
  <c r="DL33" i="2"/>
  <c r="DK33" i="2"/>
  <c r="DJ33" i="2"/>
  <c r="DI33" i="2"/>
  <c r="DH33" i="2"/>
  <c r="DG33" i="2"/>
  <c r="DF33" i="2"/>
  <c r="DE33" i="2"/>
  <c r="DV33" i="2" s="1"/>
  <c r="DW33" i="2" s="1"/>
  <c r="DD33" i="2"/>
  <c r="DA33" i="2"/>
  <c r="DC33" i="2" s="1"/>
  <c r="CZ33" i="2"/>
  <c r="DO32" i="2"/>
  <c r="DN32" i="2"/>
  <c r="DM32" i="2"/>
  <c r="DL32" i="2"/>
  <c r="ED32" i="2" s="1"/>
  <c r="DK32" i="2"/>
  <c r="DJ32" i="2"/>
  <c r="DI32" i="2"/>
  <c r="DH32" i="2"/>
  <c r="DZ32" i="2" s="1"/>
  <c r="EA32" i="2" s="1"/>
  <c r="DG32" i="2"/>
  <c r="DF32" i="2"/>
  <c r="DE32" i="2"/>
  <c r="DD32" i="2"/>
  <c r="DV32" i="2" s="1"/>
  <c r="DW32" i="2" s="1"/>
  <c r="DA32" i="2"/>
  <c r="DC32" i="2" s="1"/>
  <c r="CZ32" i="2"/>
  <c r="DO31" i="2"/>
  <c r="DN31" i="2"/>
  <c r="DM31" i="2"/>
  <c r="ED31" i="2" s="1"/>
  <c r="DL31" i="2"/>
  <c r="DK31" i="2"/>
  <c r="DJ31" i="2"/>
  <c r="DI31" i="2"/>
  <c r="DZ31" i="2" s="1"/>
  <c r="EA31" i="2" s="1"/>
  <c r="DH31" i="2"/>
  <c r="DG31" i="2"/>
  <c r="DF31" i="2"/>
  <c r="DE31" i="2"/>
  <c r="DV31" i="2" s="1"/>
  <c r="DW31" i="2" s="1"/>
  <c r="DD31" i="2"/>
  <c r="DB31" i="2"/>
  <c r="DA31" i="2"/>
  <c r="CZ31" i="2"/>
  <c r="DO30" i="2"/>
  <c r="DN30" i="2"/>
  <c r="DM30" i="2"/>
  <c r="DL30" i="2"/>
  <c r="ED30" i="2" s="1"/>
  <c r="DK30" i="2"/>
  <c r="DJ30" i="2"/>
  <c r="DI30" i="2"/>
  <c r="DH30" i="2"/>
  <c r="DG30" i="2"/>
  <c r="DF30" i="2"/>
  <c r="DE30" i="2"/>
  <c r="DD30" i="2"/>
  <c r="DB30" i="2"/>
  <c r="DA30" i="2"/>
  <c r="DC30" i="2" s="1"/>
  <c r="CZ30" i="2"/>
  <c r="DO29" i="2"/>
  <c r="DN29" i="2"/>
  <c r="DM29" i="2"/>
  <c r="DL29" i="2"/>
  <c r="DK29" i="2"/>
  <c r="DJ29" i="2"/>
  <c r="DI29" i="2"/>
  <c r="DH29" i="2"/>
  <c r="DG29" i="2"/>
  <c r="DF29" i="2"/>
  <c r="DE29" i="2"/>
  <c r="DD29" i="2"/>
  <c r="DA29" i="2"/>
  <c r="DC29" i="2" s="1"/>
  <c r="CZ29" i="2"/>
  <c r="DX28" i="2"/>
  <c r="DY28" i="2" s="1"/>
  <c r="DO28" i="2"/>
  <c r="DN28" i="2"/>
  <c r="DM28" i="2"/>
  <c r="DL28" i="2"/>
  <c r="DK28" i="2"/>
  <c r="DJ28" i="2"/>
  <c r="DI28" i="2"/>
  <c r="DH28" i="2"/>
  <c r="DG28" i="2"/>
  <c r="DF28" i="2"/>
  <c r="DE28" i="2"/>
  <c r="DQ28" i="2" s="1"/>
  <c r="DD28" i="2"/>
  <c r="DA28" i="2"/>
  <c r="DC28" i="2" s="1"/>
  <c r="CZ28" i="2"/>
  <c r="DO27" i="2"/>
  <c r="DN27" i="2"/>
  <c r="DM27" i="2"/>
  <c r="DL27" i="2"/>
  <c r="DK27" i="2"/>
  <c r="DJ27" i="2"/>
  <c r="DI27" i="2"/>
  <c r="DH27" i="2"/>
  <c r="DG27" i="2"/>
  <c r="DF27" i="2"/>
  <c r="DE27" i="2"/>
  <c r="DD27" i="2"/>
  <c r="DB27" i="2"/>
  <c r="DA27" i="2"/>
  <c r="DC27" i="2" s="1"/>
  <c r="CZ27" i="2"/>
  <c r="DR26" i="2"/>
  <c r="DS26" i="2" s="1"/>
  <c r="DO26" i="2"/>
  <c r="DN26" i="2"/>
  <c r="EF26" i="2" s="1"/>
  <c r="EG26" i="2" s="1"/>
  <c r="DM26" i="2"/>
  <c r="DL26" i="2"/>
  <c r="ED26" i="2" s="1"/>
  <c r="DK26" i="2"/>
  <c r="DJ26" i="2"/>
  <c r="EB26" i="2" s="1"/>
  <c r="EC26" i="2" s="1"/>
  <c r="DI26" i="2"/>
  <c r="DH26" i="2"/>
  <c r="DZ26" i="2" s="1"/>
  <c r="EA26" i="2" s="1"/>
  <c r="DG26" i="2"/>
  <c r="DF26" i="2"/>
  <c r="DX26" i="2" s="1"/>
  <c r="DY26" i="2" s="1"/>
  <c r="DE26" i="2"/>
  <c r="DD26" i="2"/>
  <c r="DA26" i="2"/>
  <c r="DC26" i="2" s="1"/>
  <c r="CZ26" i="2"/>
  <c r="DB26" i="2" s="1"/>
  <c r="DO25" i="2"/>
  <c r="DN25" i="2"/>
  <c r="DM25" i="2"/>
  <c r="DL25" i="2"/>
  <c r="DK25" i="2"/>
  <c r="DJ25" i="2"/>
  <c r="DI25" i="2"/>
  <c r="DH25" i="2"/>
  <c r="DG25" i="2"/>
  <c r="DF25" i="2"/>
  <c r="DE25" i="2"/>
  <c r="DD25" i="2"/>
  <c r="DA25" i="2"/>
  <c r="CZ25" i="2"/>
  <c r="DO24" i="2"/>
  <c r="DN24" i="2"/>
  <c r="EF24" i="2" s="1"/>
  <c r="EG24" i="2" s="1"/>
  <c r="DM24" i="2"/>
  <c r="DL24" i="2"/>
  <c r="ED24" i="2" s="1"/>
  <c r="DK24" i="2"/>
  <c r="DJ24" i="2"/>
  <c r="EB24" i="2" s="1"/>
  <c r="EC24" i="2" s="1"/>
  <c r="DI24" i="2"/>
  <c r="DH24" i="2"/>
  <c r="DZ24" i="2" s="1"/>
  <c r="EA24" i="2" s="1"/>
  <c r="DG24" i="2"/>
  <c r="DF24" i="2"/>
  <c r="DX24" i="2" s="1"/>
  <c r="DY24" i="2" s="1"/>
  <c r="DE24" i="2"/>
  <c r="DD24" i="2"/>
  <c r="DV24" i="2" s="1"/>
  <c r="DW24" i="2" s="1"/>
  <c r="DA24" i="2"/>
  <c r="DC24" i="2" s="1"/>
  <c r="CZ24" i="2"/>
  <c r="DO23" i="2"/>
  <c r="DN23" i="2"/>
  <c r="DM23" i="2"/>
  <c r="DL23" i="2"/>
  <c r="DK23" i="2"/>
  <c r="DJ23" i="2"/>
  <c r="DI23" i="2"/>
  <c r="DH23" i="2"/>
  <c r="DG23" i="2"/>
  <c r="DF23" i="2"/>
  <c r="DE23" i="2"/>
  <c r="DD23" i="2"/>
  <c r="DB23" i="2"/>
  <c r="DA23" i="2"/>
  <c r="DR23" i="2" s="1"/>
  <c r="DS23" i="2" s="1"/>
  <c r="CZ23" i="2"/>
  <c r="DO22" i="2"/>
  <c r="DN22" i="2"/>
  <c r="EF22" i="2" s="1"/>
  <c r="EG22" i="2" s="1"/>
  <c r="DM22" i="2"/>
  <c r="DL22" i="2"/>
  <c r="DK22" i="2"/>
  <c r="DJ22" i="2"/>
  <c r="EB22" i="2" s="1"/>
  <c r="EC22" i="2" s="1"/>
  <c r="DI22" i="2"/>
  <c r="DH22" i="2"/>
  <c r="DZ22" i="2" s="1"/>
  <c r="EA22" i="2" s="1"/>
  <c r="DG22" i="2"/>
  <c r="DF22" i="2"/>
  <c r="DX22" i="2" s="1"/>
  <c r="DY22" i="2" s="1"/>
  <c r="DE22" i="2"/>
  <c r="DD22" i="2"/>
  <c r="DA22" i="2"/>
  <c r="DC22" i="2" s="1"/>
  <c r="CZ22" i="2"/>
  <c r="DR22" i="2" s="1"/>
  <c r="DS22" i="2" s="1"/>
  <c r="DO21" i="2"/>
  <c r="DN21" i="2"/>
  <c r="DM21" i="2"/>
  <c r="DL21" i="2"/>
  <c r="ED21" i="2" s="1"/>
  <c r="DK21" i="2"/>
  <c r="DJ21" i="2"/>
  <c r="DI21" i="2"/>
  <c r="DH21" i="2"/>
  <c r="DZ21" i="2" s="1"/>
  <c r="EA21" i="2" s="1"/>
  <c r="DG21" i="2"/>
  <c r="DF21" i="2"/>
  <c r="DE21" i="2"/>
  <c r="DD21" i="2"/>
  <c r="DA21" i="2"/>
  <c r="DC21" i="2" s="1"/>
  <c r="CZ21" i="2"/>
  <c r="DO20" i="2"/>
  <c r="DN20" i="2"/>
  <c r="DM20" i="2"/>
  <c r="DL20" i="2"/>
  <c r="ED20" i="2" s="1"/>
  <c r="DK20" i="2"/>
  <c r="DJ20" i="2"/>
  <c r="EB20" i="2" s="1"/>
  <c r="EC20" i="2" s="1"/>
  <c r="DI20" i="2"/>
  <c r="DH20" i="2"/>
  <c r="DZ20" i="2" s="1"/>
  <c r="EA20" i="2" s="1"/>
  <c r="DG20" i="2"/>
  <c r="DF20" i="2"/>
  <c r="DX20" i="2" s="1"/>
  <c r="DY20" i="2" s="1"/>
  <c r="DE20" i="2"/>
  <c r="DD20" i="2"/>
  <c r="DV20" i="2" s="1"/>
  <c r="DW20" i="2" s="1"/>
  <c r="DA20" i="2"/>
  <c r="DC20" i="2" s="1"/>
  <c r="CZ20" i="2"/>
  <c r="DO19" i="2"/>
  <c r="DN19" i="2"/>
  <c r="DM19" i="2"/>
  <c r="ED19" i="2" s="1"/>
  <c r="DL19" i="2"/>
  <c r="DK19" i="2"/>
  <c r="DJ19" i="2"/>
  <c r="DI19" i="2"/>
  <c r="DZ19" i="2" s="1"/>
  <c r="EA19" i="2" s="1"/>
  <c r="DH19" i="2"/>
  <c r="DG19" i="2"/>
  <c r="DF19" i="2"/>
  <c r="DE19" i="2"/>
  <c r="DV19" i="2" s="1"/>
  <c r="DW19" i="2" s="1"/>
  <c r="DD19" i="2"/>
  <c r="DA19" i="2"/>
  <c r="DR19" i="2" s="1"/>
  <c r="DS19" i="2" s="1"/>
  <c r="CZ19" i="2"/>
  <c r="DB19" i="2" s="1"/>
  <c r="DO18" i="2"/>
  <c r="DN18" i="2"/>
  <c r="DM18" i="2"/>
  <c r="DL18" i="2"/>
  <c r="DK18" i="2"/>
  <c r="DJ18" i="2"/>
  <c r="DI18" i="2"/>
  <c r="DH18" i="2"/>
  <c r="DG18" i="2"/>
  <c r="DF18" i="2"/>
  <c r="DE18" i="2"/>
  <c r="DQ18" i="2" s="1"/>
  <c r="DD18" i="2"/>
  <c r="DA18" i="2"/>
  <c r="DC18" i="2" s="1"/>
  <c r="CZ18" i="2"/>
  <c r="DO17" i="2"/>
  <c r="EF17" i="2" s="1"/>
  <c r="EG17" i="2" s="1"/>
  <c r="DN17" i="2"/>
  <c r="DM17" i="2"/>
  <c r="DL17" i="2"/>
  <c r="DK17" i="2"/>
  <c r="EB17" i="2" s="1"/>
  <c r="EC17" i="2" s="1"/>
  <c r="DJ17" i="2"/>
  <c r="DI17" i="2"/>
  <c r="DH17" i="2"/>
  <c r="DG17" i="2"/>
  <c r="DX17" i="2" s="1"/>
  <c r="DY17" i="2" s="1"/>
  <c r="DF17" i="2"/>
  <c r="DE17" i="2"/>
  <c r="DD17" i="2"/>
  <c r="DA17" i="2"/>
  <c r="DC17" i="2" s="1"/>
  <c r="CZ17" i="2"/>
  <c r="DO16" i="2"/>
  <c r="DN16" i="2"/>
  <c r="DM16" i="2"/>
  <c r="DL16" i="2"/>
  <c r="ED16" i="2" s="1"/>
  <c r="DK16" i="2"/>
  <c r="DJ16" i="2"/>
  <c r="DI16" i="2"/>
  <c r="DH16" i="2"/>
  <c r="DZ16" i="2" s="1"/>
  <c r="EA16" i="2" s="1"/>
  <c r="DG16" i="2"/>
  <c r="DF16" i="2"/>
  <c r="DX16" i="2" s="1"/>
  <c r="DY16" i="2" s="1"/>
  <c r="DE16" i="2"/>
  <c r="DD16" i="2"/>
  <c r="DV16" i="2" s="1"/>
  <c r="DW16" i="2" s="1"/>
  <c r="DA16" i="2"/>
  <c r="DC16" i="2" s="1"/>
  <c r="CZ16" i="2"/>
  <c r="DO15" i="2"/>
  <c r="EF15" i="2" s="1"/>
  <c r="EG15" i="2" s="1"/>
  <c r="DN15" i="2"/>
  <c r="DM15" i="2"/>
  <c r="DL15" i="2"/>
  <c r="DK15" i="2"/>
  <c r="DJ15" i="2"/>
  <c r="DI15" i="2"/>
  <c r="DH15" i="2"/>
  <c r="DG15" i="2"/>
  <c r="DF15" i="2"/>
  <c r="DE15" i="2"/>
  <c r="DD15" i="2"/>
  <c r="DA15" i="2"/>
  <c r="DC15" i="2" s="1"/>
  <c r="CZ15" i="2"/>
  <c r="DB15" i="2" s="1"/>
  <c r="DO14" i="2"/>
  <c r="DN14" i="2"/>
  <c r="DM14" i="2"/>
  <c r="ED14" i="2" s="1"/>
  <c r="DL14" i="2"/>
  <c r="DK14" i="2"/>
  <c r="DJ14" i="2"/>
  <c r="DI14" i="2"/>
  <c r="DH14" i="2"/>
  <c r="DZ14" i="2" s="1"/>
  <c r="EA14" i="2" s="1"/>
  <c r="DG14" i="2"/>
  <c r="DF14" i="2"/>
  <c r="DE14" i="2"/>
  <c r="DD14" i="2"/>
  <c r="DB14" i="2"/>
  <c r="DA14" i="2"/>
  <c r="DC14" i="2" s="1"/>
  <c r="CZ14" i="2"/>
  <c r="DR14" i="2" s="1"/>
  <c r="DS14" i="2" s="1"/>
  <c r="DO13" i="2"/>
  <c r="DN13" i="2"/>
  <c r="DM13" i="2"/>
  <c r="DL13" i="2"/>
  <c r="ED13" i="2" s="1"/>
  <c r="DK13" i="2"/>
  <c r="DJ13" i="2"/>
  <c r="DI13" i="2"/>
  <c r="DH13" i="2"/>
  <c r="DZ13" i="2" s="1"/>
  <c r="EA13" i="2" s="1"/>
  <c r="DG13" i="2"/>
  <c r="DF13" i="2"/>
  <c r="DE13" i="2"/>
  <c r="DD13" i="2"/>
  <c r="DA13" i="2"/>
  <c r="DC13" i="2" s="1"/>
  <c r="CZ13" i="2"/>
  <c r="DX13" i="2" l="1"/>
  <c r="DY13" i="2" s="1"/>
  <c r="EB13" i="2"/>
  <c r="EC13" i="2" s="1"/>
  <c r="EF13" i="2"/>
  <c r="EG13" i="2" s="1"/>
  <c r="DV14" i="2"/>
  <c r="DW14" i="2" s="1"/>
  <c r="EB16" i="2"/>
  <c r="EC16" i="2" s="1"/>
  <c r="DR18" i="2"/>
  <c r="DS18" i="2" s="1"/>
  <c r="DX18" i="2"/>
  <c r="DY18" i="2" s="1"/>
  <c r="EB18" i="2"/>
  <c r="EC18" i="2" s="1"/>
  <c r="EF18" i="2"/>
  <c r="EG18" i="2" s="1"/>
  <c r="DQ20" i="2"/>
  <c r="DX21" i="2"/>
  <c r="DY21" i="2" s="1"/>
  <c r="EB21" i="2"/>
  <c r="EC21" i="2" s="1"/>
  <c r="DR47" i="2"/>
  <c r="DS47" i="2" s="1"/>
  <c r="DC47" i="2"/>
  <c r="DR71" i="2"/>
  <c r="DS71" i="2" s="1"/>
  <c r="DB71" i="2"/>
  <c r="DR31" i="2"/>
  <c r="DS31" i="2" s="1"/>
  <c r="DC31" i="2"/>
  <c r="DQ16" i="2"/>
  <c r="DZ18" i="2"/>
  <c r="EA18" i="2" s="1"/>
  <c r="ED18" i="2"/>
  <c r="DX19" i="2"/>
  <c r="DY19" i="2" s="1"/>
  <c r="EB19" i="2"/>
  <c r="EC19" i="2" s="1"/>
  <c r="DC25" i="2"/>
  <c r="DC102" i="2" s="1"/>
  <c r="DX25" i="2"/>
  <c r="DY25" i="2" s="1"/>
  <c r="EB25" i="2"/>
  <c r="EC25" i="2" s="1"/>
  <c r="EF25" i="2"/>
  <c r="EG25" i="2" s="1"/>
  <c r="DT27" i="2"/>
  <c r="DU27" i="2" s="1"/>
  <c r="DB72" i="2"/>
  <c r="DR72" i="2"/>
  <c r="DS72" i="2" s="1"/>
  <c r="DV80" i="2"/>
  <c r="DW80" i="2" s="1"/>
  <c r="ED80" i="2"/>
  <c r="DT34" i="2"/>
  <c r="DU34" i="2" s="1"/>
  <c r="EF36" i="2"/>
  <c r="EG36" i="2" s="1"/>
  <c r="ED40" i="2"/>
  <c r="EE40" i="2" s="1"/>
  <c r="ED50" i="2"/>
  <c r="ED57" i="2"/>
  <c r="DQ74" i="2"/>
  <c r="DV76" i="2"/>
  <c r="DW76" i="2" s="1"/>
  <c r="DZ76" i="2"/>
  <c r="EA76" i="2" s="1"/>
  <c r="ED76" i="2"/>
  <c r="DQ85" i="2"/>
  <c r="DT86" i="2"/>
  <c r="DU86" i="2" s="1"/>
  <c r="DZ86" i="2"/>
  <c r="EA86" i="2" s="1"/>
  <c r="ED86" i="2"/>
  <c r="DR88" i="2"/>
  <c r="DS88" i="2" s="1"/>
  <c r="DT97" i="2"/>
  <c r="DU97" i="2" s="1"/>
  <c r="DV101" i="2"/>
  <c r="DW101" i="2" s="1"/>
  <c r="ED107" i="2"/>
  <c r="DX29" i="2"/>
  <c r="DY29" i="2" s="1"/>
  <c r="EB29" i="2"/>
  <c r="EC29" i="2" s="1"/>
  <c r="EF29" i="2"/>
  <c r="EG29" i="2" s="1"/>
  <c r="EF31" i="2"/>
  <c r="EG31" i="2" s="1"/>
  <c r="DX33" i="2"/>
  <c r="DY33" i="2" s="1"/>
  <c r="EF33" i="2"/>
  <c r="EG33" i="2" s="1"/>
  <c r="DZ37" i="2"/>
  <c r="EA37" i="2" s="1"/>
  <c r="DP39" i="2"/>
  <c r="DP46" i="2"/>
  <c r="EF47" i="2"/>
  <c r="EG47" i="2" s="1"/>
  <c r="EF53" i="2"/>
  <c r="EG53" i="2" s="1"/>
  <c r="DX58" i="2"/>
  <c r="DY58" i="2" s="1"/>
  <c r="EB58" i="2"/>
  <c r="EC58" i="2" s="1"/>
  <c r="EF58" i="2"/>
  <c r="EG58" i="2" s="1"/>
  <c r="EB64" i="2"/>
  <c r="DC65" i="2"/>
  <c r="DX104" i="2"/>
  <c r="DY104" i="2" s="1"/>
  <c r="EB104" i="2"/>
  <c r="EC104" i="2" s="1"/>
  <c r="DQ106" i="2"/>
  <c r="EF21" i="2"/>
  <c r="EG21" i="2" s="1"/>
  <c r="ED22" i="2"/>
  <c r="DV23" i="2"/>
  <c r="DW23" i="2" s="1"/>
  <c r="DZ23" i="2"/>
  <c r="EA23" i="2" s="1"/>
  <c r="ED23" i="2"/>
  <c r="DR30" i="2"/>
  <c r="DS30" i="2" s="1"/>
  <c r="DQ30" i="2"/>
  <c r="DZ30" i="2"/>
  <c r="EA30" i="2" s="1"/>
  <c r="DX32" i="2"/>
  <c r="DY32" i="2" s="1"/>
  <c r="EB32" i="2"/>
  <c r="EC32" i="2" s="1"/>
  <c r="EF32" i="2"/>
  <c r="EG32" i="2" s="1"/>
  <c r="DV36" i="2"/>
  <c r="DW36" i="2" s="1"/>
  <c r="ED36" i="2"/>
  <c r="EB37" i="2"/>
  <c r="EC37" i="2" s="1"/>
  <c r="DV38" i="2"/>
  <c r="DW38" i="2" s="1"/>
  <c r="DZ38" i="2"/>
  <c r="EA38" i="2" s="1"/>
  <c r="ED38" i="2"/>
  <c r="EB40" i="2"/>
  <c r="EC40" i="2" s="1"/>
  <c r="EF40" i="2"/>
  <c r="EG40" i="2" s="1"/>
  <c r="DV41" i="2"/>
  <c r="DW41" i="2" s="1"/>
  <c r="ED41" i="2"/>
  <c r="ED42" i="2"/>
  <c r="DR48" i="2"/>
  <c r="DS48" i="2" s="1"/>
  <c r="DB50" i="2"/>
  <c r="DP55" i="2"/>
  <c r="DZ55" i="2"/>
  <c r="EA55" i="2" s="1"/>
  <c r="ED55" i="2"/>
  <c r="DX56" i="2"/>
  <c r="DY56" i="2" s="1"/>
  <c r="EB56" i="2"/>
  <c r="EC56" i="2" s="1"/>
  <c r="EF56" i="2"/>
  <c r="EG56" i="2" s="1"/>
  <c r="DB57" i="2"/>
  <c r="EF57" i="2"/>
  <c r="EG57" i="2" s="1"/>
  <c r="DR60" i="2"/>
  <c r="DS60" i="2" s="1"/>
  <c r="DZ61" i="2"/>
  <c r="EA61" i="2" s="1"/>
  <c r="DV62" i="2"/>
  <c r="DW62" i="2" s="1"/>
  <c r="DZ62" i="2"/>
  <c r="EA62" i="2" s="1"/>
  <c r="ED62" i="2"/>
  <c r="EE62" i="2" s="1"/>
  <c r="DV64" i="2"/>
  <c r="DW64" i="2" s="1"/>
  <c r="DZ64" i="2"/>
  <c r="EA64" i="2" s="1"/>
  <c r="ED64" i="2"/>
  <c r="DZ71" i="2"/>
  <c r="EA71" i="2" s="1"/>
  <c r="ED71" i="2"/>
  <c r="DZ72" i="2"/>
  <c r="EA72" i="2" s="1"/>
  <c r="ED72" i="2"/>
  <c r="EB74" i="2"/>
  <c r="EC74" i="2" s="1"/>
  <c r="EF74" i="2"/>
  <c r="EG74" i="2" s="1"/>
  <c r="DZ75" i="2"/>
  <c r="EA75" i="2" s="1"/>
  <c r="ED75" i="2"/>
  <c r="EF77" i="2"/>
  <c r="EG77" i="2" s="1"/>
  <c r="DR80" i="2"/>
  <c r="DS80" i="2" s="1"/>
  <c r="DZ80" i="2"/>
  <c r="EA80" i="2" s="1"/>
  <c r="EB81" i="2"/>
  <c r="EC81" i="2" s="1"/>
  <c r="DX84" i="2"/>
  <c r="DY84" i="2" s="1"/>
  <c r="EB84" i="2"/>
  <c r="EC84" i="2" s="1"/>
  <c r="EF84" i="2"/>
  <c r="EG84" i="2" s="1"/>
  <c r="EB96" i="2"/>
  <c r="DX97" i="2"/>
  <c r="DY97" i="2" s="1"/>
  <c r="EB97" i="2"/>
  <c r="EC97" i="2" s="1"/>
  <c r="EF97" i="2"/>
  <c r="EG97" i="2" s="1"/>
  <c r="EB98" i="2"/>
  <c r="EC98" i="2" s="1"/>
  <c r="EF98" i="2"/>
  <c r="EG98" i="2" s="1"/>
  <c r="DX105" i="2"/>
  <c r="DY105" i="2" s="1"/>
  <c r="EB105" i="2"/>
  <c r="EC105" i="2" s="1"/>
  <c r="EF105" i="2"/>
  <c r="EG105" i="2" s="1"/>
  <c r="DT106" i="2"/>
  <c r="DU106" i="2" s="1"/>
  <c r="DZ106" i="2"/>
  <c r="EA106" i="2" s="1"/>
  <c r="ED106" i="2"/>
  <c r="DR107" i="2"/>
  <c r="DS107" i="2" s="1"/>
  <c r="DX107" i="2"/>
  <c r="EB107" i="2"/>
  <c r="EF107" i="2"/>
  <c r="DQ37" i="3"/>
  <c r="DQ47" i="3"/>
  <c r="DQ84" i="3"/>
  <c r="DQ88" i="3"/>
  <c r="DQ106" i="3"/>
  <c r="DQ58" i="3"/>
  <c r="DP20" i="3"/>
  <c r="DP24" i="3"/>
  <c r="DP28" i="3"/>
  <c r="DP32" i="3"/>
  <c r="DQ52" i="3"/>
  <c r="DQ62" i="3"/>
  <c r="DQ65" i="3"/>
  <c r="DQ75" i="3"/>
  <c r="DQ15" i="3"/>
  <c r="DQ38" i="3"/>
  <c r="DQ42" i="3"/>
  <c r="DQ44" i="3"/>
  <c r="DQ48" i="3"/>
  <c r="DQ53" i="3"/>
  <c r="DQ56" i="3"/>
  <c r="DQ77" i="3"/>
  <c r="DQ81" i="3"/>
  <c r="DQ83" i="3"/>
  <c r="DQ19" i="3"/>
  <c r="DQ23" i="3"/>
  <c r="DQ27" i="3"/>
  <c r="DQ29" i="3"/>
  <c r="DQ31" i="3"/>
  <c r="DQ59" i="3"/>
  <c r="DQ50" i="3"/>
  <c r="DQ54" i="3"/>
  <c r="DQ72" i="3"/>
  <c r="DQ14" i="3"/>
  <c r="DQ17" i="3"/>
  <c r="DQ18" i="3"/>
  <c r="DQ22" i="3"/>
  <c r="DQ26" i="3"/>
  <c r="DQ30" i="3"/>
  <c r="DQ34" i="3"/>
  <c r="DQ39" i="3"/>
  <c r="DQ40" i="3"/>
  <c r="DQ41" i="3"/>
  <c r="DP62" i="3"/>
  <c r="DQ64" i="3"/>
  <c r="DQ74" i="3"/>
  <c r="DQ76" i="3"/>
  <c r="DQ80" i="3"/>
  <c r="DQ87" i="3"/>
  <c r="DQ16" i="3"/>
  <c r="DC105" i="3"/>
  <c r="DQ20" i="3"/>
  <c r="DQ24" i="3"/>
  <c r="DC25" i="3"/>
  <c r="DC102" i="3" s="1"/>
  <c r="DQ28" i="3"/>
  <c r="DQ32" i="3"/>
  <c r="DQ43" i="3"/>
  <c r="DQ49" i="3"/>
  <c r="DQ82" i="3"/>
  <c r="DQ103" i="3"/>
  <c r="DQ36" i="3"/>
  <c r="DQ45" i="3"/>
  <c r="DQ46" i="3"/>
  <c r="DQ51" i="3"/>
  <c r="DQ55" i="3"/>
  <c r="DQ57" i="3"/>
  <c r="DQ61" i="3"/>
  <c r="DQ107" i="3"/>
  <c r="DQ13" i="2"/>
  <c r="DV18" i="2"/>
  <c r="DW18" i="2" s="1"/>
  <c r="DT13" i="2"/>
  <c r="DU13" i="2" s="1"/>
  <c r="DQ17" i="2"/>
  <c r="DC106" i="2"/>
  <c r="DT21" i="2"/>
  <c r="DU21" i="2" s="1"/>
  <c r="DQ21" i="2"/>
  <c r="DB22" i="2"/>
  <c r="DC23" i="2"/>
  <c r="DC105" i="2" s="1"/>
  <c r="DT20" i="2"/>
  <c r="DU20" i="2" s="1"/>
  <c r="DR13" i="2"/>
  <c r="DS13" i="2" s="1"/>
  <c r="DQ14" i="2"/>
  <c r="DR15" i="2"/>
  <c r="DS15" i="2" s="1"/>
  <c r="DV15" i="2"/>
  <c r="DW15" i="2" s="1"/>
  <c r="DZ15" i="2"/>
  <c r="EA15" i="2" s="1"/>
  <c r="ED15" i="2"/>
  <c r="EF16" i="2"/>
  <c r="EG16" i="2" s="1"/>
  <c r="DB18" i="2"/>
  <c r="DC19" i="2"/>
  <c r="EF19" i="2"/>
  <c r="EG19" i="2" s="1"/>
  <c r="EF20" i="2"/>
  <c r="EG20" i="2" s="1"/>
  <c r="DT22" i="2"/>
  <c r="DU22" i="2" s="1"/>
  <c r="DQ25" i="2"/>
  <c r="EB28" i="2"/>
  <c r="EC28" i="2" s="1"/>
  <c r="DX14" i="2"/>
  <c r="DY14" i="2" s="1"/>
  <c r="EB14" i="2"/>
  <c r="EC14" i="2" s="1"/>
  <c r="EF14" i="2"/>
  <c r="EG14" i="2" s="1"/>
  <c r="DT19" i="2"/>
  <c r="DU19" i="2" s="1"/>
  <c r="DR21" i="2"/>
  <c r="DS21" i="2" s="1"/>
  <c r="DQ22" i="2"/>
  <c r="DV22" i="2"/>
  <c r="DW22" i="2" s="1"/>
  <c r="DT26" i="2"/>
  <c r="DU26" i="2" s="1"/>
  <c r="DV26" i="2"/>
  <c r="DW26" i="2" s="1"/>
  <c r="EF23" i="2"/>
  <c r="EG23" i="2" s="1"/>
  <c r="EF27" i="2"/>
  <c r="EG27" i="2" s="1"/>
  <c r="EF28" i="2"/>
  <c r="EG28" i="2" s="1"/>
  <c r="DT29" i="2"/>
  <c r="DU29" i="2" s="1"/>
  <c r="DZ29" i="2"/>
  <c r="EA29" i="2" s="1"/>
  <c r="ED29" i="2"/>
  <c r="DQ32" i="2"/>
  <c r="DQ34" i="2"/>
  <c r="DX35" i="2"/>
  <c r="DY35" i="2" s="1"/>
  <c r="EB35" i="2"/>
  <c r="EC35" i="2" s="1"/>
  <c r="EF35" i="2"/>
  <c r="EG35" i="2" s="1"/>
  <c r="DX37" i="2"/>
  <c r="DY37" i="2" s="1"/>
  <c r="DQ38" i="2"/>
  <c r="DR39" i="2"/>
  <c r="DS39" i="2" s="1"/>
  <c r="DV39" i="2"/>
  <c r="DW39" i="2" s="1"/>
  <c r="DZ40" i="2"/>
  <c r="EA40" i="2" s="1"/>
  <c r="DX41" i="2"/>
  <c r="DY41" i="2" s="1"/>
  <c r="EF41" i="2"/>
  <c r="EG41" i="2" s="1"/>
  <c r="DX43" i="2"/>
  <c r="DY43" i="2" s="1"/>
  <c r="EB43" i="2"/>
  <c r="EC43" i="2" s="1"/>
  <c r="EF43" i="2"/>
  <c r="EG43" i="2" s="1"/>
  <c r="DT44" i="2"/>
  <c r="DU44" i="2" s="1"/>
  <c r="EB44" i="2"/>
  <c r="EC44" i="2" s="1"/>
  <c r="EF44" i="2"/>
  <c r="EG44" i="2" s="1"/>
  <c r="DX45" i="2"/>
  <c r="DY45" i="2" s="1"/>
  <c r="EB45" i="2"/>
  <c r="EC45" i="2" s="1"/>
  <c r="EF45" i="2"/>
  <c r="EG45" i="2" s="1"/>
  <c r="DQ46" i="2"/>
  <c r="DV50" i="2"/>
  <c r="DW50" i="2" s="1"/>
  <c r="DZ50" i="2"/>
  <c r="EA50" i="2" s="1"/>
  <c r="DC51" i="2"/>
  <c r="DC101" i="2" s="1"/>
  <c r="DX51" i="2"/>
  <c r="DY51" i="2" s="1"/>
  <c r="EF51" i="2"/>
  <c r="EG51" i="2" s="1"/>
  <c r="DX52" i="2"/>
  <c r="DY52" i="2" s="1"/>
  <c r="EB52" i="2"/>
  <c r="EC52" i="2" s="1"/>
  <c r="EF52" i="2"/>
  <c r="EG52" i="2" s="1"/>
  <c r="DQ55" i="2"/>
  <c r="DX59" i="2"/>
  <c r="DY59" i="2" s="1"/>
  <c r="EB59" i="2"/>
  <c r="EC59" i="2" s="1"/>
  <c r="DR61" i="2"/>
  <c r="DS61" i="2" s="1"/>
  <c r="DQ61" i="2"/>
  <c r="DV61" i="2"/>
  <c r="DW61" i="2" s="1"/>
  <c r="DX62" i="2"/>
  <c r="DY62" i="2" s="1"/>
  <c r="EB62" i="2"/>
  <c r="EC62" i="2" s="1"/>
  <c r="DA117" i="2"/>
  <c r="DC73" i="2"/>
  <c r="DQ29" i="2"/>
  <c r="DV30" i="2"/>
  <c r="DW30" i="2" s="1"/>
  <c r="DC36" i="2"/>
  <c r="DT37" i="2"/>
  <c r="DU37" i="2" s="1"/>
  <c r="DT40" i="2"/>
  <c r="DU40" i="2" s="1"/>
  <c r="DB41" i="2"/>
  <c r="DT42" i="2"/>
  <c r="DU42" i="2" s="1"/>
  <c r="DR56" i="2"/>
  <c r="DS56" i="2" s="1"/>
  <c r="DQ57" i="2"/>
  <c r="DT71" i="2"/>
  <c r="DU71" i="2" s="1"/>
  <c r="DV71" i="2"/>
  <c r="DW71" i="2" s="1"/>
  <c r="DT72" i="2"/>
  <c r="DU72" i="2" s="1"/>
  <c r="DV72" i="2"/>
  <c r="DW72" i="2" s="1"/>
  <c r="DR75" i="2"/>
  <c r="DS75" i="2" s="1"/>
  <c r="DB75" i="2"/>
  <c r="DQ24" i="2"/>
  <c r="DQ26" i="2"/>
  <c r="DR27" i="2"/>
  <c r="DS27" i="2" s="1"/>
  <c r="DV27" i="2"/>
  <c r="DW27" i="2" s="1"/>
  <c r="DZ27" i="2"/>
  <c r="EA27" i="2" s="1"/>
  <c r="ED27" i="2"/>
  <c r="DV28" i="2"/>
  <c r="DW28" i="2" s="1"/>
  <c r="DZ28" i="2"/>
  <c r="EA28" i="2" s="1"/>
  <c r="ED28" i="2"/>
  <c r="DT28" i="2"/>
  <c r="DU28" i="2" s="1"/>
  <c r="DR29" i="2"/>
  <c r="DS29" i="2" s="1"/>
  <c r="DX30" i="2"/>
  <c r="DY30" i="2" s="1"/>
  <c r="EB30" i="2"/>
  <c r="EC30" i="2" s="1"/>
  <c r="EF30" i="2"/>
  <c r="EG30" i="2" s="1"/>
  <c r="EB33" i="2"/>
  <c r="EC33" i="2" s="1"/>
  <c r="DX34" i="2"/>
  <c r="DY34" i="2" s="1"/>
  <c r="EB34" i="2"/>
  <c r="EC34" i="2" s="1"/>
  <c r="EF34" i="2"/>
  <c r="EG34" i="2" s="1"/>
  <c r="DV35" i="2"/>
  <c r="DW35" i="2" s="1"/>
  <c r="DZ35" i="2"/>
  <c r="EA35" i="2" s="1"/>
  <c r="ED35" i="2"/>
  <c r="DV37" i="2"/>
  <c r="DW37" i="2" s="1"/>
  <c r="ED37" i="2"/>
  <c r="DR37" i="2"/>
  <c r="DS37" i="2" s="1"/>
  <c r="EB38" i="2"/>
  <c r="EC38" i="2" s="1"/>
  <c r="EF38" i="2"/>
  <c r="EG38" i="2" s="1"/>
  <c r="DB39" i="2"/>
  <c r="DX40" i="2"/>
  <c r="DY40" i="2" s="1"/>
  <c r="DP41" i="2"/>
  <c r="DZ41" i="2"/>
  <c r="EA41" i="2" s="1"/>
  <c r="DT41" i="2"/>
  <c r="DU41" i="2" s="1"/>
  <c r="DR42" i="2"/>
  <c r="DS42" i="2" s="1"/>
  <c r="DV42" i="2"/>
  <c r="DW42" i="2" s="1"/>
  <c r="DR43" i="2"/>
  <c r="DS43" i="2" s="1"/>
  <c r="DV43" i="2"/>
  <c r="DW43" i="2" s="1"/>
  <c r="DZ43" i="2"/>
  <c r="EA43" i="2" s="1"/>
  <c r="ED43" i="2"/>
  <c r="EE43" i="2" s="1"/>
  <c r="DR44" i="2"/>
  <c r="DS44" i="2" s="1"/>
  <c r="DP44" i="2"/>
  <c r="DZ44" i="2"/>
  <c r="EA44" i="2" s="1"/>
  <c r="ED44" i="2"/>
  <c r="DR45" i="2"/>
  <c r="DS45" i="2" s="1"/>
  <c r="DQ45" i="2"/>
  <c r="DQ48" i="2"/>
  <c r="DX49" i="2"/>
  <c r="DY49" i="2" s="1"/>
  <c r="EB49" i="2"/>
  <c r="EC49" i="2" s="1"/>
  <c r="EF49" i="2"/>
  <c r="EG49" i="2" s="1"/>
  <c r="DX50" i="2"/>
  <c r="DY50" i="2" s="1"/>
  <c r="EB50" i="2"/>
  <c r="EC50" i="2" s="1"/>
  <c r="EF50" i="2"/>
  <c r="EG50" i="2" s="1"/>
  <c r="DT51" i="2"/>
  <c r="DU51" i="2" s="1"/>
  <c r="DZ52" i="2"/>
  <c r="EA52" i="2" s="1"/>
  <c r="ED52" i="2"/>
  <c r="DR54" i="2"/>
  <c r="DS54" i="2" s="1"/>
  <c r="DV54" i="2"/>
  <c r="DW54" i="2" s="1"/>
  <c r="DZ54" i="2"/>
  <c r="EA54" i="2" s="1"/>
  <c r="ED54" i="2"/>
  <c r="EF55" i="2"/>
  <c r="EG55" i="2" s="1"/>
  <c r="DQ56" i="2"/>
  <c r="DZ56" i="2"/>
  <c r="EA56" i="2" s="1"/>
  <c r="DV57" i="2"/>
  <c r="DW57" i="2" s="1"/>
  <c r="DV58" i="2"/>
  <c r="DW58" i="2" s="1"/>
  <c r="DZ58" i="2"/>
  <c r="EA58" i="2" s="1"/>
  <c r="ED58" i="2"/>
  <c r="DT59" i="2"/>
  <c r="DU59" i="2" s="1"/>
  <c r="DZ60" i="2"/>
  <c r="EA60" i="2" s="1"/>
  <c r="DT62" i="2"/>
  <c r="DU62" i="2" s="1"/>
  <c r="DX65" i="2"/>
  <c r="DY65" i="2" s="1"/>
  <c r="EB65" i="2"/>
  <c r="EC65" i="2" s="1"/>
  <c r="DT32" i="2"/>
  <c r="DU32" i="2" s="1"/>
  <c r="DT39" i="2"/>
  <c r="DU39" i="2" s="1"/>
  <c r="DQ43" i="2"/>
  <c r="DQ44" i="2"/>
  <c r="EH46" i="2"/>
  <c r="EI46" i="2" s="1"/>
  <c r="DV46" i="2"/>
  <c r="DW46" i="2" s="1"/>
  <c r="DQ54" i="2"/>
  <c r="EH55" i="2"/>
  <c r="EI55" i="2" s="1"/>
  <c r="DT64" i="2"/>
  <c r="DU64" i="2" s="1"/>
  <c r="DT61" i="2"/>
  <c r="DU61" i="2" s="1"/>
  <c r="DQ65" i="2"/>
  <c r="DX71" i="2"/>
  <c r="DY71" i="2" s="1"/>
  <c r="EB71" i="2"/>
  <c r="EC71" i="2" s="1"/>
  <c r="EF71" i="2"/>
  <c r="EG71" i="2" s="1"/>
  <c r="DX72" i="2"/>
  <c r="DY72" i="2" s="1"/>
  <c r="EB72" i="2"/>
  <c r="EC72" i="2" s="1"/>
  <c r="DV73" i="2"/>
  <c r="DW73" i="2" s="1"/>
  <c r="DZ73" i="2"/>
  <c r="EA73" i="2" s="1"/>
  <c r="ED73" i="2"/>
  <c r="DT73" i="2"/>
  <c r="DU73" i="2" s="1"/>
  <c r="DQ77" i="2"/>
  <c r="DQ79" i="2"/>
  <c r="DV79" i="2"/>
  <c r="DW79" i="2" s="1"/>
  <c r="DQ80" i="2"/>
  <c r="DR82" i="2"/>
  <c r="DS82" i="2" s="1"/>
  <c r="DX82" i="2"/>
  <c r="EF82" i="2"/>
  <c r="DV84" i="2"/>
  <c r="DW84" i="2" s="1"/>
  <c r="DZ84" i="2"/>
  <c r="EA84" i="2" s="1"/>
  <c r="ED84" i="2"/>
  <c r="DR84" i="2"/>
  <c r="DS84" i="2" s="1"/>
  <c r="DX86" i="2"/>
  <c r="DY86" i="2" s="1"/>
  <c r="EB86" i="2"/>
  <c r="EC86" i="2" s="1"/>
  <c r="EF86" i="2"/>
  <c r="EG86" i="2" s="1"/>
  <c r="DX87" i="2"/>
  <c r="DY87" i="2" s="1"/>
  <c r="EB87" i="2"/>
  <c r="EC87" i="2" s="1"/>
  <c r="EF87" i="2"/>
  <c r="EG87" i="2" s="1"/>
  <c r="DB88" i="2"/>
  <c r="DV102" i="2"/>
  <c r="DW102" i="2" s="1"/>
  <c r="DQ73" i="2"/>
  <c r="DT74" i="2"/>
  <c r="DU74" i="2" s="1"/>
  <c r="DZ74" i="2"/>
  <c r="EA74" i="2" s="1"/>
  <c r="ED74" i="2"/>
  <c r="DT75" i="2"/>
  <c r="DU75" i="2" s="1"/>
  <c r="DR76" i="2"/>
  <c r="DS76" i="2" s="1"/>
  <c r="DX79" i="2"/>
  <c r="DY79" i="2" s="1"/>
  <c r="EB79" i="2"/>
  <c r="EC79" i="2" s="1"/>
  <c r="EF79" i="2"/>
  <c r="EG79" i="2" s="1"/>
  <c r="DX80" i="2"/>
  <c r="DY80" i="2" s="1"/>
  <c r="EB80" i="2"/>
  <c r="EC80" i="2" s="1"/>
  <c r="DV81" i="2"/>
  <c r="DW81" i="2" s="1"/>
  <c r="DZ81" i="2"/>
  <c r="EA81" i="2" s="1"/>
  <c r="ED81" i="2"/>
  <c r="DT81" i="2"/>
  <c r="DU81" i="2" s="1"/>
  <c r="DR83" i="2"/>
  <c r="DS83" i="2" s="1"/>
  <c r="DQ84" i="2"/>
  <c r="DV85" i="2"/>
  <c r="DW85" i="2" s="1"/>
  <c r="DZ85" i="2"/>
  <c r="EA85" i="2" s="1"/>
  <c r="ED85" i="2"/>
  <c r="DX89" i="2"/>
  <c r="EF89" i="2"/>
  <c r="EF92" i="2"/>
  <c r="EG92" i="2" s="1"/>
  <c r="DX96" i="2"/>
  <c r="EF96" i="2"/>
  <c r="DX102" i="2"/>
  <c r="DY102" i="2" s="1"/>
  <c r="EB102" i="2"/>
  <c r="EC102" i="2" s="1"/>
  <c r="EF102" i="2"/>
  <c r="EG102" i="2" s="1"/>
  <c r="DV103" i="2"/>
  <c r="DW103" i="2" s="1"/>
  <c r="DZ103" i="2"/>
  <c r="EA103" i="2" s="1"/>
  <c r="ED103" i="2"/>
  <c r="DZ104" i="2"/>
  <c r="EA104" i="2" s="1"/>
  <c r="ED104" i="2"/>
  <c r="DX106" i="2"/>
  <c r="DY106" i="2" s="1"/>
  <c r="EB106" i="2"/>
  <c r="EC106" i="2" s="1"/>
  <c r="EF106" i="2"/>
  <c r="EG106" i="2" s="1"/>
  <c r="DV75" i="2"/>
  <c r="DW75" i="2" s="1"/>
  <c r="DQ76" i="2"/>
  <c r="DQ90" i="2"/>
  <c r="DT91" i="2"/>
  <c r="DU91" i="2" s="1"/>
  <c r="DQ103" i="2"/>
  <c r="DT107" i="2"/>
  <c r="DU107" i="2" s="1"/>
  <c r="DQ59" i="2"/>
  <c r="DX60" i="2"/>
  <c r="DY60" i="2" s="1"/>
  <c r="EB60" i="2"/>
  <c r="EC60" i="2" s="1"/>
  <c r="EF60" i="2"/>
  <c r="EG60" i="2" s="1"/>
  <c r="EF61" i="2"/>
  <c r="EG61" i="2" s="1"/>
  <c r="DQ62" i="2"/>
  <c r="EF64" i="2"/>
  <c r="DV65" i="2"/>
  <c r="DW65" i="2" s="1"/>
  <c r="DZ65" i="2"/>
  <c r="EA65" i="2" s="1"/>
  <c r="ED65" i="2"/>
  <c r="EE65" i="2" s="1"/>
  <c r="DQ71" i="2"/>
  <c r="DQ72" i="2"/>
  <c r="EF73" i="2"/>
  <c r="EG73" i="2" s="1"/>
  <c r="DR74" i="2"/>
  <c r="DS74" i="2" s="1"/>
  <c r="DX75" i="2"/>
  <c r="DY75" i="2" s="1"/>
  <c r="EB75" i="2"/>
  <c r="EC75" i="2" s="1"/>
  <c r="EF75" i="2"/>
  <c r="EG75" i="2" s="1"/>
  <c r="DZ77" i="2"/>
  <c r="EA77" i="2" s="1"/>
  <c r="ED77" i="2"/>
  <c r="EF78" i="2"/>
  <c r="EG78" i="2" s="1"/>
  <c r="DT80" i="2"/>
  <c r="DU80" i="2" s="1"/>
  <c r="DV82" i="2"/>
  <c r="DT83" i="2"/>
  <c r="DU83" i="2" s="1"/>
  <c r="DZ83" i="2"/>
  <c r="EA83" i="2" s="1"/>
  <c r="ED83" i="2"/>
  <c r="EF85" i="2"/>
  <c r="EG85" i="2" s="1"/>
  <c r="DQ87" i="2"/>
  <c r="DQ88" i="2"/>
  <c r="DV89" i="2"/>
  <c r="DW89" i="2" s="1"/>
  <c r="DZ89" i="2"/>
  <c r="EA89" i="2" s="1"/>
  <c r="ED89" i="2"/>
  <c r="DX90" i="2"/>
  <c r="DY90" i="2" s="1"/>
  <c r="EB90" i="2"/>
  <c r="EC90" i="2" s="1"/>
  <c r="EF90" i="2"/>
  <c r="EG90" i="2" s="1"/>
  <c r="DV92" i="2"/>
  <c r="DW92" i="2" s="1"/>
  <c r="DZ92" i="2"/>
  <c r="EA92" i="2" s="1"/>
  <c r="ED92" i="2"/>
  <c r="DV96" i="2"/>
  <c r="DZ96" i="2"/>
  <c r="ED96" i="2"/>
  <c r="DX101" i="2"/>
  <c r="DY101" i="2" s="1"/>
  <c r="EB101" i="2"/>
  <c r="EC101" i="2" s="1"/>
  <c r="EF101" i="2"/>
  <c r="EG101" i="2" s="1"/>
  <c r="DR103" i="2"/>
  <c r="DS103" i="2" s="1"/>
  <c r="DX103" i="2"/>
  <c r="DY103" i="2" s="1"/>
  <c r="EB103" i="2"/>
  <c r="EC103" i="2" s="1"/>
  <c r="DR104" i="2"/>
  <c r="DS104" i="2" s="1"/>
  <c r="EF104" i="2"/>
  <c r="EG104" i="2" s="1"/>
  <c r="DQ105" i="2"/>
  <c r="DQ107" i="2"/>
  <c r="DQ13" i="3"/>
  <c r="DP16" i="3"/>
  <c r="DQ21" i="3"/>
  <c r="DQ25" i="3"/>
  <c r="DQ33" i="3"/>
  <c r="DB43" i="3"/>
  <c r="DP48" i="3"/>
  <c r="DQ79" i="3"/>
  <c r="DP47" i="3"/>
  <c r="DP82" i="3"/>
  <c r="DC86" i="3"/>
  <c r="DC104" i="3" s="1"/>
  <c r="DC13" i="3"/>
  <c r="DP14" i="3"/>
  <c r="DB16" i="3"/>
  <c r="DP18" i="3"/>
  <c r="DB20" i="3"/>
  <c r="DP22" i="3"/>
  <c r="DB24" i="3"/>
  <c r="DP26" i="3"/>
  <c r="DB28" i="3"/>
  <c r="DC29" i="3"/>
  <c r="DC101" i="3" s="1"/>
  <c r="DP30" i="3"/>
  <c r="DB32" i="3"/>
  <c r="DC33" i="3"/>
  <c r="DP34" i="3"/>
  <c r="DQ35" i="3"/>
  <c r="DB36" i="3"/>
  <c r="DB37" i="3"/>
  <c r="DP43" i="3"/>
  <c r="DP44" i="3"/>
  <c r="DB47" i="3"/>
  <c r="DB48" i="3"/>
  <c r="DP52" i="3"/>
  <c r="DB55" i="3"/>
  <c r="DB58" i="3"/>
  <c r="DB59" i="3"/>
  <c r="DQ60" i="3"/>
  <c r="DP74" i="3"/>
  <c r="DP81" i="3"/>
  <c r="DA117" i="3"/>
  <c r="DP107" i="3"/>
  <c r="DC103" i="3"/>
  <c r="DP37" i="3"/>
  <c r="DB42" i="3"/>
  <c r="DB44" i="3"/>
  <c r="DB51" i="3"/>
  <c r="DB52" i="3"/>
  <c r="DB77" i="3"/>
  <c r="DB78" i="3"/>
  <c r="DP15" i="3"/>
  <c r="DC106" i="3"/>
  <c r="DP19" i="3"/>
  <c r="DP23" i="3"/>
  <c r="DP27" i="3"/>
  <c r="DP31" i="3"/>
  <c r="DP36" i="3"/>
  <c r="DP55" i="3"/>
  <c r="DQ71" i="3"/>
  <c r="DP88" i="3"/>
  <c r="DP13" i="3"/>
  <c r="DB15" i="3"/>
  <c r="DP17" i="3"/>
  <c r="DB19" i="3"/>
  <c r="DP21" i="3"/>
  <c r="DB23" i="3"/>
  <c r="DP25" i="3"/>
  <c r="DB27" i="3"/>
  <c r="DP29" i="3"/>
  <c r="DB31" i="3"/>
  <c r="DP33" i="3"/>
  <c r="DP42" i="3"/>
  <c r="DP51" i="3"/>
  <c r="DP65" i="3"/>
  <c r="DP73" i="3"/>
  <c r="DQ78" i="3"/>
  <c r="DP83" i="3"/>
  <c r="DP85" i="3"/>
  <c r="DP35" i="3"/>
  <c r="DP39" i="3"/>
  <c r="DP40" i="3"/>
  <c r="DP41" i="3"/>
  <c r="DP46" i="3"/>
  <c r="DP50" i="3"/>
  <c r="DP54" i="3"/>
  <c r="DP59" i="3"/>
  <c r="DB62" i="3"/>
  <c r="DP64" i="3"/>
  <c r="CZ90" i="3"/>
  <c r="DB65" i="3"/>
  <c r="DB73" i="3"/>
  <c r="DE116" i="3"/>
  <c r="DB74" i="3"/>
  <c r="DP78" i="3"/>
  <c r="DB81" i="3"/>
  <c r="DB82" i="3"/>
  <c r="DB83" i="3"/>
  <c r="DQ85" i="3"/>
  <c r="DB88" i="3"/>
  <c r="DP38" i="3"/>
  <c r="DP45" i="3"/>
  <c r="DP49" i="3"/>
  <c r="DP53" i="3"/>
  <c r="DP58" i="3"/>
  <c r="DB64" i="3"/>
  <c r="DA90" i="3"/>
  <c r="DQ90" i="3" s="1"/>
  <c r="DA116" i="3"/>
  <c r="DP77" i="3"/>
  <c r="DC90" i="3"/>
  <c r="DQ86" i="3"/>
  <c r="DQ105" i="3"/>
  <c r="DP57" i="3"/>
  <c r="DP61" i="3"/>
  <c r="DP72" i="3"/>
  <c r="DQ73" i="3"/>
  <c r="DP76" i="3"/>
  <c r="DP80" i="3"/>
  <c r="DA114" i="3"/>
  <c r="DE114" i="3"/>
  <c r="DP104" i="3"/>
  <c r="DP56" i="3"/>
  <c r="DP60" i="3"/>
  <c r="DP71" i="3"/>
  <c r="DP75" i="3"/>
  <c r="DP79" i="3"/>
  <c r="DP84" i="3"/>
  <c r="DB85" i="3"/>
  <c r="DP103" i="3"/>
  <c r="DE117" i="3"/>
  <c r="DQ104" i="3"/>
  <c r="DP87" i="3"/>
  <c r="DP101" i="3"/>
  <c r="DP102" i="3"/>
  <c r="DP86" i="3"/>
  <c r="DQ101" i="3"/>
  <c r="DP105" i="3"/>
  <c r="DP106" i="3"/>
  <c r="DX15" i="2"/>
  <c r="DY15" i="2" s="1"/>
  <c r="EB15" i="2"/>
  <c r="EC15" i="2" s="1"/>
  <c r="DT17" i="2"/>
  <c r="DU17" i="2" s="1"/>
  <c r="DZ17" i="2"/>
  <c r="EA17" i="2" s="1"/>
  <c r="ED17" i="2"/>
  <c r="DT18" i="2"/>
  <c r="DU18" i="2" s="1"/>
  <c r="DP20" i="2"/>
  <c r="EH20" i="2" s="1"/>
  <c r="EI20" i="2" s="1"/>
  <c r="DT23" i="2"/>
  <c r="DU23" i="2" s="1"/>
  <c r="DR24" i="2"/>
  <c r="DS24" i="2" s="1"/>
  <c r="DB24" i="2"/>
  <c r="DT24" i="2"/>
  <c r="DU24" i="2" s="1"/>
  <c r="DR25" i="2"/>
  <c r="DS25" i="2" s="1"/>
  <c r="DX31" i="2"/>
  <c r="DY31" i="2" s="1"/>
  <c r="EB31" i="2"/>
  <c r="EC31" i="2" s="1"/>
  <c r="DT33" i="2"/>
  <c r="DU33" i="2" s="1"/>
  <c r="DZ33" i="2"/>
  <c r="EA33" i="2" s="1"/>
  <c r="DQ33" i="2"/>
  <c r="DP24" i="2"/>
  <c r="EH24" i="2" s="1"/>
  <c r="EI24" i="2" s="1"/>
  <c r="DT14" i="2"/>
  <c r="DU14" i="2" s="1"/>
  <c r="DC103" i="2"/>
  <c r="DP16" i="2"/>
  <c r="EH16" i="2" s="1"/>
  <c r="EI16" i="2" s="1"/>
  <c r="DR20" i="2"/>
  <c r="DS20" i="2" s="1"/>
  <c r="DB20" i="2"/>
  <c r="DX27" i="2"/>
  <c r="DY27" i="2" s="1"/>
  <c r="EB27" i="2"/>
  <c r="EC27" i="2" s="1"/>
  <c r="DT30" i="2"/>
  <c r="DU30" i="2" s="1"/>
  <c r="DP32" i="2"/>
  <c r="DR28" i="2"/>
  <c r="DS28" i="2" s="1"/>
  <c r="DB28" i="2"/>
  <c r="DT15" i="2"/>
  <c r="DU15" i="2" s="1"/>
  <c r="DR16" i="2"/>
  <c r="DS16" i="2" s="1"/>
  <c r="DB16" i="2"/>
  <c r="DT16" i="2"/>
  <c r="DU16" i="2" s="1"/>
  <c r="DR17" i="2"/>
  <c r="DS17" i="2" s="1"/>
  <c r="DX23" i="2"/>
  <c r="DY23" i="2" s="1"/>
  <c r="EB23" i="2"/>
  <c r="EC23" i="2" s="1"/>
  <c r="DT25" i="2"/>
  <c r="DU25" i="2" s="1"/>
  <c r="DZ25" i="2"/>
  <c r="EA25" i="2" s="1"/>
  <c r="ED25" i="2"/>
  <c r="DP28" i="2"/>
  <c r="EH28" i="2" s="1"/>
  <c r="EI28" i="2" s="1"/>
  <c r="DT31" i="2"/>
  <c r="DU31" i="2" s="1"/>
  <c r="DR32" i="2"/>
  <c r="DS32" i="2" s="1"/>
  <c r="DB32" i="2"/>
  <c r="DR33" i="2"/>
  <c r="DS33" i="2" s="1"/>
  <c r="DR35" i="2"/>
  <c r="DS35" i="2" s="1"/>
  <c r="DV40" i="2"/>
  <c r="DW40" i="2" s="1"/>
  <c r="DT48" i="2"/>
  <c r="DU48" i="2" s="1"/>
  <c r="DB13" i="2"/>
  <c r="DV13" i="2"/>
  <c r="DW13" i="2" s="1"/>
  <c r="DP15" i="2"/>
  <c r="DB17" i="2"/>
  <c r="DV17" i="2"/>
  <c r="DW17" i="2" s="1"/>
  <c r="DP19" i="2"/>
  <c r="DB21" i="2"/>
  <c r="DV21" i="2"/>
  <c r="DW21" i="2" s="1"/>
  <c r="DP23" i="2"/>
  <c r="DB25" i="2"/>
  <c r="DB102" i="2" s="1"/>
  <c r="DV25" i="2"/>
  <c r="DW25" i="2" s="1"/>
  <c r="DP27" i="2"/>
  <c r="DB29" i="2"/>
  <c r="DV29" i="2"/>
  <c r="DW29" i="2" s="1"/>
  <c r="DP31" i="2"/>
  <c r="DB33" i="2"/>
  <c r="DV34" i="2"/>
  <c r="DW34" i="2" s="1"/>
  <c r="DZ34" i="2"/>
  <c r="EA34" i="2" s="1"/>
  <c r="ED34" i="2"/>
  <c r="DP34" i="2"/>
  <c r="EH34" i="2" s="1"/>
  <c r="EI34" i="2" s="1"/>
  <c r="DT35" i="2"/>
  <c r="DU35" i="2" s="1"/>
  <c r="DT36" i="2"/>
  <c r="DU36" i="2" s="1"/>
  <c r="DQ36" i="2"/>
  <c r="DR38" i="2"/>
  <c r="DS38" i="2" s="1"/>
  <c r="DB38" i="2"/>
  <c r="DR40" i="2"/>
  <c r="DS40" i="2" s="1"/>
  <c r="DT43" i="2"/>
  <c r="DU43" i="2" s="1"/>
  <c r="DV44" i="2"/>
  <c r="DW44" i="2" s="1"/>
  <c r="DT46" i="2"/>
  <c r="DU46" i="2" s="1"/>
  <c r="DT47" i="2"/>
  <c r="DU47" i="2" s="1"/>
  <c r="DQ47" i="2"/>
  <c r="DR51" i="2"/>
  <c r="DS51" i="2" s="1"/>
  <c r="DB51" i="2"/>
  <c r="DT54" i="2"/>
  <c r="DU54" i="2" s="1"/>
  <c r="DX54" i="2"/>
  <c r="DY54" i="2" s="1"/>
  <c r="DR58" i="2"/>
  <c r="DS58" i="2" s="1"/>
  <c r="DB58" i="2"/>
  <c r="DQ60" i="2"/>
  <c r="DV60" i="2"/>
  <c r="DW60" i="2" s="1"/>
  <c r="DR64" i="2"/>
  <c r="DS64" i="2" s="1"/>
  <c r="DB64" i="2"/>
  <c r="DV77" i="2"/>
  <c r="DW77" i="2" s="1"/>
  <c r="DT77" i="2"/>
  <c r="DU77" i="2" s="1"/>
  <c r="DP77" i="2"/>
  <c r="DV104" i="2"/>
  <c r="DW104" i="2" s="1"/>
  <c r="DT104" i="2"/>
  <c r="DU104" i="2" s="1"/>
  <c r="DP104" i="2"/>
  <c r="DQ40" i="2"/>
  <c r="EH40" i="2" s="1"/>
  <c r="EI40" i="2" s="1"/>
  <c r="DR46" i="2"/>
  <c r="DS46" i="2" s="1"/>
  <c r="DR73" i="2"/>
  <c r="DS73" i="2" s="1"/>
  <c r="DB73" i="2"/>
  <c r="DP14" i="2"/>
  <c r="EH14" i="2" s="1"/>
  <c r="EI14" i="2" s="1"/>
  <c r="DQ15" i="2"/>
  <c r="DP18" i="2"/>
  <c r="EH18" i="2" s="1"/>
  <c r="EI18" i="2" s="1"/>
  <c r="DQ19" i="2"/>
  <c r="DP22" i="2"/>
  <c r="EH22" i="2" s="1"/>
  <c r="EI22" i="2" s="1"/>
  <c r="DQ23" i="2"/>
  <c r="DP26" i="2"/>
  <c r="DQ27" i="2"/>
  <c r="DP30" i="2"/>
  <c r="EH30" i="2" s="1"/>
  <c r="EI30" i="2" s="1"/>
  <c r="DQ31" i="2"/>
  <c r="DR34" i="2"/>
  <c r="DS34" i="2" s="1"/>
  <c r="DB34" i="2"/>
  <c r="DP35" i="2"/>
  <c r="EH35" i="2" s="1"/>
  <c r="EI35" i="2" s="1"/>
  <c r="DQ39" i="2"/>
  <c r="EH39" i="2" s="1"/>
  <c r="EI39" i="2" s="1"/>
  <c r="DQ41" i="2"/>
  <c r="EH41" i="2" s="1"/>
  <c r="EI41" i="2" s="1"/>
  <c r="DP43" i="2"/>
  <c r="EH43" i="2" s="1"/>
  <c r="EI43" i="2" s="1"/>
  <c r="DX44" i="2"/>
  <c r="DY44" i="2" s="1"/>
  <c r="DP48" i="2"/>
  <c r="EH48" i="2" s="1"/>
  <c r="EI48" i="2" s="1"/>
  <c r="DR53" i="2"/>
  <c r="DS53" i="2" s="1"/>
  <c r="DR62" i="2"/>
  <c r="DS62" i="2" s="1"/>
  <c r="DB62" i="2"/>
  <c r="DP38" i="2"/>
  <c r="EH38" i="2" s="1"/>
  <c r="EI38" i="2" s="1"/>
  <c r="DV55" i="2"/>
  <c r="DW55" i="2" s="1"/>
  <c r="DT55" i="2"/>
  <c r="DU55" i="2" s="1"/>
  <c r="DP13" i="2"/>
  <c r="DP17" i="2"/>
  <c r="EH17" i="2" s="1"/>
  <c r="EI17" i="2" s="1"/>
  <c r="DP21" i="2"/>
  <c r="EH21" i="2" s="1"/>
  <c r="EI21" i="2" s="1"/>
  <c r="DP25" i="2"/>
  <c r="EH25" i="2" s="1"/>
  <c r="EI25" i="2" s="1"/>
  <c r="DP29" i="2"/>
  <c r="DP33" i="2"/>
  <c r="DX36" i="2"/>
  <c r="DY36" i="2" s="1"/>
  <c r="EB36" i="2"/>
  <c r="EC36" i="2" s="1"/>
  <c r="DP37" i="2"/>
  <c r="EH37" i="2" s="1"/>
  <c r="EI37" i="2" s="1"/>
  <c r="DT38" i="2"/>
  <c r="DU38" i="2" s="1"/>
  <c r="DT45" i="2"/>
  <c r="DU45" i="2" s="1"/>
  <c r="DZ45" i="2"/>
  <c r="EA45" i="2" s="1"/>
  <c r="ED45" i="2"/>
  <c r="DX47" i="2"/>
  <c r="DY47" i="2" s="1"/>
  <c r="EB47" i="2"/>
  <c r="EC47" i="2" s="1"/>
  <c r="DT52" i="2"/>
  <c r="DU52" i="2" s="1"/>
  <c r="DV52" i="2"/>
  <c r="DW52" i="2" s="1"/>
  <c r="DP52" i="2"/>
  <c r="EH52" i="2" s="1"/>
  <c r="EI52" i="2" s="1"/>
  <c r="DV53" i="2"/>
  <c r="DW53" i="2" s="1"/>
  <c r="DQ53" i="2"/>
  <c r="DR59" i="2"/>
  <c r="DS59" i="2" s="1"/>
  <c r="DB59" i="2"/>
  <c r="DP36" i="2"/>
  <c r="DP42" i="2"/>
  <c r="EH42" i="2" s="1"/>
  <c r="EI42" i="2" s="1"/>
  <c r="DB45" i="2"/>
  <c r="DV45" i="2"/>
  <c r="DW45" i="2" s="1"/>
  <c r="DP47" i="2"/>
  <c r="DB49" i="2"/>
  <c r="DV49" i="2"/>
  <c r="DW49" i="2" s="1"/>
  <c r="DT50" i="2"/>
  <c r="DU50" i="2" s="1"/>
  <c r="DX53" i="2"/>
  <c r="DY53" i="2" s="1"/>
  <c r="EB53" i="2"/>
  <c r="EC53" i="2" s="1"/>
  <c r="DP54" i="2"/>
  <c r="EH54" i="2" s="1"/>
  <c r="EI54" i="2" s="1"/>
  <c r="DT56" i="2"/>
  <c r="DU56" i="2" s="1"/>
  <c r="DX57" i="2"/>
  <c r="DY57" i="2" s="1"/>
  <c r="EB57" i="2"/>
  <c r="EC57" i="2" s="1"/>
  <c r="DT58" i="2"/>
  <c r="DU58" i="2" s="1"/>
  <c r="DT76" i="2"/>
  <c r="DU76" i="2" s="1"/>
  <c r="DR77" i="2"/>
  <c r="DS77" i="2" s="1"/>
  <c r="DB77" i="2"/>
  <c r="DR78" i="2"/>
  <c r="DS78" i="2" s="1"/>
  <c r="DT79" i="2"/>
  <c r="DU79" i="2" s="1"/>
  <c r="DP81" i="2"/>
  <c r="EH81" i="2" s="1"/>
  <c r="EI81" i="2" s="1"/>
  <c r="DC90" i="2"/>
  <c r="DP50" i="2"/>
  <c r="DR52" i="2"/>
  <c r="DS52" i="2" s="1"/>
  <c r="DR55" i="2"/>
  <c r="DS55" i="2" s="1"/>
  <c r="DB55" i="2"/>
  <c r="DP59" i="2"/>
  <c r="EH59" i="2" s="1"/>
  <c r="EI59" i="2" s="1"/>
  <c r="DP65" i="2"/>
  <c r="EH65" i="2" s="1"/>
  <c r="EI65" i="2" s="1"/>
  <c r="DR81" i="2"/>
  <c r="DS81" i="2" s="1"/>
  <c r="DB81" i="2"/>
  <c r="DC86" i="2"/>
  <c r="DC104" i="2" s="1"/>
  <c r="DQ86" i="2"/>
  <c r="DP45" i="2"/>
  <c r="EH45" i="2" s="1"/>
  <c r="EI45" i="2" s="1"/>
  <c r="DP49" i="2"/>
  <c r="EH49" i="2" s="1"/>
  <c r="EI49" i="2" s="1"/>
  <c r="DQ50" i="2"/>
  <c r="DV51" i="2"/>
  <c r="DW51" i="2" s="1"/>
  <c r="DZ51" i="2"/>
  <c r="EA51" i="2" s="1"/>
  <c r="ED51" i="2"/>
  <c r="DP51" i="2"/>
  <c r="EH51" i="2" s="1"/>
  <c r="EI51" i="2" s="1"/>
  <c r="DT53" i="2"/>
  <c r="DU53" i="2" s="1"/>
  <c r="DT57" i="2"/>
  <c r="DU57" i="2" s="1"/>
  <c r="DP58" i="2"/>
  <c r="EH58" i="2" s="1"/>
  <c r="EI58" i="2" s="1"/>
  <c r="DT60" i="2"/>
  <c r="DU60" i="2" s="1"/>
  <c r="DP62" i="2"/>
  <c r="EH62" i="2" s="1"/>
  <c r="EI62" i="2" s="1"/>
  <c r="DP64" i="2"/>
  <c r="EH64" i="2" s="1"/>
  <c r="EI64" i="2" s="1"/>
  <c r="CZ90" i="2"/>
  <c r="DR90" i="2" s="1"/>
  <c r="DS90" i="2" s="1"/>
  <c r="DR65" i="2"/>
  <c r="DS65" i="2" s="1"/>
  <c r="DB65" i="2"/>
  <c r="DT65" i="2"/>
  <c r="DU65" i="2" s="1"/>
  <c r="DP73" i="2"/>
  <c r="EH73" i="2" s="1"/>
  <c r="EI73" i="2" s="1"/>
  <c r="DX76" i="2"/>
  <c r="DY76" i="2" s="1"/>
  <c r="EB76" i="2"/>
  <c r="EC76" i="2" s="1"/>
  <c r="DT78" i="2"/>
  <c r="DU78" i="2" s="1"/>
  <c r="DZ78" i="2"/>
  <c r="EA78" i="2" s="1"/>
  <c r="ED78" i="2"/>
  <c r="DA115" i="2"/>
  <c r="DP53" i="2"/>
  <c r="DP57" i="2"/>
  <c r="EH57" i="2" s="1"/>
  <c r="EI57" i="2" s="1"/>
  <c r="DP61" i="2"/>
  <c r="EH61" i="2" s="1"/>
  <c r="EI61" i="2" s="1"/>
  <c r="DP72" i="2"/>
  <c r="DB74" i="2"/>
  <c r="DV74" i="2"/>
  <c r="DW74" i="2" s="1"/>
  <c r="DP76" i="2"/>
  <c r="DB78" i="2"/>
  <c r="DV78" i="2"/>
  <c r="DW78" i="2" s="1"/>
  <c r="DP80" i="2"/>
  <c r="EH80" i="2" s="1"/>
  <c r="EI80" i="2" s="1"/>
  <c r="DB82" i="2"/>
  <c r="DB83" i="2"/>
  <c r="DV83" i="2"/>
  <c r="DW83" i="2" s="1"/>
  <c r="DX88" i="2"/>
  <c r="EB88" i="2"/>
  <c r="EF88" i="2"/>
  <c r="DT90" i="2"/>
  <c r="DU90" i="2" s="1"/>
  <c r="DZ90" i="2"/>
  <c r="EA90" i="2" s="1"/>
  <c r="ED90" i="2"/>
  <c r="EE90" i="2" s="1"/>
  <c r="DT92" i="2"/>
  <c r="DU92" i="2" s="1"/>
  <c r="DE118" i="2"/>
  <c r="DR105" i="2"/>
  <c r="DS105" i="2" s="1"/>
  <c r="DP107" i="2"/>
  <c r="EH107" i="2" s="1"/>
  <c r="EI107" i="2" s="1"/>
  <c r="DP56" i="2"/>
  <c r="EH56" i="2" s="1"/>
  <c r="EI56" i="2" s="1"/>
  <c r="DP60" i="2"/>
  <c r="EH60" i="2" s="1"/>
  <c r="EI60" i="2" s="1"/>
  <c r="DP71" i="2"/>
  <c r="EH71" i="2" s="1"/>
  <c r="EI71" i="2" s="1"/>
  <c r="DP75" i="2"/>
  <c r="EH75" i="2" s="1"/>
  <c r="EI75" i="2" s="1"/>
  <c r="DP79" i="2"/>
  <c r="EH79" i="2" s="1"/>
  <c r="EI79" i="2" s="1"/>
  <c r="DP84" i="2"/>
  <c r="EH84" i="2" s="1"/>
  <c r="EI84" i="2" s="1"/>
  <c r="DT84" i="2"/>
  <c r="DU84" i="2" s="1"/>
  <c r="DP85" i="2"/>
  <c r="EH85" i="2" s="1"/>
  <c r="EI85" i="2" s="1"/>
  <c r="DT87" i="2"/>
  <c r="DU87" i="2" s="1"/>
  <c r="DT96" i="2"/>
  <c r="DT101" i="2"/>
  <c r="DU101" i="2" s="1"/>
  <c r="DT102" i="2"/>
  <c r="DU102" i="2" s="1"/>
  <c r="DP74" i="2"/>
  <c r="EH74" i="2" s="1"/>
  <c r="EI74" i="2" s="1"/>
  <c r="DP78" i="2"/>
  <c r="EH78" i="2" s="1"/>
  <c r="EI78" i="2" s="1"/>
  <c r="DP82" i="2"/>
  <c r="EH82" i="2" s="1"/>
  <c r="DP83" i="2"/>
  <c r="EH83" i="2" s="1"/>
  <c r="EI83" i="2" s="1"/>
  <c r="DR85" i="2"/>
  <c r="DS85" i="2" s="1"/>
  <c r="DB85" i="2"/>
  <c r="DT85" i="2"/>
  <c r="DU85" i="2" s="1"/>
  <c r="DR86" i="2"/>
  <c r="DS86" i="2" s="1"/>
  <c r="DX93" i="2"/>
  <c r="EB93" i="2"/>
  <c r="EF93" i="2"/>
  <c r="DT98" i="2"/>
  <c r="DU98" i="2" s="1"/>
  <c r="DE115" i="2"/>
  <c r="DA118" i="2"/>
  <c r="DT105" i="2"/>
  <c r="DU105" i="2" s="1"/>
  <c r="DZ105" i="2"/>
  <c r="EA105" i="2" s="1"/>
  <c r="ED105" i="2"/>
  <c r="EE105" i="2" s="1"/>
  <c r="DV86" i="2"/>
  <c r="DW86" i="2" s="1"/>
  <c r="DP88" i="2"/>
  <c r="EH88" i="2" s="1"/>
  <c r="DT88" i="2"/>
  <c r="DT89" i="2"/>
  <c r="DU89" i="2" s="1"/>
  <c r="DV90" i="2"/>
  <c r="DW90" i="2" s="1"/>
  <c r="DV91" i="2"/>
  <c r="DW91" i="2" s="1"/>
  <c r="DT93" i="2"/>
  <c r="DV97" i="2"/>
  <c r="DW97" i="2" s="1"/>
  <c r="DP103" i="2"/>
  <c r="EH103" i="2" s="1"/>
  <c r="EI103" i="2" s="1"/>
  <c r="DT103" i="2"/>
  <c r="DU103" i="2" s="1"/>
  <c r="DQ104" i="2"/>
  <c r="DV105" i="2"/>
  <c r="DW105" i="2" s="1"/>
  <c r="DV106" i="2"/>
  <c r="DW106" i="2" s="1"/>
  <c r="DE117" i="2"/>
  <c r="DP87" i="2"/>
  <c r="EH87" i="2" s="1"/>
  <c r="EI87" i="2" s="1"/>
  <c r="DP101" i="2"/>
  <c r="DP102" i="2"/>
  <c r="EH102" i="2" s="1"/>
  <c r="EI102" i="2" s="1"/>
  <c r="DP86" i="2"/>
  <c r="EH86" i="2" s="1"/>
  <c r="EI86" i="2" s="1"/>
  <c r="DQ101" i="2"/>
  <c r="DP105" i="2"/>
  <c r="EH105" i="2" s="1"/>
  <c r="EI105" i="2" s="1"/>
  <c r="DP106" i="2"/>
  <c r="EH106" i="2" s="1"/>
  <c r="EI106" i="2" s="1"/>
  <c r="EH53" i="2" l="1"/>
  <c r="EI53" i="2" s="1"/>
  <c r="EH47" i="2"/>
  <c r="EI47" i="2" s="1"/>
  <c r="EH36" i="2"/>
  <c r="EI36" i="2" s="1"/>
  <c r="EH26" i="2"/>
  <c r="EI26" i="2" s="1"/>
  <c r="DB103" i="2"/>
  <c r="EH72" i="2"/>
  <c r="EI72" i="2" s="1"/>
  <c r="DP90" i="2"/>
  <c r="EH90" i="2" s="1"/>
  <c r="EI90" i="2" s="1"/>
  <c r="EH76" i="2"/>
  <c r="EI76" i="2" s="1"/>
  <c r="EH29" i="2"/>
  <c r="EI29" i="2" s="1"/>
  <c r="EH13" i="2"/>
  <c r="EI13" i="2" s="1"/>
  <c r="EH77" i="2"/>
  <c r="EI77" i="2" s="1"/>
  <c r="EH32" i="2"/>
  <c r="EI32" i="2" s="1"/>
  <c r="DB101" i="3"/>
  <c r="DB105" i="3"/>
  <c r="DB106" i="3"/>
  <c r="EH27" i="2"/>
  <c r="EI27" i="2" s="1"/>
  <c r="DB105" i="2"/>
  <c r="DB101" i="2"/>
  <c r="DB106" i="2"/>
  <c r="EH44" i="2"/>
  <c r="EI44" i="2" s="1"/>
  <c r="EH19" i="2"/>
  <c r="EI19" i="2" s="1"/>
  <c r="DB103" i="3"/>
  <c r="DP90" i="3"/>
  <c r="DB90" i="3"/>
  <c r="DB104" i="3"/>
  <c r="DB104" i="2"/>
  <c r="EH101" i="2"/>
  <c r="EI101" i="2" s="1"/>
  <c r="DB90" i="2"/>
  <c r="EH33" i="2"/>
  <c r="EI33" i="2" s="1"/>
  <c r="EH104" i="2"/>
  <c r="EI104" i="2" s="1"/>
  <c r="EH31" i="2"/>
  <c r="EI31" i="2" s="1"/>
  <c r="EH15" i="2"/>
  <c r="EI15" i="2" s="1"/>
  <c r="EH50" i="2"/>
  <c r="EI50" i="2" s="1"/>
  <c r="EH23" i="2"/>
  <c r="EI23" i="2" s="1"/>
  <c r="DO106" i="1" l="1"/>
  <c r="DN106" i="1"/>
  <c r="EF106" i="1" s="1"/>
  <c r="DM106" i="1"/>
  <c r="DK106" i="1"/>
  <c r="DJ106" i="1"/>
  <c r="EB106" i="1" s="1"/>
  <c r="DI106" i="1"/>
  <c r="DG106" i="1"/>
  <c r="DE106" i="1"/>
  <c r="DA106" i="1"/>
  <c r="DF106" i="1"/>
  <c r="DL106" i="1"/>
  <c r="CZ106" i="1"/>
  <c r="DO105" i="1"/>
  <c r="DN105" i="1"/>
  <c r="DM105" i="1"/>
  <c r="DL105" i="1"/>
  <c r="DK105" i="1"/>
  <c r="DJ105" i="1"/>
  <c r="DI105" i="1"/>
  <c r="DG105" i="1"/>
  <c r="DX105" i="1" s="1"/>
  <c r="DY105" i="1" s="1"/>
  <c r="DF105" i="1"/>
  <c r="DE105" i="1"/>
  <c r="DA105" i="1"/>
  <c r="DH105" i="1"/>
  <c r="DZ105" i="1" s="1"/>
  <c r="EA105" i="1" s="1"/>
  <c r="DO104" i="1"/>
  <c r="DN104" i="1"/>
  <c r="DM104" i="1"/>
  <c r="DK104" i="1"/>
  <c r="DJ104" i="1"/>
  <c r="EB104" i="1" s="1"/>
  <c r="EC104" i="1" s="1"/>
  <c r="DI104" i="1"/>
  <c r="DG104" i="1"/>
  <c r="DF104" i="1"/>
  <c r="DX104" i="1" s="1"/>
  <c r="DY104" i="1" s="1"/>
  <c r="DE104" i="1"/>
  <c r="DQ104" i="1" s="1"/>
  <c r="DA104" i="1"/>
  <c r="DL104" i="1"/>
  <c r="ED104" i="1" s="1"/>
  <c r="EE104" i="1" s="1"/>
  <c r="DO103" i="1"/>
  <c r="DN103" i="1"/>
  <c r="DM103" i="1"/>
  <c r="DK103" i="1"/>
  <c r="DJ103" i="1"/>
  <c r="DI103" i="1"/>
  <c r="DG103" i="1"/>
  <c r="DF103" i="1"/>
  <c r="DE103" i="1"/>
  <c r="DA103" i="1"/>
  <c r="DL103" i="1"/>
  <c r="DO102" i="1"/>
  <c r="DN102" i="1"/>
  <c r="DM102" i="1"/>
  <c r="DK102" i="1"/>
  <c r="DJ102" i="1"/>
  <c r="DI102" i="1"/>
  <c r="DG102" i="1"/>
  <c r="DF102" i="1"/>
  <c r="DE102" i="1"/>
  <c r="DA102" i="1"/>
  <c r="DO101" i="1"/>
  <c r="EF101" i="1" s="1"/>
  <c r="EG101" i="1" s="1"/>
  <c r="DN101" i="1"/>
  <c r="DM101" i="1"/>
  <c r="DK101" i="1"/>
  <c r="DJ101" i="1"/>
  <c r="DI101" i="1"/>
  <c r="DG101" i="1"/>
  <c r="DF101" i="1"/>
  <c r="DE101" i="1"/>
  <c r="DA101" i="1"/>
  <c r="DH101" i="1"/>
  <c r="DZ101" i="1" s="1"/>
  <c r="EA101" i="1" s="1"/>
  <c r="DL101" i="1"/>
  <c r="DO100" i="1"/>
  <c r="DN100" i="1"/>
  <c r="DM100" i="1"/>
  <c r="DK100" i="1"/>
  <c r="DJ100" i="1"/>
  <c r="DI100" i="1"/>
  <c r="DG100" i="1"/>
  <c r="DF100" i="1"/>
  <c r="DE100" i="1"/>
  <c r="DA100" i="1"/>
  <c r="DO97" i="1"/>
  <c r="DM97" i="1"/>
  <c r="DK97" i="1"/>
  <c r="DJ97" i="1"/>
  <c r="DI97" i="1"/>
  <c r="DG97" i="1"/>
  <c r="DE97" i="1"/>
  <c r="DN97" i="1"/>
  <c r="DF97" i="1"/>
  <c r="DO96" i="1"/>
  <c r="DN96" i="1"/>
  <c r="EF96" i="1" s="1"/>
  <c r="EG96" i="1" s="1"/>
  <c r="DM96" i="1"/>
  <c r="DK96" i="1"/>
  <c r="DJ96" i="1"/>
  <c r="DI96" i="1"/>
  <c r="DG96" i="1"/>
  <c r="DF96" i="1"/>
  <c r="DE96" i="1"/>
  <c r="DL96" i="1"/>
  <c r="DO95" i="1"/>
  <c r="DN95" i="1"/>
  <c r="DM95" i="1"/>
  <c r="DL95" i="1"/>
  <c r="ED95" i="1" s="1"/>
  <c r="DK95" i="1"/>
  <c r="DJ95" i="1"/>
  <c r="DI95" i="1"/>
  <c r="DH95" i="1"/>
  <c r="DG95" i="1"/>
  <c r="DF95" i="1"/>
  <c r="DE95" i="1"/>
  <c r="DD95" i="1"/>
  <c r="DO92" i="1"/>
  <c r="DN92" i="1"/>
  <c r="DM92" i="1"/>
  <c r="DL92" i="1"/>
  <c r="DK92" i="1"/>
  <c r="DJ92" i="1"/>
  <c r="DI92" i="1"/>
  <c r="DH92" i="1"/>
  <c r="DG92" i="1"/>
  <c r="DF92" i="1"/>
  <c r="DE92" i="1"/>
  <c r="DD92" i="1"/>
  <c r="DO91" i="1"/>
  <c r="DN91" i="1"/>
  <c r="EF91" i="1" s="1"/>
  <c r="EG91" i="1" s="1"/>
  <c r="DM91" i="1"/>
  <c r="DL91" i="1"/>
  <c r="DK91" i="1"/>
  <c r="DJ91" i="1"/>
  <c r="EB91" i="1" s="1"/>
  <c r="EC91" i="1" s="1"/>
  <c r="DI91" i="1"/>
  <c r="DG91" i="1"/>
  <c r="DF91" i="1"/>
  <c r="DE91" i="1"/>
  <c r="DH96" i="1"/>
  <c r="DD91" i="1"/>
  <c r="DO90" i="1"/>
  <c r="DN90" i="1"/>
  <c r="DM90" i="1"/>
  <c r="DL90" i="1"/>
  <c r="DK90" i="1"/>
  <c r="DJ90" i="1"/>
  <c r="DI90" i="1"/>
  <c r="DH90" i="1"/>
  <c r="DG90" i="1"/>
  <c r="DE90" i="1"/>
  <c r="DD90" i="1"/>
  <c r="DF90" i="1"/>
  <c r="DO89" i="1"/>
  <c r="DN89" i="1"/>
  <c r="DM89" i="1"/>
  <c r="DK89" i="1"/>
  <c r="DJ89" i="1"/>
  <c r="DI89" i="1"/>
  <c r="DG89" i="1"/>
  <c r="DE89" i="1"/>
  <c r="DF89" i="1"/>
  <c r="DO88" i="1"/>
  <c r="DN88" i="1"/>
  <c r="DM88" i="1"/>
  <c r="DL88" i="1"/>
  <c r="DK88" i="1"/>
  <c r="DJ88" i="1"/>
  <c r="EB88" i="1" s="1"/>
  <c r="DI88" i="1"/>
  <c r="DH88" i="1"/>
  <c r="DG88" i="1"/>
  <c r="DF88" i="1"/>
  <c r="DE88" i="1"/>
  <c r="DO87" i="1"/>
  <c r="DN87" i="1"/>
  <c r="DM87" i="1"/>
  <c r="DL87" i="1"/>
  <c r="DK87" i="1"/>
  <c r="DJ87" i="1"/>
  <c r="EB87" i="1" s="1"/>
  <c r="DI87" i="1"/>
  <c r="DH87" i="1"/>
  <c r="DG87" i="1"/>
  <c r="DF87" i="1"/>
  <c r="DE87" i="1"/>
  <c r="DD87" i="1"/>
  <c r="DA87" i="1"/>
  <c r="DC87" i="1" s="1"/>
  <c r="CZ87" i="1"/>
  <c r="DB87" i="1" s="1"/>
  <c r="DO86" i="1"/>
  <c r="DN86" i="1"/>
  <c r="DM86" i="1"/>
  <c r="DL86" i="1"/>
  <c r="DK86" i="1"/>
  <c r="DJ86" i="1"/>
  <c r="EB86" i="1" s="1"/>
  <c r="EC86" i="1" s="1"/>
  <c r="DI86" i="1"/>
  <c r="DG86" i="1"/>
  <c r="DF86" i="1"/>
  <c r="DE86" i="1"/>
  <c r="DA86" i="1"/>
  <c r="DC86" i="1" s="1"/>
  <c r="DO85" i="1"/>
  <c r="DN85" i="1"/>
  <c r="EF85" i="1" s="1"/>
  <c r="EG85" i="1" s="1"/>
  <c r="DM85" i="1"/>
  <c r="DL85" i="1"/>
  <c r="ED85" i="1" s="1"/>
  <c r="DK85" i="1"/>
  <c r="DJ85" i="1"/>
  <c r="DI85" i="1"/>
  <c r="DH85" i="1"/>
  <c r="DG85" i="1"/>
  <c r="DF85" i="1"/>
  <c r="DX85" i="1" s="1"/>
  <c r="DY85" i="1" s="1"/>
  <c r="DE85" i="1"/>
  <c r="DA85" i="1"/>
  <c r="DC85" i="1" s="1"/>
  <c r="DO84" i="1"/>
  <c r="DN84" i="1"/>
  <c r="EF84" i="1" s="1"/>
  <c r="EG84" i="1" s="1"/>
  <c r="DM84" i="1"/>
  <c r="DL84" i="1"/>
  <c r="DK84" i="1"/>
  <c r="DJ84" i="1"/>
  <c r="DI84" i="1"/>
  <c r="DH84" i="1"/>
  <c r="DG84" i="1"/>
  <c r="DF84" i="1"/>
  <c r="DX84" i="1" s="1"/>
  <c r="DY84" i="1" s="1"/>
  <c r="DE84" i="1"/>
  <c r="DD84" i="1"/>
  <c r="DA84" i="1"/>
  <c r="DC84" i="1" s="1"/>
  <c r="DO83" i="1"/>
  <c r="DN83" i="1"/>
  <c r="DM83" i="1"/>
  <c r="DL83" i="1"/>
  <c r="ED83" i="1" s="1"/>
  <c r="DK83" i="1"/>
  <c r="DJ83" i="1"/>
  <c r="DI83" i="1"/>
  <c r="DG83" i="1"/>
  <c r="DF83" i="1"/>
  <c r="DX83" i="1" s="1"/>
  <c r="DY83" i="1" s="1"/>
  <c r="DE83" i="1"/>
  <c r="DA83" i="1"/>
  <c r="DC83" i="1" s="1"/>
  <c r="DO82" i="1"/>
  <c r="DN82" i="1"/>
  <c r="DM82" i="1"/>
  <c r="DK82" i="1"/>
  <c r="DJ82" i="1"/>
  <c r="DI82" i="1"/>
  <c r="DG82" i="1"/>
  <c r="DF82" i="1"/>
  <c r="DE82" i="1"/>
  <c r="DA82" i="1"/>
  <c r="DQ82" i="1" s="1"/>
  <c r="DL82" i="1"/>
  <c r="DO81" i="1"/>
  <c r="DN81" i="1"/>
  <c r="DM81" i="1"/>
  <c r="DL81" i="1"/>
  <c r="DK81" i="1"/>
  <c r="DJ81" i="1"/>
  <c r="DI81" i="1"/>
  <c r="DH81" i="1"/>
  <c r="DG81" i="1"/>
  <c r="DF81" i="1"/>
  <c r="DE81" i="1"/>
  <c r="DA81" i="1"/>
  <c r="DC81" i="1" s="1"/>
  <c r="DO80" i="1"/>
  <c r="DN80" i="1"/>
  <c r="DM80" i="1"/>
  <c r="DL80" i="1"/>
  <c r="DK80" i="1"/>
  <c r="DJ80" i="1"/>
  <c r="DI80" i="1"/>
  <c r="DG80" i="1"/>
  <c r="DF80" i="1"/>
  <c r="DX80" i="1" s="1"/>
  <c r="DY80" i="1" s="1"/>
  <c r="DE80" i="1"/>
  <c r="DA80" i="1"/>
  <c r="DC80" i="1" s="1"/>
  <c r="DO79" i="1"/>
  <c r="DN79" i="1"/>
  <c r="EF79" i="1" s="1"/>
  <c r="EG79" i="1" s="1"/>
  <c r="DM79" i="1"/>
  <c r="DL79" i="1"/>
  <c r="ED79" i="1" s="1"/>
  <c r="DK79" i="1"/>
  <c r="DJ79" i="1"/>
  <c r="DI79" i="1"/>
  <c r="DH79" i="1"/>
  <c r="DG79" i="1"/>
  <c r="DF79" i="1"/>
  <c r="DE79" i="1"/>
  <c r="DQ79" i="1" s="1"/>
  <c r="DA79" i="1"/>
  <c r="DC79" i="1" s="1"/>
  <c r="DH103" i="1"/>
  <c r="DZ103" i="1" s="1"/>
  <c r="EA103" i="1" s="1"/>
  <c r="DO78" i="1"/>
  <c r="DN78" i="1"/>
  <c r="DM78" i="1"/>
  <c r="ED78" i="1" s="1"/>
  <c r="DL78" i="1"/>
  <c r="DK78" i="1"/>
  <c r="DJ78" i="1"/>
  <c r="DI78" i="1"/>
  <c r="DG78" i="1"/>
  <c r="DF78" i="1"/>
  <c r="DE78" i="1"/>
  <c r="DA78" i="1"/>
  <c r="DC78" i="1" s="1"/>
  <c r="DO77" i="1"/>
  <c r="DN77" i="1"/>
  <c r="EF77" i="1" s="1"/>
  <c r="EG77" i="1" s="1"/>
  <c r="DM77" i="1"/>
  <c r="DL77" i="1"/>
  <c r="ED77" i="1" s="1"/>
  <c r="DK77" i="1"/>
  <c r="EB77" i="1" s="1"/>
  <c r="EC77" i="1" s="1"/>
  <c r="DJ77" i="1"/>
  <c r="DI77" i="1"/>
  <c r="DG77" i="1"/>
  <c r="DF77" i="1"/>
  <c r="DX77" i="1" s="1"/>
  <c r="DY77" i="1" s="1"/>
  <c r="DE77" i="1"/>
  <c r="DA77" i="1"/>
  <c r="DC77" i="1" s="1"/>
  <c r="CZ77" i="1"/>
  <c r="DO76" i="1"/>
  <c r="DN76" i="1"/>
  <c r="DM76" i="1"/>
  <c r="DK76" i="1"/>
  <c r="DJ76" i="1"/>
  <c r="DI76" i="1"/>
  <c r="DG76" i="1"/>
  <c r="DF76" i="1"/>
  <c r="DE76" i="1"/>
  <c r="DA76" i="1"/>
  <c r="DL76" i="1"/>
  <c r="DO75" i="1"/>
  <c r="EF75" i="1" s="1"/>
  <c r="EG75" i="1" s="1"/>
  <c r="DN75" i="1"/>
  <c r="DM75" i="1"/>
  <c r="DL75" i="1"/>
  <c r="DK75" i="1"/>
  <c r="DJ75" i="1"/>
  <c r="DI75" i="1"/>
  <c r="DH75" i="1"/>
  <c r="DZ75" i="1" s="1"/>
  <c r="EA75" i="1" s="1"/>
  <c r="DG75" i="1"/>
  <c r="DF75" i="1"/>
  <c r="DX75" i="1" s="1"/>
  <c r="DY75" i="1" s="1"/>
  <c r="DE75" i="1"/>
  <c r="DA75" i="1"/>
  <c r="DR75" i="1" s="1"/>
  <c r="DS75" i="1" s="1"/>
  <c r="CZ75" i="1"/>
  <c r="DB75" i="1" s="1"/>
  <c r="DO74" i="1"/>
  <c r="DN74" i="1"/>
  <c r="EF74" i="1" s="1"/>
  <c r="EG74" i="1" s="1"/>
  <c r="DM74" i="1"/>
  <c r="DL74" i="1"/>
  <c r="DK74" i="1"/>
  <c r="DJ74" i="1"/>
  <c r="DI74" i="1"/>
  <c r="DH74" i="1"/>
  <c r="DG74" i="1"/>
  <c r="DX74" i="1" s="1"/>
  <c r="DY74" i="1" s="1"/>
  <c r="DF74" i="1"/>
  <c r="DE74" i="1"/>
  <c r="DQ74" i="1" s="1"/>
  <c r="DA74" i="1"/>
  <c r="DC74" i="1" s="1"/>
  <c r="CZ74" i="1"/>
  <c r="DO73" i="1"/>
  <c r="DN73" i="1"/>
  <c r="DM73" i="1"/>
  <c r="DL73" i="1"/>
  <c r="DK73" i="1"/>
  <c r="DJ73" i="1"/>
  <c r="EB73" i="1" s="1"/>
  <c r="EC73" i="1" s="1"/>
  <c r="DI73" i="1"/>
  <c r="DH73" i="1"/>
  <c r="DG73" i="1"/>
  <c r="DF73" i="1"/>
  <c r="DE73" i="1"/>
  <c r="DQ73" i="1" s="1"/>
  <c r="DA73" i="1"/>
  <c r="DC73" i="1" s="1"/>
  <c r="DD73" i="1"/>
  <c r="CZ73" i="1"/>
  <c r="DB73" i="1" s="1"/>
  <c r="DO72" i="1"/>
  <c r="DN72" i="1"/>
  <c r="DM72" i="1"/>
  <c r="DL72" i="1"/>
  <c r="DK72" i="1"/>
  <c r="DJ72" i="1"/>
  <c r="EB72" i="1" s="1"/>
  <c r="EC72" i="1" s="1"/>
  <c r="DI72" i="1"/>
  <c r="DH72" i="1"/>
  <c r="DG72" i="1"/>
  <c r="DF72" i="1"/>
  <c r="DE72" i="1"/>
  <c r="DA72" i="1"/>
  <c r="CZ72" i="1"/>
  <c r="DB72" i="1" s="1"/>
  <c r="DO71" i="1"/>
  <c r="DN71" i="1"/>
  <c r="EF71" i="1" s="1"/>
  <c r="EG71" i="1" s="1"/>
  <c r="DM71" i="1"/>
  <c r="DL71" i="1"/>
  <c r="DK71" i="1"/>
  <c r="DJ71" i="1"/>
  <c r="DI71" i="1"/>
  <c r="DH71" i="1"/>
  <c r="DG71" i="1"/>
  <c r="DF71" i="1"/>
  <c r="DX71" i="1" s="1"/>
  <c r="DY71" i="1" s="1"/>
  <c r="DE71" i="1"/>
  <c r="DA71" i="1"/>
  <c r="DC71" i="1" s="1"/>
  <c r="CZ71" i="1"/>
  <c r="DB71" i="1" s="1"/>
  <c r="DO70" i="1"/>
  <c r="DN70" i="1"/>
  <c r="DM70" i="1"/>
  <c r="DL70" i="1"/>
  <c r="ED70" i="1" s="1"/>
  <c r="DK70" i="1"/>
  <c r="DJ70" i="1"/>
  <c r="DI70" i="1"/>
  <c r="DG70" i="1"/>
  <c r="DF70" i="1"/>
  <c r="DE70" i="1"/>
  <c r="DA70" i="1"/>
  <c r="DH70" i="1"/>
  <c r="DZ70" i="1" s="1"/>
  <c r="EA70" i="1" s="1"/>
  <c r="DA65" i="1"/>
  <c r="DO64" i="1"/>
  <c r="DN64" i="1"/>
  <c r="EF64" i="1" s="1"/>
  <c r="EG64" i="1" s="1"/>
  <c r="DM64" i="1"/>
  <c r="DK64" i="1"/>
  <c r="DJ64" i="1"/>
  <c r="EB64" i="1" s="1"/>
  <c r="EC64" i="1" s="1"/>
  <c r="DI64" i="1"/>
  <c r="DG64" i="1"/>
  <c r="DF64" i="1"/>
  <c r="DE64" i="1"/>
  <c r="DA64" i="1"/>
  <c r="DO63" i="1"/>
  <c r="DN63" i="1"/>
  <c r="EF63" i="1" s="1"/>
  <c r="DM63" i="1"/>
  <c r="DL63" i="1"/>
  <c r="DK63" i="1"/>
  <c r="DJ63" i="1"/>
  <c r="DI63" i="1"/>
  <c r="DG63" i="1"/>
  <c r="DF63" i="1"/>
  <c r="DX63" i="1" s="1"/>
  <c r="DE63" i="1"/>
  <c r="DA63" i="1"/>
  <c r="CZ63" i="1"/>
  <c r="DB63" i="1" s="1"/>
  <c r="DO61" i="1"/>
  <c r="EF61" i="1" s="1"/>
  <c r="EG61" i="1" s="1"/>
  <c r="DN61" i="1"/>
  <c r="DM61" i="1"/>
  <c r="DK61" i="1"/>
  <c r="DJ61" i="1"/>
  <c r="DI61" i="1"/>
  <c r="DG61" i="1"/>
  <c r="DF61" i="1"/>
  <c r="DX61" i="1" s="1"/>
  <c r="DY61" i="1" s="1"/>
  <c r="DE61" i="1"/>
  <c r="DA61" i="1"/>
  <c r="DO60" i="1"/>
  <c r="DN60" i="1"/>
  <c r="EF60" i="1" s="1"/>
  <c r="EG60" i="1" s="1"/>
  <c r="DM60" i="1"/>
  <c r="DL60" i="1"/>
  <c r="DK60" i="1"/>
  <c r="DJ60" i="1"/>
  <c r="EB60" i="1" s="1"/>
  <c r="EC60" i="1" s="1"/>
  <c r="DI60" i="1"/>
  <c r="DH60" i="1"/>
  <c r="DZ60" i="1" s="1"/>
  <c r="EA60" i="1" s="1"/>
  <c r="DG60" i="1"/>
  <c r="DF60" i="1"/>
  <c r="DE60" i="1"/>
  <c r="DD60" i="1"/>
  <c r="DP60" i="1" s="1"/>
  <c r="DB60" i="1"/>
  <c r="DA60" i="1"/>
  <c r="DC60" i="1" s="1"/>
  <c r="CZ60" i="1"/>
  <c r="DO59" i="1"/>
  <c r="DN59" i="1"/>
  <c r="DM59" i="1"/>
  <c r="ED59" i="1" s="1"/>
  <c r="DL59" i="1"/>
  <c r="DK59" i="1"/>
  <c r="EB59" i="1" s="1"/>
  <c r="EC59" i="1" s="1"/>
  <c r="DJ59" i="1"/>
  <c r="DI59" i="1"/>
  <c r="DH59" i="1"/>
  <c r="DG59" i="1"/>
  <c r="DF59" i="1"/>
  <c r="DE59" i="1"/>
  <c r="DQ59" i="1" s="1"/>
  <c r="DD59" i="1"/>
  <c r="DA59" i="1"/>
  <c r="CZ59" i="1"/>
  <c r="DB59" i="1" s="1"/>
  <c r="DO58" i="1"/>
  <c r="DN58" i="1"/>
  <c r="DM58" i="1"/>
  <c r="DL58" i="1"/>
  <c r="ED58" i="1" s="1"/>
  <c r="DK58" i="1"/>
  <c r="DJ58" i="1"/>
  <c r="DI58" i="1"/>
  <c r="DH58" i="1"/>
  <c r="DZ58" i="1" s="1"/>
  <c r="EA58" i="1" s="1"/>
  <c r="DG58" i="1"/>
  <c r="DF58" i="1"/>
  <c r="DX58" i="1" s="1"/>
  <c r="DY58" i="1" s="1"/>
  <c r="DE58" i="1"/>
  <c r="DD58" i="1"/>
  <c r="DA58" i="1"/>
  <c r="DC58" i="1" s="1"/>
  <c r="CZ58" i="1"/>
  <c r="DO57" i="1"/>
  <c r="DN57" i="1"/>
  <c r="EF57" i="1" s="1"/>
  <c r="EG57" i="1" s="1"/>
  <c r="DM57" i="1"/>
  <c r="DL57" i="1"/>
  <c r="DK57" i="1"/>
  <c r="DJ57" i="1"/>
  <c r="DI57" i="1"/>
  <c r="DH57" i="1"/>
  <c r="DG57" i="1"/>
  <c r="DF57" i="1"/>
  <c r="DE57" i="1"/>
  <c r="DA57" i="1"/>
  <c r="DC57" i="1" s="1"/>
  <c r="CZ57" i="1"/>
  <c r="DO56" i="1"/>
  <c r="DN56" i="1"/>
  <c r="DM56" i="1"/>
  <c r="DL56" i="1"/>
  <c r="ED56" i="1" s="1"/>
  <c r="DK56" i="1"/>
  <c r="DJ56" i="1"/>
  <c r="DI56" i="1"/>
  <c r="DH56" i="1"/>
  <c r="DG56" i="1"/>
  <c r="DF56" i="1"/>
  <c r="DX56" i="1" s="1"/>
  <c r="DY56" i="1" s="1"/>
  <c r="DE56" i="1"/>
  <c r="DD56" i="1"/>
  <c r="DA56" i="1"/>
  <c r="DC56" i="1" s="1"/>
  <c r="CZ56" i="1"/>
  <c r="DB56" i="1" s="1"/>
  <c r="DO55" i="1"/>
  <c r="DN55" i="1"/>
  <c r="DM55" i="1"/>
  <c r="DL55" i="1"/>
  <c r="DK55" i="1"/>
  <c r="DJ55" i="1"/>
  <c r="DI55" i="1"/>
  <c r="DG55" i="1"/>
  <c r="DX55" i="1" s="1"/>
  <c r="DY55" i="1" s="1"/>
  <c r="DF55" i="1"/>
  <c r="DE55" i="1"/>
  <c r="DQ55" i="1" s="1"/>
  <c r="DA55" i="1"/>
  <c r="DH55" i="1"/>
  <c r="DO54" i="1"/>
  <c r="DN54" i="1"/>
  <c r="EF54" i="1" s="1"/>
  <c r="EG54" i="1" s="1"/>
  <c r="DM54" i="1"/>
  <c r="DL54" i="1"/>
  <c r="ED54" i="1" s="1"/>
  <c r="DK54" i="1"/>
  <c r="DJ54" i="1"/>
  <c r="DI54" i="1"/>
  <c r="DH54" i="1"/>
  <c r="DZ54" i="1" s="1"/>
  <c r="EA54" i="1" s="1"/>
  <c r="DG54" i="1"/>
  <c r="DF54" i="1"/>
  <c r="DX54" i="1" s="1"/>
  <c r="DY54" i="1" s="1"/>
  <c r="DE54" i="1"/>
  <c r="DA54" i="1"/>
  <c r="DC54" i="1" s="1"/>
  <c r="CZ54" i="1"/>
  <c r="DB54" i="1" s="1"/>
  <c r="DO53" i="1"/>
  <c r="DN53" i="1"/>
  <c r="DM53" i="1"/>
  <c r="DL53" i="1"/>
  <c r="ED53" i="1" s="1"/>
  <c r="DK53" i="1"/>
  <c r="DJ53" i="1"/>
  <c r="DI53" i="1"/>
  <c r="DH53" i="1"/>
  <c r="DG53" i="1"/>
  <c r="DF53" i="1"/>
  <c r="DE53" i="1"/>
  <c r="DA53" i="1"/>
  <c r="DC53" i="1" s="1"/>
  <c r="CZ53" i="1"/>
  <c r="DB53" i="1" s="1"/>
  <c r="DO52" i="1"/>
  <c r="DN52" i="1"/>
  <c r="DM52" i="1"/>
  <c r="DL52" i="1"/>
  <c r="DK52" i="1"/>
  <c r="DJ52" i="1"/>
  <c r="EB52" i="1" s="1"/>
  <c r="EC52" i="1" s="1"/>
  <c r="DI52" i="1"/>
  <c r="DH52" i="1"/>
  <c r="DG52" i="1"/>
  <c r="DF52" i="1"/>
  <c r="DX52" i="1" s="1"/>
  <c r="DY52" i="1" s="1"/>
  <c r="DE52" i="1"/>
  <c r="DA52" i="1"/>
  <c r="DC52" i="1" s="1"/>
  <c r="CZ52" i="1"/>
  <c r="DD52" i="1"/>
  <c r="DO51" i="1"/>
  <c r="DN51" i="1"/>
  <c r="DM51" i="1"/>
  <c r="DL51" i="1"/>
  <c r="ED51" i="1" s="1"/>
  <c r="DK51" i="1"/>
  <c r="DJ51" i="1"/>
  <c r="DI51" i="1"/>
  <c r="DH51" i="1"/>
  <c r="DZ51" i="1" s="1"/>
  <c r="EA51" i="1" s="1"/>
  <c r="DG51" i="1"/>
  <c r="DF51" i="1"/>
  <c r="DX51" i="1" s="1"/>
  <c r="DY51" i="1" s="1"/>
  <c r="DE51" i="1"/>
  <c r="DA51" i="1"/>
  <c r="DC51" i="1" s="1"/>
  <c r="CZ51" i="1"/>
  <c r="DB51" i="1" s="1"/>
  <c r="DD51" i="1"/>
  <c r="DO50" i="1"/>
  <c r="DN50" i="1"/>
  <c r="EF50" i="1" s="1"/>
  <c r="EG50" i="1" s="1"/>
  <c r="DM50" i="1"/>
  <c r="DL50" i="1"/>
  <c r="ED50" i="1" s="1"/>
  <c r="DK50" i="1"/>
  <c r="DJ50" i="1"/>
  <c r="EB50" i="1" s="1"/>
  <c r="EC50" i="1" s="1"/>
  <c r="DI50" i="1"/>
  <c r="DH50" i="1"/>
  <c r="DZ50" i="1" s="1"/>
  <c r="EA50" i="1" s="1"/>
  <c r="DG50" i="1"/>
  <c r="DF50" i="1"/>
  <c r="DE50" i="1"/>
  <c r="DA50" i="1"/>
  <c r="DC50" i="1" s="1"/>
  <c r="CZ50" i="1"/>
  <c r="DR50" i="1" s="1"/>
  <c r="DS50" i="1" s="1"/>
  <c r="DD50" i="1"/>
  <c r="DO49" i="1"/>
  <c r="DN49" i="1"/>
  <c r="DM49" i="1"/>
  <c r="DK49" i="1"/>
  <c r="DJ49" i="1"/>
  <c r="DI49" i="1"/>
  <c r="DG49" i="1"/>
  <c r="DF49" i="1"/>
  <c r="DE49" i="1"/>
  <c r="DA49" i="1"/>
  <c r="DH49" i="1"/>
  <c r="DL49" i="1"/>
  <c r="CZ49" i="1"/>
  <c r="DO48" i="1"/>
  <c r="DN48" i="1"/>
  <c r="DM48" i="1"/>
  <c r="DL48" i="1"/>
  <c r="DK48" i="1"/>
  <c r="DJ48" i="1"/>
  <c r="DI48" i="1"/>
  <c r="DH48" i="1"/>
  <c r="DG48" i="1"/>
  <c r="DF48" i="1"/>
  <c r="DE48" i="1"/>
  <c r="DD48" i="1"/>
  <c r="DA48" i="1"/>
  <c r="DC48" i="1" s="1"/>
  <c r="CZ48" i="1"/>
  <c r="DB48" i="1" s="1"/>
  <c r="DO47" i="1"/>
  <c r="DN47" i="1"/>
  <c r="DM47" i="1"/>
  <c r="DL47" i="1"/>
  <c r="DK47" i="1"/>
  <c r="EB47" i="1" s="1"/>
  <c r="EC47" i="1" s="1"/>
  <c r="DJ47" i="1"/>
  <c r="DI47" i="1"/>
  <c r="DH47" i="1"/>
  <c r="DG47" i="1"/>
  <c r="DF47" i="1"/>
  <c r="DE47" i="1"/>
  <c r="DD47" i="1"/>
  <c r="DA47" i="1"/>
  <c r="CZ47" i="1"/>
  <c r="DB47" i="1" s="1"/>
  <c r="DO46" i="1"/>
  <c r="DN46" i="1"/>
  <c r="DM46" i="1"/>
  <c r="DL46" i="1"/>
  <c r="DK46" i="1"/>
  <c r="DJ46" i="1"/>
  <c r="EB46" i="1" s="1"/>
  <c r="EC46" i="1" s="1"/>
  <c r="DI46" i="1"/>
  <c r="DH46" i="1"/>
  <c r="DG46" i="1"/>
  <c r="DF46" i="1"/>
  <c r="DE46" i="1"/>
  <c r="DD46" i="1"/>
  <c r="DA46" i="1"/>
  <c r="DC46" i="1" s="1"/>
  <c r="CZ46" i="1"/>
  <c r="DB46" i="1" s="1"/>
  <c r="DO45" i="1"/>
  <c r="DN45" i="1"/>
  <c r="EF45" i="1" s="1"/>
  <c r="EG45" i="1" s="1"/>
  <c r="DM45" i="1"/>
  <c r="DL45" i="1"/>
  <c r="ED45" i="1" s="1"/>
  <c r="DK45" i="1"/>
  <c r="DJ45" i="1"/>
  <c r="DI45" i="1"/>
  <c r="DH45" i="1"/>
  <c r="DG45" i="1"/>
  <c r="DF45" i="1"/>
  <c r="DE45" i="1"/>
  <c r="DA45" i="1"/>
  <c r="DC45" i="1" s="1"/>
  <c r="CZ45" i="1"/>
  <c r="DO44" i="1"/>
  <c r="DN44" i="1"/>
  <c r="EF44" i="1" s="1"/>
  <c r="EG44" i="1" s="1"/>
  <c r="DM44" i="1"/>
  <c r="DK44" i="1"/>
  <c r="DJ44" i="1"/>
  <c r="DI44" i="1"/>
  <c r="DG44" i="1"/>
  <c r="DF44" i="1"/>
  <c r="DX44" i="1" s="1"/>
  <c r="DY44" i="1" s="1"/>
  <c r="DE44" i="1"/>
  <c r="DA44" i="1"/>
  <c r="DL44" i="1"/>
  <c r="DH44" i="1"/>
  <c r="DZ44" i="1" s="1"/>
  <c r="EA44" i="1" s="1"/>
  <c r="DO43" i="1"/>
  <c r="DN43" i="1"/>
  <c r="DM43" i="1"/>
  <c r="DL43" i="1"/>
  <c r="DK43" i="1"/>
  <c r="DJ43" i="1"/>
  <c r="EB43" i="1" s="1"/>
  <c r="EC43" i="1" s="1"/>
  <c r="DI43" i="1"/>
  <c r="DH43" i="1"/>
  <c r="DZ43" i="1" s="1"/>
  <c r="EA43" i="1" s="1"/>
  <c r="DG43" i="1"/>
  <c r="DF43" i="1"/>
  <c r="DE43" i="1"/>
  <c r="DA43" i="1"/>
  <c r="DC43" i="1" s="1"/>
  <c r="CZ43" i="1"/>
  <c r="DB43" i="1" s="1"/>
  <c r="DO42" i="1"/>
  <c r="DN42" i="1"/>
  <c r="DM42" i="1"/>
  <c r="DL42" i="1"/>
  <c r="DK42" i="1"/>
  <c r="DJ42" i="1"/>
  <c r="DI42" i="1"/>
  <c r="DH42" i="1"/>
  <c r="DG42" i="1"/>
  <c r="DF42" i="1"/>
  <c r="DE42" i="1"/>
  <c r="DA42" i="1"/>
  <c r="DC42" i="1" s="1"/>
  <c r="DO41" i="1"/>
  <c r="DN41" i="1"/>
  <c r="DM41" i="1"/>
  <c r="DL41" i="1"/>
  <c r="ED41" i="1" s="1"/>
  <c r="DK41" i="1"/>
  <c r="DJ41" i="1"/>
  <c r="DI41" i="1"/>
  <c r="DH41" i="1"/>
  <c r="DG41" i="1"/>
  <c r="DF41" i="1"/>
  <c r="DE41" i="1"/>
  <c r="DA41" i="1"/>
  <c r="DC41" i="1" s="1"/>
  <c r="CZ41" i="1"/>
  <c r="DO40" i="1"/>
  <c r="DN40" i="1"/>
  <c r="DM40" i="1"/>
  <c r="DL40" i="1"/>
  <c r="ED40" i="1" s="1"/>
  <c r="DK40" i="1"/>
  <c r="DJ40" i="1"/>
  <c r="EB40" i="1" s="1"/>
  <c r="EC40" i="1" s="1"/>
  <c r="DI40" i="1"/>
  <c r="DH40" i="1"/>
  <c r="DZ40" i="1" s="1"/>
  <c r="EA40" i="1" s="1"/>
  <c r="DG40" i="1"/>
  <c r="DF40" i="1"/>
  <c r="DX40" i="1" s="1"/>
  <c r="DY40" i="1" s="1"/>
  <c r="DE40" i="1"/>
  <c r="DA40" i="1"/>
  <c r="DC40" i="1" s="1"/>
  <c r="CZ40" i="1"/>
  <c r="DB40" i="1" s="1"/>
  <c r="DO39" i="1"/>
  <c r="DN39" i="1"/>
  <c r="DM39" i="1"/>
  <c r="DL39" i="1"/>
  <c r="ED39" i="1" s="1"/>
  <c r="EE39" i="1" s="1"/>
  <c r="DK39" i="1"/>
  <c r="DJ39" i="1"/>
  <c r="DI39" i="1"/>
  <c r="DG39" i="1"/>
  <c r="DF39" i="1"/>
  <c r="DE39" i="1"/>
  <c r="DA39" i="1"/>
  <c r="DC39" i="1" s="1"/>
  <c r="CZ39" i="1"/>
  <c r="DH39" i="1"/>
  <c r="DO38" i="1"/>
  <c r="DN38" i="1"/>
  <c r="DM38" i="1"/>
  <c r="DK38" i="1"/>
  <c r="DJ38" i="1"/>
  <c r="DI38" i="1"/>
  <c r="DG38" i="1"/>
  <c r="DF38" i="1"/>
  <c r="DE38" i="1"/>
  <c r="DA38" i="1"/>
  <c r="DL38" i="1"/>
  <c r="DO37" i="1"/>
  <c r="DN37" i="1"/>
  <c r="DM37" i="1"/>
  <c r="DL37" i="1"/>
  <c r="ED37" i="1" s="1"/>
  <c r="DK37" i="1"/>
  <c r="DJ37" i="1"/>
  <c r="EB37" i="1" s="1"/>
  <c r="EC37" i="1" s="1"/>
  <c r="DI37" i="1"/>
  <c r="DH37" i="1"/>
  <c r="DG37" i="1"/>
  <c r="DF37" i="1"/>
  <c r="DE37" i="1"/>
  <c r="DD37" i="1"/>
  <c r="DA37" i="1"/>
  <c r="DC37" i="1" s="1"/>
  <c r="CZ37" i="1"/>
  <c r="DO36" i="1"/>
  <c r="DN36" i="1"/>
  <c r="DM36" i="1"/>
  <c r="DL36" i="1"/>
  <c r="DK36" i="1"/>
  <c r="DJ36" i="1"/>
  <c r="DI36" i="1"/>
  <c r="DZ36" i="1" s="1"/>
  <c r="EA36" i="1" s="1"/>
  <c r="DH36" i="1"/>
  <c r="DG36" i="1"/>
  <c r="DF36" i="1"/>
  <c r="DE36" i="1"/>
  <c r="DQ36" i="1" s="1"/>
  <c r="DD36" i="1"/>
  <c r="DA36" i="1"/>
  <c r="DC36" i="1" s="1"/>
  <c r="CZ36" i="1"/>
  <c r="DO35" i="1"/>
  <c r="DN35" i="1"/>
  <c r="DM35" i="1"/>
  <c r="DL35" i="1"/>
  <c r="DK35" i="1"/>
  <c r="DJ35" i="1"/>
  <c r="EB35" i="1" s="1"/>
  <c r="EC35" i="1" s="1"/>
  <c r="DI35" i="1"/>
  <c r="DH35" i="1"/>
  <c r="DZ35" i="1" s="1"/>
  <c r="EA35" i="1" s="1"/>
  <c r="DG35" i="1"/>
  <c r="DF35" i="1"/>
  <c r="DE35" i="1"/>
  <c r="DQ35" i="1" s="1"/>
  <c r="DD35" i="1"/>
  <c r="DA35" i="1"/>
  <c r="DC35" i="1" s="1"/>
  <c r="CZ35" i="1"/>
  <c r="DB35" i="1" s="1"/>
  <c r="DO34" i="1"/>
  <c r="DN34" i="1"/>
  <c r="DM34" i="1"/>
  <c r="DL34" i="1"/>
  <c r="DK34" i="1"/>
  <c r="DJ34" i="1"/>
  <c r="EB34" i="1" s="1"/>
  <c r="EC34" i="1" s="1"/>
  <c r="DI34" i="1"/>
  <c r="DH34" i="1"/>
  <c r="DG34" i="1"/>
  <c r="DF34" i="1"/>
  <c r="DE34" i="1"/>
  <c r="DA34" i="1"/>
  <c r="DC34" i="1" s="1"/>
  <c r="CZ34" i="1"/>
  <c r="DB34" i="1" s="1"/>
  <c r="DD34" i="1"/>
  <c r="DO33" i="1"/>
  <c r="DN33" i="1"/>
  <c r="EF33" i="1" s="1"/>
  <c r="EG33" i="1" s="1"/>
  <c r="DM33" i="1"/>
  <c r="DL33" i="1"/>
  <c r="DK33" i="1"/>
  <c r="DJ33" i="1"/>
  <c r="EB33" i="1" s="1"/>
  <c r="EC33" i="1" s="1"/>
  <c r="DI33" i="1"/>
  <c r="DH33" i="1"/>
  <c r="DG33" i="1"/>
  <c r="DF33" i="1"/>
  <c r="DE33" i="1"/>
  <c r="DA33" i="1"/>
  <c r="DC33" i="1" s="1"/>
  <c r="CZ33" i="1"/>
  <c r="DB33" i="1" s="1"/>
  <c r="DO32" i="1"/>
  <c r="DN32" i="1"/>
  <c r="DM32" i="1"/>
  <c r="DL32" i="1"/>
  <c r="DK32" i="1"/>
  <c r="DJ32" i="1"/>
  <c r="EB32" i="1" s="1"/>
  <c r="EC32" i="1" s="1"/>
  <c r="DI32" i="1"/>
  <c r="DG32" i="1"/>
  <c r="DF32" i="1"/>
  <c r="DX32" i="1" s="1"/>
  <c r="DY32" i="1" s="1"/>
  <c r="DE32" i="1"/>
  <c r="DQ32" i="1" s="1"/>
  <c r="DA32" i="1"/>
  <c r="CZ32" i="1"/>
  <c r="DR32" i="1" s="1"/>
  <c r="DS32" i="1" s="1"/>
  <c r="DO31" i="1"/>
  <c r="DN31" i="1"/>
  <c r="DM31" i="1"/>
  <c r="DL31" i="1"/>
  <c r="DK31" i="1"/>
  <c r="DJ31" i="1"/>
  <c r="DI31" i="1"/>
  <c r="DH31" i="1"/>
  <c r="DZ31" i="1" s="1"/>
  <c r="EA31" i="1" s="1"/>
  <c r="DG31" i="1"/>
  <c r="DF31" i="1"/>
  <c r="DX31" i="1" s="1"/>
  <c r="DY31" i="1" s="1"/>
  <c r="DE31" i="1"/>
  <c r="DA31" i="1"/>
  <c r="DC31" i="1" s="1"/>
  <c r="CZ31" i="1"/>
  <c r="DO30" i="1"/>
  <c r="DN30" i="1"/>
  <c r="DM30" i="1"/>
  <c r="DL30" i="1"/>
  <c r="ED30" i="1" s="1"/>
  <c r="DK30" i="1"/>
  <c r="DJ30" i="1"/>
  <c r="DI30" i="1"/>
  <c r="DH30" i="1"/>
  <c r="DZ30" i="1" s="1"/>
  <c r="EA30" i="1" s="1"/>
  <c r="DG30" i="1"/>
  <c r="DF30" i="1"/>
  <c r="DE30" i="1"/>
  <c r="DA30" i="1"/>
  <c r="DC30" i="1" s="1"/>
  <c r="CZ30" i="1"/>
  <c r="DD30" i="1"/>
  <c r="DO29" i="1"/>
  <c r="DN29" i="1"/>
  <c r="DM29" i="1"/>
  <c r="DL29" i="1"/>
  <c r="DK29" i="1"/>
  <c r="DJ29" i="1"/>
  <c r="EB29" i="1" s="1"/>
  <c r="EC29" i="1" s="1"/>
  <c r="DI29" i="1"/>
  <c r="DH29" i="1"/>
  <c r="DG29" i="1"/>
  <c r="DF29" i="1"/>
  <c r="DX29" i="1" s="1"/>
  <c r="DY29" i="1" s="1"/>
  <c r="DE29" i="1"/>
  <c r="DQ29" i="1" s="1"/>
  <c r="DA29" i="1"/>
  <c r="DC29" i="1" s="1"/>
  <c r="CZ29" i="1"/>
  <c r="DB29" i="1" s="1"/>
  <c r="DO28" i="1"/>
  <c r="DN28" i="1"/>
  <c r="DM28" i="1"/>
  <c r="DL28" i="1"/>
  <c r="DK28" i="1"/>
  <c r="DJ28" i="1"/>
  <c r="EB28" i="1" s="1"/>
  <c r="EC28" i="1" s="1"/>
  <c r="DI28" i="1"/>
  <c r="DH28" i="1"/>
  <c r="DZ28" i="1" s="1"/>
  <c r="EA28" i="1" s="1"/>
  <c r="DG28" i="1"/>
  <c r="DF28" i="1"/>
  <c r="DE28" i="1"/>
  <c r="DA28" i="1"/>
  <c r="DC28" i="1" s="1"/>
  <c r="CZ28" i="1"/>
  <c r="DR28" i="1" s="1"/>
  <c r="DS28" i="1" s="1"/>
  <c r="DO27" i="1"/>
  <c r="DN27" i="1"/>
  <c r="DM27" i="1"/>
  <c r="DK27" i="1"/>
  <c r="DJ27" i="1"/>
  <c r="DI27" i="1"/>
  <c r="DH27" i="1"/>
  <c r="DG27" i="1"/>
  <c r="DF27" i="1"/>
  <c r="DE27" i="1"/>
  <c r="DA27" i="1"/>
  <c r="DL27" i="1"/>
  <c r="CZ27" i="1"/>
  <c r="DO26" i="1"/>
  <c r="DN26" i="1"/>
  <c r="DM26" i="1"/>
  <c r="DL26" i="1"/>
  <c r="DK26" i="1"/>
  <c r="DJ26" i="1"/>
  <c r="DI26" i="1"/>
  <c r="DH26" i="1"/>
  <c r="DG26" i="1"/>
  <c r="DF26" i="1"/>
  <c r="DE26" i="1"/>
  <c r="DD26" i="1"/>
  <c r="DA26" i="1"/>
  <c r="DC26" i="1" s="1"/>
  <c r="CZ26" i="1"/>
  <c r="DR26" i="1" s="1"/>
  <c r="DS26" i="1" s="1"/>
  <c r="DO25" i="1"/>
  <c r="DN25" i="1"/>
  <c r="EF25" i="1" s="1"/>
  <c r="EG25" i="1" s="1"/>
  <c r="DM25" i="1"/>
  <c r="DK25" i="1"/>
  <c r="DJ25" i="1"/>
  <c r="DI25" i="1"/>
  <c r="DG25" i="1"/>
  <c r="DF25" i="1"/>
  <c r="DX25" i="1" s="1"/>
  <c r="DY25" i="1" s="1"/>
  <c r="DE25" i="1"/>
  <c r="DQ25" i="1" s="1"/>
  <c r="DA25" i="1"/>
  <c r="DH25" i="1"/>
  <c r="DO24" i="1"/>
  <c r="DN24" i="1"/>
  <c r="DM24" i="1"/>
  <c r="DL24" i="1"/>
  <c r="DK24" i="1"/>
  <c r="DJ24" i="1"/>
  <c r="DI24" i="1"/>
  <c r="DH24" i="1"/>
  <c r="DZ24" i="1" s="1"/>
  <c r="EA24" i="1" s="1"/>
  <c r="DG24" i="1"/>
  <c r="DF24" i="1"/>
  <c r="DE24" i="1"/>
  <c r="DD24" i="1"/>
  <c r="DA24" i="1"/>
  <c r="CZ24" i="1"/>
  <c r="DO23" i="1"/>
  <c r="DN23" i="1"/>
  <c r="DM23" i="1"/>
  <c r="DL23" i="1"/>
  <c r="ED23" i="1" s="1"/>
  <c r="DK23" i="1"/>
  <c r="DJ23" i="1"/>
  <c r="DI23" i="1"/>
  <c r="DH23" i="1"/>
  <c r="DG23" i="1"/>
  <c r="DF23" i="1"/>
  <c r="DX23" i="1" s="1"/>
  <c r="DY23" i="1" s="1"/>
  <c r="DE23" i="1"/>
  <c r="DA23" i="1"/>
  <c r="DC23" i="1" s="1"/>
  <c r="CZ23" i="1"/>
  <c r="DD23" i="1"/>
  <c r="DO22" i="1"/>
  <c r="DN22" i="1"/>
  <c r="DM22" i="1"/>
  <c r="DL22" i="1"/>
  <c r="DK22" i="1"/>
  <c r="DJ22" i="1"/>
  <c r="EB22" i="1" s="1"/>
  <c r="EC22" i="1" s="1"/>
  <c r="DI22" i="1"/>
  <c r="DH22" i="1"/>
  <c r="DZ22" i="1" s="1"/>
  <c r="EA22" i="1" s="1"/>
  <c r="DG22" i="1"/>
  <c r="DF22" i="1"/>
  <c r="DX22" i="1" s="1"/>
  <c r="DY22" i="1" s="1"/>
  <c r="DE22" i="1"/>
  <c r="DD22" i="1"/>
  <c r="DB22" i="1"/>
  <c r="DA22" i="1"/>
  <c r="DC22" i="1" s="1"/>
  <c r="CZ22" i="1"/>
  <c r="DR22" i="1" s="1"/>
  <c r="DS22" i="1" s="1"/>
  <c r="DO21" i="1"/>
  <c r="DN21" i="1"/>
  <c r="EF21" i="1" s="1"/>
  <c r="EG21" i="1" s="1"/>
  <c r="DM21" i="1"/>
  <c r="DL21" i="1"/>
  <c r="DK21" i="1"/>
  <c r="DJ21" i="1"/>
  <c r="DI21" i="1"/>
  <c r="DH21" i="1"/>
  <c r="DG21" i="1"/>
  <c r="DF21" i="1"/>
  <c r="DE21" i="1"/>
  <c r="DQ21" i="1" s="1"/>
  <c r="DA21" i="1"/>
  <c r="DC21" i="1" s="1"/>
  <c r="CZ21" i="1"/>
  <c r="DD21" i="1"/>
  <c r="DO20" i="1"/>
  <c r="DN20" i="1"/>
  <c r="DM20" i="1"/>
  <c r="DL20" i="1"/>
  <c r="DK20" i="1"/>
  <c r="DJ20" i="1"/>
  <c r="DI20" i="1"/>
  <c r="DG20" i="1"/>
  <c r="DF20" i="1"/>
  <c r="DE20" i="1"/>
  <c r="DA20" i="1"/>
  <c r="DC20" i="1" s="1"/>
  <c r="DH102" i="1"/>
  <c r="DZ102" i="1" s="1"/>
  <c r="EA102" i="1" s="1"/>
  <c r="CZ102" i="1"/>
  <c r="DR102" i="1" s="1"/>
  <c r="DS102" i="1" s="1"/>
  <c r="DO19" i="1"/>
  <c r="DN19" i="1"/>
  <c r="DM19" i="1"/>
  <c r="DK19" i="1"/>
  <c r="DJ19" i="1"/>
  <c r="EB19" i="1" s="1"/>
  <c r="EC19" i="1" s="1"/>
  <c r="DI19" i="1"/>
  <c r="DH19" i="1"/>
  <c r="DZ19" i="1" s="1"/>
  <c r="EA19" i="1" s="1"/>
  <c r="DG19" i="1"/>
  <c r="DF19" i="1"/>
  <c r="DE19" i="1"/>
  <c r="DA19" i="1"/>
  <c r="DC19" i="1" s="1"/>
  <c r="DO18" i="1"/>
  <c r="DN18" i="1"/>
  <c r="DM18" i="1"/>
  <c r="DK18" i="1"/>
  <c r="DJ18" i="1"/>
  <c r="EB18" i="1" s="1"/>
  <c r="EC18" i="1" s="1"/>
  <c r="DI18" i="1"/>
  <c r="DG18" i="1"/>
  <c r="DF18" i="1"/>
  <c r="DE18" i="1"/>
  <c r="DA18" i="1"/>
  <c r="DO17" i="1"/>
  <c r="DN17" i="1"/>
  <c r="EF17" i="1" s="1"/>
  <c r="EG17" i="1" s="1"/>
  <c r="DM17" i="1"/>
  <c r="DL17" i="1"/>
  <c r="DK17" i="1"/>
  <c r="DJ17" i="1"/>
  <c r="DI17" i="1"/>
  <c r="DH17" i="1"/>
  <c r="DG17" i="1"/>
  <c r="DF17" i="1"/>
  <c r="DE17" i="1"/>
  <c r="DQ17" i="1" s="1"/>
  <c r="DA17" i="1"/>
  <c r="DC17" i="1" s="1"/>
  <c r="CZ17" i="1"/>
  <c r="DR17" i="1" s="1"/>
  <c r="DS17" i="1" s="1"/>
  <c r="DO16" i="1"/>
  <c r="EF16" i="1" s="1"/>
  <c r="EG16" i="1" s="1"/>
  <c r="DN16" i="1"/>
  <c r="DM16" i="1"/>
  <c r="DL16" i="1"/>
  <c r="DK16" i="1"/>
  <c r="DJ16" i="1"/>
  <c r="EB16" i="1" s="1"/>
  <c r="EC16" i="1" s="1"/>
  <c r="DI16" i="1"/>
  <c r="DH16" i="1"/>
  <c r="DG16" i="1"/>
  <c r="DF16" i="1"/>
  <c r="DE16" i="1"/>
  <c r="DA16" i="1"/>
  <c r="DQ16" i="1" s="1"/>
  <c r="CZ16" i="1"/>
  <c r="DB16" i="1" s="1"/>
  <c r="DO15" i="1"/>
  <c r="DN15" i="1"/>
  <c r="DM15" i="1"/>
  <c r="DL15" i="1"/>
  <c r="DK15" i="1"/>
  <c r="DJ15" i="1"/>
  <c r="EB15" i="1" s="1"/>
  <c r="EC15" i="1" s="1"/>
  <c r="DI15" i="1"/>
  <c r="DH15" i="1"/>
  <c r="DZ15" i="1" s="1"/>
  <c r="EA15" i="1" s="1"/>
  <c r="DG15" i="1"/>
  <c r="DF15" i="1"/>
  <c r="DE15" i="1"/>
  <c r="DD15" i="1"/>
  <c r="DA15" i="1"/>
  <c r="DC15" i="1" s="1"/>
  <c r="CZ15" i="1"/>
  <c r="DO14" i="1"/>
  <c r="DN14" i="1"/>
  <c r="DM14" i="1"/>
  <c r="DL14" i="1"/>
  <c r="DK14" i="1"/>
  <c r="DJ14" i="1"/>
  <c r="EB14" i="1" s="1"/>
  <c r="EC14" i="1" s="1"/>
  <c r="DI14" i="1"/>
  <c r="DH14" i="1"/>
  <c r="DG14" i="1"/>
  <c r="DF14" i="1"/>
  <c r="DX14" i="1" s="1"/>
  <c r="DY14" i="1" s="1"/>
  <c r="DE14" i="1"/>
  <c r="DA14" i="1"/>
  <c r="CZ14" i="1"/>
  <c r="DB14" i="1" s="1"/>
  <c r="DD14" i="1"/>
  <c r="DO13" i="1"/>
  <c r="DN13" i="1"/>
  <c r="DM13" i="1"/>
  <c r="DL13" i="1"/>
  <c r="DK13" i="1"/>
  <c r="DJ13" i="1"/>
  <c r="DI13" i="1"/>
  <c r="DH13" i="1"/>
  <c r="DG13" i="1"/>
  <c r="DF13" i="1"/>
  <c r="DE13" i="1"/>
  <c r="DA13" i="1"/>
  <c r="DC13" i="1" s="1"/>
  <c r="CZ13" i="1"/>
  <c r="DO12" i="1"/>
  <c r="DN12" i="1"/>
  <c r="DM12" i="1"/>
  <c r="DL12" i="1"/>
  <c r="ED12" i="1" s="1"/>
  <c r="DK12" i="1"/>
  <c r="DJ12" i="1"/>
  <c r="DI12" i="1"/>
  <c r="DG12" i="1"/>
  <c r="DF12" i="1"/>
  <c r="DE12" i="1"/>
  <c r="DA12" i="1"/>
  <c r="DH12" i="1"/>
  <c r="DZ12" i="1" s="1"/>
  <c r="EA12" i="1" s="1"/>
  <c r="EF26" i="1" l="1"/>
  <c r="EG26" i="1" s="1"/>
  <c r="DQ63" i="1"/>
  <c r="DQ72" i="1"/>
  <c r="EB30" i="1"/>
  <c r="EC30" i="1" s="1"/>
  <c r="DR36" i="1"/>
  <c r="DS36" i="1" s="1"/>
  <c r="EF48" i="1"/>
  <c r="EG48" i="1" s="1"/>
  <c r="DR14" i="1"/>
  <c r="DS14" i="1" s="1"/>
  <c r="DR15" i="1"/>
  <c r="DS15" i="1" s="1"/>
  <c r="EF15" i="1"/>
  <c r="EG15" i="1" s="1"/>
  <c r="ED21" i="1"/>
  <c r="DX88" i="1"/>
  <c r="EF39" i="1"/>
  <c r="EG39" i="1" s="1"/>
  <c r="DZ46" i="1"/>
  <c r="EA46" i="1" s="1"/>
  <c r="ED76" i="1"/>
  <c r="DZ13" i="1"/>
  <c r="EA13" i="1" s="1"/>
  <c r="DQ27" i="1"/>
  <c r="DZ49" i="1"/>
  <c r="EA49" i="1" s="1"/>
  <c r="DZ14" i="1"/>
  <c r="EA14" i="1" s="1"/>
  <c r="DX15" i="1"/>
  <c r="DY15" i="1" s="1"/>
  <c r="DQ70" i="1"/>
  <c r="DR63" i="1"/>
  <c r="DS63" i="1" s="1"/>
  <c r="EB26" i="1"/>
  <c r="EC26" i="1" s="1"/>
  <c r="DV52" i="1"/>
  <c r="DW52" i="1" s="1"/>
  <c r="ED60" i="1"/>
  <c r="EF23" i="1"/>
  <c r="EG23" i="1" s="1"/>
  <c r="EF46" i="1"/>
  <c r="EG46" i="1" s="1"/>
  <c r="EB48" i="1"/>
  <c r="EC48" i="1" s="1"/>
  <c r="EB56" i="1"/>
  <c r="EC56" i="1" s="1"/>
  <c r="ED73" i="1"/>
  <c r="EB76" i="1"/>
  <c r="EC76" i="1" s="1"/>
  <c r="ED80" i="1"/>
  <c r="DX17" i="1"/>
  <c r="DY17" i="1" s="1"/>
  <c r="DP50" i="1"/>
  <c r="DZ53" i="1"/>
  <c r="EA53" i="1" s="1"/>
  <c r="DX64" i="1"/>
  <c r="DY64" i="1" s="1"/>
  <c r="DQ83" i="1"/>
  <c r="DQ85" i="1"/>
  <c r="DZ21" i="1"/>
  <c r="EA21" i="1" s="1"/>
  <c r="DR57" i="1"/>
  <c r="DS57" i="1" s="1"/>
  <c r="DZ71" i="1"/>
  <c r="EA71" i="1" s="1"/>
  <c r="DV87" i="1"/>
  <c r="DZ90" i="1"/>
  <c r="EA90" i="1" s="1"/>
  <c r="EB53" i="1"/>
  <c r="EC53" i="1" s="1"/>
  <c r="DZ92" i="1"/>
  <c r="EB17" i="1"/>
  <c r="EC17" i="1" s="1"/>
  <c r="EB21" i="1"/>
  <c r="EC21" i="1" s="1"/>
  <c r="DR24" i="1"/>
  <c r="DS24" i="1" s="1"/>
  <c r="EF24" i="1"/>
  <c r="EG24" i="1" s="1"/>
  <c r="DQ31" i="1"/>
  <c r="EF34" i="1"/>
  <c r="EG34" i="1" s="1"/>
  <c r="DX42" i="1"/>
  <c r="DY42" i="1" s="1"/>
  <c r="DQ43" i="1"/>
  <c r="ED44" i="1"/>
  <c r="ED46" i="1"/>
  <c r="DB50" i="1"/>
  <c r="ED52" i="1"/>
  <c r="EB54" i="1"/>
  <c r="EC54" i="1" s="1"/>
  <c r="EB55" i="1"/>
  <c r="EC55" i="1" s="1"/>
  <c r="DQ57" i="1"/>
  <c r="DX78" i="1"/>
  <c r="DY78" i="1" s="1"/>
  <c r="EB96" i="1"/>
  <c r="EC96" i="1" s="1"/>
  <c r="DZ81" i="1"/>
  <c r="DZ88" i="1"/>
  <c r="EA88" i="1" s="1"/>
  <c r="DX103" i="1"/>
  <c r="DY103" i="1" s="1"/>
  <c r="DQ24" i="1"/>
  <c r="EB38" i="1"/>
  <c r="EC38" i="1" s="1"/>
  <c r="EF53" i="1"/>
  <c r="EG53" i="1" s="1"/>
  <c r="DZ79" i="1"/>
  <c r="EA79" i="1" s="1"/>
  <c r="EB81" i="1"/>
  <c r="EB105" i="1"/>
  <c r="EC105" i="1" s="1"/>
  <c r="DC14" i="1"/>
  <c r="EB42" i="1"/>
  <c r="EC42" i="1" s="1"/>
  <c r="ED72" i="1"/>
  <c r="EB13" i="1"/>
  <c r="EC13" i="1" s="1"/>
  <c r="DR21" i="1"/>
  <c r="DS21" i="1" s="1"/>
  <c r="DX97" i="1"/>
  <c r="DY97" i="1" s="1"/>
  <c r="DX35" i="1"/>
  <c r="DY35" i="1" s="1"/>
  <c r="EB45" i="1"/>
  <c r="EC45" i="1" s="1"/>
  <c r="DX46" i="1"/>
  <c r="DY46" i="1" s="1"/>
  <c r="EF82" i="1"/>
  <c r="EG82" i="1" s="1"/>
  <c r="DX90" i="1"/>
  <c r="DY90" i="1" s="1"/>
  <c r="EF95" i="1"/>
  <c r="DX20" i="1"/>
  <c r="DY20" i="1" s="1"/>
  <c r="ED31" i="1"/>
  <c r="ED32" i="1"/>
  <c r="DZ39" i="1"/>
  <c r="EA39" i="1" s="1"/>
  <c r="EB58" i="1"/>
  <c r="EC58" i="1" s="1"/>
  <c r="ED75" i="1"/>
  <c r="EF88" i="1"/>
  <c r="ED96" i="1"/>
  <c r="ED26" i="1"/>
  <c r="DQ41" i="1"/>
  <c r="EF43" i="1"/>
  <c r="EG43" i="1" s="1"/>
  <c r="DQ58" i="1"/>
  <c r="EF59" i="1"/>
  <c r="EG59" i="1" s="1"/>
  <c r="EB61" i="1"/>
  <c r="EC61" i="1" s="1"/>
  <c r="DX76" i="1"/>
  <c r="DY76" i="1" s="1"/>
  <c r="DX81" i="1"/>
  <c r="EF30" i="1"/>
  <c r="EG30" i="1" s="1"/>
  <c r="EB36" i="1"/>
  <c r="EC36" i="1" s="1"/>
  <c r="DZ37" i="1"/>
  <c r="EA37" i="1" s="1"/>
  <c r="EF55" i="1"/>
  <c r="EG55" i="1" s="1"/>
  <c r="ED63" i="1"/>
  <c r="EB90" i="1"/>
  <c r="EC90" i="1" s="1"/>
  <c r="ED103" i="1"/>
  <c r="DP48" i="1"/>
  <c r="DR60" i="1"/>
  <c r="DS60" i="1" s="1"/>
  <c r="ED101" i="1"/>
  <c r="EF31" i="1"/>
  <c r="EG31" i="1" s="1"/>
  <c r="EF32" i="1"/>
  <c r="EG32" i="1" s="1"/>
  <c r="ED33" i="1"/>
  <c r="DZ41" i="1"/>
  <c r="EA41" i="1" s="1"/>
  <c r="DZ42" i="1"/>
  <c r="EA42" i="1" s="1"/>
  <c r="ED13" i="1"/>
  <c r="DQ18" i="1"/>
  <c r="DX19" i="1"/>
  <c r="DY19" i="1" s="1"/>
  <c r="DQ20" i="1"/>
  <c r="DX24" i="1"/>
  <c r="DY24" i="1" s="1"/>
  <c r="DQ26" i="1"/>
  <c r="ED28" i="1"/>
  <c r="DZ29" i="1"/>
  <c r="EA29" i="1" s="1"/>
  <c r="EF36" i="1"/>
  <c r="EG36" i="1" s="1"/>
  <c r="DX43" i="1"/>
  <c r="DY43" i="1" s="1"/>
  <c r="DR45" i="1"/>
  <c r="DS45" i="1" s="1"/>
  <c r="DX48" i="1"/>
  <c r="DY48" i="1" s="1"/>
  <c r="EB51" i="1"/>
  <c r="EC51" i="1" s="1"/>
  <c r="DZ52" i="1"/>
  <c r="EA52" i="1" s="1"/>
  <c r="EF56" i="1"/>
  <c r="EG56" i="1" s="1"/>
  <c r="ED57" i="1"/>
  <c r="DA89" i="1"/>
  <c r="ED92" i="1"/>
  <c r="DX16" i="1"/>
  <c r="DY16" i="1" s="1"/>
  <c r="DB21" i="1"/>
  <c r="DX30" i="1"/>
  <c r="DY30" i="1" s="1"/>
  <c r="DX18" i="1"/>
  <c r="DY18" i="1" s="1"/>
  <c r="ED34" i="1"/>
  <c r="DR37" i="1"/>
  <c r="DS37" i="1" s="1"/>
  <c r="EF38" i="1"/>
  <c r="EG38" i="1" s="1"/>
  <c r="EB41" i="1"/>
  <c r="EC41" i="1" s="1"/>
  <c r="DQ44" i="1"/>
  <c r="DR46" i="1"/>
  <c r="DS46" i="1" s="1"/>
  <c r="DZ48" i="1"/>
  <c r="EA48" i="1" s="1"/>
  <c r="DQ49" i="1"/>
  <c r="EF76" i="1"/>
  <c r="EG76" i="1" s="1"/>
  <c r="ED81" i="1"/>
  <c r="EF83" i="1"/>
  <c r="EG83" i="1" s="1"/>
  <c r="ED88" i="1"/>
  <c r="EF90" i="1"/>
  <c r="EG90" i="1" s="1"/>
  <c r="DZ17" i="1"/>
  <c r="EA17" i="1" s="1"/>
  <c r="DB28" i="1"/>
  <c r="ED42" i="1"/>
  <c r="EE42" i="1" s="1"/>
  <c r="DX60" i="1"/>
  <c r="DY60" i="1" s="1"/>
  <c r="DX70" i="1"/>
  <c r="DY70" i="1" s="1"/>
  <c r="EF78" i="1"/>
  <c r="EG78" i="1" s="1"/>
  <c r="EF80" i="1"/>
  <c r="EG80" i="1" s="1"/>
  <c r="ED14" i="1"/>
  <c r="EB20" i="1"/>
  <c r="EC20" i="1" s="1"/>
  <c r="EB24" i="1"/>
  <c r="EC24" i="1" s="1"/>
  <c r="EB25" i="1"/>
  <c r="EC25" i="1" s="1"/>
  <c r="ED29" i="1"/>
  <c r="DR58" i="1"/>
  <c r="DS58" i="1" s="1"/>
  <c r="ED87" i="1"/>
  <c r="DQ12" i="1"/>
  <c r="EF14" i="1"/>
  <c r="EG14" i="1" s="1"/>
  <c r="DQ28" i="1"/>
  <c r="DX36" i="1"/>
  <c r="DY36" i="1" s="1"/>
  <c r="DQ37" i="1"/>
  <c r="ED38" i="1"/>
  <c r="EE38" i="1" s="1"/>
  <c r="ED47" i="1"/>
  <c r="DX50" i="1"/>
  <c r="DY50" i="1" s="1"/>
  <c r="DV84" i="1"/>
  <c r="DW84" i="1" s="1"/>
  <c r="DX12" i="1"/>
  <c r="DY12" i="1" s="1"/>
  <c r="ED16" i="1"/>
  <c r="DR23" i="1"/>
  <c r="DS23" i="1" s="1"/>
  <c r="ED24" i="1"/>
  <c r="DX28" i="1"/>
  <c r="DY28" i="1" s="1"/>
  <c r="ED43" i="1"/>
  <c r="EB44" i="1"/>
  <c r="EC44" i="1" s="1"/>
  <c r="ED48" i="1"/>
  <c r="EB49" i="1"/>
  <c r="EC49" i="1" s="1"/>
  <c r="EF52" i="1"/>
  <c r="EG52" i="1" s="1"/>
  <c r="DZ56" i="1"/>
  <c r="EA56" i="1" s="1"/>
  <c r="DX57" i="1"/>
  <c r="DY57" i="1" s="1"/>
  <c r="DB58" i="1"/>
  <c r="EB63" i="1"/>
  <c r="EB71" i="1"/>
  <c r="EC71" i="1" s="1"/>
  <c r="DX92" i="1"/>
  <c r="DC103" i="1"/>
  <c r="DQ14" i="1"/>
  <c r="DQ19" i="1"/>
  <c r="DZ23" i="1"/>
  <c r="EA23" i="1" s="1"/>
  <c r="DC24" i="1"/>
  <c r="DC101" i="1" s="1"/>
  <c r="DZ26" i="1"/>
  <c r="EA26" i="1" s="1"/>
  <c r="ED36" i="1"/>
  <c r="DR39" i="1"/>
  <c r="DS39" i="1" s="1"/>
  <c r="DX47" i="1"/>
  <c r="DY47" i="1" s="1"/>
  <c r="DQ50" i="1"/>
  <c r="DT50" i="1"/>
  <c r="DU50" i="1" s="1"/>
  <c r="DQ56" i="1"/>
  <c r="EB57" i="1"/>
  <c r="EC57" i="1" s="1"/>
  <c r="DR72" i="1"/>
  <c r="DS72" i="1" s="1"/>
  <c r="EF72" i="1"/>
  <c r="EG72" i="1" s="1"/>
  <c r="EB83" i="1"/>
  <c r="EC83" i="1" s="1"/>
  <c r="DQ84" i="1"/>
  <c r="ED86" i="1"/>
  <c r="DX91" i="1"/>
  <c r="DY91" i="1" s="1"/>
  <c r="DV95" i="1"/>
  <c r="EF97" i="1"/>
  <c r="EG97" i="1" s="1"/>
  <c r="EB103" i="1"/>
  <c r="EC103" i="1" s="1"/>
  <c r="ED105" i="1"/>
  <c r="DQ22" i="1"/>
  <c r="DB24" i="1"/>
  <c r="DB101" i="1" s="1"/>
  <c r="DR48" i="1"/>
  <c r="DS48" i="1" s="1"/>
  <c r="DC72" i="1"/>
  <c r="DC102" i="1" s="1"/>
  <c r="DZ74" i="1"/>
  <c r="EA74" i="1" s="1"/>
  <c r="EF86" i="1"/>
  <c r="EG86" i="1" s="1"/>
  <c r="ED90" i="1"/>
  <c r="DX95" i="1"/>
  <c r="EF102" i="1"/>
  <c r="EG102" i="1" s="1"/>
  <c r="EF12" i="1"/>
  <c r="EG12" i="1" s="1"/>
  <c r="DT15" i="1"/>
  <c r="DU15" i="1" s="1"/>
  <c r="EB23" i="1"/>
  <c r="EC23" i="1" s="1"/>
  <c r="EB31" i="1"/>
  <c r="EC31" i="1" s="1"/>
  <c r="DQ33" i="1"/>
  <c r="EF40" i="1"/>
  <c r="EG40" i="1" s="1"/>
  <c r="DZ45" i="1"/>
  <c r="EA45" i="1" s="1"/>
  <c r="DZ47" i="1"/>
  <c r="EA47" i="1" s="1"/>
  <c r="DQ48" i="1"/>
  <c r="EH48" i="1" s="1"/>
  <c r="EI48" i="1" s="1"/>
  <c r="DQ53" i="1"/>
  <c r="DR54" i="1"/>
  <c r="DS54" i="1" s="1"/>
  <c r="EB82" i="1"/>
  <c r="EC82" i="1" s="1"/>
  <c r="EF104" i="1"/>
  <c r="EG104" i="1" s="1"/>
  <c r="EF105" i="1"/>
  <c r="EG105" i="1" s="1"/>
  <c r="DQ15" i="1"/>
  <c r="EF28" i="1"/>
  <c r="EG28" i="1" s="1"/>
  <c r="DR34" i="1"/>
  <c r="DS34" i="1" s="1"/>
  <c r="DX38" i="1"/>
  <c r="DY38" i="1" s="1"/>
  <c r="DQ39" i="1"/>
  <c r="ED55" i="1"/>
  <c r="DQ61" i="1"/>
  <c r="DC63" i="1"/>
  <c r="EF70" i="1"/>
  <c r="EG70" i="1" s="1"/>
  <c r="EF73" i="1"/>
  <c r="EG73" i="1" s="1"/>
  <c r="EB74" i="1"/>
  <c r="EC74" i="1" s="1"/>
  <c r="EF87" i="1"/>
  <c r="DR13" i="1"/>
  <c r="DS13" i="1" s="1"/>
  <c r="EF13" i="1"/>
  <c r="EG13" i="1" s="1"/>
  <c r="ED17" i="1"/>
  <c r="EF18" i="1"/>
  <c r="EG18" i="1" s="1"/>
  <c r="DX27" i="1"/>
  <c r="DY27" i="1" s="1"/>
  <c r="DV30" i="1"/>
  <c r="DW30" i="1" s="1"/>
  <c r="DT36" i="1"/>
  <c r="DU36" i="1" s="1"/>
  <c r="DX39" i="1"/>
  <c r="DY39" i="1" s="1"/>
  <c r="DQ40" i="1"/>
  <c r="EF41" i="1"/>
  <c r="EG41" i="1" s="1"/>
  <c r="DQ46" i="1"/>
  <c r="EF49" i="1"/>
  <c r="EG49" i="1" s="1"/>
  <c r="DX53" i="1"/>
  <c r="DY53" i="1" s="1"/>
  <c r="DB57" i="1"/>
  <c r="ED74" i="1"/>
  <c r="EB75" i="1"/>
  <c r="EC75" i="1" s="1"/>
  <c r="DQ78" i="1"/>
  <c r="ED82" i="1"/>
  <c r="ED91" i="1"/>
  <c r="EB97" i="1"/>
  <c r="EC97" i="1" s="1"/>
  <c r="DC100" i="1"/>
  <c r="DZ72" i="1"/>
  <c r="EA72" i="1" s="1"/>
  <c r="DB13" i="1"/>
  <c r="DC16" i="1"/>
  <c r="DB23" i="1"/>
  <c r="DZ25" i="1"/>
  <c r="EA25" i="1" s="1"/>
  <c r="DZ27" i="1"/>
  <c r="EA27" i="1" s="1"/>
  <c r="DZ33" i="1"/>
  <c r="EA33" i="1" s="1"/>
  <c r="DQ34" i="1"/>
  <c r="DR35" i="1"/>
  <c r="DS35" i="1" s="1"/>
  <c r="ED35" i="1"/>
  <c r="EF37" i="1"/>
  <c r="EG37" i="1" s="1"/>
  <c r="EF42" i="1"/>
  <c r="EG42" i="1" s="1"/>
  <c r="ED49" i="1"/>
  <c r="DQ51" i="1"/>
  <c r="DQ54" i="1"/>
  <c r="DV59" i="1"/>
  <c r="DW59" i="1" s="1"/>
  <c r="DQ80" i="1"/>
  <c r="EB84" i="1"/>
  <c r="EC84" i="1" s="1"/>
  <c r="DQ87" i="1"/>
  <c r="EB95" i="1"/>
  <c r="DQ102" i="1"/>
  <c r="DQ105" i="1"/>
  <c r="DQ13" i="1"/>
  <c r="DB26" i="1"/>
  <c r="DB37" i="1"/>
  <c r="DX73" i="1"/>
  <c r="DY73" i="1" s="1"/>
  <c r="DX79" i="1"/>
  <c r="DY79" i="1" s="1"/>
  <c r="ED84" i="1"/>
  <c r="DZ85" i="1"/>
  <c r="EA85" i="1" s="1"/>
  <c r="DX87" i="1"/>
  <c r="DX101" i="1"/>
  <c r="DY101" i="1" s="1"/>
  <c r="DX102" i="1"/>
  <c r="DY102" i="1" s="1"/>
  <c r="ED106" i="1"/>
  <c r="DX13" i="1"/>
  <c r="DY13" i="1" s="1"/>
  <c r="EF19" i="1"/>
  <c r="EG19" i="1" s="1"/>
  <c r="ED20" i="1"/>
  <c r="DX21" i="1"/>
  <c r="DY21" i="1" s="1"/>
  <c r="ED22" i="1"/>
  <c r="DQ23" i="1"/>
  <c r="DV26" i="1"/>
  <c r="DW26" i="1" s="1"/>
  <c r="DR29" i="1"/>
  <c r="DS29" i="1" s="1"/>
  <c r="EF35" i="1"/>
  <c r="EG35" i="1" s="1"/>
  <c r="EB39" i="1"/>
  <c r="EC39" i="1" s="1"/>
  <c r="DX41" i="1"/>
  <c r="DY41" i="1" s="1"/>
  <c r="DQ42" i="1"/>
  <c r="DR43" i="1"/>
  <c r="DS43" i="1" s="1"/>
  <c r="EF47" i="1"/>
  <c r="EG47" i="1" s="1"/>
  <c r="DR56" i="1"/>
  <c r="DS56" i="1" s="1"/>
  <c r="DX59" i="1"/>
  <c r="DY59" i="1" s="1"/>
  <c r="DQ81" i="1"/>
  <c r="DX106" i="1"/>
  <c r="DB45" i="1"/>
  <c r="DQ71" i="1"/>
  <c r="DZ96" i="1"/>
  <c r="EA96" i="1" s="1"/>
  <c r="EF92" i="1"/>
  <c r="DT84" i="1"/>
  <c r="DU84" i="1" s="1"/>
  <c r="EB12" i="1"/>
  <c r="EC12" i="1" s="1"/>
  <c r="ED15" i="1"/>
  <c r="EF20" i="1"/>
  <c r="EG20" i="1" s="1"/>
  <c r="EF22" i="1"/>
  <c r="EG22" i="1" s="1"/>
  <c r="DX26" i="1"/>
  <c r="DY26" i="1" s="1"/>
  <c r="DR33" i="1"/>
  <c r="DS33" i="1" s="1"/>
  <c r="DZ34" i="1"/>
  <c r="EA34" i="1" s="1"/>
  <c r="DX37" i="1"/>
  <c r="DY37" i="1" s="1"/>
  <c r="DQ45" i="1"/>
  <c r="DV47" i="1"/>
  <c r="DW47" i="1" s="1"/>
  <c r="DX49" i="1"/>
  <c r="DY49" i="1" s="1"/>
  <c r="DQ52" i="1"/>
  <c r="DZ57" i="1"/>
  <c r="EA57" i="1" s="1"/>
  <c r="EF58" i="1"/>
  <c r="EG58" i="1" s="1"/>
  <c r="DZ59" i="1"/>
  <c r="EA59" i="1" s="1"/>
  <c r="DQ60" i="1"/>
  <c r="EH60" i="1" s="1"/>
  <c r="EI60" i="1" s="1"/>
  <c r="EB70" i="1"/>
  <c r="EC70" i="1" s="1"/>
  <c r="EB79" i="1"/>
  <c r="EC79" i="1" s="1"/>
  <c r="EB85" i="1"/>
  <c r="EC85" i="1" s="1"/>
  <c r="DZ87" i="1"/>
  <c r="DV92" i="1"/>
  <c r="EB101" i="1"/>
  <c r="EC101" i="1" s="1"/>
  <c r="EB102" i="1"/>
  <c r="EC102" i="1" s="1"/>
  <c r="DT23" i="1"/>
  <c r="DU23" i="1" s="1"/>
  <c r="DV23" i="1"/>
  <c r="DW23" i="1" s="1"/>
  <c r="DP23" i="1"/>
  <c r="DV14" i="1"/>
  <c r="DW14" i="1" s="1"/>
  <c r="DP14" i="1"/>
  <c r="DT14" i="1"/>
  <c r="DU14" i="1" s="1"/>
  <c r="DV15" i="1"/>
  <c r="DW15" i="1" s="1"/>
  <c r="DR16" i="1"/>
  <c r="DS16" i="1" s="1"/>
  <c r="CZ25" i="1"/>
  <c r="DR27" i="1"/>
  <c r="DS27" i="1" s="1"/>
  <c r="DT30" i="1"/>
  <c r="DU30" i="1" s="1"/>
  <c r="DP30" i="1"/>
  <c r="DP34" i="1"/>
  <c r="EH34" i="1" s="1"/>
  <c r="EI34" i="1" s="1"/>
  <c r="DV34" i="1"/>
  <c r="DW34" i="1" s="1"/>
  <c r="DT34" i="1"/>
  <c r="DU34" i="1" s="1"/>
  <c r="C109" i="1"/>
  <c r="CZ61" i="1"/>
  <c r="CZ12" i="1"/>
  <c r="DD27" i="1"/>
  <c r="DR30" i="1"/>
  <c r="DS30" i="1" s="1"/>
  <c r="DB30" i="1"/>
  <c r="DQ38" i="1"/>
  <c r="DZ16" i="1"/>
  <c r="EA16" i="1" s="1"/>
  <c r="DP21" i="1"/>
  <c r="EH21" i="1" s="1"/>
  <c r="EI21" i="1" s="1"/>
  <c r="DV21" i="1"/>
  <c r="DW21" i="1" s="1"/>
  <c r="DT21" i="1"/>
  <c r="DU21" i="1" s="1"/>
  <c r="DV22" i="1"/>
  <c r="DW22" i="1" s="1"/>
  <c r="DT22" i="1"/>
  <c r="DU22" i="1" s="1"/>
  <c r="DP22" i="1"/>
  <c r="ED27" i="1"/>
  <c r="DD28" i="1"/>
  <c r="DQ30" i="1"/>
  <c r="DD33" i="1"/>
  <c r="DX34" i="1"/>
  <c r="DY34" i="1" s="1"/>
  <c r="DB15" i="1"/>
  <c r="EB27" i="1"/>
  <c r="EC27" i="1" s="1"/>
  <c r="EF29" i="1"/>
  <c r="EG29" i="1" s="1"/>
  <c r="DP26" i="1"/>
  <c r="EH26" i="1" s="1"/>
  <c r="EI26" i="1" s="1"/>
  <c r="DV37" i="1"/>
  <c r="DW37" i="1" s="1"/>
  <c r="DT37" i="1"/>
  <c r="DU37" i="1" s="1"/>
  <c r="DP37" i="1"/>
  <c r="DP15" i="1"/>
  <c r="DV24" i="1"/>
  <c r="DW24" i="1" s="1"/>
  <c r="DT24" i="1"/>
  <c r="DU24" i="1" s="1"/>
  <c r="DP24" i="1"/>
  <c r="EH24" i="1" s="1"/>
  <c r="EI24" i="1" s="1"/>
  <c r="DV73" i="1"/>
  <c r="DW73" i="1" s="1"/>
  <c r="DT73" i="1"/>
  <c r="DU73" i="1" s="1"/>
  <c r="DP73" i="1"/>
  <c r="EH73" i="1" s="1"/>
  <c r="EI73" i="1" s="1"/>
  <c r="DT26" i="1"/>
  <c r="DU26" i="1" s="1"/>
  <c r="EF27" i="1"/>
  <c r="EG27" i="1" s="1"/>
  <c r="DD39" i="1"/>
  <c r="DD41" i="1"/>
  <c r="DH18" i="1"/>
  <c r="DZ18" i="1" s="1"/>
  <c r="EA18" i="1" s="1"/>
  <c r="DD13" i="1"/>
  <c r="DB17" i="1"/>
  <c r="CZ18" i="1"/>
  <c r="DR41" i="1"/>
  <c r="DS41" i="1" s="1"/>
  <c r="DB41" i="1"/>
  <c r="DD103" i="1"/>
  <c r="DC25" i="1"/>
  <c r="DD31" i="1"/>
  <c r="DX33" i="1"/>
  <c r="DY33" i="1" s="1"/>
  <c r="DD17" i="1"/>
  <c r="DB31" i="1"/>
  <c r="DR31" i="1"/>
  <c r="DS31" i="1" s="1"/>
  <c r="DD16" i="1"/>
  <c r="DV35" i="1"/>
  <c r="DW35" i="1" s="1"/>
  <c r="DT35" i="1"/>
  <c r="DU35" i="1" s="1"/>
  <c r="DP35" i="1"/>
  <c r="EH35" i="1" s="1"/>
  <c r="EI35" i="1" s="1"/>
  <c r="DH20" i="1"/>
  <c r="DZ20" i="1" s="1"/>
  <c r="EA20" i="1" s="1"/>
  <c r="DL25" i="1"/>
  <c r="ED25" i="1" s="1"/>
  <c r="DD29" i="1"/>
  <c r="DV36" i="1"/>
  <c r="DW36" i="1" s="1"/>
  <c r="CZ38" i="1"/>
  <c r="DD40" i="1"/>
  <c r="DX45" i="1"/>
  <c r="DY45" i="1" s="1"/>
  <c r="DL100" i="1"/>
  <c r="DD101" i="1"/>
  <c r="DR40" i="1"/>
  <c r="DS40" i="1" s="1"/>
  <c r="DV58" i="1"/>
  <c r="DW58" i="1" s="1"/>
  <c r="DT58" i="1"/>
  <c r="DU58" i="1" s="1"/>
  <c r="DP58" i="1"/>
  <c r="EH58" i="1" s="1"/>
  <c r="EI58" i="1" s="1"/>
  <c r="CZ19" i="1"/>
  <c r="DL19" i="1"/>
  <c r="ED19" i="1" s="1"/>
  <c r="DV51" i="1"/>
  <c r="DW51" i="1" s="1"/>
  <c r="DT51" i="1"/>
  <c r="DU51" i="1" s="1"/>
  <c r="DP51" i="1"/>
  <c r="EH51" i="1" s="1"/>
  <c r="EI51" i="1" s="1"/>
  <c r="EF51" i="1"/>
  <c r="EG51" i="1" s="1"/>
  <c r="DD53" i="1"/>
  <c r="CZ20" i="1"/>
  <c r="DD25" i="1"/>
  <c r="DB36" i="1"/>
  <c r="DB39" i="1"/>
  <c r="EH50" i="1"/>
  <c r="EI50" i="1" s="1"/>
  <c r="DE116" i="1"/>
  <c r="DQ103" i="1"/>
  <c r="CZ104" i="1"/>
  <c r="DR104" i="1" s="1"/>
  <c r="DS104" i="1" s="1"/>
  <c r="CZ42" i="1"/>
  <c r="DD43" i="1"/>
  <c r="DT48" i="1"/>
  <c r="DU48" i="1" s="1"/>
  <c r="DV56" i="1"/>
  <c r="DW56" i="1" s="1"/>
  <c r="DT56" i="1"/>
  <c r="DU56" i="1" s="1"/>
  <c r="DP56" i="1"/>
  <c r="DP36" i="1"/>
  <c r="EH36" i="1" s="1"/>
  <c r="EI36" i="1" s="1"/>
  <c r="DZ55" i="1"/>
  <c r="EA55" i="1" s="1"/>
  <c r="DD75" i="1"/>
  <c r="DH32" i="1"/>
  <c r="DZ32" i="1" s="1"/>
  <c r="EA32" i="1" s="1"/>
  <c r="DH104" i="1"/>
  <c r="DZ104" i="1" s="1"/>
  <c r="EA104" i="1" s="1"/>
  <c r="DR47" i="1"/>
  <c r="DS47" i="1" s="1"/>
  <c r="DC47" i="1"/>
  <c r="DT60" i="1"/>
  <c r="DU60" i="1" s="1"/>
  <c r="CZ44" i="1"/>
  <c r="DR49" i="1"/>
  <c r="DS49" i="1" s="1"/>
  <c r="DT52" i="1"/>
  <c r="DU52" i="1" s="1"/>
  <c r="DP52" i="1"/>
  <c r="DR52" i="1"/>
  <c r="DS52" i="1" s="1"/>
  <c r="DB52" i="1"/>
  <c r="CZ100" i="1"/>
  <c r="DD45" i="1"/>
  <c r="DV46" i="1"/>
  <c r="DW46" i="1" s="1"/>
  <c r="DT46" i="1"/>
  <c r="DU46" i="1" s="1"/>
  <c r="DP46" i="1"/>
  <c r="DQ47" i="1"/>
  <c r="DV50" i="1"/>
  <c r="DW50" i="1" s="1"/>
  <c r="DR59" i="1"/>
  <c r="DS59" i="1" s="1"/>
  <c r="DC59" i="1"/>
  <c r="CZ82" i="1"/>
  <c r="DR53" i="1"/>
  <c r="DS53" i="1" s="1"/>
  <c r="DH106" i="1"/>
  <c r="DZ106" i="1" s="1"/>
  <c r="EA106" i="1" s="1"/>
  <c r="DV91" i="1"/>
  <c r="DW91" i="1" s="1"/>
  <c r="DT91" i="1"/>
  <c r="DU91" i="1" s="1"/>
  <c r="DT95" i="1"/>
  <c r="DR51" i="1"/>
  <c r="DS51" i="1" s="1"/>
  <c r="DR73" i="1"/>
  <c r="DS73" i="1" s="1"/>
  <c r="EB80" i="1"/>
  <c r="EC80" i="1" s="1"/>
  <c r="DD96" i="1"/>
  <c r="DV48" i="1"/>
  <c r="DW48" i="1" s="1"/>
  <c r="DD54" i="1"/>
  <c r="DV60" i="1"/>
  <c r="DW60" i="1" s="1"/>
  <c r="DQ64" i="1"/>
  <c r="DX72" i="1"/>
  <c r="DY72" i="1" s="1"/>
  <c r="EB78" i="1"/>
  <c r="EC78" i="1" s="1"/>
  <c r="CZ79" i="1"/>
  <c r="DD81" i="1"/>
  <c r="DE113" i="1"/>
  <c r="DQ100" i="1"/>
  <c r="DP47" i="1"/>
  <c r="EH47" i="1" s="1"/>
  <c r="EI47" i="1" s="1"/>
  <c r="CZ55" i="1"/>
  <c r="DP59" i="1"/>
  <c r="EH59" i="1" s="1"/>
  <c r="EI59" i="1" s="1"/>
  <c r="DH63" i="1"/>
  <c r="DZ63" i="1" s="1"/>
  <c r="EA63" i="1" s="1"/>
  <c r="C110" i="1"/>
  <c r="DR74" i="1"/>
  <c r="DS74" i="1" s="1"/>
  <c r="DB74" i="1"/>
  <c r="DD77" i="1"/>
  <c r="CZ105" i="1"/>
  <c r="DR105" i="1" s="1"/>
  <c r="DS105" i="1" s="1"/>
  <c r="CZ81" i="1"/>
  <c r="DZ73" i="1"/>
  <c r="EA73" i="1" s="1"/>
  <c r="DH77" i="1"/>
  <c r="DZ77" i="1" s="1"/>
  <c r="EA77" i="1" s="1"/>
  <c r="DH76" i="1"/>
  <c r="DZ76" i="1" s="1"/>
  <c r="EA76" i="1" s="1"/>
  <c r="DD79" i="1"/>
  <c r="DA115" i="1"/>
  <c r="DD57" i="1"/>
  <c r="DC76" i="1"/>
  <c r="CZ80" i="1"/>
  <c r="DX89" i="1"/>
  <c r="DY89" i="1" s="1"/>
  <c r="DC75" i="1"/>
  <c r="DC105" i="1" s="1"/>
  <c r="DQ75" i="1"/>
  <c r="DD80" i="1"/>
  <c r="DR87" i="1"/>
  <c r="DS87" i="1" s="1"/>
  <c r="EB89" i="1"/>
  <c r="EC89" i="1" s="1"/>
  <c r="DT47" i="1"/>
  <c r="DU47" i="1" s="1"/>
  <c r="DT59" i="1"/>
  <c r="DU59" i="1" s="1"/>
  <c r="ED71" i="1"/>
  <c r="DQ76" i="1"/>
  <c r="DR77" i="1"/>
  <c r="DS77" i="1" s="1"/>
  <c r="DB77" i="1"/>
  <c r="DH78" i="1"/>
  <c r="DZ78" i="1" s="1"/>
  <c r="EA78" i="1" s="1"/>
  <c r="CZ78" i="1"/>
  <c r="DD72" i="1"/>
  <c r="DV90" i="1"/>
  <c r="DW90" i="1" s="1"/>
  <c r="DT90" i="1"/>
  <c r="DU90" i="1" s="1"/>
  <c r="DR71" i="1"/>
  <c r="DS71" i="1" s="1"/>
  <c r="DQ77" i="1"/>
  <c r="CZ83" i="1"/>
  <c r="DD85" i="1"/>
  <c r="DH86" i="1"/>
  <c r="DZ86" i="1" s="1"/>
  <c r="EA86" i="1" s="1"/>
  <c r="DT87" i="1"/>
  <c r="DP87" i="1"/>
  <c r="EH87" i="1" s="1"/>
  <c r="DA113" i="1"/>
  <c r="DC38" i="1"/>
  <c r="DH80" i="1"/>
  <c r="DZ80" i="1" s="1"/>
  <c r="EA80" i="1" s="1"/>
  <c r="CZ85" i="1"/>
  <c r="DH91" i="1"/>
  <c r="DZ91" i="1" s="1"/>
  <c r="EA91" i="1" s="1"/>
  <c r="DZ95" i="1"/>
  <c r="DQ101" i="1"/>
  <c r="DX100" i="1"/>
  <c r="DY100" i="1" s="1"/>
  <c r="EF89" i="1"/>
  <c r="EG89" i="1" s="1"/>
  <c r="DT92" i="1"/>
  <c r="DE115" i="1"/>
  <c r="DD71" i="1"/>
  <c r="EF81" i="1"/>
  <c r="DX82" i="1"/>
  <c r="DY82" i="1" s="1"/>
  <c r="DH83" i="1"/>
  <c r="DZ83" i="1" s="1"/>
  <c r="EA83" i="1" s="1"/>
  <c r="DH82" i="1"/>
  <c r="DZ82" i="1" s="1"/>
  <c r="EA82" i="1" s="1"/>
  <c r="DZ84" i="1"/>
  <c r="EA84" i="1" s="1"/>
  <c r="EB100" i="1"/>
  <c r="EC100" i="1" s="1"/>
  <c r="DD74" i="1"/>
  <c r="DD88" i="1"/>
  <c r="DQ86" i="1"/>
  <c r="DX86" i="1"/>
  <c r="DY86" i="1" s="1"/>
  <c r="DX96" i="1"/>
  <c r="DY96" i="1" s="1"/>
  <c r="EF100" i="1"/>
  <c r="EG100" i="1" s="1"/>
  <c r="DR106" i="1"/>
  <c r="DS106" i="1" s="1"/>
  <c r="CZ84" i="1"/>
  <c r="DP84" i="1" s="1"/>
  <c r="CZ86" i="1"/>
  <c r="EB92" i="1"/>
  <c r="CZ101" i="1"/>
  <c r="DR101" i="1" s="1"/>
  <c r="DS101" i="1" s="1"/>
  <c r="DL102" i="1"/>
  <c r="ED102" i="1" s="1"/>
  <c r="DA116" i="1"/>
  <c r="EF103" i="1"/>
  <c r="EG103" i="1" s="1"/>
  <c r="DQ106" i="1"/>
  <c r="DQ89" i="1"/>
  <c r="EH37" i="1" l="1"/>
  <c r="EI37" i="1" s="1"/>
  <c r="EH14" i="1"/>
  <c r="EI14" i="1" s="1"/>
  <c r="EH84" i="1"/>
  <c r="EI84" i="1" s="1"/>
  <c r="EH52" i="1"/>
  <c r="EI52" i="1" s="1"/>
  <c r="EH23" i="1"/>
  <c r="EI23" i="1" s="1"/>
  <c r="DC44" i="1"/>
  <c r="EH30" i="1"/>
  <c r="EI30" i="1" s="1"/>
  <c r="EH46" i="1"/>
  <c r="EI46" i="1" s="1"/>
  <c r="DC82" i="1"/>
  <c r="DC104" i="1"/>
  <c r="EH15" i="1"/>
  <c r="EI15" i="1" s="1"/>
  <c r="EH22" i="1"/>
  <c r="EI22" i="1" s="1"/>
  <c r="EH56" i="1"/>
  <c r="EI56" i="1" s="1"/>
  <c r="DL61" i="1"/>
  <c r="ED61" i="1" s="1"/>
  <c r="EE61" i="1" s="1"/>
  <c r="CZ103" i="1"/>
  <c r="DR103" i="1" s="1"/>
  <c r="DS103" i="1" s="1"/>
  <c r="DC65" i="1"/>
  <c r="DC55" i="1"/>
  <c r="DC70" i="1"/>
  <c r="DC32" i="1"/>
  <c r="DC18" i="1"/>
  <c r="DC27" i="1"/>
  <c r="DC12" i="1"/>
  <c r="DR79" i="1"/>
  <c r="DS79" i="1" s="1"/>
  <c r="DB79" i="1"/>
  <c r="DP43" i="1"/>
  <c r="EH43" i="1" s="1"/>
  <c r="EI43" i="1" s="1"/>
  <c r="DV43" i="1"/>
  <c r="DW43" i="1" s="1"/>
  <c r="DT43" i="1"/>
  <c r="DU43" i="1" s="1"/>
  <c r="DV41" i="1"/>
  <c r="DW41" i="1" s="1"/>
  <c r="DT41" i="1"/>
  <c r="DU41" i="1" s="1"/>
  <c r="DP41" i="1"/>
  <c r="EH41" i="1" s="1"/>
  <c r="EI41" i="1" s="1"/>
  <c r="CZ70" i="1"/>
  <c r="DT81" i="1"/>
  <c r="DP81" i="1"/>
  <c r="EH81" i="1" s="1"/>
  <c r="DV81" i="1"/>
  <c r="DR80" i="1"/>
  <c r="DS80" i="1" s="1"/>
  <c r="DB80" i="1"/>
  <c r="DD78" i="1"/>
  <c r="DR100" i="1"/>
  <c r="DS100" i="1" s="1"/>
  <c r="DH38" i="1"/>
  <c r="DZ38" i="1" s="1"/>
  <c r="EA38" i="1" s="1"/>
  <c r="DC64" i="1"/>
  <c r="DD70" i="1"/>
  <c r="DD105" i="1"/>
  <c r="DT88" i="1"/>
  <c r="DU88" i="1" s="1"/>
  <c r="DV88" i="1"/>
  <c r="DW88" i="1" s="1"/>
  <c r="DB78" i="1"/>
  <c r="DR78" i="1"/>
  <c r="DS78" i="1" s="1"/>
  <c r="DB81" i="1"/>
  <c r="DB105" i="1" s="1"/>
  <c r="DR81" i="1"/>
  <c r="DS81" i="1" s="1"/>
  <c r="DR55" i="1"/>
  <c r="DS55" i="1" s="1"/>
  <c r="DV54" i="1"/>
  <c r="DW54" i="1" s="1"/>
  <c r="DT54" i="1"/>
  <c r="DU54" i="1" s="1"/>
  <c r="DP54" i="1"/>
  <c r="EH54" i="1" s="1"/>
  <c r="EI54" i="1" s="1"/>
  <c r="DD42" i="1"/>
  <c r="DR42" i="1"/>
  <c r="DS42" i="1" s="1"/>
  <c r="DB42" i="1"/>
  <c r="DT39" i="1"/>
  <c r="DU39" i="1" s="1"/>
  <c r="DP39" i="1"/>
  <c r="EH39" i="1" s="1"/>
  <c r="EI39" i="1" s="1"/>
  <c r="DV39" i="1"/>
  <c r="DW39" i="1" s="1"/>
  <c r="DC61" i="1"/>
  <c r="DR12" i="1"/>
  <c r="DS12" i="1" s="1"/>
  <c r="DD49" i="1"/>
  <c r="DP13" i="1"/>
  <c r="EH13" i="1" s="1"/>
  <c r="EI13" i="1" s="1"/>
  <c r="DT13" i="1"/>
  <c r="DU13" i="1" s="1"/>
  <c r="DV13" i="1"/>
  <c r="DW13" i="1" s="1"/>
  <c r="DC49" i="1"/>
  <c r="DV27" i="1"/>
  <c r="DW27" i="1" s="1"/>
  <c r="DP27" i="1"/>
  <c r="EH27" i="1" s="1"/>
  <c r="EI27" i="1" s="1"/>
  <c r="DT27" i="1"/>
  <c r="DU27" i="1" s="1"/>
  <c r="CZ76" i="1"/>
  <c r="DP53" i="1"/>
  <c r="EH53" i="1" s="1"/>
  <c r="EI53" i="1" s="1"/>
  <c r="DV53" i="1"/>
  <c r="DW53" i="1" s="1"/>
  <c r="DT53" i="1"/>
  <c r="DU53" i="1" s="1"/>
  <c r="DV103" i="1"/>
  <c r="DW103" i="1" s="1"/>
  <c r="DT103" i="1"/>
  <c r="DU103" i="1" s="1"/>
  <c r="DP28" i="1"/>
  <c r="EH28" i="1" s="1"/>
  <c r="EI28" i="1" s="1"/>
  <c r="DV28" i="1"/>
  <c r="DW28" i="1" s="1"/>
  <c r="DT28" i="1"/>
  <c r="DU28" i="1" s="1"/>
  <c r="DD102" i="1"/>
  <c r="DT74" i="1"/>
  <c r="DU74" i="1" s="1"/>
  <c r="DP74" i="1"/>
  <c r="EH74" i="1" s="1"/>
  <c r="EI74" i="1" s="1"/>
  <c r="DV74" i="1"/>
  <c r="DW74" i="1" s="1"/>
  <c r="DD86" i="1"/>
  <c r="DT45" i="1"/>
  <c r="DU45" i="1" s="1"/>
  <c r="DV45" i="1"/>
  <c r="DW45" i="1" s="1"/>
  <c r="DP45" i="1"/>
  <c r="EH45" i="1" s="1"/>
  <c r="EI45" i="1" s="1"/>
  <c r="DV25" i="1"/>
  <c r="DW25" i="1" s="1"/>
  <c r="DT25" i="1"/>
  <c r="DU25" i="1" s="1"/>
  <c r="DP25" i="1"/>
  <c r="EH25" i="1" s="1"/>
  <c r="EI25" i="1" s="1"/>
  <c r="CZ64" i="1"/>
  <c r="DV85" i="1"/>
  <c r="DW85" i="1" s="1"/>
  <c r="DP85" i="1"/>
  <c r="EH85" i="1" s="1"/>
  <c r="EI85" i="1" s="1"/>
  <c r="DT85" i="1"/>
  <c r="DU85" i="1" s="1"/>
  <c r="DT77" i="1"/>
  <c r="DU77" i="1" s="1"/>
  <c r="DP77" i="1"/>
  <c r="EH77" i="1" s="1"/>
  <c r="EI77" i="1" s="1"/>
  <c r="DV77" i="1"/>
  <c r="DW77" i="1" s="1"/>
  <c r="DT96" i="1"/>
  <c r="DU96" i="1" s="1"/>
  <c r="DV96" i="1"/>
  <c r="DW96" i="1" s="1"/>
  <c r="DR20" i="1"/>
  <c r="DS20" i="1" s="1"/>
  <c r="DB20" i="1"/>
  <c r="DD19" i="1"/>
  <c r="DR82" i="1"/>
  <c r="DS82" i="1" s="1"/>
  <c r="DR44" i="1"/>
  <c r="DS44" i="1" s="1"/>
  <c r="DR85" i="1"/>
  <c r="DS85" i="1" s="1"/>
  <c r="DB85" i="1"/>
  <c r="DT57" i="1"/>
  <c r="DU57" i="1" s="1"/>
  <c r="DP57" i="1"/>
  <c r="EH57" i="1" s="1"/>
  <c r="EI57" i="1" s="1"/>
  <c r="DV57" i="1"/>
  <c r="DW57" i="1" s="1"/>
  <c r="DD55" i="1"/>
  <c r="DV75" i="1"/>
  <c r="DW75" i="1" s="1"/>
  <c r="DT75" i="1"/>
  <c r="DU75" i="1" s="1"/>
  <c r="DP75" i="1"/>
  <c r="EH75" i="1" s="1"/>
  <c r="EI75" i="1" s="1"/>
  <c r="DD44" i="1"/>
  <c r="DD20" i="1"/>
  <c r="DV40" i="1"/>
  <c r="DW40" i="1" s="1"/>
  <c r="DT40" i="1"/>
  <c r="DU40" i="1" s="1"/>
  <c r="DP40" i="1"/>
  <c r="EH40" i="1" s="1"/>
  <c r="EI40" i="1" s="1"/>
  <c r="DP31" i="1"/>
  <c r="EH31" i="1" s="1"/>
  <c r="EI31" i="1" s="1"/>
  <c r="DV31" i="1"/>
  <c r="DW31" i="1" s="1"/>
  <c r="DT31" i="1"/>
  <c r="DU31" i="1" s="1"/>
  <c r="DH61" i="1"/>
  <c r="DZ61" i="1" s="1"/>
  <c r="EA61" i="1" s="1"/>
  <c r="DD12" i="1"/>
  <c r="DR61" i="1"/>
  <c r="DS61" i="1" s="1"/>
  <c r="DP33" i="1"/>
  <c r="EH33" i="1" s="1"/>
  <c r="EI33" i="1" s="1"/>
  <c r="DV33" i="1"/>
  <c r="DW33" i="1" s="1"/>
  <c r="DT33" i="1"/>
  <c r="DU33" i="1" s="1"/>
  <c r="DR86" i="1"/>
  <c r="DS86" i="1" s="1"/>
  <c r="DB86" i="1"/>
  <c r="DV72" i="1"/>
  <c r="DW72" i="1" s="1"/>
  <c r="DT72" i="1"/>
  <c r="DU72" i="1" s="1"/>
  <c r="DP72" i="1"/>
  <c r="EH72" i="1" s="1"/>
  <c r="EI72" i="1" s="1"/>
  <c r="DB19" i="1"/>
  <c r="DR19" i="1"/>
  <c r="DS19" i="1" s="1"/>
  <c r="DR38" i="1"/>
  <c r="DS38" i="1" s="1"/>
  <c r="DP17" i="1"/>
  <c r="EH17" i="1" s="1"/>
  <c r="EI17" i="1" s="1"/>
  <c r="DV17" i="1"/>
  <c r="DW17" i="1" s="1"/>
  <c r="DT17" i="1"/>
  <c r="DU17" i="1" s="1"/>
  <c r="DH100" i="1"/>
  <c r="DP71" i="1"/>
  <c r="EH71" i="1" s="1"/>
  <c r="EI71" i="1" s="1"/>
  <c r="DT71" i="1"/>
  <c r="DU71" i="1" s="1"/>
  <c r="DV71" i="1"/>
  <c r="DW71" i="1" s="1"/>
  <c r="DB84" i="1"/>
  <c r="DR84" i="1"/>
  <c r="DS84" i="1" s="1"/>
  <c r="DB83" i="1"/>
  <c r="DR83" i="1"/>
  <c r="DS83" i="1" s="1"/>
  <c r="DV80" i="1"/>
  <c r="DW80" i="1" s="1"/>
  <c r="DP80" i="1"/>
  <c r="EH80" i="1" s="1"/>
  <c r="EI80" i="1" s="1"/>
  <c r="DT80" i="1"/>
  <c r="DU80" i="1" s="1"/>
  <c r="DD83" i="1"/>
  <c r="DD63" i="1"/>
  <c r="DL18" i="1"/>
  <c r="ED18" i="1" s="1"/>
  <c r="DT101" i="1"/>
  <c r="DU101" i="1" s="1"/>
  <c r="DP101" i="1"/>
  <c r="EH101" i="1" s="1"/>
  <c r="EI101" i="1" s="1"/>
  <c r="DV101" i="1"/>
  <c r="DW101" i="1" s="1"/>
  <c r="DR18" i="1"/>
  <c r="DS18" i="1" s="1"/>
  <c r="DR25" i="1"/>
  <c r="DS25" i="1" s="1"/>
  <c r="DP79" i="1"/>
  <c r="EH79" i="1" s="1"/>
  <c r="EI79" i="1" s="1"/>
  <c r="DT79" i="1"/>
  <c r="DU79" i="1" s="1"/>
  <c r="DV79" i="1"/>
  <c r="DW79" i="1" s="1"/>
  <c r="ED100" i="1"/>
  <c r="EE100" i="1" s="1"/>
  <c r="DT29" i="1"/>
  <c r="DU29" i="1" s="1"/>
  <c r="DP29" i="1"/>
  <c r="EH29" i="1" s="1"/>
  <c r="EI29" i="1" s="1"/>
  <c r="DV29" i="1"/>
  <c r="DW29" i="1" s="1"/>
  <c r="DP16" i="1"/>
  <c r="EH16" i="1" s="1"/>
  <c r="EI16" i="1" s="1"/>
  <c r="DT16" i="1"/>
  <c r="DU16" i="1" s="1"/>
  <c r="DV16" i="1"/>
  <c r="DW16" i="1" s="1"/>
  <c r="DD32" i="1"/>
  <c r="DB103" i="1" l="1"/>
  <c r="DB100" i="1"/>
  <c r="DB104" i="1"/>
  <c r="DC89" i="1"/>
  <c r="DB102" i="1"/>
  <c r="DD82" i="1"/>
  <c r="DD104" i="1"/>
  <c r="DV102" i="1"/>
  <c r="DW102" i="1" s="1"/>
  <c r="DT102" i="1"/>
  <c r="DU102" i="1" s="1"/>
  <c r="DP102" i="1"/>
  <c r="EH102" i="1" s="1"/>
  <c r="EI102" i="1" s="1"/>
  <c r="DP103" i="1"/>
  <c r="EH103" i="1" s="1"/>
  <c r="EI103" i="1" s="1"/>
  <c r="DD38" i="1"/>
  <c r="DL64" i="1"/>
  <c r="ED64" i="1" s="1"/>
  <c r="EE64" i="1" s="1"/>
  <c r="DD106" i="1"/>
  <c r="DV12" i="1"/>
  <c r="DW12" i="1" s="1"/>
  <c r="DT12" i="1"/>
  <c r="DU12" i="1" s="1"/>
  <c r="DP12" i="1"/>
  <c r="EH12" i="1" s="1"/>
  <c r="EI12" i="1" s="1"/>
  <c r="CZ89" i="1"/>
  <c r="DR89" i="1" s="1"/>
  <c r="DS89" i="1" s="1"/>
  <c r="DR64" i="1"/>
  <c r="DS64" i="1" s="1"/>
  <c r="DP78" i="1"/>
  <c r="EH78" i="1" s="1"/>
  <c r="EI78" i="1" s="1"/>
  <c r="DT78" i="1"/>
  <c r="DU78" i="1" s="1"/>
  <c r="DV78" i="1"/>
  <c r="DW78" i="1" s="1"/>
  <c r="DD76" i="1"/>
  <c r="DL89" i="1"/>
  <c r="DL97" i="1"/>
  <c r="ED97" i="1" s="1"/>
  <c r="EE97" i="1" s="1"/>
  <c r="DP55" i="1"/>
  <c r="EH55" i="1" s="1"/>
  <c r="EI55" i="1" s="1"/>
  <c r="DV55" i="1"/>
  <c r="DW55" i="1" s="1"/>
  <c r="DT55" i="1"/>
  <c r="DU55" i="1" s="1"/>
  <c r="DV42" i="1"/>
  <c r="DW42" i="1" s="1"/>
  <c r="DP42" i="1"/>
  <c r="EH42" i="1" s="1"/>
  <c r="EI42" i="1" s="1"/>
  <c r="DT42" i="1"/>
  <c r="DU42" i="1" s="1"/>
  <c r="DZ100" i="1"/>
  <c r="EA100" i="1" s="1"/>
  <c r="DV44" i="1"/>
  <c r="DW44" i="1" s="1"/>
  <c r="DT44" i="1"/>
  <c r="DU44" i="1" s="1"/>
  <c r="DP44" i="1"/>
  <c r="EH44" i="1" s="1"/>
  <c r="EI44" i="1" s="1"/>
  <c r="DD61" i="1"/>
  <c r="DD18" i="1"/>
  <c r="DT86" i="1"/>
  <c r="DU86" i="1" s="1"/>
  <c r="DP86" i="1"/>
  <c r="EH86" i="1" s="1"/>
  <c r="EI86" i="1" s="1"/>
  <c r="DV86" i="1"/>
  <c r="DW86" i="1" s="1"/>
  <c r="DV49" i="1"/>
  <c r="DW49" i="1" s="1"/>
  <c r="DT49" i="1"/>
  <c r="DU49" i="1" s="1"/>
  <c r="DP49" i="1"/>
  <c r="EH49" i="1" s="1"/>
  <c r="EI49" i="1" s="1"/>
  <c r="DV32" i="1"/>
  <c r="DW32" i="1" s="1"/>
  <c r="DT32" i="1"/>
  <c r="DU32" i="1" s="1"/>
  <c r="DP32" i="1"/>
  <c r="EH32" i="1" s="1"/>
  <c r="EI32" i="1" s="1"/>
  <c r="DH64" i="1"/>
  <c r="DZ64" i="1" s="1"/>
  <c r="EA64" i="1" s="1"/>
  <c r="DR70" i="1"/>
  <c r="DS70" i="1" s="1"/>
  <c r="DP70" i="1"/>
  <c r="EH70" i="1" s="1"/>
  <c r="EI70" i="1" s="1"/>
  <c r="DV70" i="1"/>
  <c r="DW70" i="1" s="1"/>
  <c r="DT70" i="1"/>
  <c r="DU70" i="1" s="1"/>
  <c r="DP20" i="1"/>
  <c r="EH20" i="1" s="1"/>
  <c r="EI20" i="1" s="1"/>
  <c r="DV20" i="1"/>
  <c r="DW20" i="1" s="1"/>
  <c r="DT20" i="1"/>
  <c r="DU20" i="1" s="1"/>
  <c r="DV63" i="1"/>
  <c r="DW63" i="1" s="1"/>
  <c r="DT63" i="1"/>
  <c r="DU63" i="1" s="1"/>
  <c r="DP63" i="1"/>
  <c r="EH63" i="1" s="1"/>
  <c r="EI63" i="1" s="1"/>
  <c r="DR76" i="1"/>
  <c r="DS76" i="1" s="1"/>
  <c r="DV105" i="1"/>
  <c r="DW105" i="1" s="1"/>
  <c r="DT105" i="1"/>
  <c r="DU105" i="1" s="1"/>
  <c r="DP105" i="1"/>
  <c r="EH105" i="1" s="1"/>
  <c r="EI105" i="1" s="1"/>
  <c r="DT83" i="1"/>
  <c r="DU83" i="1" s="1"/>
  <c r="DV83" i="1"/>
  <c r="DW83" i="1" s="1"/>
  <c r="DP83" i="1"/>
  <c r="EH83" i="1" s="1"/>
  <c r="EI83" i="1" s="1"/>
  <c r="DP19" i="1"/>
  <c r="EH19" i="1" s="1"/>
  <c r="EI19" i="1" s="1"/>
  <c r="DT19" i="1"/>
  <c r="DU19" i="1" s="1"/>
  <c r="DV19" i="1"/>
  <c r="DW19" i="1" s="1"/>
  <c r="DB64" i="1"/>
  <c r="DD100" i="1"/>
  <c r="DH89" i="1" l="1"/>
  <c r="DH97" i="1"/>
  <c r="DZ97" i="1" s="1"/>
  <c r="EA97" i="1" s="1"/>
  <c r="DT104" i="1"/>
  <c r="DU104" i="1" s="1"/>
  <c r="DV104" i="1"/>
  <c r="DW104" i="1" s="1"/>
  <c r="DP104" i="1"/>
  <c r="EH104" i="1" s="1"/>
  <c r="EI104" i="1" s="1"/>
  <c r="DP100" i="1"/>
  <c r="EH100" i="1" s="1"/>
  <c r="EI100" i="1" s="1"/>
  <c r="DT100" i="1"/>
  <c r="DU100" i="1" s="1"/>
  <c r="DV100" i="1"/>
  <c r="DW100" i="1" s="1"/>
  <c r="DB27" i="1"/>
  <c r="DB49" i="1"/>
  <c r="DB32" i="1"/>
  <c r="DB44" i="1"/>
  <c r="DB61" i="1"/>
  <c r="DB55" i="1"/>
  <c r="DB25" i="1"/>
  <c r="DB12" i="1"/>
  <c r="DB82" i="1"/>
  <c r="DB38" i="1"/>
  <c r="DB18" i="1"/>
  <c r="DB76" i="1"/>
  <c r="ED89" i="1"/>
  <c r="EE89" i="1" s="1"/>
  <c r="DV106" i="1"/>
  <c r="DW106" i="1" s="1"/>
  <c r="DT106" i="1"/>
  <c r="DU106" i="1" s="1"/>
  <c r="DP106" i="1"/>
  <c r="EH106" i="1" s="1"/>
  <c r="EI106" i="1" s="1"/>
  <c r="DP82" i="1"/>
  <c r="EH82" i="1" s="1"/>
  <c r="EI82" i="1" s="1"/>
  <c r="DV82" i="1"/>
  <c r="DW82" i="1" s="1"/>
  <c r="DT82" i="1"/>
  <c r="DU82" i="1" s="1"/>
  <c r="DV61" i="1"/>
  <c r="DW61" i="1" s="1"/>
  <c r="DT61" i="1"/>
  <c r="DU61" i="1" s="1"/>
  <c r="DP61" i="1"/>
  <c r="EH61" i="1" s="1"/>
  <c r="EI61" i="1" s="1"/>
  <c r="DP76" i="1"/>
  <c r="EH76" i="1" s="1"/>
  <c r="EI76" i="1" s="1"/>
  <c r="DV76" i="1"/>
  <c r="DW76" i="1" s="1"/>
  <c r="DT76" i="1"/>
  <c r="DU76" i="1" s="1"/>
  <c r="DP18" i="1"/>
  <c r="EH18" i="1" s="1"/>
  <c r="EI18" i="1" s="1"/>
  <c r="DT18" i="1"/>
  <c r="DU18" i="1" s="1"/>
  <c r="DV18" i="1"/>
  <c r="DW18" i="1" s="1"/>
  <c r="DB70" i="1"/>
  <c r="DD64" i="1"/>
  <c r="DV38" i="1"/>
  <c r="DW38" i="1" s="1"/>
  <c r="DT38" i="1"/>
  <c r="DU38" i="1" s="1"/>
  <c r="DP38" i="1"/>
  <c r="EH38" i="1" s="1"/>
  <c r="EI38" i="1" s="1"/>
  <c r="DT64" i="1" l="1"/>
  <c r="DU64" i="1" s="1"/>
  <c r="DV64" i="1"/>
  <c r="DW64" i="1" s="1"/>
  <c r="DP64" i="1"/>
  <c r="EH64" i="1" s="1"/>
  <c r="EI64" i="1" s="1"/>
  <c r="DZ89" i="1"/>
  <c r="EA89" i="1" s="1"/>
  <c r="DD89" i="1"/>
  <c r="DD97" i="1"/>
  <c r="DB89" i="1"/>
  <c r="DT97" i="1" l="1"/>
  <c r="DU97" i="1" s="1"/>
  <c r="DV97" i="1"/>
  <c r="DW97" i="1" s="1"/>
  <c r="DT89" i="1"/>
  <c r="DU89" i="1" s="1"/>
  <c r="DP89" i="1"/>
  <c r="EH89" i="1" s="1"/>
  <c r="EI89" i="1" s="1"/>
  <c r="DV89" i="1"/>
  <c r="DW89" i="1" s="1"/>
</calcChain>
</file>

<file path=xl/sharedStrings.xml><?xml version="1.0" encoding="utf-8"?>
<sst xmlns="http://schemas.openxmlformats.org/spreadsheetml/2006/main" count="11272" uniqueCount="119">
  <si>
    <t xml:space="preserve">Sabiedriskā pasūtījuma izstrādes, uzskaites un izpildes uzraudzības kārtības nolikuma
</t>
  </si>
  <si>
    <t xml:space="preserve">Pielikums Nr.1 "Sabiedriskā pasūtījuma plāns un izpilde"
</t>
  </si>
  <si>
    <t xml:space="preserve">Sabiedriskā pasūtījuma plāns un izpilde 2023.gadā 
VSIA Latvijas Radio </t>
  </si>
  <si>
    <t>v_27122022</t>
  </si>
  <si>
    <t>Žanri</t>
  </si>
  <si>
    <t>Programma/ Kanāls</t>
  </si>
  <si>
    <r>
      <t>I ceturksnī</t>
    </r>
    <r>
      <rPr>
        <b/>
        <vertAlign val="superscript"/>
        <sz val="10"/>
        <rFont val="Arial"/>
        <family val="2"/>
        <charset val="186"/>
      </rPr>
      <t xml:space="preserve"> 1</t>
    </r>
  </si>
  <si>
    <r>
      <t xml:space="preserve">II ceturksnī </t>
    </r>
    <r>
      <rPr>
        <b/>
        <vertAlign val="superscript"/>
        <sz val="10"/>
        <rFont val="Arial"/>
        <family val="2"/>
        <charset val="186"/>
      </rPr>
      <t>1</t>
    </r>
  </si>
  <si>
    <r>
      <t xml:space="preserve">III ceturksnī </t>
    </r>
    <r>
      <rPr>
        <b/>
        <vertAlign val="superscript"/>
        <sz val="10"/>
        <rFont val="Arial"/>
        <family val="2"/>
        <charset val="186"/>
      </rPr>
      <t>1</t>
    </r>
  </si>
  <si>
    <r>
      <t xml:space="preserve">IV ceturksnī </t>
    </r>
    <r>
      <rPr>
        <b/>
        <vertAlign val="superscript"/>
        <sz val="10"/>
        <rFont val="Arial"/>
        <family val="2"/>
        <charset val="186"/>
      </rPr>
      <t>1</t>
    </r>
  </si>
  <si>
    <t>2023.gads KOPĀ</t>
  </si>
  <si>
    <t>Pārskata perioda 6, 9, 12 mēnešu</t>
  </si>
  <si>
    <t>Pārskata perioda (3, 6, 9, 12 mēnešu) izmaiņas</t>
  </si>
  <si>
    <t>Nr.p.k.</t>
  </si>
  <si>
    <r>
      <t xml:space="preserve">Hronometrāža </t>
    </r>
    <r>
      <rPr>
        <vertAlign val="superscript"/>
        <sz val="10"/>
        <rFont val="Arial"/>
        <family val="2"/>
        <charset val="186"/>
      </rPr>
      <t>9</t>
    </r>
    <r>
      <rPr>
        <sz val="10"/>
        <rFont val="Arial"/>
        <family val="2"/>
        <charset val="186"/>
      </rPr>
      <t xml:space="preserve"> / Satura vienības </t>
    </r>
    <r>
      <rPr>
        <vertAlign val="superscript"/>
        <sz val="10"/>
        <rFont val="Arial"/>
        <family val="2"/>
        <charset val="186"/>
      </rPr>
      <t>8</t>
    </r>
  </si>
  <si>
    <t>Kopējie izdevumi (pēc PZA)</t>
  </si>
  <si>
    <t>Hronometrāža</t>
  </si>
  <si>
    <t>tajā skaitā</t>
  </si>
  <si>
    <t>1 stundas tiešās izmaksas</t>
  </si>
  <si>
    <t>1stundas tiešās izmaksas</t>
  </si>
  <si>
    <t>Dotācija</t>
  </si>
  <si>
    <r>
      <t xml:space="preserve">Līdzfinansējumi </t>
    </r>
    <r>
      <rPr>
        <vertAlign val="superscript"/>
        <sz val="10"/>
        <rFont val="Arial"/>
        <family val="2"/>
        <charset val="186"/>
      </rPr>
      <t>2</t>
    </r>
  </si>
  <si>
    <t>1 stundas tiešās izmaksas (pēc PZA)</t>
  </si>
  <si>
    <t>Ilgums</t>
  </si>
  <si>
    <t>Īpatsvars no programmas kopējā raidapjoma</t>
  </si>
  <si>
    <t>Tiešās izmaksas</t>
  </si>
  <si>
    <t>Netiešās izmaksas</t>
  </si>
  <si>
    <t>Līdzfinansējumi***</t>
  </si>
  <si>
    <t>Kopējās tiešās izmaksas</t>
  </si>
  <si>
    <t>Kopējās netiešās izmaksas</t>
  </si>
  <si>
    <t>Kopā tiešas un netiešās</t>
  </si>
  <si>
    <t>Plāns</t>
  </si>
  <si>
    <t xml:space="preserve">Izpilde </t>
  </si>
  <si>
    <t>Izpilde</t>
  </si>
  <si>
    <t xml:space="preserve">Plāns </t>
  </si>
  <si>
    <t>Plāns "-" Izpilde</t>
  </si>
  <si>
    <t>stundas/ skaits</t>
  </si>
  <si>
    <t>%</t>
  </si>
  <si>
    <t>Euro</t>
  </si>
  <si>
    <t>stundas</t>
  </si>
  <si>
    <t>EUR</t>
  </si>
  <si>
    <t xml:space="preserve">stundas </t>
  </si>
  <si>
    <t>I</t>
  </si>
  <si>
    <t xml:space="preserve">Ziņas </t>
  </si>
  <si>
    <t>x</t>
  </si>
  <si>
    <t>LR1</t>
  </si>
  <si>
    <t>LR2</t>
  </si>
  <si>
    <t>LR3</t>
  </si>
  <si>
    <t>LR4</t>
  </si>
  <si>
    <t>LR5</t>
  </si>
  <si>
    <t>Informatīvi analītiskie, sabiedriski politiskie raidījumi</t>
  </si>
  <si>
    <t>Latgales MMS</t>
  </si>
  <si>
    <t>Pētnieciskie raidījumi</t>
  </si>
  <si>
    <t>Sports</t>
  </si>
  <si>
    <t>Bērnu, pusaudžu un jauniešu raidījumi</t>
  </si>
  <si>
    <t>Vērtību orientējošie, kultūras  raidījumi</t>
  </si>
  <si>
    <t>Izglītojošie un zinātnes raidījumi</t>
  </si>
  <si>
    <t>Izklaidējošie raidījumi</t>
  </si>
  <si>
    <t>Mūzika</t>
  </si>
  <si>
    <t>Kopā pa žanriem (I)</t>
  </si>
  <si>
    <t>II</t>
  </si>
  <si>
    <t>Iepirktās filmas, ekranizējumi, raidījumi</t>
  </si>
  <si>
    <r>
      <t xml:space="preserve">Cits saturs </t>
    </r>
    <r>
      <rPr>
        <vertAlign val="superscript"/>
        <sz val="10"/>
        <rFont val="Arial"/>
        <family val="2"/>
        <charset val="186"/>
      </rPr>
      <t>3</t>
    </r>
    <r>
      <rPr>
        <sz val="10"/>
        <rFont val="Arial"/>
        <family val="2"/>
        <charset val="186"/>
      </rPr>
      <t xml:space="preserve"> (Saeimas plenārsēdes)</t>
    </r>
  </si>
  <si>
    <t>LR6</t>
  </si>
  <si>
    <t>Kopā (I+II)</t>
  </si>
  <si>
    <t>III</t>
  </si>
  <si>
    <r>
      <t>Atkārtojumi</t>
    </r>
    <r>
      <rPr>
        <b/>
        <vertAlign val="superscript"/>
        <sz val="10"/>
        <rFont val="Arial"/>
        <family val="2"/>
        <charset val="186"/>
      </rPr>
      <t xml:space="preserve"> 4</t>
    </r>
  </si>
  <si>
    <t>IV</t>
  </si>
  <si>
    <t>Pašreklāma</t>
  </si>
  <si>
    <t>V</t>
  </si>
  <si>
    <t>Kultūras paziņojumi</t>
  </si>
  <si>
    <t>Sociālie un citi paziņojumi</t>
  </si>
  <si>
    <t>VI</t>
  </si>
  <si>
    <t>Apraides izmaksas</t>
  </si>
  <si>
    <t>Kopā lineārais saturs (I-VI)</t>
  </si>
  <si>
    <t>VII</t>
  </si>
  <si>
    <t>Ārpus ētera projekti (pasākumi u.c.)</t>
  </si>
  <si>
    <t>VIII</t>
  </si>
  <si>
    <r>
      <t xml:space="preserve">Digitālā satura veidošana (sociālie mediji, platformas, tehnoloģijas u.c.) </t>
    </r>
    <r>
      <rPr>
        <vertAlign val="superscript"/>
        <sz val="10"/>
        <rFont val="Arial"/>
        <family val="2"/>
        <charset val="186"/>
      </rPr>
      <t>5</t>
    </r>
  </si>
  <si>
    <r>
      <t xml:space="preserve">Satura veidošana LSM.LV </t>
    </r>
    <r>
      <rPr>
        <vertAlign val="superscript"/>
        <sz val="10"/>
        <rFont val="Arial"/>
        <family val="2"/>
        <charset val="186"/>
      </rPr>
      <t>6</t>
    </r>
  </si>
  <si>
    <r>
      <t xml:space="preserve">Satura veidošana RUS.LSM.LV </t>
    </r>
    <r>
      <rPr>
        <vertAlign val="superscript"/>
        <sz val="10"/>
        <rFont val="Arial"/>
        <family val="2"/>
        <charset val="186"/>
      </rPr>
      <t>6</t>
    </r>
  </si>
  <si>
    <r>
      <t xml:space="preserve">Satura veidošana ENG.LSM.LV </t>
    </r>
    <r>
      <rPr>
        <vertAlign val="superscript"/>
        <sz val="10"/>
        <rFont val="Arial"/>
        <family val="2"/>
        <charset val="186"/>
      </rPr>
      <t>6</t>
    </r>
  </si>
  <si>
    <r>
      <t xml:space="preserve">Cits </t>
    </r>
    <r>
      <rPr>
        <vertAlign val="superscript"/>
        <sz val="10"/>
        <rFont val="Arial"/>
        <family val="2"/>
        <charset val="186"/>
      </rPr>
      <t>7</t>
    </r>
  </si>
  <si>
    <t>Kopā digitālais saturs (VIII)</t>
  </si>
  <si>
    <t>KOPĀ visas satura izmaksas (I-VIII)</t>
  </si>
  <si>
    <t>Tajā skaitā kopā pa programmām:</t>
  </si>
  <si>
    <t>Latgales reģionālā apraide</t>
  </si>
  <si>
    <t>Informācija par līdzfinansējuma avotiem:</t>
  </si>
  <si>
    <t>Euronet Plus</t>
  </si>
  <si>
    <t>eiro/ gadā</t>
  </si>
  <si>
    <t>Borisa un Ināras Teterevu fonds</t>
  </si>
  <si>
    <t>Uzņēmuma vadītājs: U.Klapkalne, S.Dika- Bokmeldere, Ģ.Helmanis</t>
  </si>
  <si>
    <t>raidstundas</t>
  </si>
  <si>
    <t>tiešās</t>
  </si>
  <si>
    <t>DOKUMENTS PARAKSTĪTS AR DROŠU ELEKTRONISKO PARAKSTU UN SATUR LAIKA ZĪMOGU</t>
  </si>
  <si>
    <t>Piezīmes. </t>
  </si>
  <si>
    <r>
      <rPr>
        <vertAlign val="superscript"/>
        <sz val="9"/>
        <rFont val="Times New Roman"/>
        <family val="1"/>
      </rPr>
      <t>1</t>
    </r>
    <r>
      <rPr>
        <sz val="9"/>
        <rFont val="Times New Roman"/>
        <family val="1"/>
      </rPr>
      <t xml:space="preserve"> atskaitoties par aktuālo ceturksni, informācija sniedzama arī par pārējiem ceturkšņiem</t>
    </r>
  </si>
  <si>
    <r>
      <rPr>
        <vertAlign val="superscript"/>
        <sz val="9"/>
        <rFont val="Times New Roman"/>
        <family val="1"/>
      </rPr>
      <t>2</t>
    </r>
    <r>
      <rPr>
        <sz val="9"/>
        <rFont val="Times New Roman"/>
        <family val="1"/>
      </rPr>
      <t xml:space="preserve"> papildus atskaitei (pavadvēstulē vai kā atsevišķs pielikums) tiek pievienota informācija par attiecīgo līdzfinansējumu avotiem</t>
    </r>
  </si>
  <si>
    <r>
      <rPr>
        <vertAlign val="superscript"/>
        <sz val="9"/>
        <rFont val="Times New Roman"/>
        <family val="1"/>
      </rPr>
      <t>3</t>
    </r>
    <r>
      <rPr>
        <sz val="9"/>
        <rFont val="Times New Roman"/>
        <family val="1"/>
      </rPr>
      <t xml:space="preserve"> cita satura izmaksas (norādīt saturu)</t>
    </r>
  </si>
  <si>
    <r>
      <rPr>
        <vertAlign val="superscript"/>
        <sz val="9"/>
        <rFont val="Times New Roman"/>
        <family val="1"/>
      </rPr>
      <t>4</t>
    </r>
    <r>
      <rPr>
        <sz val="9"/>
        <rFont val="Times New Roman"/>
        <family val="1"/>
      </rPr>
      <t xml:space="preserve"> sākot no 2. atkārtojuma gada laikā</t>
    </r>
  </si>
  <si>
    <r>
      <rPr>
        <vertAlign val="superscript"/>
        <sz val="9"/>
        <rFont val="Times New Roman"/>
        <family val="1"/>
      </rPr>
      <t>5</t>
    </r>
    <r>
      <rPr>
        <sz val="9"/>
        <rFont val="Times New Roman"/>
        <family val="1"/>
      </rPr>
      <t xml:space="preserve"> iekļauj digitālā un multimediālā satura veidošanas izmaksas, arī tās, kas papildina lineāro saturu. Aizpilda ņemot vērā LR un LTV finanšu sistēmas uzskaites iespējas</t>
    </r>
  </si>
  <si>
    <r>
      <rPr>
        <vertAlign val="superscript"/>
        <sz val="9"/>
        <rFont val="Times New Roman"/>
        <family val="1"/>
      </rPr>
      <t>6</t>
    </r>
    <r>
      <rPr>
        <sz val="9"/>
        <rFont val="Times New Roman"/>
        <family val="1"/>
      </rPr>
      <t xml:space="preserve"> aizpilda, kad iespējams nodalīt lsm.lv izmaksas no citām digitālā satura izmaksām </t>
    </r>
  </si>
  <si>
    <r>
      <rPr>
        <vertAlign val="superscript"/>
        <sz val="9"/>
        <rFont val="Times New Roman"/>
        <family val="1"/>
      </rPr>
      <t>7</t>
    </r>
    <r>
      <rPr>
        <sz val="9"/>
        <rFont val="Times New Roman"/>
        <family val="1"/>
      </rPr>
      <t xml:space="preserve"> minēt digitālās platformas nosaukumu</t>
    </r>
  </si>
  <si>
    <r>
      <rPr>
        <vertAlign val="superscript"/>
        <sz val="9"/>
        <rFont val="Times New Roman"/>
        <family val="1"/>
      </rPr>
      <t>8</t>
    </r>
    <r>
      <rPr>
        <sz val="9"/>
        <rFont val="Times New Roman"/>
        <family val="1"/>
      </rPr>
      <t xml:space="preserve"> minēt LSM satura vienības</t>
    </r>
  </si>
  <si>
    <r>
      <rPr>
        <vertAlign val="superscript"/>
        <sz val="9"/>
        <rFont val="Times New Roman"/>
        <family val="1"/>
      </rPr>
      <t>9</t>
    </r>
    <r>
      <rPr>
        <sz val="9"/>
        <rFont val="Times New Roman"/>
        <family val="1"/>
      </rPr>
      <t xml:space="preserve"> sadaļās I un II norādāms oriģinālsatura apjoms - pirmizrāde un viens atkārtojums gadā</t>
    </r>
  </si>
  <si>
    <t>Sagatavoja:</t>
  </si>
  <si>
    <t>XXVII Vispārējo latviešu dziesmu un XVII Deju svētki</t>
  </si>
  <si>
    <t>GADA PLĀNA IZMAIŅAS</t>
  </si>
  <si>
    <t>"Plāns ar grozījumiem "-" Apstiprinānais"</t>
  </si>
  <si>
    <t>Uzņēmuma vadītājs: U.Klapkalne, I.Aile, Ģ.Helmanis</t>
  </si>
  <si>
    <t>Sagatavoja: Jūlija Leitāne, julijaleitane@latvijasradio.lv</t>
  </si>
  <si>
    <t xml:space="preserve">XXVII Vispārējo latviešu dziesmu un XVII Deju svētki </t>
  </si>
  <si>
    <r>
      <t xml:space="preserve">Hronometrāža </t>
    </r>
    <r>
      <rPr>
        <vertAlign val="superscript"/>
        <sz val="10"/>
        <rFont val="Arial"/>
        <family val="2"/>
        <charset val="186"/>
      </rPr>
      <t>9</t>
    </r>
    <r>
      <rPr>
        <sz val="10"/>
        <rFont val="Arial"/>
        <family val="2"/>
        <charset val="186"/>
      </rPr>
      <t xml:space="preserve"> / Satura vienības </t>
    </r>
    <r>
      <rPr>
        <vertAlign val="superscript"/>
        <sz val="10"/>
        <rFont val="Arial"/>
        <family val="2"/>
        <charset val="186"/>
      </rPr>
      <t>8</t>
    </r>
  </si>
  <si>
    <t>EUR/ gadā</t>
  </si>
  <si>
    <t xml:space="preserve"> EUR / gadā </t>
  </si>
  <si>
    <t>( Mērķis - ar raidījumu "Radio mazā lasītava" un "Grāmatu otrdiena" palīdzību veicināt auditorijas vēlmi lasīt grāmatas. Projekta darbības laiks no 01.01.2020. līdz 15.12.2023.)</t>
  </si>
  <si>
    <t xml:space="preserve">( Euranet Plus ir vadošā Eiropas ziņu radiostaciju apvienība. Šo redakcionāli neatkarīgo radiostaciju tīklu finansiāli atbalsta Eiropas Komisija. Euranet Plus uzsāka savu darbu 2013. gada 1. aprīlī. Šī sadarbības tīkla mērķis ir informēt eiropiešus un padziļināt viņu izpratni par notikumiem Eiropas Savienībā, veicinot viedokļu un informācijas apmaiņu. Citiem vārdiem sakot – palīdzēt saprast Eiropu labāk.)
</t>
  </si>
  <si>
    <t>( XXVII Vispārējo latviešu Dziesmu un XVII Deju svētku un to ietvaros Latvijas nacionālā kultūras centra rīkoto pasākumu atspoguļošana un popularizēšana, kā arī svētku pasākumu audiovizuālās un audio pārraidīšanas un dokumentēšanas nodrošināšana Latvijas Radio programmās un digitālajos kanālos, pasākumu izpildījuma fiksēšana fonogrammās, audio un audiovizuālos darbos, lai nodrošinātu pilnvētīgu sabiedrības informēšanu.  Projekta darbības laiks  2023. gada jūlijs</t>
  </si>
  <si>
    <t>Euranet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</si>
</sst>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0000"/>
  </numFmts>
  <fonts count="22" x14ac:knownFonts="1">
    <font>
      <sz val="10"/>
      <name val="Arial"/>
      <family val="2"/>
      <charset val="186"/>
    </font>
    <font>
      <sz val="11"/>
      <name val="Times New Roman"/>
      <family val="1"/>
      <charset val="186"/>
    </font>
    <font>
      <sz val="11"/>
      <name val="Arial"/>
      <family val="2"/>
      <charset val="186"/>
    </font>
    <font>
      <b/>
      <sz val="12"/>
      <name val="Arial"/>
      <family val="2"/>
      <charset val="186"/>
    </font>
    <font>
      <b/>
      <sz val="16"/>
      <name val="Arial"/>
      <family val="2"/>
      <charset val="186"/>
    </font>
    <font>
      <b/>
      <sz val="12"/>
      <name val="Times New Roman"/>
      <family val="1"/>
      <charset val="186"/>
    </font>
    <font>
      <b/>
      <sz val="10"/>
      <name val="Arial"/>
      <family val="2"/>
      <charset val="186"/>
    </font>
    <font>
      <b/>
      <vertAlign val="superscript"/>
      <sz val="10"/>
      <name val="Arial"/>
      <family val="2"/>
      <charset val="186"/>
    </font>
    <font>
      <vertAlign val="superscript"/>
      <sz val="10"/>
      <name val="Arial"/>
      <family val="2"/>
      <charset val="186"/>
    </font>
    <font>
      <sz val="10"/>
      <color rgb="FFFF0000"/>
      <name val="Times New Roman"/>
      <family val="1"/>
      <charset val="186"/>
    </font>
    <font>
      <sz val="10"/>
      <name val="Times New Roman"/>
      <family val="1"/>
      <charset val="186"/>
    </font>
    <font>
      <sz val="9"/>
      <name val="Times New Roman"/>
      <family val="1"/>
      <charset val="186"/>
    </font>
    <font>
      <b/>
      <sz val="10"/>
      <name val="Times New Roman"/>
      <family val="1"/>
    </font>
    <font>
      <sz val="10"/>
      <name val="Times New Roman"/>
      <family val="1"/>
    </font>
    <font>
      <sz val="9"/>
      <name val="Times New Roman"/>
      <family val="1"/>
    </font>
    <font>
      <vertAlign val="superscript"/>
      <sz val="9"/>
      <name val="Times New Roman"/>
      <family val="1"/>
    </font>
    <font>
      <sz val="10"/>
      <name val="Arial"/>
      <family val="2"/>
      <charset val="186"/>
    </font>
    <font>
      <sz val="8"/>
      <name val="Arial"/>
      <family val="2"/>
      <charset val="186"/>
    </font>
    <font>
      <b/>
      <sz val="10"/>
      <name val="Times New Roman"/>
      <family val="1"/>
      <charset val="186"/>
    </font>
    <font>
      <sz val="11"/>
      <color rgb="FF0070C0"/>
      <name val="Times"/>
      <family val="1"/>
    </font>
    <font>
      <sz val="10"/>
      <color rgb="FF0070C0"/>
      <name val="Times"/>
      <family val="1"/>
    </font>
    <font>
      <sz val="11"/>
      <color rgb="FF0070C0"/>
      <name val="Times"/>
      <family val="1"/>
      <charset val="186"/>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s>
  <borders count="217">
    <border>
      <left/>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medium">
        <color indexed="64"/>
      </top>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double">
        <color indexed="64"/>
      </bottom>
      <diagonal/>
    </border>
  </borders>
  <cellStyleXfs count="2">
    <xf numFmtId="0" fontId="0" fillId="0" borderId="0"/>
    <xf numFmtId="9" fontId="16" fillId="0" borderId="0" applyFont="0" applyFill="0" applyBorder="0" applyAlignment="0" applyProtection="0"/>
  </cellStyleXfs>
  <cellXfs count="1132">
    <xf numFmtId="0" fontId="0" fillId="0" borderId="0" xfId="0"/>
    <xf numFmtId="0" fontId="1" fillId="0" borderId="0" xfId="0" applyFont="1"/>
    <xf numFmtId="0" fontId="1" fillId="0" borderId="0" xfId="0" applyFont="1" applyAlignment="1">
      <alignment wrapText="1"/>
    </xf>
    <xf numFmtId="164" fontId="1" fillId="0" borderId="0" xfId="0" applyNumberFormat="1" applyFont="1"/>
    <xf numFmtId="0" fontId="2" fillId="2" borderId="0" xfId="0" applyFont="1" applyFill="1"/>
    <xf numFmtId="0" fontId="0" fillId="2" borderId="0" xfId="0" applyFill="1"/>
    <xf numFmtId="0" fontId="3" fillId="2" borderId="0" xfId="0" applyFont="1" applyFill="1"/>
    <xf numFmtId="3" fontId="0" fillId="2" borderId="0" xfId="0" applyNumberFormat="1" applyFill="1"/>
    <xf numFmtId="164" fontId="0" fillId="2" borderId="0" xfId="0" applyNumberFormat="1" applyFill="1"/>
    <xf numFmtId="165" fontId="0" fillId="2" borderId="0" xfId="0" applyNumberFormat="1" applyFill="1"/>
    <xf numFmtId="0" fontId="4" fillId="2" borderId="1" xfId="0" applyFont="1" applyFill="1" applyBorder="1" applyAlignment="1">
      <alignment horizontal="center"/>
    </xf>
    <xf numFmtId="0" fontId="4" fillId="2" borderId="0" xfId="0" applyFont="1" applyFill="1" applyAlignment="1">
      <alignment horizontal="center"/>
    </xf>
    <xf numFmtId="164" fontId="4" fillId="2" borderId="0" xfId="0" applyNumberFormat="1" applyFont="1" applyFill="1" applyAlignment="1">
      <alignment horizontal="center"/>
    </xf>
    <xf numFmtId="3" fontId="4" fillId="2" borderId="0" xfId="0" applyNumberFormat="1" applyFont="1" applyFill="1" applyAlignment="1">
      <alignment horizontal="center"/>
    </xf>
    <xf numFmtId="0" fontId="5" fillId="2" borderId="0" xfId="0" applyFont="1" applyFill="1" applyAlignment="1">
      <alignment horizontal="center"/>
    </xf>
    <xf numFmtId="165" fontId="4" fillId="2" borderId="0" xfId="0" applyNumberFormat="1" applyFont="1" applyFill="1" applyAlignment="1">
      <alignment horizontal="center"/>
    </xf>
    <xf numFmtId="0" fontId="0" fillId="2" borderId="2" xfId="0" applyFill="1" applyBorder="1"/>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9" xfId="0" applyFont="1" applyFill="1" applyBorder="1" applyAlignment="1">
      <alignment horizontal="center"/>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0" fillId="4" borderId="17" xfId="0" applyFill="1" applyBorder="1" applyAlignment="1">
      <alignment horizontal="center" wrapText="1"/>
    </xf>
    <xf numFmtId="0" fontId="0" fillId="4" borderId="18" xfId="0" applyFill="1" applyBorder="1" applyAlignment="1">
      <alignment horizontal="center" wrapText="1"/>
    </xf>
    <xf numFmtId="0" fontId="0" fillId="4" borderId="21"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22" xfId="0" applyFill="1" applyBorder="1" applyAlignment="1">
      <alignment horizontal="center" wrapText="1"/>
    </xf>
    <xf numFmtId="0" fontId="0" fillId="4" borderId="16" xfId="0" applyFill="1" applyBorder="1" applyAlignment="1">
      <alignment horizontal="center" vertical="center" wrapText="1"/>
    </xf>
    <xf numFmtId="0" fontId="0" fillId="4" borderId="25" xfId="0" applyFill="1" applyBorder="1" applyAlignment="1">
      <alignment horizontal="center" vertical="center" wrapText="1"/>
    </xf>
    <xf numFmtId="164" fontId="0" fillId="4" borderId="31" xfId="0" applyNumberFormat="1" applyFill="1" applyBorder="1" applyAlignment="1">
      <alignment horizontal="center" wrapText="1"/>
    </xf>
    <xf numFmtId="164" fontId="0" fillId="4" borderId="32" xfId="0" applyNumberFormat="1" applyFill="1" applyBorder="1" applyAlignment="1">
      <alignment horizontal="center" wrapText="1"/>
    </xf>
    <xf numFmtId="0" fontId="0" fillId="4" borderId="32" xfId="0" applyFill="1" applyBorder="1" applyAlignment="1">
      <alignment horizontal="center" wrapText="1"/>
    </xf>
    <xf numFmtId="165" fontId="0" fillId="4" borderId="32" xfId="0" applyNumberFormat="1" applyFill="1" applyBorder="1" applyAlignment="1">
      <alignment horizontal="center" wrapText="1"/>
    </xf>
    <xf numFmtId="3" fontId="0" fillId="4" borderId="17" xfId="0" applyNumberFormat="1" applyFill="1" applyBorder="1" applyAlignment="1">
      <alignment horizontal="center" wrapText="1"/>
    </xf>
    <xf numFmtId="3" fontId="0" fillId="4" borderId="32" xfId="0" applyNumberFormat="1" applyFill="1" applyBorder="1" applyAlignment="1">
      <alignment horizontal="center" wrapText="1"/>
    </xf>
    <xf numFmtId="0" fontId="0" fillId="4" borderId="33" xfId="0" applyFill="1" applyBorder="1" applyAlignment="1">
      <alignment horizontal="center" wrapText="1"/>
    </xf>
    <xf numFmtId="0" fontId="0" fillId="4" borderId="34" xfId="0" applyFill="1" applyBorder="1" applyAlignment="1">
      <alignment horizontal="center" vertical="center" wrapText="1"/>
    </xf>
    <xf numFmtId="164" fontId="0" fillId="4" borderId="35" xfId="0" applyNumberFormat="1" applyFill="1" applyBorder="1" applyAlignment="1">
      <alignment horizontal="center" vertical="center" wrapText="1"/>
    </xf>
    <xf numFmtId="0" fontId="0" fillId="4" borderId="35"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32" xfId="0" applyFill="1" applyBorder="1" applyAlignment="1">
      <alignment horizontal="center" vertical="center" wrapText="1"/>
    </xf>
    <xf numFmtId="164" fontId="0" fillId="4" borderId="39" xfId="0" applyNumberFormat="1" applyFill="1" applyBorder="1" applyAlignment="1">
      <alignment horizontal="center" wrapText="1"/>
    </xf>
    <xf numFmtId="164" fontId="0" fillId="4" borderId="40" xfId="0" applyNumberFormat="1" applyFill="1" applyBorder="1" applyAlignment="1">
      <alignment horizontal="center" wrapText="1"/>
    </xf>
    <xf numFmtId="0" fontId="0" fillId="4" borderId="40" xfId="0" applyFill="1" applyBorder="1" applyAlignment="1">
      <alignment horizontal="center"/>
    </xf>
    <xf numFmtId="165" fontId="0" fillId="4" borderId="40" xfId="0" applyNumberFormat="1" applyFill="1" applyBorder="1" applyAlignment="1">
      <alignment horizontal="center"/>
    </xf>
    <xf numFmtId="0" fontId="0" fillId="4" borderId="40" xfId="0" applyFill="1" applyBorder="1" applyAlignment="1">
      <alignment horizontal="center" wrapText="1"/>
    </xf>
    <xf numFmtId="0" fontId="0" fillId="4" borderId="41" xfId="0" applyFill="1" applyBorder="1" applyAlignment="1">
      <alignment horizontal="center" wrapText="1"/>
    </xf>
    <xf numFmtId="3" fontId="0" fillId="4" borderId="42" xfId="0" applyNumberFormat="1" applyFill="1" applyBorder="1" applyAlignment="1">
      <alignment horizontal="center" wrapText="1"/>
    </xf>
    <xf numFmtId="3" fontId="0" fillId="4" borderId="40" xfId="0" applyNumberFormat="1" applyFill="1" applyBorder="1" applyAlignment="1">
      <alignment horizontal="center" wrapText="1"/>
    </xf>
    <xf numFmtId="0" fontId="0" fillId="4" borderId="43" xfId="0" applyFill="1" applyBorder="1" applyAlignment="1">
      <alignment horizontal="center" vertical="center" wrapText="1"/>
    </xf>
    <xf numFmtId="164" fontId="0" fillId="4" borderId="44" xfId="0" applyNumberFormat="1"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44" xfId="0" applyFill="1" applyBorder="1" applyAlignment="1">
      <alignment horizontal="center" vertical="center" wrapText="1"/>
    </xf>
    <xf numFmtId="165" fontId="0" fillId="4" borderId="39" xfId="0" applyNumberFormat="1" applyFill="1" applyBorder="1" applyAlignment="1">
      <alignment horizontal="center" vertical="center" wrapText="1"/>
    </xf>
    <xf numFmtId="0" fontId="0" fillId="4" borderId="47" xfId="0" applyFill="1" applyBorder="1" applyAlignment="1">
      <alignment horizontal="center" vertical="center" wrapText="1"/>
    </xf>
    <xf numFmtId="3" fontId="6" fillId="5" borderId="49" xfId="0" applyNumberFormat="1" applyFont="1" applyFill="1" applyBorder="1" applyAlignment="1" applyProtection="1">
      <alignment horizontal="left" vertical="center" wrapText="1"/>
      <protection locked="0"/>
    </xf>
    <xf numFmtId="3" fontId="6" fillId="5" borderId="50" xfId="0" applyNumberFormat="1" applyFont="1" applyFill="1" applyBorder="1" applyAlignment="1" applyProtection="1">
      <alignment horizontal="left" vertical="center" wrapText="1"/>
      <protection locked="0"/>
    </xf>
    <xf numFmtId="164" fontId="0" fillId="5" borderId="51" xfId="0" applyNumberFormat="1" applyFill="1" applyBorder="1"/>
    <xf numFmtId="164" fontId="0" fillId="5" borderId="52" xfId="0" applyNumberFormat="1" applyFill="1" applyBorder="1"/>
    <xf numFmtId="3" fontId="0" fillId="5" borderId="53" xfId="0" applyNumberFormat="1" applyFill="1" applyBorder="1" applyAlignment="1">
      <alignment horizontal="center"/>
    </xf>
    <xf numFmtId="3" fontId="0" fillId="5" borderId="54" xfId="0" applyNumberFormat="1" applyFill="1" applyBorder="1" applyAlignment="1">
      <alignment horizontal="center"/>
    </xf>
    <xf numFmtId="3" fontId="0" fillId="5" borderId="53" xfId="0" applyNumberFormat="1" applyFill="1" applyBorder="1"/>
    <xf numFmtId="3" fontId="0" fillId="5" borderId="52" xfId="0" applyNumberFormat="1" applyFill="1" applyBorder="1"/>
    <xf numFmtId="3" fontId="0" fillId="5" borderId="55" xfId="0" applyNumberFormat="1" applyFill="1" applyBorder="1" applyAlignment="1">
      <alignment horizontal="center"/>
    </xf>
    <xf numFmtId="3" fontId="0" fillId="5" borderId="56" xfId="0" applyNumberFormat="1" applyFill="1" applyBorder="1" applyAlignment="1">
      <alignment horizontal="center"/>
    </xf>
    <xf numFmtId="3" fontId="0" fillId="5" borderId="49" xfId="0" applyNumberFormat="1" applyFill="1" applyBorder="1"/>
    <xf numFmtId="3" fontId="0" fillId="5" borderId="55" xfId="0" applyNumberFormat="1" applyFill="1" applyBorder="1"/>
    <xf numFmtId="3" fontId="0" fillId="5" borderId="54" xfId="0" applyNumberFormat="1" applyFill="1" applyBorder="1"/>
    <xf numFmtId="3" fontId="0" fillId="5" borderId="57" xfId="0" applyNumberFormat="1" applyFill="1" applyBorder="1"/>
    <xf numFmtId="3" fontId="0" fillId="5" borderId="52" xfId="0" applyNumberFormat="1" applyFill="1" applyBorder="1" applyAlignment="1">
      <alignment horizontal="center"/>
    </xf>
    <xf numFmtId="3" fontId="0" fillId="5" borderId="58" xfId="0" applyNumberFormat="1" applyFill="1" applyBorder="1"/>
    <xf numFmtId="3" fontId="0" fillId="5" borderId="59" xfId="0" applyNumberFormat="1" applyFill="1" applyBorder="1"/>
    <xf numFmtId="164" fontId="0" fillId="5" borderId="60" xfId="0" applyNumberFormat="1" applyFill="1" applyBorder="1"/>
    <xf numFmtId="165" fontId="0" fillId="5" borderId="61" xfId="0" applyNumberFormat="1" applyFill="1" applyBorder="1"/>
    <xf numFmtId="165" fontId="0" fillId="5" borderId="57" xfId="0" applyNumberFormat="1" applyFill="1" applyBorder="1"/>
    <xf numFmtId="3" fontId="0" fillId="5" borderId="62" xfId="0" applyNumberFormat="1" applyFill="1" applyBorder="1"/>
    <xf numFmtId="3" fontId="0" fillId="5" borderId="63" xfId="0" applyNumberFormat="1" applyFill="1" applyBorder="1"/>
    <xf numFmtId="3" fontId="0" fillId="5" borderId="64" xfId="0" applyNumberFormat="1" applyFill="1" applyBorder="1"/>
    <xf numFmtId="3" fontId="0" fillId="5" borderId="65" xfId="0" applyNumberFormat="1" applyFill="1" applyBorder="1"/>
    <xf numFmtId="165" fontId="0" fillId="5" borderId="66" xfId="0" applyNumberFormat="1" applyFill="1" applyBorder="1"/>
    <xf numFmtId="165" fontId="0" fillId="5" borderId="67" xfId="0" applyNumberFormat="1" applyFill="1" applyBorder="1"/>
    <xf numFmtId="165" fontId="0" fillId="5" borderId="68" xfId="0" applyNumberFormat="1" applyFill="1" applyBorder="1"/>
    <xf numFmtId="3" fontId="0" fillId="5" borderId="68" xfId="0" applyNumberFormat="1" applyFill="1" applyBorder="1"/>
    <xf numFmtId="165" fontId="0" fillId="5" borderId="60" xfId="0" applyNumberFormat="1" applyFill="1" applyBorder="1"/>
    <xf numFmtId="164" fontId="0" fillId="5" borderId="58" xfId="0" applyNumberFormat="1" applyFill="1" applyBorder="1"/>
    <xf numFmtId="0" fontId="0" fillId="5" borderId="69" xfId="0" applyFill="1" applyBorder="1"/>
    <xf numFmtId="3" fontId="0" fillId="6" borderId="70" xfId="0" applyNumberFormat="1" applyFill="1" applyBorder="1" applyAlignment="1" applyProtection="1">
      <alignment horizontal="right" vertical="center" wrapText="1"/>
      <protection locked="0"/>
    </xf>
    <xf numFmtId="3" fontId="0" fillId="0" borderId="71" xfId="0" applyNumberFormat="1" applyBorder="1" applyAlignment="1" applyProtection="1">
      <alignment horizontal="left" vertical="center" wrapText="1"/>
      <protection locked="0"/>
    </xf>
    <xf numFmtId="164" fontId="0" fillId="2" borderId="72" xfId="0" applyNumberFormat="1" applyFill="1" applyBorder="1"/>
    <xf numFmtId="164" fontId="0" fillId="2" borderId="73" xfId="0" applyNumberFormat="1" applyFill="1" applyBorder="1"/>
    <xf numFmtId="3" fontId="0" fillId="2" borderId="61" xfId="0" applyNumberFormat="1" applyFill="1" applyBorder="1" applyAlignment="1">
      <alignment horizontal="center"/>
    </xf>
    <xf numFmtId="3" fontId="0" fillId="2" borderId="67" xfId="0" applyNumberFormat="1" applyFill="1" applyBorder="1" applyAlignment="1">
      <alignment horizontal="center"/>
    </xf>
    <xf numFmtId="3" fontId="0" fillId="2" borderId="74" xfId="0" applyNumberFormat="1" applyFill="1" applyBorder="1"/>
    <xf numFmtId="3" fontId="0" fillId="2" borderId="73" xfId="0" applyNumberFormat="1" applyFill="1" applyBorder="1"/>
    <xf numFmtId="3" fontId="0" fillId="2" borderId="75" xfId="0" applyNumberFormat="1" applyFill="1" applyBorder="1" applyAlignment="1">
      <alignment horizontal="center"/>
    </xf>
    <xf numFmtId="3" fontId="0" fillId="2" borderId="76" xfId="0" applyNumberFormat="1" applyFill="1" applyBorder="1" applyAlignment="1">
      <alignment horizontal="center"/>
    </xf>
    <xf numFmtId="3" fontId="0" fillId="2" borderId="70" xfId="0" applyNumberFormat="1" applyFill="1" applyBorder="1"/>
    <xf numFmtId="3" fontId="0" fillId="6" borderId="73" xfId="0" applyNumberFormat="1" applyFill="1" applyBorder="1"/>
    <xf numFmtId="3" fontId="0" fillId="2" borderId="75" xfId="0" applyNumberFormat="1" applyFill="1" applyBorder="1"/>
    <xf numFmtId="164" fontId="0" fillId="2" borderId="59" xfId="0" applyNumberFormat="1" applyFill="1" applyBorder="1"/>
    <xf numFmtId="3" fontId="0" fillId="2" borderId="62" xfId="0" applyNumberFormat="1" applyFill="1" applyBorder="1"/>
    <xf numFmtId="164" fontId="0" fillId="2" borderId="68" xfId="0" applyNumberFormat="1" applyFill="1" applyBorder="1"/>
    <xf numFmtId="3" fontId="0" fillId="2" borderId="67" xfId="0" applyNumberFormat="1" applyFill="1" applyBorder="1"/>
    <xf numFmtId="3" fontId="0" fillId="2" borderId="60" xfId="0" applyNumberFormat="1" applyFill="1" applyBorder="1"/>
    <xf numFmtId="3" fontId="0" fillId="2" borderId="73" xfId="0" applyNumberFormat="1" applyFill="1" applyBorder="1" applyAlignment="1">
      <alignment horizontal="center"/>
    </xf>
    <xf numFmtId="0" fontId="9" fillId="0" borderId="77" xfId="0" applyFont="1" applyBorder="1"/>
    <xf numFmtId="3" fontId="0" fillId="2" borderId="78" xfId="0" applyNumberFormat="1" applyFill="1" applyBorder="1"/>
    <xf numFmtId="164" fontId="0" fillId="2" borderId="71" xfId="0" applyNumberFormat="1" applyFill="1" applyBorder="1"/>
    <xf numFmtId="165" fontId="0" fillId="2" borderId="74" xfId="0" applyNumberFormat="1" applyFill="1" applyBorder="1"/>
    <xf numFmtId="165" fontId="0" fillId="2" borderId="71" xfId="0" applyNumberFormat="1" applyFill="1" applyBorder="1"/>
    <xf numFmtId="3" fontId="0" fillId="2" borderId="79" xfId="0" applyNumberFormat="1" applyFill="1" applyBorder="1"/>
    <xf numFmtId="3" fontId="0" fillId="2" borderId="71" xfId="0" applyNumberFormat="1" applyFill="1" applyBorder="1"/>
    <xf numFmtId="3" fontId="0" fillId="2" borderId="80" xfId="0" applyNumberFormat="1" applyFill="1" applyBorder="1"/>
    <xf numFmtId="165" fontId="0" fillId="2" borderId="78" xfId="0" applyNumberFormat="1" applyFill="1" applyBorder="1"/>
    <xf numFmtId="165" fontId="0" fillId="2" borderId="67" xfId="0" applyNumberFormat="1" applyFill="1" applyBorder="1"/>
    <xf numFmtId="165" fontId="0" fillId="2" borderId="68" xfId="0" applyNumberFormat="1" applyFill="1" applyBorder="1"/>
    <xf numFmtId="3" fontId="0" fillId="2" borderId="68" xfId="0" applyNumberFormat="1" applyFill="1" applyBorder="1"/>
    <xf numFmtId="165" fontId="0" fillId="2" borderId="60" xfId="0" applyNumberFormat="1" applyFill="1" applyBorder="1"/>
    <xf numFmtId="3" fontId="0" fillId="6" borderId="74" xfId="0" applyNumberFormat="1" applyFill="1" applyBorder="1"/>
    <xf numFmtId="165" fontId="0" fillId="6" borderId="81" xfId="0" applyNumberFormat="1" applyFill="1" applyBorder="1"/>
    <xf numFmtId="0" fontId="0" fillId="6" borderId="0" xfId="0" applyFill="1"/>
    <xf numFmtId="3" fontId="0" fillId="2" borderId="61" xfId="0" applyNumberFormat="1" applyFill="1" applyBorder="1"/>
    <xf numFmtId="3" fontId="0" fillId="0" borderId="73" xfId="0" applyNumberFormat="1" applyBorder="1"/>
    <xf numFmtId="3" fontId="0" fillId="2" borderId="82" xfId="0" applyNumberFormat="1" applyFill="1" applyBorder="1"/>
    <xf numFmtId="0" fontId="9" fillId="0" borderId="81" xfId="0" applyFont="1" applyBorder="1"/>
    <xf numFmtId="0" fontId="10" fillId="0" borderId="81" xfId="0" applyFont="1" applyBorder="1"/>
    <xf numFmtId="3" fontId="6" fillId="5" borderId="70" xfId="0" applyNumberFormat="1" applyFont="1" applyFill="1" applyBorder="1" applyAlignment="1" applyProtection="1">
      <alignment horizontal="left" vertical="center" wrapText="1"/>
      <protection locked="0"/>
    </xf>
    <xf numFmtId="3" fontId="6" fillId="5" borderId="71" xfId="0" applyNumberFormat="1" applyFont="1" applyFill="1" applyBorder="1" applyAlignment="1" applyProtection="1">
      <alignment horizontal="left" vertical="center" wrapText="1"/>
      <protection locked="0"/>
    </xf>
    <xf numFmtId="164" fontId="0" fillId="5" borderId="72" xfId="0" applyNumberFormat="1" applyFill="1" applyBorder="1"/>
    <xf numFmtId="164" fontId="0" fillId="5" borderId="73" xfId="0" applyNumberFormat="1" applyFill="1" applyBorder="1"/>
    <xf numFmtId="3" fontId="0" fillId="5" borderId="61" xfId="0" applyNumberFormat="1" applyFill="1" applyBorder="1" applyAlignment="1">
      <alignment horizontal="center"/>
    </xf>
    <xf numFmtId="3" fontId="0" fillId="5" borderId="67" xfId="0" applyNumberFormat="1" applyFill="1" applyBorder="1" applyAlignment="1">
      <alignment horizontal="center"/>
    </xf>
    <xf numFmtId="3" fontId="0" fillId="5" borderId="61" xfId="0" applyNumberFormat="1" applyFill="1" applyBorder="1"/>
    <xf numFmtId="3" fontId="0" fillId="5" borderId="62" xfId="0" applyNumberFormat="1" applyFill="1" applyBorder="1" applyAlignment="1">
      <alignment horizontal="center"/>
    </xf>
    <xf numFmtId="3" fontId="0" fillId="5" borderId="83" xfId="0" applyNumberFormat="1" applyFill="1" applyBorder="1" applyAlignment="1">
      <alignment horizontal="center"/>
    </xf>
    <xf numFmtId="3" fontId="0" fillId="5" borderId="70" xfId="0" applyNumberFormat="1" applyFill="1" applyBorder="1"/>
    <xf numFmtId="3" fontId="0" fillId="5" borderId="73" xfId="0" applyNumberFormat="1" applyFill="1" applyBorder="1"/>
    <xf numFmtId="3" fontId="0" fillId="5" borderId="75" xfId="0" applyNumberFormat="1" applyFill="1" applyBorder="1"/>
    <xf numFmtId="164" fontId="0" fillId="5" borderId="59" xfId="0" applyNumberFormat="1" applyFill="1" applyBorder="1"/>
    <xf numFmtId="3" fontId="0" fillId="5" borderId="82" xfId="0" applyNumberFormat="1" applyFill="1" applyBorder="1"/>
    <xf numFmtId="3" fontId="0" fillId="5" borderId="60" xfId="0" applyNumberFormat="1" applyFill="1" applyBorder="1"/>
    <xf numFmtId="3" fontId="0" fillId="5" borderId="68" xfId="0" applyNumberFormat="1" applyFill="1" applyBorder="1" applyAlignment="1">
      <alignment horizontal="center"/>
    </xf>
    <xf numFmtId="0" fontId="10" fillId="5" borderId="81" xfId="0" applyFont="1" applyFill="1" applyBorder="1"/>
    <xf numFmtId="3" fontId="0" fillId="5" borderId="78" xfId="0" applyNumberFormat="1" applyFill="1" applyBorder="1"/>
    <xf numFmtId="164" fontId="0" fillId="5" borderId="71" xfId="0" applyNumberFormat="1" applyFill="1" applyBorder="1"/>
    <xf numFmtId="165" fontId="0" fillId="5" borderId="74" xfId="0" applyNumberFormat="1" applyFill="1" applyBorder="1"/>
    <xf numFmtId="165" fontId="0" fillId="5" borderId="71" xfId="0" applyNumberFormat="1" applyFill="1" applyBorder="1"/>
    <xf numFmtId="3" fontId="0" fillId="5" borderId="79" xfId="0" applyNumberFormat="1" applyFill="1" applyBorder="1"/>
    <xf numFmtId="3" fontId="0" fillId="5" borderId="71" xfId="0" applyNumberFormat="1" applyFill="1" applyBorder="1"/>
    <xf numFmtId="3" fontId="0" fillId="5" borderId="80" xfId="0" applyNumberFormat="1" applyFill="1" applyBorder="1"/>
    <xf numFmtId="165" fontId="0" fillId="5" borderId="78" xfId="0" applyNumberFormat="1" applyFill="1" applyBorder="1"/>
    <xf numFmtId="3" fontId="0" fillId="5" borderId="74" xfId="0" applyNumberFormat="1" applyFill="1" applyBorder="1"/>
    <xf numFmtId="165" fontId="0" fillId="5" borderId="81" xfId="0" applyNumberFormat="1" applyFill="1" applyBorder="1"/>
    <xf numFmtId="0" fontId="0" fillId="5" borderId="0" xfId="0" applyFill="1"/>
    <xf numFmtId="3" fontId="0" fillId="2" borderId="74" xfId="0" applyNumberFormat="1" applyFill="1" applyBorder="1" applyAlignment="1">
      <alignment horizontal="center"/>
    </xf>
    <xf numFmtId="3" fontId="0" fillId="2" borderId="82" xfId="0" applyNumberFormat="1" applyFill="1" applyBorder="1" applyAlignment="1">
      <alignment horizontal="center"/>
    </xf>
    <xf numFmtId="3" fontId="6" fillId="0" borderId="70" xfId="0" applyNumberFormat="1" applyFont="1" applyBorder="1" applyAlignment="1" applyProtection="1">
      <alignment horizontal="left" vertical="center" wrapText="1"/>
      <protection locked="0"/>
    </xf>
    <xf numFmtId="3" fontId="0" fillId="2" borderId="79" xfId="0" applyNumberFormat="1" applyFill="1" applyBorder="1" applyAlignment="1" applyProtection="1">
      <alignment horizontal="left" vertical="center" wrapText="1"/>
      <protection locked="0"/>
    </xf>
    <xf numFmtId="164" fontId="0" fillId="2" borderId="78" xfId="0" applyNumberFormat="1" applyFill="1" applyBorder="1"/>
    <xf numFmtId="3" fontId="0" fillId="2" borderId="71" xfId="0" applyNumberFormat="1" applyFill="1" applyBorder="1" applyAlignment="1">
      <alignment horizontal="center"/>
    </xf>
    <xf numFmtId="3" fontId="6" fillId="5" borderId="70" xfId="0" applyNumberFormat="1" applyFont="1" applyFill="1" applyBorder="1" applyAlignment="1">
      <alignment horizontal="left" vertical="center" wrapText="1"/>
    </xf>
    <xf numFmtId="3" fontId="6" fillId="5" borderId="79" xfId="0" applyNumberFormat="1" applyFont="1" applyFill="1" applyBorder="1" applyAlignment="1">
      <alignment horizontal="left" vertical="center" wrapText="1"/>
    </xf>
    <xf numFmtId="3" fontId="0" fillId="2" borderId="62" xfId="0" applyNumberFormat="1" applyFill="1" applyBorder="1" applyAlignment="1">
      <alignment horizontal="center"/>
    </xf>
    <xf numFmtId="3" fontId="0" fillId="2" borderId="83" xfId="0" applyNumberFormat="1" applyFill="1" applyBorder="1" applyAlignment="1">
      <alignment horizontal="center"/>
    </xf>
    <xf numFmtId="3" fontId="0" fillId="2" borderId="68" xfId="0" applyNumberFormat="1" applyFill="1" applyBorder="1" applyAlignment="1">
      <alignment horizontal="center"/>
    </xf>
    <xf numFmtId="3" fontId="6" fillId="0" borderId="70" xfId="0" applyNumberFormat="1" applyFont="1" applyBorder="1" applyAlignment="1">
      <alignment horizontal="left" vertical="center" wrapText="1"/>
    </xf>
    <xf numFmtId="3" fontId="0" fillId="5" borderId="75" xfId="0" applyNumberFormat="1" applyFill="1" applyBorder="1" applyAlignment="1">
      <alignment horizontal="center"/>
    </xf>
    <xf numFmtId="3" fontId="0" fillId="5" borderId="76" xfId="0" applyNumberFormat="1" applyFill="1" applyBorder="1" applyAlignment="1">
      <alignment horizontal="center"/>
    </xf>
    <xf numFmtId="3" fontId="0" fillId="5" borderId="73" xfId="0" applyNumberFormat="1" applyFill="1" applyBorder="1" applyAlignment="1">
      <alignment horizontal="center"/>
    </xf>
    <xf numFmtId="3" fontId="6" fillId="6" borderId="70" xfId="0" applyNumberFormat="1" applyFont="1" applyFill="1" applyBorder="1" applyAlignment="1" applyProtection="1">
      <alignment horizontal="left" vertical="center" wrapText="1"/>
      <protection locked="0"/>
    </xf>
    <xf numFmtId="0" fontId="0" fillId="0" borderId="81" xfId="0" applyBorder="1"/>
    <xf numFmtId="0" fontId="0" fillId="5" borderId="81" xfId="0" applyFill="1" applyBorder="1"/>
    <xf numFmtId="165" fontId="0" fillId="2" borderId="73" xfId="0" applyNumberFormat="1" applyFill="1" applyBorder="1"/>
    <xf numFmtId="165" fontId="0" fillId="5" borderId="73" xfId="0" applyNumberFormat="1" applyFill="1" applyBorder="1"/>
    <xf numFmtId="3" fontId="6" fillId="2" borderId="70" xfId="0" applyNumberFormat="1" applyFont="1" applyFill="1" applyBorder="1" applyAlignment="1">
      <alignment horizontal="left" vertical="center" wrapText="1"/>
    </xf>
    <xf numFmtId="3" fontId="0" fillId="0" borderId="82" xfId="0" applyNumberFormat="1" applyBorder="1"/>
    <xf numFmtId="3" fontId="0" fillId="2" borderId="71" xfId="0" applyNumberFormat="1" applyFill="1" applyBorder="1" applyAlignment="1" applyProtection="1">
      <alignment horizontal="left" vertical="center" wrapText="1"/>
      <protection locked="0"/>
    </xf>
    <xf numFmtId="0" fontId="11" fillId="0" borderId="81" xfId="0" applyFont="1" applyBorder="1" applyAlignment="1">
      <alignment wrapText="1"/>
    </xf>
    <xf numFmtId="164" fontId="0" fillId="0" borderId="72" xfId="0" applyNumberFormat="1" applyBorder="1"/>
    <xf numFmtId="164" fontId="0" fillId="0" borderId="73" xfId="0" applyNumberFormat="1" applyBorder="1"/>
    <xf numFmtId="3" fontId="0" fillId="6" borderId="70" xfId="0" applyNumberFormat="1" applyFill="1" applyBorder="1"/>
    <xf numFmtId="3" fontId="0" fillId="0" borderId="79" xfId="0" applyNumberFormat="1" applyBorder="1" applyAlignment="1" applyProtection="1">
      <alignment horizontal="left" vertical="center" wrapText="1"/>
      <protection locked="0"/>
    </xf>
    <xf numFmtId="3" fontId="0" fillId="6" borderId="74" xfId="0" applyNumberFormat="1" applyFill="1" applyBorder="1" applyAlignment="1">
      <alignment horizontal="center"/>
    </xf>
    <xf numFmtId="3" fontId="0" fillId="6" borderId="82" xfId="0" applyNumberFormat="1" applyFill="1" applyBorder="1" applyAlignment="1">
      <alignment horizontal="center"/>
    </xf>
    <xf numFmtId="3" fontId="0" fillId="6" borderId="75" xfId="0" applyNumberFormat="1" applyFill="1" applyBorder="1" applyAlignment="1">
      <alignment horizontal="center"/>
    </xf>
    <xf numFmtId="3" fontId="0" fillId="6" borderId="76" xfId="0" applyNumberFormat="1" applyFill="1" applyBorder="1" applyAlignment="1">
      <alignment horizontal="center"/>
    </xf>
    <xf numFmtId="3" fontId="0" fillId="6" borderId="73" xfId="0" applyNumberFormat="1" applyFill="1" applyBorder="1" applyAlignment="1">
      <alignment horizontal="center"/>
    </xf>
    <xf numFmtId="3" fontId="6" fillId="3" borderId="84" xfId="0" applyNumberFormat="1" applyFont="1" applyFill="1" applyBorder="1" applyAlignment="1">
      <alignment horizontal="left" vertical="center" wrapText="1"/>
    </xf>
    <xf numFmtId="3" fontId="6" fillId="3" borderId="0" xfId="0" applyNumberFormat="1" applyFont="1" applyFill="1" applyAlignment="1">
      <alignment horizontal="left" vertical="center" wrapText="1"/>
    </xf>
    <xf numFmtId="164" fontId="6" fillId="3" borderId="28" xfId="0" applyNumberFormat="1" applyFont="1" applyFill="1" applyBorder="1"/>
    <xf numFmtId="164" fontId="6" fillId="3" borderId="85" xfId="0" applyNumberFormat="1" applyFont="1" applyFill="1" applyBorder="1"/>
    <xf numFmtId="164" fontId="6" fillId="3" borderId="86" xfId="0" applyNumberFormat="1" applyFont="1" applyFill="1" applyBorder="1"/>
    <xf numFmtId="164" fontId="6" fillId="3" borderId="87" xfId="0" applyNumberFormat="1" applyFont="1" applyFill="1" applyBorder="1" applyAlignment="1">
      <alignment horizontal="center"/>
    </xf>
    <xf numFmtId="164" fontId="6" fillId="3" borderId="85" xfId="0" applyNumberFormat="1" applyFont="1" applyFill="1" applyBorder="1" applyAlignment="1">
      <alignment horizontal="center"/>
    </xf>
    <xf numFmtId="3" fontId="6" fillId="3" borderId="1" xfId="0" applyNumberFormat="1" applyFont="1" applyFill="1" applyBorder="1"/>
    <xf numFmtId="3" fontId="6" fillId="3" borderId="85" xfId="0" applyNumberFormat="1" applyFont="1" applyFill="1" applyBorder="1"/>
    <xf numFmtId="3" fontId="6" fillId="3" borderId="88" xfId="0" applyNumberFormat="1" applyFont="1" applyFill="1" applyBorder="1" applyAlignment="1">
      <alignment horizontal="center"/>
    </xf>
    <xf numFmtId="3" fontId="6" fillId="3" borderId="29" xfId="0" applyNumberFormat="1" applyFont="1" applyFill="1" applyBorder="1" applyAlignment="1">
      <alignment horizontal="center"/>
    </xf>
    <xf numFmtId="3" fontId="6" fillId="3" borderId="87" xfId="0" applyNumberFormat="1" applyFont="1" applyFill="1" applyBorder="1"/>
    <xf numFmtId="3" fontId="6" fillId="3" borderId="89" xfId="0" applyNumberFormat="1" applyFont="1" applyFill="1" applyBorder="1"/>
    <xf numFmtId="164" fontId="6" fillId="3" borderId="86" xfId="0" applyNumberFormat="1" applyFont="1" applyFill="1" applyBorder="1" applyAlignment="1">
      <alignment horizontal="center"/>
    </xf>
    <xf numFmtId="3" fontId="6" fillId="3" borderId="75" xfId="0" applyNumberFormat="1" applyFont="1" applyFill="1" applyBorder="1"/>
    <xf numFmtId="164" fontId="6" fillId="3" borderId="90" xfId="0" applyNumberFormat="1" applyFont="1" applyFill="1" applyBorder="1"/>
    <xf numFmtId="164" fontId="6" fillId="3" borderId="91" xfId="0" applyNumberFormat="1" applyFont="1" applyFill="1" applyBorder="1"/>
    <xf numFmtId="3" fontId="6" fillId="3" borderId="84" xfId="0" applyNumberFormat="1" applyFont="1" applyFill="1" applyBorder="1"/>
    <xf numFmtId="3" fontId="6" fillId="3" borderId="86" xfId="0" applyNumberFormat="1" applyFont="1" applyFill="1" applyBorder="1"/>
    <xf numFmtId="3" fontId="6" fillId="3" borderId="85" xfId="0" applyNumberFormat="1" applyFont="1" applyFill="1" applyBorder="1" applyAlignment="1">
      <alignment horizontal="center"/>
    </xf>
    <xf numFmtId="0" fontId="0" fillId="3" borderId="92" xfId="0" applyFill="1" applyBorder="1"/>
    <xf numFmtId="3" fontId="6" fillId="3" borderId="78" xfId="0" applyNumberFormat="1" applyFont="1" applyFill="1" applyBorder="1"/>
    <xf numFmtId="164" fontId="6" fillId="3" borderId="71" xfId="0" applyNumberFormat="1" applyFont="1" applyFill="1" applyBorder="1"/>
    <xf numFmtId="165" fontId="6" fillId="3" borderId="73" xfId="0" applyNumberFormat="1" applyFont="1" applyFill="1" applyBorder="1"/>
    <xf numFmtId="165" fontId="6" fillId="3" borderId="71" xfId="0" applyNumberFormat="1" applyFont="1" applyFill="1" applyBorder="1"/>
    <xf numFmtId="3" fontId="6" fillId="3" borderId="70" xfId="0" applyNumberFormat="1" applyFont="1" applyFill="1" applyBorder="1"/>
    <xf numFmtId="3" fontId="6" fillId="3" borderId="79" xfId="0" applyNumberFormat="1" applyFont="1" applyFill="1" applyBorder="1"/>
    <xf numFmtId="3" fontId="6" fillId="3" borderId="93" xfId="0" applyNumberFormat="1" applyFont="1" applyFill="1" applyBorder="1"/>
    <xf numFmtId="3" fontId="6" fillId="3" borderId="94" xfId="0" applyNumberFormat="1" applyFont="1" applyFill="1" applyBorder="1"/>
    <xf numFmtId="165" fontId="6" fillId="3" borderId="95" xfId="0" applyNumberFormat="1" applyFont="1" applyFill="1" applyBorder="1"/>
    <xf numFmtId="165" fontId="6" fillId="3" borderId="96" xfId="0" applyNumberFormat="1" applyFont="1" applyFill="1" applyBorder="1"/>
    <xf numFmtId="3" fontId="6" fillId="3" borderId="97" xfId="0" applyNumberFormat="1" applyFont="1" applyFill="1" applyBorder="1"/>
    <xf numFmtId="165" fontId="6" fillId="3" borderId="89" xfId="0" applyNumberFormat="1" applyFont="1" applyFill="1" applyBorder="1"/>
    <xf numFmtId="165" fontId="6" fillId="3" borderId="93" xfId="0" applyNumberFormat="1" applyFont="1" applyFill="1" applyBorder="1"/>
    <xf numFmtId="3" fontId="0" fillId="3" borderId="98" xfId="0" applyNumberFormat="1" applyFill="1" applyBorder="1"/>
    <xf numFmtId="165" fontId="0" fillId="3" borderId="99" xfId="0" applyNumberFormat="1" applyFill="1" applyBorder="1"/>
    <xf numFmtId="0" fontId="6" fillId="3" borderId="0" xfId="0" applyFont="1" applyFill="1"/>
    <xf numFmtId="3" fontId="0" fillId="2" borderId="9" xfId="0" applyNumberFormat="1" applyFill="1" applyBorder="1" applyAlignment="1">
      <alignment horizontal="left" vertical="center" wrapText="1"/>
    </xf>
    <xf numFmtId="3" fontId="6" fillId="2" borderId="7" xfId="0" applyNumberFormat="1" applyFont="1" applyFill="1" applyBorder="1" applyAlignment="1">
      <alignment horizontal="left" vertical="center" wrapText="1"/>
    </xf>
    <xf numFmtId="164" fontId="0" fillId="2" borderId="5" xfId="0" applyNumberFormat="1" applyFill="1" applyBorder="1" applyAlignment="1">
      <alignment horizontal="center"/>
    </xf>
    <xf numFmtId="164" fontId="0" fillId="2" borderId="100" xfId="0" applyNumberFormat="1" applyFill="1" applyBorder="1" applyAlignment="1">
      <alignment horizontal="center"/>
    </xf>
    <xf numFmtId="3" fontId="0" fillId="2" borderId="9" xfId="0" applyNumberFormat="1" applyFill="1" applyBorder="1" applyAlignment="1">
      <alignment horizontal="center"/>
    </xf>
    <xf numFmtId="3" fontId="0" fillId="2" borderId="101" xfId="0" applyNumberFormat="1" applyFill="1" applyBorder="1" applyAlignment="1">
      <alignment horizontal="center"/>
    </xf>
    <xf numFmtId="3" fontId="0" fillId="2" borderId="100" xfId="0" applyNumberFormat="1" applyFill="1" applyBorder="1" applyAlignment="1">
      <alignment horizontal="center"/>
    </xf>
    <xf numFmtId="3" fontId="0" fillId="2" borderId="102" xfId="0" applyNumberFormat="1" applyFill="1" applyBorder="1" applyAlignment="1">
      <alignment horizontal="center"/>
    </xf>
    <xf numFmtId="3" fontId="0" fillId="2" borderId="8" xfId="0" applyNumberFormat="1" applyFill="1" applyBorder="1" applyAlignment="1">
      <alignment horizontal="center"/>
    </xf>
    <xf numFmtId="3" fontId="0" fillId="2" borderId="103" xfId="0" applyNumberFormat="1" applyFill="1" applyBorder="1" applyAlignment="1">
      <alignment horizontal="center"/>
    </xf>
    <xf numFmtId="3" fontId="0" fillId="2" borderId="6" xfId="0" applyNumberFormat="1" applyFill="1" applyBorder="1" applyAlignment="1">
      <alignment horizontal="center"/>
    </xf>
    <xf numFmtId="165" fontId="0" fillId="2" borderId="100" xfId="0" applyNumberFormat="1" applyFill="1" applyBorder="1" applyAlignment="1">
      <alignment horizontal="center"/>
    </xf>
    <xf numFmtId="3" fontId="0" fillId="2" borderId="104" xfId="0" applyNumberFormat="1" applyFill="1" applyBorder="1" applyAlignment="1">
      <alignment horizontal="center"/>
    </xf>
    <xf numFmtId="3" fontId="0" fillId="2" borderId="105" xfId="0" applyNumberFormat="1" applyFill="1" applyBorder="1" applyAlignment="1">
      <alignment horizontal="center"/>
    </xf>
    <xf numFmtId="3" fontId="0" fillId="2" borderId="106" xfId="0" applyNumberFormat="1" applyFill="1" applyBorder="1" applyAlignment="1">
      <alignment horizontal="center"/>
    </xf>
    <xf numFmtId="3" fontId="0" fillId="2" borderId="107" xfId="0" applyNumberFormat="1" applyFill="1" applyBorder="1" applyAlignment="1">
      <alignment horizontal="center"/>
    </xf>
    <xf numFmtId="3" fontId="0" fillId="2" borderId="108" xfId="0" applyNumberFormat="1" applyFill="1" applyBorder="1" applyAlignment="1">
      <alignment horizontal="center"/>
    </xf>
    <xf numFmtId="3" fontId="0" fillId="2" borderId="26" xfId="0" applyNumberFormat="1" applyFill="1" applyBorder="1" applyAlignment="1">
      <alignment horizontal="center"/>
    </xf>
    <xf numFmtId="3" fontId="0" fillId="2" borderId="109" xfId="0" applyNumberFormat="1" applyFill="1" applyBorder="1" applyAlignment="1">
      <alignment horizontal="center"/>
    </xf>
    <xf numFmtId="164" fontId="0" fillId="2" borderId="107" xfId="0" applyNumberFormat="1" applyFill="1" applyBorder="1" applyAlignment="1">
      <alignment horizontal="center"/>
    </xf>
    <xf numFmtId="164" fontId="0" fillId="2" borderId="104" xfId="0" applyNumberFormat="1" applyFill="1" applyBorder="1" applyAlignment="1">
      <alignment horizontal="center"/>
    </xf>
    <xf numFmtId="164" fontId="0" fillId="2" borderId="101" xfId="0" applyNumberFormat="1" applyFill="1" applyBorder="1" applyAlignment="1">
      <alignment horizontal="center"/>
    </xf>
    <xf numFmtId="164" fontId="0" fillId="2" borderId="105" xfId="0" applyNumberFormat="1" applyFill="1" applyBorder="1" applyAlignment="1">
      <alignment horizontal="center"/>
    </xf>
    <xf numFmtId="0" fontId="6" fillId="2" borderId="6" xfId="0" applyFont="1" applyFill="1" applyBorder="1"/>
    <xf numFmtId="3" fontId="0" fillId="2" borderId="110" xfId="0" applyNumberFormat="1" applyFill="1" applyBorder="1" applyAlignment="1">
      <alignment horizontal="left" vertical="center" wrapText="1"/>
    </xf>
    <xf numFmtId="3" fontId="0" fillId="2" borderId="108" xfId="0" applyNumberFormat="1" applyFill="1" applyBorder="1" applyAlignment="1" applyProtection="1">
      <alignment horizontal="left" vertical="center" wrapText="1"/>
      <protection locked="0"/>
    </xf>
    <xf numFmtId="164" fontId="0" fillId="0" borderId="23" xfId="0" applyNumberFormat="1" applyBorder="1"/>
    <xf numFmtId="164" fontId="0" fillId="2" borderId="107" xfId="0" applyNumberFormat="1" applyFill="1" applyBorder="1"/>
    <xf numFmtId="3" fontId="0" fillId="6" borderId="26" xfId="0" applyNumberFormat="1" applyFill="1" applyBorder="1" applyAlignment="1">
      <alignment horizontal="center"/>
    </xf>
    <xf numFmtId="3" fontId="0" fillId="6" borderId="111" xfId="0" applyNumberFormat="1" applyFill="1" applyBorder="1" applyAlignment="1">
      <alignment horizontal="center"/>
    </xf>
    <xf numFmtId="3" fontId="0" fillId="6" borderId="110" xfId="0" applyNumberFormat="1" applyFill="1" applyBorder="1"/>
    <xf numFmtId="3" fontId="0" fillId="6" borderId="112" xfId="0" applyNumberFormat="1" applyFill="1" applyBorder="1"/>
    <xf numFmtId="3" fontId="0" fillId="6" borderId="112" xfId="0" applyNumberFormat="1" applyFill="1" applyBorder="1" applyAlignment="1">
      <alignment horizontal="center"/>
    </xf>
    <xf numFmtId="3" fontId="0" fillId="6" borderId="113" xfId="0" applyNumberFormat="1" applyFill="1" applyBorder="1" applyAlignment="1">
      <alignment horizontal="center"/>
    </xf>
    <xf numFmtId="3" fontId="0" fillId="6" borderId="114" xfId="0" applyNumberFormat="1" applyFill="1" applyBorder="1"/>
    <xf numFmtId="3" fontId="0" fillId="2" borderId="107" xfId="0" applyNumberFormat="1" applyFill="1" applyBorder="1"/>
    <xf numFmtId="3" fontId="0" fillId="6" borderId="115" xfId="0" applyNumberFormat="1" applyFill="1" applyBorder="1"/>
    <xf numFmtId="3" fontId="0" fillId="6" borderId="107" xfId="0" applyNumberFormat="1" applyFill="1" applyBorder="1"/>
    <xf numFmtId="3" fontId="0" fillId="2" borderId="115" xfId="0" applyNumberFormat="1" applyFill="1" applyBorder="1"/>
    <xf numFmtId="164" fontId="0" fillId="2" borderId="116" xfId="0" applyNumberFormat="1" applyFill="1" applyBorder="1"/>
    <xf numFmtId="3" fontId="0" fillId="6" borderId="111" xfId="0" applyNumberFormat="1" applyFill="1" applyBorder="1"/>
    <xf numFmtId="3" fontId="0" fillId="2" borderId="110" xfId="0" applyNumberFormat="1" applyFill="1" applyBorder="1"/>
    <xf numFmtId="3" fontId="0" fillId="2" borderId="117" xfId="0" applyNumberFormat="1" applyFill="1" applyBorder="1"/>
    <xf numFmtId="3" fontId="0" fillId="2" borderId="112" xfId="0" applyNumberFormat="1" applyFill="1" applyBorder="1"/>
    <xf numFmtId="0" fontId="0" fillId="0" borderId="109" xfId="0" applyBorder="1"/>
    <xf numFmtId="3" fontId="0" fillId="2" borderId="118" xfId="0" applyNumberFormat="1" applyFill="1" applyBorder="1"/>
    <xf numFmtId="164" fontId="0" fillId="2" borderId="117" xfId="0" applyNumberFormat="1" applyFill="1" applyBorder="1"/>
    <xf numFmtId="165" fontId="0" fillId="2" borderId="112" xfId="0" applyNumberFormat="1" applyFill="1" applyBorder="1"/>
    <xf numFmtId="165" fontId="0" fillId="2" borderId="117" xfId="0" applyNumberFormat="1" applyFill="1" applyBorder="1"/>
    <xf numFmtId="3" fontId="0" fillId="2" borderId="119" xfId="0" applyNumberFormat="1" applyFill="1" applyBorder="1"/>
    <xf numFmtId="3" fontId="0" fillId="2" borderId="18" xfId="0" applyNumberFormat="1" applyFill="1" applyBorder="1"/>
    <xf numFmtId="165" fontId="0" fillId="2" borderId="118" xfId="0" applyNumberFormat="1" applyFill="1" applyBorder="1"/>
    <xf numFmtId="165" fontId="0" fillId="2" borderId="113" xfId="0" applyNumberFormat="1" applyFill="1" applyBorder="1"/>
    <xf numFmtId="3" fontId="0" fillId="6" borderId="17" xfId="0" applyNumberFormat="1" applyFill="1" applyBorder="1"/>
    <xf numFmtId="165" fontId="0" fillId="6" borderId="120" xfId="0" applyNumberFormat="1" applyFill="1" applyBorder="1"/>
    <xf numFmtId="0" fontId="6" fillId="2" borderId="121" xfId="0" applyFont="1" applyFill="1" applyBorder="1"/>
    <xf numFmtId="3" fontId="6" fillId="3" borderId="122" xfId="0" applyNumberFormat="1" applyFont="1" applyFill="1" applyBorder="1" applyAlignment="1">
      <alignment horizontal="left" vertical="center" wrapText="1"/>
    </xf>
    <xf numFmtId="3" fontId="6" fillId="3" borderId="123" xfId="0" applyNumberFormat="1" applyFont="1" applyFill="1" applyBorder="1" applyAlignment="1">
      <alignment horizontal="left" vertical="center" wrapText="1"/>
    </xf>
    <xf numFmtId="164" fontId="6" fillId="3" borderId="124" xfId="0" applyNumberFormat="1" applyFont="1" applyFill="1" applyBorder="1"/>
    <xf numFmtId="164" fontId="6" fillId="3" borderId="125" xfId="0" applyNumberFormat="1" applyFont="1" applyFill="1" applyBorder="1"/>
    <xf numFmtId="165" fontId="6" fillId="3" borderId="125" xfId="0" applyNumberFormat="1" applyFont="1" applyFill="1" applyBorder="1"/>
    <xf numFmtId="3" fontId="6" fillId="3" borderId="126" xfId="0" applyNumberFormat="1" applyFont="1" applyFill="1" applyBorder="1" applyAlignment="1">
      <alignment horizontal="center"/>
    </xf>
    <xf numFmtId="3" fontId="6" fillId="3" borderId="127" xfId="0" applyNumberFormat="1" applyFont="1" applyFill="1" applyBorder="1" applyAlignment="1">
      <alignment horizontal="center"/>
    </xf>
    <xf numFmtId="3" fontId="6" fillId="3" borderId="126" xfId="0" applyNumberFormat="1" applyFont="1" applyFill="1" applyBorder="1"/>
    <xf numFmtId="3" fontId="6" fillId="3" borderId="125" xfId="0" applyNumberFormat="1" applyFont="1" applyFill="1" applyBorder="1"/>
    <xf numFmtId="3" fontId="6" fillId="3" borderId="125" xfId="0" applyNumberFormat="1" applyFont="1" applyFill="1" applyBorder="1" applyAlignment="1">
      <alignment horizontal="center"/>
    </xf>
    <xf numFmtId="3" fontId="6" fillId="3" borderId="127" xfId="0" applyNumberFormat="1" applyFont="1" applyFill="1" applyBorder="1"/>
    <xf numFmtId="3" fontId="6" fillId="3" borderId="44" xfId="0" applyNumberFormat="1" applyFont="1" applyFill="1" applyBorder="1"/>
    <xf numFmtId="3" fontId="6" fillId="3" borderId="128" xfId="0" applyNumberFormat="1" applyFont="1" applyFill="1" applyBorder="1"/>
    <xf numFmtId="164" fontId="6" fillId="3" borderId="129" xfId="0" applyNumberFormat="1" applyFont="1" applyFill="1" applyBorder="1"/>
    <xf numFmtId="3" fontId="6" fillId="3" borderId="130" xfId="0" applyNumberFormat="1" applyFont="1" applyFill="1" applyBorder="1"/>
    <xf numFmtId="3" fontId="6" fillId="3" borderId="131" xfId="0" applyNumberFormat="1" applyFont="1" applyFill="1" applyBorder="1"/>
    <xf numFmtId="3" fontId="0" fillId="3" borderId="132" xfId="0" applyNumberFormat="1" applyFill="1" applyBorder="1"/>
    <xf numFmtId="3" fontId="6" fillId="3" borderId="59" xfId="0" applyNumberFormat="1" applyFont="1" applyFill="1" applyBorder="1"/>
    <xf numFmtId="164" fontId="6" fillId="3" borderId="127" xfId="0" applyNumberFormat="1" applyFont="1" applyFill="1" applyBorder="1"/>
    <xf numFmtId="165" fontId="6" fillId="3" borderId="127" xfId="0" applyNumberFormat="1" applyFont="1" applyFill="1" applyBorder="1"/>
    <xf numFmtId="3" fontId="6" fillId="3" borderId="133" xfId="0" applyNumberFormat="1" applyFont="1" applyFill="1" applyBorder="1"/>
    <xf numFmtId="3" fontId="6" fillId="3" borderId="62" xfId="0" applyNumberFormat="1" applyFont="1" applyFill="1" applyBorder="1"/>
    <xf numFmtId="3" fontId="6" fillId="3" borderId="63" xfId="0" applyNumberFormat="1" applyFont="1" applyFill="1" applyBorder="1"/>
    <xf numFmtId="3" fontId="6" fillId="3" borderId="134" xfId="0" applyNumberFormat="1" applyFont="1" applyFill="1" applyBorder="1"/>
    <xf numFmtId="3" fontId="6" fillId="3" borderId="135" xfId="0" applyNumberFormat="1" applyFont="1" applyFill="1" applyBorder="1"/>
    <xf numFmtId="3" fontId="6" fillId="3" borderId="47" xfId="0" applyNumberFormat="1" applyFont="1" applyFill="1" applyBorder="1"/>
    <xf numFmtId="165" fontId="6" fillId="3" borderId="136" xfId="0" applyNumberFormat="1" applyFont="1" applyFill="1" applyBorder="1"/>
    <xf numFmtId="165" fontId="6" fillId="3" borderId="137" xfId="0" applyNumberFormat="1" applyFont="1" applyFill="1" applyBorder="1"/>
    <xf numFmtId="3" fontId="6" fillId="3" borderId="138" xfId="0" applyNumberFormat="1" applyFont="1" applyFill="1" applyBorder="1"/>
    <xf numFmtId="165" fontId="6" fillId="3" borderId="134" xfId="0" applyNumberFormat="1" applyFont="1" applyFill="1" applyBorder="1"/>
    <xf numFmtId="165" fontId="6" fillId="3" borderId="135" xfId="0" applyNumberFormat="1" applyFont="1" applyFill="1" applyBorder="1"/>
    <xf numFmtId="3" fontId="0" fillId="3" borderId="122" xfId="0" applyNumberFormat="1" applyFill="1" applyBorder="1"/>
    <xf numFmtId="165" fontId="0" fillId="3" borderId="132" xfId="0" applyNumberFormat="1" applyFill="1" applyBorder="1"/>
    <xf numFmtId="3" fontId="6" fillId="3" borderId="121" xfId="0" applyNumberFormat="1" applyFont="1" applyFill="1" applyBorder="1"/>
    <xf numFmtId="0" fontId="6" fillId="7" borderId="5" xfId="0" applyFont="1" applyFill="1" applyBorder="1" applyAlignment="1">
      <alignment horizontal="center" vertical="center"/>
    </xf>
    <xf numFmtId="3" fontId="6" fillId="7" borderId="103" xfId="0" applyNumberFormat="1" applyFont="1" applyFill="1" applyBorder="1" applyAlignment="1">
      <alignment horizontal="left" vertical="center" wrapText="1"/>
    </xf>
    <xf numFmtId="3" fontId="0" fillId="7" borderId="104" xfId="0" applyNumberFormat="1" applyFill="1" applyBorder="1" applyAlignment="1" applyProtection="1">
      <alignment horizontal="left" vertical="center" wrapText="1"/>
      <protection locked="0"/>
    </xf>
    <xf numFmtId="164" fontId="0" fillId="7" borderId="5" xfId="0" applyNumberFormat="1" applyFill="1" applyBorder="1" applyAlignment="1">
      <alignment horizontal="right"/>
    </xf>
    <xf numFmtId="164" fontId="0" fillId="7" borderId="100" xfId="0" applyNumberFormat="1" applyFill="1" applyBorder="1" applyAlignment="1">
      <alignment horizontal="right"/>
    </xf>
    <xf numFmtId="165" fontId="0" fillId="7" borderId="101" xfId="0" applyNumberFormat="1" applyFill="1" applyBorder="1" applyAlignment="1">
      <alignment horizontal="right"/>
    </xf>
    <xf numFmtId="3" fontId="0" fillId="7" borderId="9" xfId="0" applyNumberFormat="1" applyFill="1" applyBorder="1" applyAlignment="1">
      <alignment horizontal="center"/>
    </xf>
    <xf numFmtId="3" fontId="0" fillId="7" borderId="101" xfId="0" applyNumberFormat="1" applyFill="1" applyBorder="1" applyAlignment="1">
      <alignment horizontal="center"/>
    </xf>
    <xf numFmtId="3" fontId="0" fillId="7" borderId="9" xfId="0" applyNumberFormat="1" applyFill="1" applyBorder="1" applyAlignment="1">
      <alignment horizontal="right"/>
    </xf>
    <xf numFmtId="3" fontId="0" fillId="7" borderId="100" xfId="0" applyNumberFormat="1" applyFill="1" applyBorder="1" applyAlignment="1">
      <alignment horizontal="center"/>
    </xf>
    <xf numFmtId="3" fontId="0" fillId="7" borderId="102" xfId="0" applyNumberFormat="1" applyFill="1" applyBorder="1" applyAlignment="1">
      <alignment horizontal="center"/>
    </xf>
    <xf numFmtId="3" fontId="0" fillId="7" borderId="8" xfId="0" applyNumberFormat="1" applyFill="1" applyBorder="1" applyAlignment="1">
      <alignment horizontal="center"/>
    </xf>
    <xf numFmtId="3" fontId="0" fillId="7" borderId="103" xfId="0" applyNumberFormat="1" applyFill="1" applyBorder="1" applyAlignment="1">
      <alignment horizontal="right"/>
    </xf>
    <xf numFmtId="3" fontId="0" fillId="7" borderId="102" xfId="0" applyNumberFormat="1" applyFill="1" applyBorder="1" applyAlignment="1">
      <alignment horizontal="right"/>
    </xf>
    <xf numFmtId="164" fontId="0" fillId="7" borderId="5" xfId="0" applyNumberFormat="1" applyFill="1" applyBorder="1"/>
    <xf numFmtId="164" fontId="0" fillId="7" borderId="100" xfId="0" applyNumberFormat="1" applyFill="1" applyBorder="1"/>
    <xf numFmtId="165" fontId="0" fillId="7" borderId="100" xfId="0" applyNumberFormat="1" applyFill="1" applyBorder="1" applyAlignment="1">
      <alignment horizontal="right"/>
    </xf>
    <xf numFmtId="164" fontId="0" fillId="7" borderId="101" xfId="0" applyNumberFormat="1" applyFill="1" applyBorder="1" applyAlignment="1">
      <alignment horizontal="center"/>
    </xf>
    <xf numFmtId="3" fontId="0" fillId="7" borderId="104" xfId="0" applyNumberFormat="1" applyFill="1" applyBorder="1" applyAlignment="1">
      <alignment horizontal="center"/>
    </xf>
    <xf numFmtId="3" fontId="0" fillId="7" borderId="105" xfId="0" applyNumberFormat="1" applyFill="1" applyBorder="1" applyAlignment="1">
      <alignment horizontal="center"/>
    </xf>
    <xf numFmtId="164" fontId="0" fillId="2" borderId="104" xfId="0" applyNumberFormat="1" applyFill="1" applyBorder="1"/>
    <xf numFmtId="165" fontId="0" fillId="2" borderId="104" xfId="0" applyNumberFormat="1" applyFill="1" applyBorder="1"/>
    <xf numFmtId="3" fontId="0" fillId="7" borderId="103" xfId="0" applyNumberFormat="1" applyFill="1" applyBorder="1" applyAlignment="1">
      <alignment horizontal="center"/>
    </xf>
    <xf numFmtId="3" fontId="0" fillId="7" borderId="107" xfId="0" applyNumberFormat="1" applyFill="1" applyBorder="1" applyAlignment="1">
      <alignment horizontal="center"/>
    </xf>
    <xf numFmtId="3" fontId="0" fillId="7" borderId="108" xfId="0" applyNumberFormat="1" applyFill="1" applyBorder="1" applyAlignment="1">
      <alignment horizontal="center"/>
    </xf>
    <xf numFmtId="3" fontId="0" fillId="7" borderId="7" xfId="0" applyNumberFormat="1" applyFill="1" applyBorder="1" applyAlignment="1">
      <alignment horizontal="center"/>
    </xf>
    <xf numFmtId="165" fontId="0" fillId="2" borderId="111" xfId="0" applyNumberFormat="1" applyFill="1" applyBorder="1" applyAlignment="1">
      <alignment horizontal="center"/>
    </xf>
    <xf numFmtId="0" fontId="6" fillId="7" borderId="6" xfId="0" applyFont="1" applyFill="1" applyBorder="1"/>
    <xf numFmtId="0" fontId="6" fillId="7" borderId="28" xfId="0" applyFont="1" applyFill="1" applyBorder="1" applyAlignment="1">
      <alignment horizontal="center"/>
    </xf>
    <xf numFmtId="3" fontId="6" fillId="7" borderId="133" xfId="0" applyNumberFormat="1" applyFont="1" applyFill="1" applyBorder="1" applyAlignment="1">
      <alignment horizontal="left" vertical="center" wrapText="1"/>
    </xf>
    <xf numFmtId="3" fontId="6" fillId="7" borderId="63" xfId="0" applyNumberFormat="1" applyFont="1" applyFill="1" applyBorder="1" applyAlignment="1">
      <alignment horizontal="left" vertical="center" wrapText="1"/>
    </xf>
    <xf numFmtId="164" fontId="0" fillId="7" borderId="153" xfId="0" applyNumberFormat="1" applyFill="1" applyBorder="1"/>
    <xf numFmtId="164" fontId="0" fillId="7" borderId="68" xfId="0" applyNumberFormat="1" applyFill="1" applyBorder="1"/>
    <xf numFmtId="3" fontId="0" fillId="7" borderId="61" xfId="0" applyNumberFormat="1" applyFill="1" applyBorder="1" applyAlignment="1">
      <alignment horizontal="center"/>
    </xf>
    <xf numFmtId="3" fontId="0" fillId="7" borderId="67" xfId="0" applyNumberFormat="1" applyFill="1" applyBorder="1" applyAlignment="1">
      <alignment horizontal="center"/>
    </xf>
    <xf numFmtId="3" fontId="0" fillId="7" borderId="61" xfId="0" applyNumberFormat="1" applyFill="1" applyBorder="1"/>
    <xf numFmtId="3" fontId="0" fillId="7" borderId="68" xfId="0" applyNumberFormat="1" applyFill="1" applyBorder="1"/>
    <xf numFmtId="3" fontId="0" fillId="7" borderId="62" xfId="0" applyNumberFormat="1" applyFill="1" applyBorder="1" applyAlignment="1">
      <alignment horizontal="center"/>
    </xf>
    <xf numFmtId="3" fontId="0" fillId="7" borderId="83" xfId="0" applyNumberFormat="1" applyFill="1" applyBorder="1" applyAlignment="1">
      <alignment horizontal="center"/>
    </xf>
    <xf numFmtId="3" fontId="0" fillId="7" borderId="133" xfId="0" applyNumberFormat="1" applyFill="1" applyBorder="1"/>
    <xf numFmtId="3" fontId="0" fillId="7" borderId="62" xfId="0" applyNumberFormat="1" applyFill="1" applyBorder="1"/>
    <xf numFmtId="165" fontId="0" fillId="7" borderId="68" xfId="0" applyNumberFormat="1" applyFill="1" applyBorder="1"/>
    <xf numFmtId="166" fontId="0" fillId="7" borderId="60" xfId="0" applyNumberFormat="1" applyFill="1" applyBorder="1"/>
    <xf numFmtId="3" fontId="0" fillId="7" borderId="133" xfId="0" applyNumberFormat="1" applyFill="1" applyBorder="1" applyAlignment="1">
      <alignment horizontal="center"/>
    </xf>
    <xf numFmtId="3" fontId="0" fillId="7" borderId="60" xfId="0" applyNumberFormat="1" applyFill="1" applyBorder="1"/>
    <xf numFmtId="3" fontId="0" fillId="7" borderId="68" xfId="0" applyNumberFormat="1" applyFill="1" applyBorder="1" applyAlignment="1">
      <alignment horizontal="center"/>
    </xf>
    <xf numFmtId="0" fontId="0" fillId="7" borderId="77" xfId="0" applyFill="1" applyBorder="1"/>
    <xf numFmtId="3" fontId="0" fillId="7" borderId="59" xfId="0" applyNumberFormat="1" applyFill="1" applyBorder="1"/>
    <xf numFmtId="164" fontId="0" fillId="7" borderId="60" xfId="0" applyNumberFormat="1" applyFill="1" applyBorder="1"/>
    <xf numFmtId="165" fontId="0" fillId="7" borderId="60" xfId="0" applyNumberFormat="1" applyFill="1" applyBorder="1"/>
    <xf numFmtId="3" fontId="0" fillId="7" borderId="63" xfId="0" applyNumberFormat="1" applyFill="1" applyBorder="1"/>
    <xf numFmtId="3" fontId="0" fillId="7" borderId="154" xfId="0" applyNumberFormat="1" applyFill="1" applyBorder="1"/>
    <xf numFmtId="165" fontId="0" fillId="7" borderId="59" xfId="0" applyNumberFormat="1" applyFill="1" applyBorder="1"/>
    <xf numFmtId="165" fontId="0" fillId="7" borderId="67" xfId="0" applyNumberFormat="1" applyFill="1" applyBorder="1"/>
    <xf numFmtId="165" fontId="0" fillId="7" borderId="77" xfId="0" applyNumberFormat="1" applyFill="1" applyBorder="1"/>
    <xf numFmtId="0" fontId="0" fillId="7" borderId="0" xfId="0" applyFill="1"/>
    <xf numFmtId="0" fontId="6" fillId="2" borderId="10" xfId="0" applyFont="1" applyFill="1" applyBorder="1" applyAlignment="1">
      <alignment vertical="center"/>
    </xf>
    <xf numFmtId="164" fontId="0" fillId="2" borderId="153" xfId="0" applyNumberFormat="1" applyFill="1" applyBorder="1"/>
    <xf numFmtId="3" fontId="0" fillId="2" borderId="133" xfId="0" applyNumberFormat="1" applyFill="1" applyBorder="1"/>
    <xf numFmtId="3" fontId="0" fillId="2" borderId="154" xfId="0" applyNumberFormat="1" applyFill="1" applyBorder="1"/>
    <xf numFmtId="0" fontId="6" fillId="2" borderId="34" xfId="0" applyFont="1" applyFill="1" applyBorder="1" applyAlignment="1">
      <alignment vertical="center"/>
    </xf>
    <xf numFmtId="3" fontId="6" fillId="0" borderId="151" xfId="0" applyNumberFormat="1" applyFont="1" applyBorder="1" applyAlignment="1">
      <alignment horizontal="left" vertical="center" wrapText="1"/>
    </xf>
    <xf numFmtId="3" fontId="0" fillId="0" borderId="152" xfId="0" applyNumberFormat="1" applyBorder="1" applyAlignment="1" applyProtection="1">
      <alignment horizontal="left" vertical="center" wrapText="1"/>
      <protection locked="0"/>
    </xf>
    <xf numFmtId="164" fontId="0" fillId="2" borderId="155" xfId="0" applyNumberFormat="1" applyFill="1" applyBorder="1"/>
    <xf numFmtId="164" fontId="0" fillId="2" borderId="147" xfId="0" applyNumberFormat="1" applyFill="1" applyBorder="1"/>
    <xf numFmtId="3" fontId="0" fillId="2" borderId="156" xfId="0" applyNumberFormat="1" applyFill="1" applyBorder="1" applyAlignment="1">
      <alignment horizontal="center"/>
    </xf>
    <xf numFmtId="3" fontId="0" fillId="2" borderId="150" xfId="0" applyNumberFormat="1" applyFill="1" applyBorder="1" applyAlignment="1">
      <alignment horizontal="center"/>
    </xf>
    <xf numFmtId="3" fontId="0" fillId="6" borderId="156" xfId="0" applyNumberFormat="1" applyFill="1" applyBorder="1"/>
    <xf numFmtId="3" fontId="0" fillId="6" borderId="147" xfId="0" applyNumberFormat="1" applyFill="1" applyBorder="1"/>
    <xf numFmtId="3" fontId="0" fillId="6" borderId="149" xfId="0" applyNumberFormat="1" applyFill="1" applyBorder="1" applyAlignment="1">
      <alignment horizontal="center"/>
    </xf>
    <xf numFmtId="3" fontId="0" fillId="6" borderId="157" xfId="0" applyNumberFormat="1" applyFill="1" applyBorder="1" applyAlignment="1">
      <alignment horizontal="center"/>
    </xf>
    <xf numFmtId="3" fontId="0" fillId="2" borderId="151" xfId="0" applyNumberFormat="1" applyFill="1" applyBorder="1"/>
    <xf numFmtId="3" fontId="0" fillId="0" borderId="147" xfId="0" applyNumberFormat="1" applyBorder="1"/>
    <xf numFmtId="3" fontId="0" fillId="2" borderId="147" xfId="0" applyNumberFormat="1" applyFill="1" applyBorder="1"/>
    <xf numFmtId="3" fontId="0" fillId="2" borderId="158" xfId="0" applyNumberFormat="1" applyFill="1" applyBorder="1"/>
    <xf numFmtId="164" fontId="0" fillId="2" borderId="23" xfId="0" applyNumberFormat="1" applyFill="1" applyBorder="1"/>
    <xf numFmtId="3" fontId="0" fillId="0" borderId="150" xfId="0" applyNumberFormat="1" applyBorder="1"/>
    <xf numFmtId="3" fontId="0" fillId="2" borderId="108" xfId="0" applyNumberFormat="1" applyFill="1" applyBorder="1"/>
    <xf numFmtId="3" fontId="0" fillId="6" borderId="147" xfId="0" applyNumberFormat="1" applyFill="1" applyBorder="1" applyAlignment="1">
      <alignment horizontal="center"/>
    </xf>
    <xf numFmtId="3" fontId="0" fillId="2" borderId="149" xfId="0" applyNumberFormat="1" applyFill="1" applyBorder="1"/>
    <xf numFmtId="0" fontId="0" fillId="0" borderId="148" xfId="0" applyBorder="1"/>
    <xf numFmtId="3" fontId="0" fillId="2" borderId="159" xfId="0" applyNumberFormat="1" applyFill="1" applyBorder="1"/>
    <xf numFmtId="164" fontId="0" fillId="2" borderId="160" xfId="0" applyNumberFormat="1" applyFill="1" applyBorder="1"/>
    <xf numFmtId="165" fontId="0" fillId="2" borderId="82" xfId="0" applyNumberFormat="1" applyFill="1" applyBorder="1"/>
    <xf numFmtId="3" fontId="0" fillId="2" borderId="161" xfId="0" applyNumberFormat="1" applyFill="1" applyBorder="1"/>
    <xf numFmtId="3" fontId="0" fillId="2" borderId="162" xfId="0" applyNumberFormat="1" applyFill="1" applyBorder="1"/>
    <xf numFmtId="3" fontId="0" fillId="2" borderId="152" xfId="0" applyNumberFormat="1" applyFill="1" applyBorder="1"/>
    <xf numFmtId="165" fontId="0" fillId="2" borderId="146" xfId="0" applyNumberFormat="1" applyFill="1" applyBorder="1"/>
    <xf numFmtId="165" fontId="0" fillId="2" borderId="150" xfId="0" applyNumberFormat="1" applyFill="1" applyBorder="1"/>
    <xf numFmtId="165" fontId="0" fillId="2" borderId="147" xfId="0" applyNumberFormat="1" applyFill="1" applyBorder="1"/>
    <xf numFmtId="165" fontId="0" fillId="2" borderId="152" xfId="0" applyNumberFormat="1" applyFill="1" applyBorder="1"/>
    <xf numFmtId="165" fontId="0" fillId="6" borderId="148" xfId="0" applyNumberFormat="1" applyFill="1" applyBorder="1"/>
    <xf numFmtId="0" fontId="0" fillId="0" borderId="24" xfId="0" applyBorder="1"/>
    <xf numFmtId="3" fontId="0" fillId="7" borderId="144" xfId="0" applyNumberFormat="1" applyFill="1" applyBorder="1"/>
    <xf numFmtId="3" fontId="0" fillId="7" borderId="140" xfId="0" applyNumberFormat="1" applyFill="1" applyBorder="1"/>
    <xf numFmtId="166" fontId="0" fillId="7" borderId="67" xfId="0" applyNumberFormat="1" applyFill="1" applyBorder="1"/>
    <xf numFmtId="3" fontId="0" fillId="7" borderId="139" xfId="0" applyNumberFormat="1" applyFill="1" applyBorder="1"/>
    <xf numFmtId="164" fontId="0" fillId="7" borderId="145" xfId="0" applyNumberFormat="1" applyFill="1" applyBorder="1"/>
    <xf numFmtId="165" fontId="0" fillId="7" borderId="140" xfId="0" applyNumberFormat="1" applyFill="1" applyBorder="1"/>
    <xf numFmtId="165" fontId="0" fillId="7" borderId="145" xfId="0" applyNumberFormat="1" applyFill="1" applyBorder="1"/>
    <xf numFmtId="3" fontId="0" fillId="7" borderId="142" xfId="0" applyNumberFormat="1" applyFill="1" applyBorder="1"/>
    <xf numFmtId="3" fontId="0" fillId="7" borderId="163" xfId="0" applyNumberFormat="1" applyFill="1" applyBorder="1"/>
    <xf numFmtId="3" fontId="0" fillId="7" borderId="70" xfId="0" applyNumberFormat="1" applyFill="1" applyBorder="1"/>
    <xf numFmtId="3" fontId="0" fillId="7" borderId="73" xfId="0" applyNumberFormat="1" applyFill="1" applyBorder="1"/>
    <xf numFmtId="164" fontId="0" fillId="7" borderId="72" xfId="0" applyNumberFormat="1" applyFill="1" applyBorder="1"/>
    <xf numFmtId="165" fontId="0" fillId="7" borderId="73" xfId="0" applyNumberFormat="1" applyFill="1" applyBorder="1"/>
    <xf numFmtId="166" fontId="0" fillId="7" borderId="82" xfId="0" applyNumberFormat="1" applyFill="1" applyBorder="1"/>
    <xf numFmtId="3" fontId="0" fillId="7" borderId="71" xfId="0" applyNumberFormat="1" applyFill="1" applyBorder="1"/>
    <xf numFmtId="3" fontId="0" fillId="7" borderId="75" xfId="0" applyNumberFormat="1" applyFill="1" applyBorder="1"/>
    <xf numFmtId="0" fontId="0" fillId="7" borderId="81" xfId="0" applyFill="1" applyBorder="1"/>
    <xf numFmtId="3" fontId="0" fillId="7" borderId="78" xfId="0" applyNumberFormat="1" applyFill="1" applyBorder="1"/>
    <xf numFmtId="164" fontId="0" fillId="7" borderId="71" xfId="0" applyNumberFormat="1" applyFill="1" applyBorder="1"/>
    <xf numFmtId="165" fontId="0" fillId="7" borderId="71" xfId="0" applyNumberFormat="1" applyFill="1" applyBorder="1"/>
    <xf numFmtId="3" fontId="0" fillId="7" borderId="79" xfId="0" applyNumberFormat="1" applyFill="1" applyBorder="1"/>
    <xf numFmtId="165" fontId="0" fillId="7" borderId="78" xfId="0" applyNumberFormat="1" applyFill="1" applyBorder="1"/>
    <xf numFmtId="3" fontId="0" fillId="7" borderId="74" xfId="0" applyNumberFormat="1" applyFill="1" applyBorder="1"/>
    <xf numFmtId="165" fontId="0" fillId="7" borderId="81" xfId="0" applyNumberFormat="1" applyFill="1" applyBorder="1"/>
    <xf numFmtId="3" fontId="0" fillId="2" borderId="164" xfId="0" applyNumberFormat="1" applyFill="1" applyBorder="1"/>
    <xf numFmtId="0" fontId="6" fillId="2" borderId="43" xfId="0" applyFont="1" applyFill="1" applyBorder="1" applyAlignment="1">
      <alignment horizontal="center" vertical="center"/>
    </xf>
    <xf numFmtId="3" fontId="6" fillId="2" borderId="131" xfId="0" applyNumberFormat="1" applyFont="1" applyFill="1" applyBorder="1" applyAlignment="1">
      <alignment horizontal="left" vertical="center" wrapText="1"/>
    </xf>
    <xf numFmtId="3" fontId="6" fillId="2" borderId="121" xfId="0" applyNumberFormat="1" applyFont="1" applyFill="1" applyBorder="1"/>
    <xf numFmtId="164" fontId="0" fillId="2" borderId="136" xfId="0" applyNumberFormat="1" applyFill="1" applyBorder="1" applyAlignment="1">
      <alignment horizontal="center"/>
    </xf>
    <xf numFmtId="164" fontId="0" fillId="2" borderId="134" xfId="0" applyNumberFormat="1" applyFill="1" applyBorder="1" applyAlignment="1">
      <alignment horizontal="center"/>
    </xf>
    <xf numFmtId="3" fontId="0" fillId="2" borderId="134" xfId="0" applyNumberFormat="1" applyFill="1" applyBorder="1" applyAlignment="1">
      <alignment horizontal="center"/>
    </xf>
    <xf numFmtId="3" fontId="0" fillId="2" borderId="137" xfId="0" applyNumberFormat="1" applyFill="1" applyBorder="1" applyAlignment="1">
      <alignment horizontal="center"/>
    </xf>
    <xf numFmtId="3" fontId="6" fillId="2" borderId="122" xfId="0" applyNumberFormat="1" applyFont="1" applyFill="1" applyBorder="1" applyAlignment="1">
      <alignment horizontal="center"/>
    </xf>
    <xf numFmtId="3" fontId="6" fillId="2" borderId="130" xfId="0" applyNumberFormat="1" applyFont="1" applyFill="1" applyBorder="1" applyAlignment="1">
      <alignment horizontal="center"/>
    </xf>
    <xf numFmtId="3" fontId="6" fillId="2" borderId="126" xfId="0" applyNumberFormat="1" applyFont="1" applyFill="1" applyBorder="1"/>
    <xf numFmtId="3" fontId="6" fillId="2" borderId="134" xfId="0" applyNumberFormat="1" applyFont="1" applyFill="1" applyBorder="1"/>
    <xf numFmtId="3" fontId="6" fillId="2" borderId="134" xfId="0" applyNumberFormat="1" applyFont="1" applyFill="1" applyBorder="1" applyAlignment="1">
      <alignment horizontal="center"/>
    </xf>
    <xf numFmtId="3" fontId="6" fillId="2" borderId="137" xfId="0" applyNumberFormat="1" applyFont="1" applyFill="1" applyBorder="1" applyAlignment="1">
      <alignment horizontal="center"/>
    </xf>
    <xf numFmtId="3" fontId="6" fillId="0" borderId="126" xfId="0" applyNumberFormat="1" applyFont="1" applyBorder="1"/>
    <xf numFmtId="3" fontId="6" fillId="2" borderId="125" xfId="0" applyNumberFormat="1" applyFont="1" applyFill="1" applyBorder="1"/>
    <xf numFmtId="3" fontId="6" fillId="2" borderId="131" xfId="0" applyNumberFormat="1" applyFont="1" applyFill="1" applyBorder="1"/>
    <xf numFmtId="165" fontId="0" fillId="2" borderId="68" xfId="0" applyNumberFormat="1" applyFill="1" applyBorder="1" applyAlignment="1">
      <alignment horizontal="center"/>
    </xf>
    <xf numFmtId="165" fontId="0" fillId="2" borderId="67" xfId="0" applyNumberFormat="1" applyFill="1" applyBorder="1" applyAlignment="1">
      <alignment horizontal="center"/>
    </xf>
    <xf numFmtId="3" fontId="6" fillId="2" borderId="44" xfId="0" applyNumberFormat="1" applyFont="1" applyFill="1" applyBorder="1"/>
    <xf numFmtId="3" fontId="6" fillId="2" borderId="135" xfId="0" applyNumberFormat="1" applyFont="1" applyFill="1" applyBorder="1"/>
    <xf numFmtId="165" fontId="0" fillId="2" borderId="126" xfId="0" applyNumberFormat="1" applyFill="1" applyBorder="1" applyAlignment="1">
      <alignment horizontal="center"/>
    </xf>
    <xf numFmtId="165" fontId="0" fillId="2" borderId="77" xfId="0" applyNumberFormat="1" applyFill="1" applyBorder="1" applyAlignment="1">
      <alignment horizontal="center"/>
    </xf>
    <xf numFmtId="3" fontId="0" fillId="2" borderId="135" xfId="0" applyNumberFormat="1" applyFill="1" applyBorder="1" applyAlignment="1">
      <alignment horizontal="center"/>
    </xf>
    <xf numFmtId="3" fontId="0" fillId="2" borderId="88" xfId="0" applyNumberFormat="1" applyFill="1" applyBorder="1"/>
    <xf numFmtId="3" fontId="0" fillId="2" borderId="126" xfId="0" applyNumberFormat="1" applyFill="1" applyBorder="1"/>
    <xf numFmtId="3" fontId="0" fillId="2" borderId="134" xfId="0" applyNumberFormat="1" applyFill="1" applyBorder="1"/>
    <xf numFmtId="3" fontId="0" fillId="2" borderId="137" xfId="0" applyNumberFormat="1" applyFill="1" applyBorder="1"/>
    <xf numFmtId="3" fontId="0" fillId="2" borderId="135" xfId="0" applyNumberFormat="1" applyFill="1" applyBorder="1"/>
    <xf numFmtId="165" fontId="0" fillId="2" borderId="133" xfId="0" applyNumberFormat="1" applyFill="1" applyBorder="1" applyAlignment="1">
      <alignment horizontal="center"/>
    </xf>
    <xf numFmtId="165" fontId="0" fillId="2" borderId="132" xfId="0" applyNumberFormat="1" applyFill="1" applyBorder="1" applyAlignment="1">
      <alignment horizontal="center"/>
    </xf>
    <xf numFmtId="165" fontId="0" fillId="2" borderId="91" xfId="0" applyNumberFormat="1" applyFill="1" applyBorder="1"/>
    <xf numFmtId="165" fontId="0" fillId="2" borderId="85" xfId="0" applyNumberFormat="1" applyFill="1" applyBorder="1"/>
    <xf numFmtId="3" fontId="0" fillId="2" borderId="85" xfId="0" applyNumberFormat="1" applyFill="1" applyBorder="1"/>
    <xf numFmtId="165" fontId="0" fillId="2" borderId="86" xfId="0" applyNumberFormat="1" applyFill="1" applyBorder="1"/>
    <xf numFmtId="0" fontId="0" fillId="2" borderId="24" xfId="0" applyFill="1" applyBorder="1"/>
    <xf numFmtId="0" fontId="6" fillId="4" borderId="165" xfId="0" applyFont="1" applyFill="1" applyBorder="1" applyAlignment="1">
      <alignment horizontal="center" vertical="center"/>
    </xf>
    <xf numFmtId="3" fontId="6" fillId="4" borderId="122" xfId="0" applyNumberFormat="1" applyFont="1" applyFill="1" applyBorder="1" applyAlignment="1">
      <alignment horizontal="left" vertical="center" wrapText="1"/>
    </xf>
    <xf numFmtId="3" fontId="0" fillId="4" borderId="121" xfId="0" applyNumberFormat="1" applyFill="1" applyBorder="1"/>
    <xf numFmtId="164" fontId="6" fillId="4" borderId="166" xfId="0" applyNumberFormat="1" applyFont="1" applyFill="1" applyBorder="1"/>
    <xf numFmtId="164" fontId="6" fillId="4" borderId="167" xfId="0" applyNumberFormat="1" applyFont="1" applyFill="1" applyBorder="1"/>
    <xf numFmtId="3" fontId="6" fillId="4" borderId="167" xfId="0" applyNumberFormat="1" applyFont="1" applyFill="1" applyBorder="1"/>
    <xf numFmtId="3" fontId="6" fillId="4" borderId="168" xfId="0" applyNumberFormat="1" applyFont="1" applyFill="1" applyBorder="1"/>
    <xf numFmtId="3" fontId="6" fillId="4" borderId="169" xfId="0" applyNumberFormat="1" applyFont="1" applyFill="1" applyBorder="1"/>
    <xf numFmtId="3" fontId="6" fillId="4" borderId="170" xfId="0" applyNumberFormat="1" applyFont="1" applyFill="1" applyBorder="1"/>
    <xf numFmtId="3" fontId="6" fillId="4" borderId="171" xfId="0" applyNumberFormat="1" applyFont="1" applyFill="1" applyBorder="1"/>
    <xf numFmtId="3" fontId="6" fillId="4" borderId="168" xfId="0" applyNumberFormat="1" applyFont="1" applyFill="1" applyBorder="1" applyAlignment="1">
      <alignment horizontal="right"/>
    </xf>
    <xf numFmtId="3" fontId="6" fillId="4" borderId="169" xfId="0" applyNumberFormat="1" applyFont="1" applyFill="1" applyBorder="1" applyAlignment="1">
      <alignment horizontal="right"/>
    </xf>
    <xf numFmtId="3" fontId="6" fillId="4" borderId="167" xfId="0" applyNumberFormat="1" applyFont="1" applyFill="1" applyBorder="1" applyAlignment="1">
      <alignment horizontal="right"/>
    </xf>
    <xf numFmtId="164" fontId="6" fillId="4" borderId="169" xfId="0" applyNumberFormat="1" applyFont="1" applyFill="1" applyBorder="1"/>
    <xf numFmtId="3" fontId="6" fillId="4" borderId="172" xfId="0" applyNumberFormat="1" applyFont="1" applyFill="1" applyBorder="1"/>
    <xf numFmtId="3" fontId="6" fillId="4" borderId="173" xfId="0" applyNumberFormat="1" applyFont="1" applyFill="1" applyBorder="1"/>
    <xf numFmtId="3" fontId="6" fillId="4" borderId="174" xfId="0" applyNumberFormat="1" applyFont="1" applyFill="1" applyBorder="1"/>
    <xf numFmtId="165" fontId="6" fillId="4" borderId="166" xfId="0" applyNumberFormat="1" applyFont="1" applyFill="1" applyBorder="1"/>
    <xf numFmtId="165" fontId="6" fillId="4" borderId="170" xfId="0" applyNumberFormat="1" applyFont="1" applyFill="1" applyBorder="1"/>
    <xf numFmtId="165" fontId="6" fillId="4" borderId="167" xfId="0" applyNumberFormat="1" applyFont="1" applyFill="1" applyBorder="1"/>
    <xf numFmtId="165" fontId="6" fillId="4" borderId="172" xfId="0" applyNumberFormat="1" applyFont="1" applyFill="1" applyBorder="1"/>
    <xf numFmtId="165" fontId="6" fillId="4" borderId="171" xfId="0" applyNumberFormat="1" applyFont="1" applyFill="1" applyBorder="1"/>
    <xf numFmtId="0" fontId="0" fillId="4" borderId="24" xfId="0" applyFill="1" applyBorder="1"/>
    <xf numFmtId="0" fontId="6" fillId="2" borderId="175" xfId="0" applyFont="1" applyFill="1" applyBorder="1" applyAlignment="1">
      <alignment horizontal="center" vertical="center"/>
    </xf>
    <xf numFmtId="3" fontId="0" fillId="2" borderId="26" xfId="0" applyNumberFormat="1" applyFill="1" applyBorder="1" applyAlignment="1">
      <alignment horizontal="left" vertical="center" wrapText="1"/>
    </xf>
    <xf numFmtId="3" fontId="0" fillId="2" borderId="24" xfId="0" applyNumberFormat="1" applyFill="1" applyBorder="1" applyAlignment="1">
      <alignment horizontal="left" vertical="center" wrapText="1"/>
    </xf>
    <xf numFmtId="164" fontId="0" fillId="2" borderId="23" xfId="0" applyNumberFormat="1" applyFill="1" applyBorder="1" applyAlignment="1">
      <alignment horizontal="center"/>
    </xf>
    <xf numFmtId="164" fontId="0" fillId="2" borderId="117" xfId="0" applyNumberFormat="1" applyFill="1" applyBorder="1" applyAlignment="1">
      <alignment horizontal="center"/>
    </xf>
    <xf numFmtId="164" fontId="0" fillId="2" borderId="112" xfId="0" applyNumberFormat="1" applyFill="1" applyBorder="1" applyAlignment="1">
      <alignment horizontal="center"/>
    </xf>
    <xf numFmtId="3" fontId="0" fillId="2" borderId="25" xfId="0" applyNumberFormat="1" applyFill="1" applyBorder="1" applyAlignment="1">
      <alignment horizontal="center"/>
    </xf>
    <xf numFmtId="3" fontId="0" fillId="2" borderId="26" xfId="0" applyNumberFormat="1" applyFill="1" applyBorder="1" applyAlignment="1">
      <alignment horizontal="right"/>
    </xf>
    <xf numFmtId="3" fontId="0" fillId="2" borderId="103" xfId="0" applyNumberFormat="1" applyFill="1" applyBorder="1"/>
    <xf numFmtId="3" fontId="0" fillId="2" borderId="100" xfId="0" applyNumberFormat="1" applyFill="1" applyBorder="1"/>
    <xf numFmtId="3" fontId="0" fillId="2" borderId="100" xfId="0" applyNumberFormat="1" applyFill="1" applyBorder="1" applyAlignment="1">
      <alignment horizontal="right"/>
    </xf>
    <xf numFmtId="3" fontId="0" fillId="2" borderId="101" xfId="0" applyNumberFormat="1" applyFill="1" applyBorder="1" applyAlignment="1">
      <alignment horizontal="right"/>
    </xf>
    <xf numFmtId="3" fontId="0" fillId="2" borderId="103" xfId="0" applyNumberFormat="1" applyFill="1" applyBorder="1" applyAlignment="1">
      <alignment horizontal="right"/>
    </xf>
    <xf numFmtId="165" fontId="0" fillId="2" borderId="103" xfId="0" applyNumberFormat="1" applyFill="1" applyBorder="1" applyAlignment="1">
      <alignment horizontal="center"/>
    </xf>
    <xf numFmtId="165" fontId="0" fillId="2" borderId="105" xfId="0" applyNumberFormat="1" applyFill="1" applyBorder="1" applyAlignment="1">
      <alignment horizontal="center"/>
    </xf>
    <xf numFmtId="3" fontId="0" fillId="2" borderId="104" xfId="0" applyNumberFormat="1" applyFill="1" applyBorder="1"/>
    <xf numFmtId="3" fontId="0" fillId="2" borderId="117" xfId="0" applyNumberFormat="1" applyFill="1" applyBorder="1" applyAlignment="1">
      <alignment horizontal="center"/>
    </xf>
    <xf numFmtId="3" fontId="0" fillId="2" borderId="24" xfId="0" applyNumberFormat="1" applyFill="1" applyBorder="1"/>
    <xf numFmtId="3" fontId="0" fillId="2" borderId="114" xfId="0" applyNumberFormat="1" applyFill="1" applyBorder="1"/>
    <xf numFmtId="3" fontId="0" fillId="2" borderId="102" xfId="0" applyNumberFormat="1" applyFill="1" applyBorder="1"/>
    <xf numFmtId="3" fontId="0" fillId="2" borderId="6" xfId="0" applyNumberFormat="1" applyFill="1" applyBorder="1"/>
    <xf numFmtId="3" fontId="0" fillId="2" borderId="9" xfId="0" applyNumberFormat="1" applyFill="1" applyBorder="1"/>
    <xf numFmtId="165" fontId="0" fillId="2" borderId="101" xfId="0" applyNumberFormat="1" applyFill="1" applyBorder="1"/>
    <xf numFmtId="165" fontId="0" fillId="2" borderId="100" xfId="0" applyNumberFormat="1" applyFill="1" applyBorder="1"/>
    <xf numFmtId="3" fontId="0" fillId="2" borderId="133" xfId="0" applyNumberFormat="1" applyFill="1" applyBorder="1" applyAlignment="1">
      <alignment horizontal="left" vertical="center" wrapText="1"/>
    </xf>
    <xf numFmtId="3" fontId="0" fillId="2" borderId="77" xfId="0" applyNumberFormat="1" applyFill="1" applyBorder="1"/>
    <xf numFmtId="164" fontId="0" fillId="2" borderId="153" xfId="0" applyNumberFormat="1" applyFill="1" applyBorder="1" applyAlignment="1">
      <alignment horizontal="center"/>
    </xf>
    <xf numFmtId="164" fontId="0" fillId="2" borderId="140" xfId="0" applyNumberFormat="1" applyFill="1" applyBorder="1" applyAlignment="1">
      <alignment horizontal="center"/>
    </xf>
    <xf numFmtId="3" fontId="0" fillId="2" borderId="133" xfId="0" applyNumberFormat="1" applyFill="1" applyBorder="1" applyAlignment="1">
      <alignment horizontal="center"/>
    </xf>
    <xf numFmtId="3" fontId="0" fillId="2" borderId="144" xfId="0" applyNumberFormat="1" applyFill="1" applyBorder="1"/>
    <xf numFmtId="3" fontId="0" fillId="2" borderId="140" xfId="0" applyNumberFormat="1" applyFill="1" applyBorder="1"/>
    <xf numFmtId="165" fontId="0" fillId="2" borderId="144" xfId="0" applyNumberFormat="1" applyFill="1" applyBorder="1" applyAlignment="1">
      <alignment horizontal="center"/>
    </xf>
    <xf numFmtId="164" fontId="0" fillId="2" borderId="59" xfId="0" applyNumberFormat="1" applyFill="1" applyBorder="1" applyAlignment="1">
      <alignment horizontal="center"/>
    </xf>
    <xf numFmtId="3" fontId="0" fillId="2" borderId="163" xfId="0" applyNumberFormat="1" applyFill="1" applyBorder="1"/>
    <xf numFmtId="165" fontId="0" fillId="2" borderId="60" xfId="0" applyNumberFormat="1" applyFill="1" applyBorder="1" applyAlignment="1">
      <alignment horizontal="center"/>
    </xf>
    <xf numFmtId="3" fontId="0" fillId="2" borderId="63" xfId="0" applyNumberFormat="1" applyFill="1" applyBorder="1"/>
    <xf numFmtId="3" fontId="0" fillId="2" borderId="143" xfId="0" applyNumberFormat="1" applyFill="1" applyBorder="1"/>
    <xf numFmtId="3" fontId="0" fillId="2" borderId="145" xfId="0" applyNumberFormat="1" applyFill="1" applyBorder="1"/>
    <xf numFmtId="3" fontId="0" fillId="2" borderId="81" xfId="0" applyNumberFormat="1" applyFill="1" applyBorder="1"/>
    <xf numFmtId="164" fontId="0" fillId="0" borderId="72" xfId="0" applyNumberFormat="1" applyBorder="1" applyAlignment="1">
      <alignment horizontal="center"/>
    </xf>
    <xf numFmtId="164" fontId="0" fillId="0" borderId="73" xfId="0" applyNumberFormat="1" applyBorder="1" applyAlignment="1">
      <alignment horizontal="center"/>
    </xf>
    <xf numFmtId="165" fontId="0" fillId="0" borderId="73" xfId="0" applyNumberFormat="1" applyBorder="1" applyAlignment="1">
      <alignment horizontal="center"/>
    </xf>
    <xf numFmtId="3" fontId="0" fillId="2" borderId="70" xfId="0" applyNumberFormat="1" applyFill="1" applyBorder="1" applyAlignment="1">
      <alignment horizontal="center"/>
    </xf>
    <xf numFmtId="164" fontId="0" fillId="0" borderId="78" xfId="0" applyNumberFormat="1" applyBorder="1" applyAlignment="1">
      <alignment horizontal="center"/>
    </xf>
    <xf numFmtId="165" fontId="0" fillId="0" borderId="82" xfId="0" applyNumberFormat="1" applyBorder="1" applyAlignment="1">
      <alignment horizontal="center"/>
    </xf>
    <xf numFmtId="3" fontId="0" fillId="2" borderId="81" xfId="0" applyNumberFormat="1" applyFill="1" applyBorder="1" applyAlignment="1">
      <alignment horizontal="center"/>
    </xf>
    <xf numFmtId="165" fontId="0" fillId="0" borderId="71" xfId="0" applyNumberFormat="1" applyBorder="1" applyAlignment="1">
      <alignment horizontal="center"/>
    </xf>
    <xf numFmtId="165" fontId="0" fillId="0" borderId="70" xfId="0" applyNumberFormat="1" applyBorder="1" applyAlignment="1">
      <alignment horizontal="center"/>
    </xf>
    <xf numFmtId="165" fontId="0" fillId="0" borderId="81" xfId="0" applyNumberFormat="1" applyBorder="1" applyAlignment="1">
      <alignment horizontal="center"/>
    </xf>
    <xf numFmtId="3" fontId="0" fillId="2" borderId="176" xfId="0" applyNumberFormat="1" applyFill="1" applyBorder="1"/>
    <xf numFmtId="3" fontId="0" fillId="2" borderId="177" xfId="0" applyNumberFormat="1" applyFill="1" applyBorder="1" applyAlignment="1">
      <alignment horizontal="center"/>
    </xf>
    <xf numFmtId="3" fontId="0" fillId="2" borderId="178" xfId="0" applyNumberFormat="1" applyFill="1" applyBorder="1" applyAlignment="1">
      <alignment horizontal="center"/>
    </xf>
    <xf numFmtId="164" fontId="0" fillId="0" borderId="159" xfId="0" applyNumberFormat="1" applyBorder="1" applyAlignment="1">
      <alignment horizontal="center"/>
    </xf>
    <xf numFmtId="165" fontId="0" fillId="0" borderId="179" xfId="0" applyNumberFormat="1" applyBorder="1" applyAlignment="1">
      <alignment horizontal="center"/>
    </xf>
    <xf numFmtId="165" fontId="0" fillId="0" borderId="178" xfId="0" applyNumberFormat="1" applyBorder="1" applyAlignment="1">
      <alignment horizontal="center"/>
    </xf>
    <xf numFmtId="165" fontId="0" fillId="0" borderId="160" xfId="0" applyNumberFormat="1" applyBorder="1" applyAlignment="1">
      <alignment horizontal="center"/>
    </xf>
    <xf numFmtId="3" fontId="0" fillId="2" borderId="177" xfId="0" applyNumberFormat="1" applyFill="1" applyBorder="1"/>
    <xf numFmtId="3" fontId="0" fillId="2" borderId="179" xfId="0" applyNumberFormat="1" applyFill="1" applyBorder="1"/>
    <xf numFmtId="3" fontId="0" fillId="2" borderId="178" xfId="0" applyNumberFormat="1" applyFill="1" applyBorder="1"/>
    <xf numFmtId="3" fontId="0" fillId="2" borderId="160" xfId="0" applyNumberFormat="1" applyFill="1" applyBorder="1"/>
    <xf numFmtId="165" fontId="0" fillId="0" borderId="177" xfId="0" applyNumberFormat="1" applyBorder="1" applyAlignment="1">
      <alignment horizontal="center"/>
    </xf>
    <xf numFmtId="165" fontId="0" fillId="0" borderId="176" xfId="0" applyNumberFormat="1" applyBorder="1" applyAlignment="1">
      <alignment horizontal="center"/>
    </xf>
    <xf numFmtId="3" fontId="0" fillId="2" borderId="151" xfId="0" applyNumberFormat="1" applyFill="1" applyBorder="1" applyAlignment="1">
      <alignment horizontal="left" vertical="center" wrapText="1"/>
    </xf>
    <xf numFmtId="3" fontId="0" fillId="2" borderId="148" xfId="0" applyNumberFormat="1" applyFill="1" applyBorder="1"/>
    <xf numFmtId="164" fontId="0" fillId="2" borderId="146" xfId="0" applyNumberFormat="1" applyFill="1" applyBorder="1" applyAlignment="1">
      <alignment horizontal="center"/>
    </xf>
    <xf numFmtId="164" fontId="0" fillId="2" borderId="147" xfId="0" applyNumberFormat="1" applyFill="1" applyBorder="1" applyAlignment="1">
      <alignment horizontal="center"/>
    </xf>
    <xf numFmtId="165" fontId="0" fillId="2" borderId="147" xfId="0" applyNumberFormat="1" applyFill="1" applyBorder="1" applyAlignment="1">
      <alignment horizontal="center"/>
    </xf>
    <xf numFmtId="165" fontId="0" fillId="2" borderId="150" xfId="0" applyNumberFormat="1" applyFill="1" applyBorder="1" applyAlignment="1">
      <alignment horizontal="center"/>
    </xf>
    <xf numFmtId="3" fontId="0" fillId="2" borderId="151" xfId="0" applyNumberFormat="1" applyFill="1" applyBorder="1" applyAlignment="1">
      <alignment horizontal="center"/>
    </xf>
    <xf numFmtId="3" fontId="0" fillId="2" borderId="147" xfId="0" applyNumberFormat="1" applyFill="1" applyBorder="1" applyAlignment="1">
      <alignment horizontal="center"/>
    </xf>
    <xf numFmtId="3" fontId="0" fillId="2" borderId="148" xfId="0" applyNumberFormat="1" applyFill="1" applyBorder="1" applyAlignment="1">
      <alignment horizontal="center"/>
    </xf>
    <xf numFmtId="165" fontId="0" fillId="2" borderId="152" xfId="0" applyNumberFormat="1" applyFill="1" applyBorder="1" applyAlignment="1">
      <alignment horizontal="center"/>
    </xf>
    <xf numFmtId="3" fontId="0" fillId="2" borderId="150" xfId="0" applyNumberFormat="1" applyFill="1" applyBorder="1"/>
    <xf numFmtId="165" fontId="0" fillId="2" borderId="151" xfId="0" applyNumberFormat="1" applyFill="1" applyBorder="1" applyAlignment="1">
      <alignment horizontal="center"/>
    </xf>
    <xf numFmtId="165" fontId="0" fillId="2" borderId="148" xfId="0" applyNumberFormat="1" applyFill="1" applyBorder="1" applyAlignment="1">
      <alignment horizontal="center"/>
    </xf>
    <xf numFmtId="0" fontId="6" fillId="3" borderId="180" xfId="0" applyFont="1" applyFill="1" applyBorder="1" applyAlignment="1">
      <alignment vertical="center"/>
    </xf>
    <xf numFmtId="3" fontId="6" fillId="3" borderId="181" xfId="0" applyNumberFormat="1" applyFont="1" applyFill="1" applyBorder="1" applyAlignment="1">
      <alignment horizontal="left" vertical="center" wrapText="1"/>
    </xf>
    <xf numFmtId="3" fontId="0" fillId="3" borderId="182" xfId="0" applyNumberFormat="1" applyFill="1" applyBorder="1" applyAlignment="1" applyProtection="1">
      <alignment horizontal="left" vertical="center" wrapText="1"/>
      <protection locked="0"/>
    </xf>
    <xf numFmtId="164" fontId="6" fillId="3" borderId="183" xfId="0" applyNumberFormat="1" applyFont="1" applyFill="1" applyBorder="1" applyAlignment="1">
      <alignment horizontal="center"/>
    </xf>
    <xf numFmtId="164" fontId="6" fillId="3" borderId="184" xfId="0" applyNumberFormat="1" applyFont="1" applyFill="1" applyBorder="1" applyAlignment="1">
      <alignment horizontal="center"/>
    </xf>
    <xf numFmtId="164" fontId="6" fillId="3" borderId="185" xfId="0" applyNumberFormat="1" applyFont="1" applyFill="1" applyBorder="1" applyAlignment="1">
      <alignment horizontal="center"/>
    </xf>
    <xf numFmtId="3" fontId="6" fillId="3" borderId="186" xfId="0" applyNumberFormat="1" applyFont="1" applyFill="1" applyBorder="1" applyAlignment="1">
      <alignment horizontal="right"/>
    </xf>
    <xf numFmtId="3" fontId="6" fillId="3" borderId="185" xfId="0" applyNumberFormat="1" applyFont="1" applyFill="1" applyBorder="1" applyAlignment="1">
      <alignment horizontal="center"/>
    </xf>
    <xf numFmtId="3" fontId="6" fillId="3" borderId="186" xfId="0" applyNumberFormat="1" applyFont="1" applyFill="1" applyBorder="1"/>
    <xf numFmtId="3" fontId="6" fillId="3" borderId="184" xfId="0" applyNumberFormat="1" applyFont="1" applyFill="1" applyBorder="1"/>
    <xf numFmtId="3" fontId="6" fillId="3" borderId="184" xfId="0" applyNumberFormat="1" applyFont="1" applyFill="1" applyBorder="1" applyAlignment="1">
      <alignment horizontal="right"/>
    </xf>
    <xf numFmtId="3" fontId="6" fillId="3" borderId="181" xfId="0" applyNumberFormat="1" applyFont="1" applyFill="1" applyBorder="1"/>
    <xf numFmtId="3" fontId="6" fillId="3" borderId="187" xfId="0" applyNumberFormat="1" applyFont="1" applyFill="1" applyBorder="1"/>
    <xf numFmtId="3" fontId="6" fillId="3" borderId="187" xfId="0" applyNumberFormat="1" applyFont="1" applyFill="1" applyBorder="1" applyAlignment="1">
      <alignment horizontal="right"/>
    </xf>
    <xf numFmtId="3" fontId="6" fillId="3" borderId="182" xfId="0" applyNumberFormat="1" applyFont="1" applyFill="1" applyBorder="1" applyAlignment="1">
      <alignment horizontal="right"/>
    </xf>
    <xf numFmtId="3" fontId="6" fillId="3" borderId="181" xfId="0" applyNumberFormat="1" applyFont="1" applyFill="1" applyBorder="1" applyAlignment="1">
      <alignment horizontal="right"/>
    </xf>
    <xf numFmtId="3" fontId="6" fillId="3" borderId="182" xfId="0" applyNumberFormat="1" applyFont="1" applyFill="1" applyBorder="1" applyAlignment="1">
      <alignment horizontal="center"/>
    </xf>
    <xf numFmtId="3" fontId="6" fillId="3" borderId="186" xfId="0" applyNumberFormat="1" applyFont="1" applyFill="1" applyBorder="1" applyAlignment="1">
      <alignment horizontal="center"/>
    </xf>
    <xf numFmtId="3" fontId="6" fillId="3" borderId="188" xfId="0" applyNumberFormat="1" applyFont="1" applyFill="1" applyBorder="1" applyAlignment="1">
      <alignment horizontal="center"/>
    </xf>
    <xf numFmtId="164" fontId="6" fillId="3" borderId="189" xfId="0" applyNumberFormat="1" applyFont="1" applyFill="1" applyBorder="1" applyAlignment="1">
      <alignment horizontal="center"/>
    </xf>
    <xf numFmtId="3" fontId="6" fillId="3" borderId="190" xfId="0" applyNumberFormat="1" applyFont="1" applyFill="1" applyBorder="1" applyAlignment="1">
      <alignment horizontal="center"/>
    </xf>
    <xf numFmtId="3" fontId="6" fillId="3" borderId="191" xfId="0" applyNumberFormat="1" applyFont="1" applyFill="1" applyBorder="1" applyAlignment="1">
      <alignment horizontal="center"/>
    </xf>
    <xf numFmtId="3" fontId="6" fillId="3" borderId="192" xfId="0" applyNumberFormat="1" applyFont="1" applyFill="1" applyBorder="1"/>
    <xf numFmtId="3" fontId="6" fillId="3" borderId="193" xfId="0" applyNumberFormat="1" applyFont="1" applyFill="1" applyBorder="1" applyAlignment="1">
      <alignment horizontal="center"/>
    </xf>
    <xf numFmtId="3" fontId="6" fillId="3" borderId="183" xfId="0" applyNumberFormat="1" applyFont="1" applyFill="1" applyBorder="1"/>
    <xf numFmtId="3" fontId="6" fillId="3" borderId="185" xfId="0" applyNumberFormat="1" applyFont="1" applyFill="1" applyBorder="1"/>
    <xf numFmtId="3" fontId="6" fillId="3" borderId="194" xfId="0" applyNumberFormat="1" applyFont="1" applyFill="1" applyBorder="1"/>
    <xf numFmtId="3" fontId="6" fillId="3" borderId="190" xfId="0" applyNumberFormat="1" applyFont="1" applyFill="1" applyBorder="1"/>
    <xf numFmtId="3" fontId="6" fillId="3" borderId="188" xfId="0" applyNumberFormat="1" applyFont="1" applyFill="1" applyBorder="1"/>
    <xf numFmtId="3" fontId="6" fillId="3" borderId="189" xfId="0" applyNumberFormat="1" applyFont="1" applyFill="1" applyBorder="1"/>
    <xf numFmtId="3" fontId="6" fillId="3" borderId="41" xfId="0" applyNumberFormat="1" applyFont="1" applyFill="1" applyBorder="1"/>
    <xf numFmtId="165" fontId="6" fillId="3" borderId="91" xfId="0" applyNumberFormat="1" applyFont="1" applyFill="1" applyBorder="1"/>
    <xf numFmtId="3" fontId="6" fillId="3" borderId="88" xfId="0" applyNumberFormat="1" applyFont="1" applyFill="1" applyBorder="1"/>
    <xf numFmtId="165" fontId="6" fillId="3" borderId="85" xfId="0" applyNumberFormat="1" applyFont="1" applyFill="1" applyBorder="1"/>
    <xf numFmtId="165" fontId="6" fillId="3" borderId="86" xfId="0" applyNumberFormat="1" applyFont="1" applyFill="1" applyBorder="1"/>
    <xf numFmtId="3" fontId="6" fillId="3" borderId="195" xfId="0" applyNumberFormat="1" applyFont="1" applyFill="1" applyBorder="1"/>
    <xf numFmtId="165" fontId="6" fillId="3" borderId="188" xfId="0" applyNumberFormat="1" applyFont="1" applyFill="1" applyBorder="1"/>
    <xf numFmtId="0" fontId="0" fillId="3" borderId="196" xfId="0" applyFill="1" applyBorder="1"/>
    <xf numFmtId="0" fontId="0" fillId="4" borderId="124" xfId="0" applyFill="1" applyBorder="1"/>
    <xf numFmtId="3" fontId="6" fillId="4" borderId="131" xfId="0" applyNumberFormat="1" applyFont="1" applyFill="1" applyBorder="1" applyAlignment="1">
      <alignment horizontal="left" vertical="center" wrapText="1"/>
    </xf>
    <xf numFmtId="164" fontId="0" fillId="4" borderId="124" xfId="0" applyNumberFormat="1" applyFill="1" applyBorder="1"/>
    <xf numFmtId="164" fontId="0" fillId="4" borderId="121" xfId="0" applyNumberFormat="1" applyFill="1" applyBorder="1"/>
    <xf numFmtId="3" fontId="0" fillId="4" borderId="197" xfId="0" applyNumberFormat="1" applyFill="1" applyBorder="1"/>
    <xf numFmtId="3" fontId="6" fillId="4" borderId="198" xfId="0" applyNumberFormat="1" applyFont="1" applyFill="1" applyBorder="1"/>
    <xf numFmtId="3" fontId="6" fillId="4" borderId="199" xfId="0" applyNumberFormat="1" applyFont="1" applyFill="1" applyBorder="1"/>
    <xf numFmtId="3" fontId="6" fillId="4" borderId="200" xfId="0" applyNumberFormat="1" applyFont="1" applyFill="1" applyBorder="1"/>
    <xf numFmtId="3" fontId="6" fillId="4" borderId="201" xfId="0" applyNumberFormat="1" applyFont="1" applyFill="1" applyBorder="1"/>
    <xf numFmtId="3" fontId="6" fillId="4" borderId="202" xfId="0" applyNumberFormat="1" applyFont="1" applyFill="1" applyBorder="1"/>
    <xf numFmtId="164" fontId="6" fillId="4" borderId="203" xfId="0" applyNumberFormat="1" applyFont="1" applyFill="1" applyBorder="1"/>
    <xf numFmtId="3" fontId="6" fillId="4" borderId="204" xfId="0" applyNumberFormat="1" applyFont="1" applyFill="1" applyBorder="1"/>
    <xf numFmtId="3" fontId="6" fillId="4" borderId="205" xfId="0" applyNumberFormat="1" applyFont="1" applyFill="1" applyBorder="1"/>
    <xf numFmtId="3" fontId="6" fillId="4" borderId="206" xfId="0" applyNumberFormat="1" applyFont="1" applyFill="1" applyBorder="1"/>
    <xf numFmtId="3" fontId="6" fillId="4" borderId="207" xfId="0" applyNumberFormat="1" applyFont="1" applyFill="1" applyBorder="1"/>
    <xf numFmtId="3" fontId="6" fillId="4" borderId="208" xfId="0" applyNumberFormat="1" applyFont="1" applyFill="1" applyBorder="1"/>
    <xf numFmtId="165" fontId="6" fillId="4" borderId="199" xfId="0" applyNumberFormat="1" applyFont="1" applyFill="1" applyBorder="1"/>
    <xf numFmtId="165" fontId="6" fillId="4" borderId="200" xfId="0" applyNumberFormat="1" applyFont="1" applyFill="1" applyBorder="1"/>
    <xf numFmtId="165" fontId="6" fillId="4" borderId="206" xfId="0" applyNumberFormat="1" applyFont="1" applyFill="1" applyBorder="1"/>
    <xf numFmtId="165" fontId="6" fillId="4" borderId="61" xfId="0" applyNumberFormat="1" applyFont="1" applyFill="1" applyBorder="1"/>
    <xf numFmtId="165" fontId="6" fillId="4" borderId="202" xfId="0" applyNumberFormat="1" applyFont="1" applyFill="1" applyBorder="1"/>
    <xf numFmtId="0" fontId="0" fillId="4" borderId="121" xfId="0" applyFill="1" applyBorder="1"/>
    <xf numFmtId="0" fontId="0" fillId="2" borderId="173" xfId="0" applyFill="1" applyBorder="1"/>
    <xf numFmtId="3" fontId="6" fillId="2" borderId="69" xfId="0" applyNumberFormat="1" applyFont="1" applyFill="1" applyBorder="1" applyAlignment="1">
      <alignment horizontal="left" vertical="center" wrapText="1"/>
    </xf>
    <xf numFmtId="3" fontId="0" fillId="2" borderId="69" xfId="0" applyNumberFormat="1" applyFill="1" applyBorder="1"/>
    <xf numFmtId="164" fontId="0" fillId="2" borderId="69" xfId="0" applyNumberFormat="1" applyFill="1" applyBorder="1"/>
    <xf numFmtId="3" fontId="6" fillId="2" borderId="69" xfId="0" applyNumberFormat="1" applyFont="1" applyFill="1" applyBorder="1"/>
    <xf numFmtId="0" fontId="0" fillId="0" borderId="173" xfId="0" applyBorder="1"/>
    <xf numFmtId="164" fontId="6" fillId="2" borderId="69" xfId="0" applyNumberFormat="1" applyFont="1" applyFill="1" applyBorder="1"/>
    <xf numFmtId="0" fontId="0" fillId="2" borderId="69" xfId="0" applyFill="1" applyBorder="1"/>
    <xf numFmtId="0" fontId="6" fillId="2" borderId="69" xfId="0" applyFont="1" applyFill="1" applyBorder="1"/>
    <xf numFmtId="165" fontId="0" fillId="2" borderId="169" xfId="0" applyNumberFormat="1" applyFill="1" applyBorder="1"/>
    <xf numFmtId="165" fontId="0" fillId="2" borderId="209" xfId="0" applyNumberFormat="1" applyFill="1" applyBorder="1"/>
    <xf numFmtId="0" fontId="0" fillId="2" borderId="48" xfId="0" applyFill="1" applyBorder="1"/>
    <xf numFmtId="3" fontId="6" fillId="8" borderId="210" xfId="0" applyNumberFormat="1" applyFont="1" applyFill="1" applyBorder="1" applyAlignment="1">
      <alignment horizontal="left" vertical="center" wrapText="1"/>
    </xf>
    <xf numFmtId="3" fontId="0" fillId="8" borderId="69" xfId="0" applyNumberFormat="1" applyFill="1" applyBorder="1"/>
    <xf numFmtId="164" fontId="0" fillId="8" borderId="69" xfId="0" applyNumberFormat="1" applyFill="1" applyBorder="1"/>
    <xf numFmtId="3" fontId="6" fillId="8" borderId="69" xfId="0" applyNumberFormat="1" applyFont="1" applyFill="1" applyBorder="1"/>
    <xf numFmtId="3" fontId="6" fillId="8" borderId="55" xfId="0" applyNumberFormat="1" applyFont="1" applyFill="1" applyBorder="1"/>
    <xf numFmtId="0" fontId="0" fillId="8" borderId="55" xfId="0" applyFill="1" applyBorder="1"/>
    <xf numFmtId="0" fontId="0" fillId="8" borderId="58" xfId="0" applyFill="1" applyBorder="1"/>
    <xf numFmtId="164" fontId="6" fillId="8" borderId="51" xfId="0" applyNumberFormat="1" applyFont="1" applyFill="1" applyBorder="1"/>
    <xf numFmtId="3" fontId="6" fillId="8" borderId="50" xfId="0" applyNumberFormat="1" applyFont="1" applyFill="1" applyBorder="1"/>
    <xf numFmtId="3" fontId="0" fillId="8" borderId="50" xfId="0" applyNumberFormat="1" applyFill="1" applyBorder="1"/>
    <xf numFmtId="3" fontId="0" fillId="8" borderId="153" xfId="0" applyNumberFormat="1" applyFill="1" applyBorder="1"/>
    <xf numFmtId="0" fontId="0" fillId="8" borderId="69" xfId="0" applyFill="1" applyBorder="1"/>
    <xf numFmtId="165" fontId="0" fillId="8" borderId="2" xfId="0" applyNumberFormat="1" applyFill="1" applyBorder="1"/>
    <xf numFmtId="165" fontId="0" fillId="8" borderId="57" xfId="0" applyNumberFormat="1" applyFill="1" applyBorder="1"/>
    <xf numFmtId="0" fontId="0" fillId="8" borderId="50" xfId="0" applyFill="1" applyBorder="1"/>
    <xf numFmtId="0" fontId="0" fillId="8" borderId="210" xfId="0" applyFill="1" applyBorder="1"/>
    <xf numFmtId="0" fontId="0" fillId="2" borderId="10" xfId="0" applyFill="1" applyBorder="1"/>
    <xf numFmtId="3" fontId="6" fillId="2" borderId="70" xfId="0" applyNumberFormat="1" applyFont="1" applyFill="1" applyBorder="1" applyAlignment="1">
      <alignment horizontal="right" vertical="center" wrapText="1"/>
    </xf>
    <xf numFmtId="1" fontId="0" fillId="0" borderId="75" xfId="0" applyNumberFormat="1" applyBorder="1"/>
    <xf numFmtId="1" fontId="0" fillId="0" borderId="81" xfId="0" applyNumberFormat="1" applyBorder="1"/>
    <xf numFmtId="3" fontId="0" fillId="2" borderId="72" xfId="0" applyNumberFormat="1" applyFill="1" applyBorder="1"/>
    <xf numFmtId="3" fontId="0" fillId="0" borderId="74" xfId="0" applyNumberFormat="1" applyBorder="1"/>
    <xf numFmtId="3" fontId="0" fillId="0" borderId="81" xfId="0" applyNumberFormat="1" applyBorder="1"/>
    <xf numFmtId="1" fontId="0" fillId="2" borderId="74" xfId="0" applyNumberFormat="1" applyFill="1" applyBorder="1"/>
    <xf numFmtId="165" fontId="0" fillId="2" borderId="81" xfId="0" applyNumberFormat="1" applyFill="1" applyBorder="1"/>
    <xf numFmtId="0" fontId="0" fillId="2" borderId="75" xfId="0" applyFill="1" applyBorder="1"/>
    <xf numFmtId="0" fontId="0" fillId="2" borderId="73" xfId="0" applyFill="1" applyBorder="1"/>
    <xf numFmtId="1" fontId="0" fillId="2" borderId="73" xfId="0" applyNumberFormat="1" applyFill="1" applyBorder="1"/>
    <xf numFmtId="3" fontId="0" fillId="0" borderId="70" xfId="0" applyNumberFormat="1" applyBorder="1"/>
    <xf numFmtId="0" fontId="0" fillId="2" borderId="36" xfId="0" applyFill="1" applyBorder="1"/>
    <xf numFmtId="3" fontId="6" fillId="2" borderId="87" xfId="0" applyNumberFormat="1" applyFont="1" applyFill="1" applyBorder="1" applyAlignment="1">
      <alignment horizontal="right" vertical="center" wrapText="1"/>
    </xf>
    <xf numFmtId="3" fontId="0" fillId="2" borderId="89" xfId="0" applyNumberFormat="1" applyFill="1" applyBorder="1"/>
    <xf numFmtId="164" fontId="0" fillId="2" borderId="89" xfId="0" applyNumberFormat="1" applyFill="1" applyBorder="1"/>
    <xf numFmtId="165" fontId="0" fillId="2" borderId="89" xfId="0" applyNumberFormat="1" applyFill="1" applyBorder="1"/>
    <xf numFmtId="3" fontId="0" fillId="2" borderId="89" xfId="0" applyNumberFormat="1" applyFill="1" applyBorder="1" applyAlignment="1">
      <alignment horizontal="center"/>
    </xf>
    <xf numFmtId="3" fontId="0" fillId="2" borderId="96" xfId="0" applyNumberFormat="1" applyFill="1" applyBorder="1" applyAlignment="1">
      <alignment horizontal="center"/>
    </xf>
    <xf numFmtId="3" fontId="0" fillId="2" borderId="97" xfId="0" applyNumberFormat="1" applyFill="1" applyBorder="1"/>
    <xf numFmtId="1" fontId="0" fillId="0" borderId="89" xfId="0" applyNumberFormat="1" applyBorder="1"/>
    <xf numFmtId="1" fontId="0" fillId="0" borderId="99" xfId="0" applyNumberFormat="1" applyBorder="1"/>
    <xf numFmtId="164" fontId="0" fillId="2" borderId="211" xfId="0" applyNumberFormat="1" applyFill="1" applyBorder="1"/>
    <xf numFmtId="0" fontId="0" fillId="0" borderId="99" xfId="0" applyBorder="1"/>
    <xf numFmtId="3" fontId="0" fillId="2" borderId="211" xfId="0" applyNumberFormat="1" applyFill="1" applyBorder="1"/>
    <xf numFmtId="0" fontId="0" fillId="2" borderId="89" xfId="0" applyFill="1" applyBorder="1"/>
    <xf numFmtId="0" fontId="0" fillId="2" borderId="93" xfId="0" applyFill="1" applyBorder="1"/>
    <xf numFmtId="3" fontId="0" fillId="2" borderId="131" xfId="0" applyNumberFormat="1" applyFill="1" applyBorder="1"/>
    <xf numFmtId="3" fontId="0" fillId="2" borderId="125" xfId="0" applyNumberFormat="1" applyFill="1" applyBorder="1"/>
    <xf numFmtId="3" fontId="0" fillId="2" borderId="127" xfId="0" applyNumberFormat="1" applyFill="1" applyBorder="1"/>
    <xf numFmtId="3" fontId="0" fillId="0" borderId="87" xfId="0" applyNumberFormat="1" applyBorder="1"/>
    <xf numFmtId="3" fontId="0" fillId="0" borderId="99" xfId="0" applyNumberFormat="1" applyBorder="1"/>
    <xf numFmtId="165" fontId="0" fillId="2" borderId="95" xfId="0" applyNumberFormat="1" applyFill="1" applyBorder="1"/>
    <xf numFmtId="165" fontId="0" fillId="2" borderId="96" xfId="0" applyNumberFormat="1" applyFill="1" applyBorder="1"/>
    <xf numFmtId="3" fontId="0" fillId="2" borderId="87" xfId="0" applyNumberFormat="1" applyFill="1" applyBorder="1"/>
    <xf numFmtId="1" fontId="0" fillId="2" borderId="98" xfId="0" applyNumberFormat="1" applyFill="1" applyBorder="1"/>
    <xf numFmtId="165" fontId="0" fillId="2" borderId="99" xfId="0" applyNumberFormat="1" applyFill="1" applyBorder="1"/>
    <xf numFmtId="164" fontId="0" fillId="0" borderId="0" xfId="0" applyNumberFormat="1"/>
    <xf numFmtId="165" fontId="0" fillId="0" borderId="0" xfId="0" applyNumberFormat="1"/>
    <xf numFmtId="3" fontId="0" fillId="0" borderId="0" xfId="0" applyNumberFormat="1"/>
    <xf numFmtId="3" fontId="0" fillId="9" borderId="0" xfId="0" applyNumberFormat="1" applyFill="1"/>
    <xf numFmtId="0" fontId="12" fillId="2" borderId="0" xfId="0" applyFont="1" applyFill="1" applyAlignment="1">
      <alignment vertical="top"/>
    </xf>
    <xf numFmtId="0" fontId="10" fillId="2" borderId="0" xfId="0" applyFont="1" applyFill="1" applyAlignment="1">
      <alignment horizontal="right" vertical="top"/>
    </xf>
    <xf numFmtId="3" fontId="10" fillId="0" borderId="0" xfId="0" applyNumberFormat="1" applyFont="1"/>
    <xf numFmtId="164" fontId="10" fillId="2" borderId="0" xfId="0" applyNumberFormat="1" applyFont="1" applyFill="1"/>
    <xf numFmtId="0" fontId="13" fillId="0" borderId="0" xfId="0" applyFont="1" applyAlignment="1">
      <alignment vertical="center"/>
    </xf>
    <xf numFmtId="0" fontId="12" fillId="0" borderId="0" xfId="0" applyFont="1" applyAlignment="1">
      <alignment vertical="top"/>
    </xf>
    <xf numFmtId="0" fontId="13" fillId="0" borderId="0" xfId="0" applyFont="1"/>
    <xf numFmtId="3" fontId="13" fillId="0" borderId="0" xfId="0" applyNumberFormat="1" applyFont="1"/>
    <xf numFmtId="167" fontId="13" fillId="0" borderId="0" xfId="0" applyNumberFormat="1" applyFont="1"/>
    <xf numFmtId="164" fontId="13" fillId="0" borderId="0" xfId="0" applyNumberFormat="1" applyFont="1"/>
    <xf numFmtId="0" fontId="13" fillId="0" borderId="0" xfId="0" applyFont="1" applyAlignment="1">
      <alignment vertical="top"/>
    </xf>
    <xf numFmtId="0" fontId="13" fillId="10" borderId="0" xfId="0" applyFont="1" applyFill="1"/>
    <xf numFmtId="164" fontId="13" fillId="10" borderId="0" xfId="0" applyNumberFormat="1" applyFont="1" applyFill="1"/>
    <xf numFmtId="0" fontId="14" fillId="0" borderId="0" xfId="0" applyFont="1"/>
    <xf numFmtId="0" fontId="13" fillId="2" borderId="0" xfId="0" applyFont="1" applyFill="1" applyAlignment="1">
      <alignment vertical="center"/>
    </xf>
    <xf numFmtId="0" fontId="13" fillId="2" borderId="0" xfId="0" applyFont="1" applyFill="1"/>
    <xf numFmtId="164" fontId="13" fillId="2" borderId="0" xfId="0" applyNumberFormat="1" applyFont="1" applyFill="1"/>
    <xf numFmtId="0" fontId="14" fillId="0" borderId="0" xfId="0" applyFont="1" applyAlignment="1">
      <alignment horizontal="left" wrapText="1"/>
    </xf>
    <xf numFmtId="0" fontId="14" fillId="0" borderId="0" xfId="0" applyFont="1" applyAlignment="1">
      <alignment wrapText="1"/>
    </xf>
    <xf numFmtId="0" fontId="14" fillId="2" borderId="0" xfId="0" applyFont="1" applyFill="1"/>
    <xf numFmtId="0" fontId="14" fillId="0" borderId="0" xfId="0" applyFont="1" applyAlignment="1">
      <alignment horizontal="left" vertical="top" wrapText="1"/>
    </xf>
    <xf numFmtId="0" fontId="0" fillId="0" borderId="1" xfId="0" applyBorder="1"/>
    <xf numFmtId="0" fontId="6" fillId="2" borderId="139" xfId="0" applyFont="1" applyFill="1" applyBorder="1" applyAlignment="1">
      <alignment horizontal="center" vertical="center"/>
    </xf>
    <xf numFmtId="3" fontId="6" fillId="2" borderId="140" xfId="0" applyNumberFormat="1" applyFont="1" applyFill="1" applyBorder="1" applyAlignment="1">
      <alignment horizontal="left" vertical="center" wrapText="1"/>
    </xf>
    <xf numFmtId="3" fontId="0" fillId="2" borderId="141" xfId="0" applyNumberFormat="1" applyFill="1" applyBorder="1" applyAlignment="1" applyProtection="1">
      <alignment horizontal="left" vertical="center" wrapText="1"/>
      <protection locked="0"/>
    </xf>
    <xf numFmtId="164" fontId="0" fillId="2" borderId="142" xfId="0" applyNumberFormat="1" applyFill="1" applyBorder="1" applyAlignment="1">
      <alignment horizontal="right"/>
    </xf>
    <xf numFmtId="164" fontId="0" fillId="2" borderId="140" xfId="0" applyNumberFormat="1" applyFill="1" applyBorder="1" applyAlignment="1">
      <alignment horizontal="right"/>
    </xf>
    <xf numFmtId="165" fontId="0" fillId="2" borderId="143" xfId="0" applyNumberFormat="1" applyFill="1" applyBorder="1" applyAlignment="1">
      <alignment horizontal="right"/>
    </xf>
    <xf numFmtId="3" fontId="0" fillId="2" borderId="144" xfId="0" applyNumberFormat="1" applyFill="1" applyBorder="1" applyAlignment="1">
      <alignment horizontal="center"/>
    </xf>
    <xf numFmtId="3" fontId="0" fillId="2" borderId="143" xfId="0" applyNumberFormat="1" applyFill="1" applyBorder="1" applyAlignment="1">
      <alignment horizontal="center"/>
    </xf>
    <xf numFmtId="3" fontId="0" fillId="2" borderId="142" xfId="0" applyNumberFormat="1" applyFill="1" applyBorder="1" applyAlignment="1">
      <alignment horizontal="right"/>
    </xf>
    <xf numFmtId="3" fontId="0" fillId="2" borderId="145" xfId="0" applyNumberFormat="1" applyFill="1" applyBorder="1" applyAlignment="1">
      <alignment horizontal="right"/>
    </xf>
    <xf numFmtId="3" fontId="0" fillId="2" borderId="140" xfId="0" applyNumberFormat="1" applyFill="1" applyBorder="1" applyAlignment="1">
      <alignment horizontal="center"/>
    </xf>
    <xf numFmtId="3" fontId="0" fillId="2" borderId="143" xfId="0" applyNumberFormat="1" applyFill="1" applyBorder="1" applyAlignment="1">
      <alignment horizontal="right"/>
    </xf>
    <xf numFmtId="3" fontId="0" fillId="2" borderId="145" xfId="0" applyNumberFormat="1" applyFill="1" applyBorder="1" applyAlignment="1">
      <alignment horizontal="center"/>
    </xf>
    <xf numFmtId="164" fontId="0" fillId="2" borderId="139" xfId="0" applyNumberFormat="1" applyFill="1" applyBorder="1" applyAlignment="1">
      <alignment horizontal="right"/>
    </xf>
    <xf numFmtId="165" fontId="0" fillId="2" borderId="145" xfId="0" applyNumberFormat="1" applyFill="1" applyBorder="1" applyAlignment="1">
      <alignment horizontal="right"/>
    </xf>
    <xf numFmtId="3" fontId="0" fillId="2" borderId="144" xfId="0" applyNumberFormat="1" applyFill="1" applyBorder="1" applyAlignment="1">
      <alignment horizontal="right"/>
    </xf>
    <xf numFmtId="165" fontId="0" fillId="2" borderId="140" xfId="0" applyNumberFormat="1" applyFill="1" applyBorder="1" applyAlignment="1">
      <alignment horizontal="center"/>
    </xf>
    <xf numFmtId="164" fontId="0" fillId="2" borderId="145" xfId="0" applyNumberFormat="1" applyFill="1" applyBorder="1" applyAlignment="1">
      <alignment horizontal="center"/>
    </xf>
    <xf numFmtId="3" fontId="0" fillId="2" borderId="141" xfId="0" applyNumberFormat="1" applyFill="1" applyBorder="1" applyAlignment="1">
      <alignment horizontal="center"/>
    </xf>
    <xf numFmtId="3" fontId="0" fillId="2" borderId="142" xfId="0" applyNumberFormat="1" applyFill="1" applyBorder="1" applyAlignment="1">
      <alignment horizontal="center"/>
    </xf>
    <xf numFmtId="164" fontId="0" fillId="2" borderId="140" xfId="0" applyNumberFormat="1" applyFill="1" applyBorder="1"/>
    <xf numFmtId="165" fontId="0" fillId="2" borderId="140" xfId="0" applyNumberFormat="1" applyFill="1" applyBorder="1"/>
    <xf numFmtId="0" fontId="6" fillId="2" borderId="140" xfId="0" applyFont="1" applyFill="1" applyBorder="1"/>
    <xf numFmtId="0" fontId="6" fillId="2" borderId="59" xfId="0" applyFont="1" applyFill="1" applyBorder="1" applyAlignment="1">
      <alignment horizontal="center" vertical="center"/>
    </xf>
    <xf numFmtId="3" fontId="6" fillId="2" borderId="68" xfId="0" applyNumberFormat="1" applyFont="1" applyFill="1" applyBorder="1" applyAlignment="1">
      <alignment horizontal="left" vertical="center" wrapText="1"/>
    </xf>
    <xf numFmtId="3" fontId="0" fillId="2" borderId="77" xfId="0" applyNumberFormat="1" applyFill="1" applyBorder="1" applyAlignment="1" applyProtection="1">
      <alignment horizontal="left" vertical="center" wrapText="1"/>
      <protection locked="0"/>
    </xf>
    <xf numFmtId="164" fontId="0" fillId="2" borderId="62" xfId="0" applyNumberFormat="1" applyFill="1" applyBorder="1" applyAlignment="1">
      <alignment horizontal="right"/>
    </xf>
    <xf numFmtId="164" fontId="0" fillId="2" borderId="68" xfId="0" applyNumberFormat="1" applyFill="1" applyBorder="1" applyAlignment="1">
      <alignment horizontal="right"/>
    </xf>
    <xf numFmtId="164" fontId="0" fillId="2" borderId="73" xfId="0" applyNumberFormat="1" applyFill="1" applyBorder="1" applyAlignment="1">
      <alignment horizontal="right"/>
    </xf>
    <xf numFmtId="165" fontId="0" fillId="2" borderId="67" xfId="0" applyNumberFormat="1" applyFill="1" applyBorder="1" applyAlignment="1">
      <alignment horizontal="right"/>
    </xf>
    <xf numFmtId="3" fontId="0" fillId="2" borderId="75" xfId="0" applyNumberFormat="1" applyFill="1" applyBorder="1" applyAlignment="1">
      <alignment horizontal="right"/>
    </xf>
    <xf numFmtId="3" fontId="0" fillId="2" borderId="60" xfId="0" applyNumberFormat="1" applyFill="1" applyBorder="1" applyAlignment="1">
      <alignment horizontal="right"/>
    </xf>
    <xf numFmtId="3" fontId="0" fillId="2" borderId="62" xfId="0" applyNumberFormat="1" applyFill="1" applyBorder="1" applyAlignment="1">
      <alignment horizontal="right"/>
    </xf>
    <xf numFmtId="3" fontId="0" fillId="2" borderId="67" xfId="0" applyNumberFormat="1" applyFill="1" applyBorder="1" applyAlignment="1">
      <alignment horizontal="right"/>
    </xf>
    <xf numFmtId="3" fontId="0" fillId="2" borderId="60" xfId="0" applyNumberFormat="1" applyFill="1" applyBorder="1" applyAlignment="1">
      <alignment horizontal="center"/>
    </xf>
    <xf numFmtId="164" fontId="0" fillId="2" borderId="59" xfId="0" applyNumberFormat="1" applyFill="1" applyBorder="1" applyAlignment="1">
      <alignment horizontal="right"/>
    </xf>
    <xf numFmtId="165" fontId="0" fillId="2" borderId="60" xfId="0" applyNumberFormat="1" applyFill="1" applyBorder="1" applyAlignment="1">
      <alignment horizontal="right"/>
    </xf>
    <xf numFmtId="3" fontId="0" fillId="2" borderId="133" xfId="0" applyNumberFormat="1" applyFill="1" applyBorder="1" applyAlignment="1">
      <alignment horizontal="right"/>
    </xf>
    <xf numFmtId="164" fontId="0" fillId="2" borderId="60" xfId="0" applyNumberFormat="1" applyFill="1" applyBorder="1" applyAlignment="1">
      <alignment horizontal="center"/>
    </xf>
    <xf numFmtId="3" fontId="0" fillId="2" borderId="77" xfId="0" applyNumberFormat="1" applyFill="1" applyBorder="1" applyAlignment="1">
      <alignment horizontal="center"/>
    </xf>
    <xf numFmtId="0" fontId="6" fillId="2" borderId="68" xfId="0" applyFont="1" applyFill="1" applyBorder="1"/>
    <xf numFmtId="0" fontId="6" fillId="2" borderId="78" xfId="0" applyFont="1" applyFill="1" applyBorder="1" applyAlignment="1">
      <alignment horizontal="center" vertical="center"/>
    </xf>
    <xf numFmtId="3" fontId="6" fillId="2" borderId="73" xfId="0" applyNumberFormat="1" applyFont="1" applyFill="1" applyBorder="1" applyAlignment="1">
      <alignment horizontal="left" vertical="center" wrapText="1"/>
    </xf>
    <xf numFmtId="3" fontId="0" fillId="2" borderId="81" xfId="0" applyNumberFormat="1" applyFill="1" applyBorder="1" applyAlignment="1" applyProtection="1">
      <alignment horizontal="left" vertical="center" wrapText="1"/>
      <protection locked="0"/>
    </xf>
    <xf numFmtId="164" fontId="0" fillId="2" borderId="75" xfId="0" applyNumberFormat="1" applyFill="1" applyBorder="1" applyAlignment="1">
      <alignment horizontal="right"/>
    </xf>
    <xf numFmtId="165" fontId="0" fillId="2" borderId="82" xfId="0" applyNumberFormat="1" applyFill="1" applyBorder="1" applyAlignment="1">
      <alignment horizontal="right"/>
    </xf>
    <xf numFmtId="3" fontId="0" fillId="2" borderId="71" xfId="0" applyNumberFormat="1" applyFill="1" applyBorder="1" applyAlignment="1">
      <alignment horizontal="right"/>
    </xf>
    <xf numFmtId="3" fontId="0" fillId="2" borderId="82" xfId="0" applyNumberFormat="1" applyFill="1" applyBorder="1" applyAlignment="1">
      <alignment horizontal="right"/>
    </xf>
    <xf numFmtId="164" fontId="0" fillId="2" borderId="78" xfId="0" applyNumberFormat="1" applyFill="1" applyBorder="1" applyAlignment="1">
      <alignment horizontal="right"/>
    </xf>
    <xf numFmtId="165" fontId="0" fillId="2" borderId="71" xfId="0" applyNumberFormat="1" applyFill="1" applyBorder="1" applyAlignment="1">
      <alignment horizontal="right"/>
    </xf>
    <xf numFmtId="3" fontId="0" fillId="2" borderId="70" xfId="0" applyNumberFormat="1" applyFill="1" applyBorder="1" applyAlignment="1">
      <alignment horizontal="right"/>
    </xf>
    <xf numFmtId="165" fontId="0" fillId="2" borderId="73" xfId="0" applyNumberFormat="1" applyFill="1" applyBorder="1" applyAlignment="1">
      <alignment horizontal="center"/>
    </xf>
    <xf numFmtId="164" fontId="0" fillId="2" borderId="71" xfId="0" applyNumberFormat="1" applyFill="1" applyBorder="1" applyAlignment="1">
      <alignment horizontal="center"/>
    </xf>
    <xf numFmtId="0" fontId="6" fillId="2" borderId="73" xfId="0" applyFont="1" applyFill="1" applyBorder="1"/>
    <xf numFmtId="0" fontId="6" fillId="2" borderId="146" xfId="0" applyFont="1" applyFill="1" applyBorder="1" applyAlignment="1">
      <alignment horizontal="center" vertical="center"/>
    </xf>
    <xf numFmtId="3" fontId="6" fillId="2" borderId="147" xfId="0" applyNumberFormat="1" applyFont="1" applyFill="1" applyBorder="1" applyAlignment="1">
      <alignment horizontal="left" vertical="center" wrapText="1"/>
    </xf>
    <xf numFmtId="3" fontId="0" fillId="2" borderId="148" xfId="0" applyNumberFormat="1" applyFill="1" applyBorder="1" applyAlignment="1" applyProtection="1">
      <alignment horizontal="left" vertical="center" wrapText="1"/>
      <protection locked="0"/>
    </xf>
    <xf numFmtId="164" fontId="0" fillId="2" borderId="149" xfId="0" applyNumberFormat="1" applyFill="1" applyBorder="1" applyAlignment="1">
      <alignment horizontal="right"/>
    </xf>
    <xf numFmtId="164" fontId="0" fillId="2" borderId="147" xfId="0" applyNumberFormat="1" applyFill="1" applyBorder="1" applyAlignment="1">
      <alignment horizontal="right"/>
    </xf>
    <xf numFmtId="165" fontId="0" fillId="2" borderId="150" xfId="0" applyNumberFormat="1" applyFill="1" applyBorder="1" applyAlignment="1">
      <alignment horizontal="right"/>
    </xf>
    <xf numFmtId="3" fontId="0" fillId="2" borderId="149" xfId="0" applyNumberFormat="1" applyFill="1" applyBorder="1" applyAlignment="1">
      <alignment horizontal="right"/>
    </xf>
    <xf numFmtId="3" fontId="0" fillId="2" borderId="152" xfId="0" applyNumberFormat="1" applyFill="1" applyBorder="1" applyAlignment="1">
      <alignment horizontal="right"/>
    </xf>
    <xf numFmtId="3" fontId="0" fillId="2" borderId="150" xfId="0" applyNumberFormat="1" applyFill="1" applyBorder="1" applyAlignment="1">
      <alignment horizontal="right"/>
    </xf>
    <xf numFmtId="3" fontId="0" fillId="2" borderId="152" xfId="0" applyNumberFormat="1" applyFill="1" applyBorder="1" applyAlignment="1">
      <alignment horizontal="center"/>
    </xf>
    <xf numFmtId="164" fontId="0" fillId="2" borderId="146" xfId="0" applyNumberFormat="1" applyFill="1" applyBorder="1" applyAlignment="1">
      <alignment horizontal="right"/>
    </xf>
    <xf numFmtId="165" fontId="0" fillId="2" borderId="152" xfId="0" applyNumberFormat="1" applyFill="1" applyBorder="1" applyAlignment="1">
      <alignment horizontal="right"/>
    </xf>
    <xf numFmtId="3" fontId="0" fillId="2" borderId="151" xfId="0" applyNumberFormat="1" applyFill="1" applyBorder="1" applyAlignment="1">
      <alignment horizontal="right"/>
    </xf>
    <xf numFmtId="164" fontId="0" fillId="2" borderId="152" xfId="0" applyNumberFormat="1" applyFill="1" applyBorder="1" applyAlignment="1">
      <alignment horizontal="center"/>
    </xf>
    <xf numFmtId="3" fontId="0" fillId="2" borderId="149" xfId="0" applyNumberFormat="1" applyFill="1" applyBorder="1" applyAlignment="1">
      <alignment horizontal="center"/>
    </xf>
    <xf numFmtId="0" fontId="6" fillId="2" borderId="147" xfId="0" applyFont="1" applyFill="1" applyBorder="1"/>
    <xf numFmtId="3" fontId="6" fillId="2" borderId="0" xfId="0" applyNumberFormat="1" applyFont="1" applyFill="1" applyAlignment="1">
      <alignment horizontal="right" vertical="center" wrapText="1"/>
    </xf>
    <xf numFmtId="3" fontId="0" fillId="2" borderId="0" xfId="0" applyNumberFormat="1" applyFill="1" applyAlignment="1">
      <alignment horizontal="center"/>
    </xf>
    <xf numFmtId="1" fontId="0" fillId="0" borderId="0" xfId="0" applyNumberFormat="1"/>
    <xf numFmtId="1" fontId="0" fillId="2" borderId="0" xfId="0" applyNumberFormat="1" applyFill="1"/>
    <xf numFmtId="0" fontId="0" fillId="4" borderId="1" xfId="0" applyFill="1" applyBorder="1" applyAlignment="1">
      <alignment horizontal="center" wrapText="1"/>
    </xf>
    <xf numFmtId="0" fontId="0" fillId="4" borderId="27" xfId="0" applyFill="1" applyBorder="1" applyAlignment="1">
      <alignment horizontal="center" wrapText="1"/>
    </xf>
    <xf numFmtId="0" fontId="0" fillId="2" borderId="10" xfId="0" applyFill="1" applyBorder="1" applyAlignment="1">
      <alignment horizontal="center"/>
    </xf>
    <xf numFmtId="0" fontId="0" fillId="4" borderId="15"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 xfId="0" applyFill="1" applyBorder="1" applyAlignment="1">
      <alignment horizontal="center" vertical="center" wrapText="1"/>
    </xf>
    <xf numFmtId="164" fontId="0" fillId="9" borderId="73" xfId="0" applyNumberFormat="1" applyFill="1" applyBorder="1"/>
    <xf numFmtId="9" fontId="1" fillId="0" borderId="0" xfId="1" applyFont="1"/>
    <xf numFmtId="0" fontId="0" fillId="0" borderId="1" xfId="0" applyBorder="1" applyAlignment="1">
      <alignment horizontal="center" wrapText="1"/>
    </xf>
    <xf numFmtId="0" fontId="0" fillId="0" borderId="0" xfId="0" applyAlignment="1">
      <alignment horizontal="center" wrapText="1"/>
    </xf>
    <xf numFmtId="164" fontId="0" fillId="4" borderId="28" xfId="0" applyNumberFormat="1" applyFill="1" applyBorder="1" applyAlignment="1">
      <alignment horizontal="center" wrapText="1"/>
    </xf>
    <xf numFmtId="164" fontId="0" fillId="4" borderId="0" xfId="0" applyNumberFormat="1" applyFill="1" applyAlignment="1">
      <alignment horizontal="center" wrapText="1"/>
    </xf>
    <xf numFmtId="0" fontId="0" fillId="4" borderId="0" xfId="0" applyFill="1" applyAlignment="1">
      <alignment horizontal="center"/>
    </xf>
    <xf numFmtId="165" fontId="0" fillId="4" borderId="0" xfId="0" applyNumberFormat="1" applyFill="1" applyAlignment="1">
      <alignment horizontal="center"/>
    </xf>
    <xf numFmtId="0" fontId="0" fillId="4" borderId="29" xfId="0" applyFill="1" applyBorder="1" applyAlignment="1">
      <alignment horizontal="center" wrapText="1"/>
    </xf>
    <xf numFmtId="0" fontId="0" fillId="4" borderId="0" xfId="0" applyFill="1" applyAlignment="1">
      <alignment horizontal="center" wrapText="1"/>
    </xf>
    <xf numFmtId="0" fontId="0" fillId="4" borderId="84" xfId="0" applyFill="1" applyBorder="1" applyAlignment="1">
      <alignment horizontal="center" wrapText="1"/>
    </xf>
    <xf numFmtId="3" fontId="0" fillId="4" borderId="86" xfId="0" applyNumberFormat="1" applyFill="1" applyBorder="1" applyAlignment="1">
      <alignment horizontal="center" wrapText="1"/>
    </xf>
    <xf numFmtId="3" fontId="0" fillId="4" borderId="29" xfId="0" applyNumberFormat="1" applyFill="1" applyBorder="1" applyAlignment="1">
      <alignment horizontal="center" wrapText="1"/>
    </xf>
    <xf numFmtId="164" fontId="0" fillId="4" borderId="0" xfId="0" applyNumberFormat="1" applyFill="1" applyAlignment="1">
      <alignment horizontal="center" vertical="center" wrapText="1"/>
    </xf>
    <xf numFmtId="0" fontId="0" fillId="4" borderId="0" xfId="0" applyFill="1" applyAlignment="1">
      <alignment horizontal="center" vertical="center" wrapText="1"/>
    </xf>
    <xf numFmtId="165" fontId="0" fillId="4" borderId="28" xfId="0" applyNumberFormat="1" applyFill="1" applyBorder="1" applyAlignment="1">
      <alignment horizontal="center" vertical="center" wrapText="1"/>
    </xf>
    <xf numFmtId="0" fontId="0" fillId="4" borderId="27" xfId="0" applyFill="1" applyBorder="1" applyAlignment="1">
      <alignment horizontal="center" vertical="center" wrapText="1"/>
    </xf>
    <xf numFmtId="9" fontId="0" fillId="2" borderId="73" xfId="1" applyFont="1" applyFill="1" applyBorder="1"/>
    <xf numFmtId="166" fontId="0" fillId="5" borderId="52" xfId="1" applyNumberFormat="1" applyFont="1" applyFill="1" applyBorder="1"/>
    <xf numFmtId="166" fontId="0" fillId="2" borderId="73" xfId="1" applyNumberFormat="1" applyFont="1" applyFill="1" applyBorder="1"/>
    <xf numFmtId="166" fontId="0" fillId="5" borderId="73" xfId="1" applyNumberFormat="1" applyFont="1" applyFill="1" applyBorder="1"/>
    <xf numFmtId="166" fontId="6" fillId="3" borderId="85" xfId="1" applyNumberFormat="1" applyFont="1" applyFill="1" applyBorder="1"/>
    <xf numFmtId="166" fontId="6" fillId="3" borderId="125" xfId="1" applyNumberFormat="1" applyFont="1" applyFill="1" applyBorder="1"/>
    <xf numFmtId="166" fontId="0" fillId="2" borderId="140" xfId="1" applyNumberFormat="1" applyFont="1" applyFill="1" applyBorder="1" applyAlignment="1">
      <alignment horizontal="right"/>
    </xf>
    <xf numFmtId="166" fontId="0" fillId="2" borderId="73" xfId="1" applyNumberFormat="1" applyFont="1" applyFill="1" applyBorder="1" applyAlignment="1">
      <alignment horizontal="right"/>
    </xf>
    <xf numFmtId="166" fontId="0" fillId="2" borderId="147" xfId="1" applyNumberFormat="1" applyFont="1" applyFill="1" applyBorder="1" applyAlignment="1">
      <alignment horizontal="right"/>
    </xf>
    <xf numFmtId="166" fontId="0" fillId="2" borderId="147" xfId="1" applyNumberFormat="1" applyFont="1" applyFill="1" applyBorder="1"/>
    <xf numFmtId="0" fontId="10" fillId="0" borderId="0" xfId="0" applyFont="1"/>
    <xf numFmtId="0" fontId="10" fillId="2" borderId="0" xfId="0" applyFont="1" applyFill="1"/>
    <xf numFmtId="166" fontId="0" fillId="2" borderId="68" xfId="1" applyNumberFormat="1" applyFont="1" applyFill="1" applyBorder="1"/>
    <xf numFmtId="166" fontId="0" fillId="7" borderId="73" xfId="1" applyNumberFormat="1" applyFont="1" applyFill="1" applyBorder="1"/>
    <xf numFmtId="166" fontId="0" fillId="7" borderId="68" xfId="1" applyNumberFormat="1" applyFont="1" applyFill="1" applyBorder="1"/>
    <xf numFmtId="166" fontId="0" fillId="7" borderId="100" xfId="1" applyNumberFormat="1" applyFont="1" applyFill="1" applyBorder="1" applyAlignment="1">
      <alignment horizontal="right"/>
    </xf>
    <xf numFmtId="166" fontId="16" fillId="7" borderId="100" xfId="1" applyNumberFormat="1" applyFont="1" applyFill="1" applyBorder="1" applyAlignment="1">
      <alignment horizontal="right"/>
    </xf>
    <xf numFmtId="166" fontId="16" fillId="7" borderId="68" xfId="1" applyNumberFormat="1" applyFont="1" applyFill="1" applyBorder="1"/>
    <xf numFmtId="9" fontId="6" fillId="4" borderId="167" xfId="1" applyFont="1" applyFill="1" applyBorder="1"/>
    <xf numFmtId="9" fontId="6" fillId="3" borderId="125" xfId="1" applyFont="1" applyFill="1" applyBorder="1"/>
    <xf numFmtId="0" fontId="0" fillId="4" borderId="21" xfId="0" applyFill="1" applyBorder="1" applyAlignment="1">
      <alignment vertical="center" wrapText="1"/>
    </xf>
    <xf numFmtId="0" fontId="0" fillId="4" borderId="17" xfId="0" applyFill="1" applyBorder="1" applyAlignment="1">
      <alignment vertical="center" wrapText="1"/>
    </xf>
    <xf numFmtId="0" fontId="0" fillId="4" borderId="40" xfId="0" applyFill="1" applyBorder="1" applyAlignment="1">
      <alignment horizontal="center" vertical="center" wrapText="1"/>
    </xf>
    <xf numFmtId="0" fontId="0" fillId="4" borderId="39" xfId="0" applyFill="1" applyBorder="1" applyAlignment="1">
      <alignment horizontal="center" vertical="center" wrapText="1"/>
    </xf>
    <xf numFmtId="164" fontId="0" fillId="4" borderId="16" xfId="0" applyNumberFormat="1" applyFill="1" applyBorder="1" applyAlignment="1">
      <alignment horizontal="center" vertical="center" wrapText="1"/>
    </xf>
    <xf numFmtId="3" fontId="6" fillId="2" borderId="30" xfId="0" applyNumberFormat="1" applyFont="1" applyFill="1" applyBorder="1" applyAlignment="1">
      <alignment horizontal="left" vertical="center" wrapText="1"/>
    </xf>
    <xf numFmtId="3" fontId="0" fillId="2" borderId="111" xfId="0" applyNumberFormat="1" applyFill="1" applyBorder="1" applyAlignment="1">
      <alignment horizontal="center"/>
    </xf>
    <xf numFmtId="3" fontId="0" fillId="2" borderId="115" xfId="0" applyNumberFormat="1" applyFill="1" applyBorder="1" applyAlignment="1">
      <alignment horizontal="center"/>
    </xf>
    <xf numFmtId="3" fontId="0" fillId="2" borderId="114" xfId="0" applyNumberFormat="1" applyFill="1" applyBorder="1" applyAlignment="1">
      <alignment horizontal="center"/>
    </xf>
    <xf numFmtId="3" fontId="0" fillId="2" borderId="24" xfId="0" applyNumberFormat="1" applyFill="1" applyBorder="1" applyAlignment="1">
      <alignment horizontal="center"/>
    </xf>
    <xf numFmtId="165" fontId="0" fillId="2" borderId="107" xfId="0" applyNumberFormat="1" applyFill="1" applyBorder="1" applyAlignment="1">
      <alignment horizontal="center"/>
    </xf>
    <xf numFmtId="3" fontId="0" fillId="2" borderId="116" xfId="0" applyNumberFormat="1" applyFill="1" applyBorder="1" applyAlignment="1">
      <alignment horizontal="center"/>
    </xf>
    <xf numFmtId="0" fontId="0" fillId="0" borderId="16" xfId="0" applyBorder="1" applyAlignment="1">
      <alignment horizontal="center" wrapText="1"/>
    </xf>
    <xf numFmtId="164" fontId="0" fillId="4" borderId="13" xfId="0" applyNumberFormat="1" applyFill="1" applyBorder="1" applyAlignment="1">
      <alignment horizontal="center" wrapText="1"/>
    </xf>
    <xf numFmtId="164" fontId="0" fillId="4" borderId="14" xfId="0" applyNumberFormat="1" applyFill="1" applyBorder="1" applyAlignment="1">
      <alignment horizontal="center" wrapText="1"/>
    </xf>
    <xf numFmtId="0" fontId="0" fillId="4" borderId="14" xfId="0" applyFill="1" applyBorder="1" applyAlignment="1">
      <alignment horizontal="center"/>
    </xf>
    <xf numFmtId="165" fontId="0" fillId="4" borderId="14" xfId="0" applyNumberFormat="1" applyFill="1" applyBorder="1" applyAlignment="1">
      <alignment horizontal="center"/>
    </xf>
    <xf numFmtId="3" fontId="0" fillId="4" borderId="212" xfId="0" applyNumberFormat="1" applyFill="1" applyBorder="1" applyAlignment="1">
      <alignment horizontal="center" wrapText="1"/>
    </xf>
    <xf numFmtId="3" fontId="0" fillId="4" borderId="15" xfId="0" applyNumberFormat="1" applyFill="1" applyBorder="1" applyAlignment="1">
      <alignment horizontal="center" wrapText="1"/>
    </xf>
    <xf numFmtId="165" fontId="0" fillId="4" borderId="15" xfId="0" applyNumberFormat="1" applyFill="1" applyBorder="1" applyAlignment="1">
      <alignment horizontal="center"/>
    </xf>
    <xf numFmtId="164" fontId="0" fillId="4" borderId="14" xfId="0" applyNumberFormat="1" applyFill="1" applyBorder="1" applyAlignment="1">
      <alignment horizontal="center" vertical="center" wrapText="1"/>
    </xf>
    <xf numFmtId="3" fontId="6" fillId="3" borderId="114" xfId="0" applyNumberFormat="1" applyFont="1" applyFill="1" applyBorder="1" applyAlignment="1">
      <alignment horizontal="left" vertical="center" wrapText="1"/>
    </xf>
    <xf numFmtId="164" fontId="6" fillId="3" borderId="23" xfId="0" applyNumberFormat="1" applyFont="1" applyFill="1" applyBorder="1"/>
    <xf numFmtId="164" fontId="6" fillId="3" borderId="107" xfId="0" applyNumberFormat="1" applyFont="1" applyFill="1" applyBorder="1"/>
    <xf numFmtId="164" fontId="6" fillId="3" borderId="108" xfId="0" applyNumberFormat="1" applyFont="1" applyFill="1" applyBorder="1"/>
    <xf numFmtId="164" fontId="6" fillId="3" borderId="151" xfId="0" applyNumberFormat="1" applyFont="1" applyFill="1" applyBorder="1" applyAlignment="1">
      <alignment horizontal="center"/>
    </xf>
    <xf numFmtId="164" fontId="6" fillId="3" borderId="107" xfId="0" applyNumberFormat="1" applyFont="1" applyFill="1" applyBorder="1" applyAlignment="1">
      <alignment horizontal="center"/>
    </xf>
    <xf numFmtId="3" fontId="6" fillId="3" borderId="26" xfId="0" applyNumberFormat="1" applyFont="1" applyFill="1" applyBorder="1"/>
    <xf numFmtId="3" fontId="6" fillId="3" borderId="107" xfId="0" applyNumberFormat="1" applyFont="1" applyFill="1" applyBorder="1"/>
    <xf numFmtId="3" fontId="6" fillId="3" borderId="115" xfId="0" applyNumberFormat="1" applyFont="1" applyFill="1" applyBorder="1" applyAlignment="1">
      <alignment horizontal="center"/>
    </xf>
    <xf numFmtId="3" fontId="6" fillId="3" borderId="25" xfId="0" applyNumberFormat="1" applyFont="1" applyFill="1" applyBorder="1" applyAlignment="1">
      <alignment horizontal="center"/>
    </xf>
    <xf numFmtId="3" fontId="6" fillId="3" borderId="151" xfId="0" applyNumberFormat="1" applyFont="1" applyFill="1" applyBorder="1"/>
    <xf numFmtId="3" fontId="6" fillId="3" borderId="147" xfId="0" applyNumberFormat="1" applyFont="1" applyFill="1" applyBorder="1"/>
    <xf numFmtId="164" fontId="6" fillId="3" borderId="108" xfId="0" applyNumberFormat="1" applyFont="1" applyFill="1" applyBorder="1" applyAlignment="1">
      <alignment horizontal="center"/>
    </xf>
    <xf numFmtId="3" fontId="6" fillId="3" borderId="149" xfId="0" applyNumberFormat="1" applyFont="1" applyFill="1" applyBorder="1"/>
    <xf numFmtId="164" fontId="6" fillId="3" borderId="116" xfId="0" applyNumberFormat="1" applyFont="1" applyFill="1" applyBorder="1"/>
    <xf numFmtId="164" fontId="6" fillId="3" borderId="111" xfId="0" applyNumberFormat="1" applyFont="1" applyFill="1" applyBorder="1"/>
    <xf numFmtId="3" fontId="6" fillId="3" borderId="114" xfId="0" applyNumberFormat="1" applyFont="1" applyFill="1" applyBorder="1"/>
    <xf numFmtId="3" fontId="6" fillId="3" borderId="108" xfId="0" applyNumberFormat="1" applyFont="1" applyFill="1" applyBorder="1"/>
    <xf numFmtId="3" fontId="6" fillId="3" borderId="107" xfId="0" applyNumberFormat="1" applyFont="1" applyFill="1" applyBorder="1" applyAlignment="1">
      <alignment horizontal="center"/>
    </xf>
    <xf numFmtId="0" fontId="0" fillId="3" borderId="109" xfId="0" applyFill="1" applyBorder="1"/>
    <xf numFmtId="3" fontId="6" fillId="3" borderId="146" xfId="0" applyNumberFormat="1" applyFont="1" applyFill="1" applyBorder="1"/>
    <xf numFmtId="164" fontId="6" fillId="3" borderId="152" xfId="0" applyNumberFormat="1" applyFont="1" applyFill="1" applyBorder="1"/>
    <xf numFmtId="165" fontId="6" fillId="3" borderId="147" xfId="0" applyNumberFormat="1" applyFont="1" applyFill="1" applyBorder="1"/>
    <xf numFmtId="165" fontId="6" fillId="3" borderId="152" xfId="0" applyNumberFormat="1" applyFont="1" applyFill="1" applyBorder="1"/>
    <xf numFmtId="3" fontId="6" fillId="3" borderId="164" xfId="0" applyNumberFormat="1" applyFont="1" applyFill="1" applyBorder="1"/>
    <xf numFmtId="3" fontId="6" fillId="3" borderId="152" xfId="0" applyNumberFormat="1" applyFont="1" applyFill="1" applyBorder="1"/>
    <xf numFmtId="3" fontId="6" fillId="3" borderId="158" xfId="0" applyNumberFormat="1" applyFont="1" applyFill="1" applyBorder="1"/>
    <xf numFmtId="0" fontId="6" fillId="2" borderId="142" xfId="0" applyFont="1" applyFill="1" applyBorder="1"/>
    <xf numFmtId="0" fontId="6" fillId="2" borderId="62" xfId="0" applyFont="1" applyFill="1" applyBorder="1"/>
    <xf numFmtId="0" fontId="6" fillId="2" borderId="75" xfId="0" applyFont="1" applyFill="1" applyBorder="1"/>
    <xf numFmtId="0" fontId="6" fillId="2" borderId="149" xfId="0" applyFont="1" applyFill="1" applyBorder="1"/>
    <xf numFmtId="0" fontId="0" fillId="2" borderId="31" xfId="0" applyFill="1" applyBorder="1" applyAlignment="1">
      <alignment horizontal="center"/>
    </xf>
    <xf numFmtId="0" fontId="0" fillId="2" borderId="213" xfId="0" applyFill="1" applyBorder="1"/>
    <xf numFmtId="0" fontId="0" fillId="4" borderId="112" xfId="0" applyFill="1" applyBorder="1" applyAlignment="1">
      <alignment horizontal="center" vertical="center" wrapText="1"/>
    </xf>
    <xf numFmtId="0" fontId="0" fillId="4" borderId="120" xfId="0" applyFill="1" applyBorder="1" applyAlignment="1">
      <alignment horizontal="center" vertical="center" wrapText="1"/>
    </xf>
    <xf numFmtId="0" fontId="0" fillId="4" borderId="119" xfId="0" applyFill="1" applyBorder="1" applyAlignment="1">
      <alignment horizontal="center" vertical="center" wrapText="1"/>
    </xf>
    <xf numFmtId="0" fontId="0" fillId="4" borderId="113" xfId="0" applyFill="1" applyBorder="1" applyAlignment="1">
      <alignment horizontal="center" vertical="center" wrapText="1"/>
    </xf>
    <xf numFmtId="0" fontId="0" fillId="4" borderId="110" xfId="0" applyFill="1" applyBorder="1" applyAlignment="1">
      <alignment horizontal="center" vertical="center" wrapText="1"/>
    </xf>
    <xf numFmtId="165" fontId="0" fillId="4" borderId="20" xfId="0" applyNumberFormat="1" applyFill="1" applyBorder="1" applyAlignment="1">
      <alignment vertical="center" wrapText="1"/>
    </xf>
    <xf numFmtId="0" fontId="0" fillId="4" borderId="18" xfId="0" applyFill="1" applyBorder="1" applyAlignment="1">
      <alignment vertical="center" wrapText="1"/>
    </xf>
    <xf numFmtId="0" fontId="0" fillId="4" borderId="32" xfId="0" applyFill="1" applyBorder="1" applyAlignment="1">
      <alignment vertical="center" wrapText="1"/>
    </xf>
    <xf numFmtId="0" fontId="0" fillId="4" borderId="19" xfId="0" applyFill="1" applyBorder="1" applyAlignment="1">
      <alignment vertical="center" wrapText="1"/>
    </xf>
    <xf numFmtId="165" fontId="0" fillId="5" borderId="59" xfId="0" applyNumberFormat="1" applyFill="1" applyBorder="1"/>
    <xf numFmtId="166" fontId="0" fillId="5" borderId="67" xfId="1" applyNumberFormat="1" applyFont="1" applyFill="1" applyBorder="1" applyAlignment="1"/>
    <xf numFmtId="166" fontId="0" fillId="5" borderId="68" xfId="1" applyNumberFormat="1" applyFont="1" applyFill="1" applyBorder="1" applyAlignment="1"/>
    <xf numFmtId="166" fontId="0" fillId="5" borderId="60" xfId="1" applyNumberFormat="1" applyFont="1" applyFill="1" applyBorder="1" applyAlignment="1"/>
    <xf numFmtId="166" fontId="0" fillId="5" borderId="77" xfId="1" applyNumberFormat="1" applyFont="1" applyFill="1" applyBorder="1" applyAlignment="1"/>
    <xf numFmtId="166" fontId="0" fillId="2" borderId="67" xfId="1" applyNumberFormat="1" applyFont="1" applyFill="1" applyBorder="1" applyAlignment="1"/>
    <xf numFmtId="166" fontId="0" fillId="2" borderId="68" xfId="1" applyNumberFormat="1" applyFont="1" applyFill="1" applyBorder="1" applyAlignment="1"/>
    <xf numFmtId="166" fontId="0" fillId="2" borderId="60" xfId="1" applyNumberFormat="1" applyFont="1" applyFill="1" applyBorder="1" applyAlignment="1"/>
    <xf numFmtId="166" fontId="0" fillId="6" borderId="81" xfId="1" applyNumberFormat="1" applyFont="1" applyFill="1" applyBorder="1" applyAlignment="1"/>
    <xf numFmtId="166" fontId="0" fillId="5" borderId="81" xfId="1" applyNumberFormat="1" applyFont="1" applyFill="1" applyBorder="1" applyAlignment="1"/>
    <xf numFmtId="165" fontId="6" fillId="3" borderId="146" xfId="0" applyNumberFormat="1" applyFont="1" applyFill="1" applyBorder="1"/>
    <xf numFmtId="166" fontId="6" fillId="3" borderId="150" xfId="1" applyNumberFormat="1" applyFont="1" applyFill="1" applyBorder="1" applyAlignment="1"/>
    <xf numFmtId="166" fontId="0" fillId="2" borderId="107" xfId="1" applyNumberFormat="1" applyFont="1" applyFill="1" applyBorder="1" applyAlignment="1"/>
    <xf numFmtId="166" fontId="0" fillId="2" borderId="100" xfId="1" applyNumberFormat="1" applyFont="1" applyFill="1" applyBorder="1" applyAlignment="1"/>
    <xf numFmtId="166" fontId="0" fillId="2" borderId="105" xfId="1" applyNumberFormat="1" applyFont="1" applyFill="1" applyBorder="1" applyAlignment="1"/>
    <xf numFmtId="166" fontId="0" fillId="2" borderId="113" xfId="1" applyNumberFormat="1" applyFont="1" applyFill="1" applyBorder="1" applyAlignment="1"/>
    <xf numFmtId="166" fontId="0" fillId="2" borderId="112" xfId="1" applyNumberFormat="1" applyFont="1" applyFill="1" applyBorder="1" applyAlignment="1"/>
    <xf numFmtId="166" fontId="0" fillId="6" borderId="120" xfId="1" applyNumberFormat="1" applyFont="1" applyFill="1" applyBorder="1" applyAlignment="1"/>
    <xf numFmtId="166" fontId="6" fillId="3" borderId="137" xfId="1" applyNumberFormat="1" applyFont="1" applyFill="1" applyBorder="1" applyAlignment="1"/>
    <xf numFmtId="166" fontId="6" fillId="3" borderId="134" xfId="1" applyNumberFormat="1" applyFont="1" applyFill="1" applyBorder="1" applyAlignment="1"/>
    <xf numFmtId="166" fontId="0" fillId="3" borderId="132" xfId="1" applyNumberFormat="1" applyFont="1" applyFill="1" applyBorder="1" applyAlignment="1"/>
    <xf numFmtId="166" fontId="0" fillId="2" borderId="109" xfId="1" applyNumberFormat="1" applyFont="1" applyFill="1" applyBorder="1" applyAlignment="1"/>
    <xf numFmtId="166" fontId="0" fillId="2" borderId="140" xfId="1" applyNumberFormat="1" applyFont="1" applyFill="1" applyBorder="1" applyAlignment="1"/>
    <xf numFmtId="166" fontId="0" fillId="2" borderId="141" xfId="1" applyNumberFormat="1" applyFont="1" applyFill="1" applyBorder="1" applyAlignment="1"/>
    <xf numFmtId="166" fontId="0" fillId="2" borderId="77" xfId="1" applyNumberFormat="1" applyFont="1" applyFill="1" applyBorder="1" applyAlignment="1"/>
    <xf numFmtId="166" fontId="0" fillId="2" borderId="73" xfId="1" applyNumberFormat="1" applyFont="1" applyFill="1" applyBorder="1" applyAlignment="1"/>
    <xf numFmtId="166" fontId="0" fillId="2" borderId="81" xfId="1" applyNumberFormat="1" applyFont="1" applyFill="1" applyBorder="1" applyAlignment="1"/>
    <xf numFmtId="166" fontId="0" fillId="2" borderId="148" xfId="1" applyNumberFormat="1" applyFont="1" applyFill="1" applyBorder="1" applyAlignment="1"/>
    <xf numFmtId="166" fontId="0" fillId="7" borderId="67" xfId="1" applyNumberFormat="1" applyFont="1" applyFill="1" applyBorder="1" applyAlignment="1"/>
    <xf numFmtId="166" fontId="0" fillId="7" borderId="68" xfId="1" applyNumberFormat="1" applyFont="1" applyFill="1" applyBorder="1" applyAlignment="1"/>
    <xf numFmtId="166" fontId="0" fillId="7" borderId="77" xfId="1" applyNumberFormat="1" applyFont="1" applyFill="1" applyBorder="1" applyAlignment="1"/>
    <xf numFmtId="166" fontId="0" fillId="2" borderId="150" xfId="1" applyNumberFormat="1" applyFont="1" applyFill="1" applyBorder="1" applyAlignment="1"/>
    <xf numFmtId="166" fontId="0" fillId="2" borderId="147" xfId="1" applyNumberFormat="1" applyFont="1" applyFill="1" applyBorder="1" applyAlignment="1"/>
    <xf numFmtId="166" fontId="0" fillId="6" borderId="148" xfId="1" applyNumberFormat="1" applyFont="1" applyFill="1" applyBorder="1" applyAlignment="1"/>
    <xf numFmtId="166" fontId="0" fillId="7" borderId="81" xfId="1" applyNumberFormat="1" applyFont="1" applyFill="1" applyBorder="1" applyAlignment="1"/>
    <xf numFmtId="164" fontId="0" fillId="2" borderId="136" xfId="0" applyNumberFormat="1" applyFill="1" applyBorder="1"/>
    <xf numFmtId="166" fontId="0" fillId="2" borderId="137" xfId="1" applyNumberFormat="1" applyFont="1" applyFill="1" applyBorder="1" applyAlignment="1"/>
    <xf numFmtId="166" fontId="0" fillId="2" borderId="85" xfId="1" applyNumberFormat="1" applyFont="1" applyFill="1" applyBorder="1" applyAlignment="1"/>
    <xf numFmtId="165" fontId="0" fillId="2" borderId="133" xfId="0" applyNumberFormat="1" applyFill="1" applyBorder="1"/>
    <xf numFmtId="166" fontId="0" fillId="2" borderId="132" xfId="1" applyNumberFormat="1" applyFont="1" applyFill="1" applyBorder="1" applyAlignment="1"/>
    <xf numFmtId="166" fontId="6" fillId="4" borderId="170" xfId="1" applyNumberFormat="1" applyFont="1" applyFill="1" applyBorder="1" applyAlignment="1"/>
    <xf numFmtId="166" fontId="6" fillId="4" borderId="167" xfId="1" applyNumberFormat="1" applyFont="1" applyFill="1" applyBorder="1" applyAlignment="1"/>
    <xf numFmtId="166" fontId="6" fillId="4" borderId="171" xfId="1" applyNumberFormat="1" applyFont="1" applyFill="1" applyBorder="1" applyAlignment="1"/>
    <xf numFmtId="164" fontId="0" fillId="2" borderId="112" xfId="0" applyNumberFormat="1" applyFill="1" applyBorder="1"/>
    <xf numFmtId="166" fontId="0" fillId="2" borderId="25" xfId="1" applyNumberFormat="1" applyFont="1" applyFill="1" applyBorder="1" applyAlignment="1"/>
    <xf numFmtId="165" fontId="0" fillId="2" borderId="103" xfId="0" applyNumberFormat="1" applyFill="1" applyBorder="1"/>
    <xf numFmtId="165" fontId="0" fillId="0" borderId="73" xfId="0" applyNumberFormat="1" applyBorder="1"/>
    <xf numFmtId="166" fontId="0" fillId="0" borderId="82" xfId="1" applyNumberFormat="1" applyFont="1" applyBorder="1" applyAlignment="1"/>
    <xf numFmtId="165" fontId="0" fillId="0" borderId="70" xfId="0" applyNumberFormat="1" applyBorder="1"/>
    <xf numFmtId="166" fontId="0" fillId="0" borderId="81" xfId="1" applyNumberFormat="1" applyFont="1" applyBorder="1" applyAlignment="1"/>
    <xf numFmtId="165" fontId="0" fillId="0" borderId="179" xfId="0" applyNumberFormat="1" applyBorder="1"/>
    <xf numFmtId="166" fontId="0" fillId="0" borderId="178" xfId="1" applyNumberFormat="1" applyFont="1" applyBorder="1" applyAlignment="1"/>
    <xf numFmtId="165" fontId="0" fillId="0" borderId="177" xfId="0" applyNumberFormat="1" applyBorder="1"/>
    <xf numFmtId="166" fontId="0" fillId="0" borderId="176" xfId="1" applyNumberFormat="1" applyFont="1" applyBorder="1" applyAlignment="1"/>
    <xf numFmtId="165" fontId="0" fillId="2" borderId="151" xfId="0" applyNumberFormat="1" applyFill="1" applyBorder="1"/>
    <xf numFmtId="166" fontId="6" fillId="3" borderId="192" xfId="1" applyNumberFormat="1" applyFont="1" applyFill="1" applyBorder="1" applyAlignment="1"/>
    <xf numFmtId="166" fontId="6" fillId="3" borderId="85" xfId="1" applyNumberFormat="1" applyFont="1" applyFill="1" applyBorder="1" applyAlignment="1"/>
    <xf numFmtId="166" fontId="6" fillId="3" borderId="188" xfId="1" applyNumberFormat="1" applyFont="1" applyFill="1" applyBorder="1" applyAlignment="1"/>
    <xf numFmtId="166" fontId="6" fillId="4" borderId="206" xfId="1" applyNumberFormat="1" applyFont="1" applyFill="1" applyBorder="1" applyAlignment="1"/>
    <xf numFmtId="166" fontId="6" fillId="4" borderId="200" xfId="1" applyNumberFormat="1" applyFont="1" applyFill="1" applyBorder="1" applyAlignment="1"/>
    <xf numFmtId="166" fontId="6" fillId="4" borderId="202" xfId="1" applyNumberFormat="1" applyFont="1" applyFill="1" applyBorder="1" applyAlignment="1"/>
    <xf numFmtId="166" fontId="0" fillId="2" borderId="209" xfId="1" applyNumberFormat="1" applyFont="1" applyFill="1" applyBorder="1" applyAlignment="1"/>
    <xf numFmtId="166" fontId="0" fillId="2" borderId="69" xfId="1" applyNumberFormat="1" applyFont="1" applyFill="1" applyBorder="1" applyAlignment="1"/>
    <xf numFmtId="166" fontId="0" fillId="2" borderId="214" xfId="1" applyNumberFormat="1" applyFont="1" applyFill="1" applyBorder="1" applyAlignment="1"/>
    <xf numFmtId="166" fontId="0" fillId="8" borderId="57" xfId="1" applyNumberFormat="1" applyFont="1" applyFill="1" applyBorder="1" applyAlignment="1"/>
    <xf numFmtId="166" fontId="0" fillId="8" borderId="69" xfId="1" applyNumberFormat="1" applyFont="1" applyFill="1" applyBorder="1" applyAlignment="1"/>
    <xf numFmtId="166" fontId="0" fillId="8" borderId="58" xfId="1" applyNumberFormat="1" applyFont="1" applyFill="1" applyBorder="1" applyAlignment="1"/>
    <xf numFmtId="166" fontId="0" fillId="2" borderId="82" xfId="1" applyNumberFormat="1" applyFont="1" applyFill="1" applyBorder="1" applyAlignment="1"/>
    <xf numFmtId="166" fontId="0" fillId="2" borderId="96" xfId="1" applyNumberFormat="1" applyFont="1" applyFill="1" applyBorder="1" applyAlignment="1"/>
    <xf numFmtId="166" fontId="0" fillId="2" borderId="89" xfId="1" applyNumberFormat="1" applyFont="1" applyFill="1" applyBorder="1" applyAlignment="1"/>
    <xf numFmtId="166" fontId="0" fillId="2" borderId="99" xfId="1" applyNumberFormat="1" applyFont="1" applyFill="1" applyBorder="1" applyAlignment="1"/>
    <xf numFmtId="165" fontId="0" fillId="4" borderId="110" xfId="0" applyNumberFormat="1" applyFill="1" applyBorder="1" applyAlignment="1">
      <alignment horizontal="center" vertical="center" wrapText="1"/>
    </xf>
    <xf numFmtId="0" fontId="12" fillId="0" borderId="0" xfId="0" applyFont="1" applyAlignment="1">
      <alignment horizontal="center" vertical="center"/>
    </xf>
    <xf numFmtId="0" fontId="18" fillId="2" borderId="0" xfId="0" applyFont="1" applyFill="1" applyAlignment="1">
      <alignment horizontal="right" vertical="top"/>
    </xf>
    <xf numFmtId="0" fontId="10" fillId="2" borderId="0" xfId="0" applyFont="1" applyFill="1" applyAlignment="1">
      <alignment horizontal="right"/>
    </xf>
    <xf numFmtId="3" fontId="1" fillId="0" borderId="0" xfId="0" applyNumberFormat="1" applyFont="1"/>
    <xf numFmtId="165" fontId="0" fillId="4" borderId="29" xfId="0" applyNumberFormat="1" applyFill="1" applyBorder="1" applyAlignment="1">
      <alignment horizontal="center"/>
    </xf>
    <xf numFmtId="0" fontId="10" fillId="0" borderId="77" xfId="0" applyFont="1" applyBorder="1"/>
    <xf numFmtId="164" fontId="10" fillId="0" borderId="0" xfId="0" applyNumberFormat="1" applyFont="1"/>
    <xf numFmtId="3" fontId="6" fillId="3" borderId="185" xfId="0" applyNumberFormat="1" applyFont="1" applyFill="1" applyBorder="1" applyAlignment="1">
      <alignment horizontal="right"/>
    </xf>
    <xf numFmtId="3" fontId="6" fillId="3" borderId="192" xfId="0" applyNumberFormat="1" applyFont="1" applyFill="1" applyBorder="1" applyAlignment="1">
      <alignment horizontal="right"/>
    </xf>
    <xf numFmtId="3" fontId="6" fillId="4" borderId="200" xfId="0" applyNumberFormat="1" applyFont="1" applyFill="1" applyBorder="1" applyAlignment="1">
      <alignment horizontal="right"/>
    </xf>
    <xf numFmtId="3" fontId="6" fillId="4" borderId="199" xfId="0" applyNumberFormat="1" applyFont="1" applyFill="1" applyBorder="1" applyAlignment="1">
      <alignment horizontal="right"/>
    </xf>
    <xf numFmtId="3" fontId="6" fillId="4" borderId="198" xfId="0" applyNumberFormat="1" applyFont="1" applyFill="1" applyBorder="1" applyAlignment="1">
      <alignment horizontal="right"/>
    </xf>
    <xf numFmtId="3" fontId="6" fillId="4" borderId="206" xfId="0" applyNumberFormat="1" applyFont="1" applyFill="1" applyBorder="1" applyAlignment="1">
      <alignment horizontal="right"/>
    </xf>
    <xf numFmtId="164" fontId="0" fillId="2" borderId="108" xfId="0" applyNumberFormat="1" applyFill="1" applyBorder="1"/>
    <xf numFmtId="164" fontId="0" fillId="2" borderId="111" xfId="0" applyNumberFormat="1" applyFill="1" applyBorder="1"/>
    <xf numFmtId="166" fontId="6" fillId="3" borderId="147" xfId="1" applyNumberFormat="1" applyFont="1" applyFill="1" applyBorder="1" applyAlignment="1"/>
    <xf numFmtId="165" fontId="6" fillId="3" borderId="150" xfId="0" applyNumberFormat="1" applyFont="1" applyFill="1" applyBorder="1"/>
    <xf numFmtId="3" fontId="0" fillId="3" borderId="156" xfId="0" applyNumberFormat="1" applyFill="1" applyBorder="1"/>
    <xf numFmtId="166" fontId="0" fillId="3" borderId="148" xfId="1" applyNumberFormat="1" applyFont="1" applyFill="1" applyBorder="1" applyAlignment="1"/>
    <xf numFmtId="164" fontId="0" fillId="7" borderId="104" xfId="0" applyNumberFormat="1" applyFill="1" applyBorder="1"/>
    <xf numFmtId="165" fontId="0" fillId="7" borderId="100" xfId="0" applyNumberFormat="1" applyFill="1" applyBorder="1" applyAlignment="1">
      <alignment horizontal="center"/>
    </xf>
    <xf numFmtId="165" fontId="0" fillId="7" borderId="104" xfId="0" applyNumberFormat="1" applyFill="1" applyBorder="1"/>
    <xf numFmtId="165" fontId="0" fillId="7" borderId="111" xfId="0" applyNumberFormat="1" applyFill="1" applyBorder="1"/>
    <xf numFmtId="166" fontId="0" fillId="7" borderId="107" xfId="1" applyNumberFormat="1" applyFont="1" applyFill="1" applyBorder="1" applyAlignment="1"/>
    <xf numFmtId="3" fontId="0" fillId="7" borderId="107" xfId="0" applyNumberFormat="1" applyFill="1" applyBorder="1"/>
    <xf numFmtId="3" fontId="0" fillId="7" borderId="108" xfId="0" applyNumberFormat="1" applyFill="1" applyBorder="1"/>
    <xf numFmtId="166" fontId="0" fillId="7" borderId="109" xfId="1" applyNumberFormat="1" applyFont="1" applyFill="1" applyBorder="1" applyAlignment="1"/>
    <xf numFmtId="164" fontId="0" fillId="4" borderId="21" xfId="0" applyNumberFormat="1" applyFill="1" applyBorder="1" applyAlignment="1">
      <alignment horizontal="center" wrapText="1"/>
    </xf>
    <xf numFmtId="164" fontId="0" fillId="4" borderId="15" xfId="0" applyNumberFormat="1" applyFill="1" applyBorder="1" applyAlignment="1">
      <alignment horizontal="center" wrapText="1"/>
    </xf>
    <xf numFmtId="164" fontId="0" fillId="5" borderId="50" xfId="0" applyNumberFormat="1" applyFill="1" applyBorder="1"/>
    <xf numFmtId="164" fontId="0" fillId="2" borderId="79" xfId="0" applyNumberFormat="1" applyFill="1" applyBorder="1"/>
    <xf numFmtId="164" fontId="0" fillId="5" borderId="79" xfId="0" applyNumberFormat="1" applyFill="1" applyBorder="1"/>
    <xf numFmtId="164" fontId="0" fillId="0" borderId="79" xfId="0" applyNumberFormat="1" applyBorder="1"/>
    <xf numFmtId="164" fontId="6" fillId="3" borderId="24" xfId="0" applyNumberFormat="1" applyFont="1" applyFill="1" applyBorder="1"/>
    <xf numFmtId="164" fontId="0" fillId="2" borderId="24" xfId="0" applyNumberFormat="1" applyFill="1" applyBorder="1" applyAlignment="1">
      <alignment horizontal="center"/>
    </xf>
    <xf numFmtId="164" fontId="0" fillId="0" borderId="24" xfId="0" applyNumberFormat="1" applyBorder="1"/>
    <xf numFmtId="164" fontId="6" fillId="3" borderId="121" xfId="0" applyNumberFormat="1" applyFont="1" applyFill="1" applyBorder="1"/>
    <xf numFmtId="164" fontId="0" fillId="7" borderId="6" xfId="0" applyNumberFormat="1" applyFill="1" applyBorder="1" applyAlignment="1">
      <alignment horizontal="right"/>
    </xf>
    <xf numFmtId="164" fontId="0" fillId="7" borderId="63" xfId="0" applyNumberFormat="1" applyFill="1" applyBorder="1"/>
    <xf numFmtId="164" fontId="0" fillId="2" borderId="164" xfId="0" applyNumberFormat="1" applyFill="1" applyBorder="1"/>
    <xf numFmtId="164" fontId="0" fillId="2" borderId="138" xfId="0" applyNumberFormat="1" applyFill="1" applyBorder="1" applyAlignment="1">
      <alignment horizontal="center"/>
    </xf>
    <xf numFmtId="164" fontId="0" fillId="2" borderId="63" xfId="0" applyNumberFormat="1" applyFill="1" applyBorder="1" applyAlignment="1">
      <alignment horizontal="center"/>
    </xf>
    <xf numFmtId="164" fontId="0" fillId="0" borderId="79" xfId="0" applyNumberFormat="1" applyBorder="1" applyAlignment="1">
      <alignment horizontal="center"/>
    </xf>
    <xf numFmtId="164" fontId="0" fillId="2" borderId="149" xfId="0" applyNumberFormat="1" applyFill="1" applyBorder="1" applyAlignment="1">
      <alignment horizontal="center"/>
    </xf>
    <xf numFmtId="164" fontId="6" fillId="3" borderId="194" xfId="0" applyNumberFormat="1" applyFont="1" applyFill="1" applyBorder="1" applyAlignment="1">
      <alignment horizontal="center"/>
    </xf>
    <xf numFmtId="164" fontId="0" fillId="2" borderId="75" xfId="0" applyNumberFormat="1" applyFill="1" applyBorder="1"/>
    <xf numFmtId="164" fontId="0" fillId="2" borderId="97" xfId="0" applyNumberFormat="1" applyFill="1" applyBorder="1"/>
    <xf numFmtId="0" fontId="0" fillId="0" borderId="22" xfId="0" applyBorder="1" applyAlignment="1">
      <alignment horizontal="center" wrapText="1"/>
    </xf>
    <xf numFmtId="3" fontId="6" fillId="5" borderId="215" xfId="0" applyNumberFormat="1" applyFont="1" applyFill="1" applyBorder="1" applyAlignment="1" applyProtection="1">
      <alignment horizontal="left" vertical="center" wrapText="1"/>
      <protection locked="0"/>
    </xf>
    <xf numFmtId="3" fontId="0" fillId="0" borderId="81" xfId="0" applyNumberFormat="1" applyBorder="1" applyAlignment="1" applyProtection="1">
      <alignment horizontal="left" vertical="center" wrapText="1"/>
      <protection locked="0"/>
    </xf>
    <xf numFmtId="3" fontId="6" fillId="5" borderId="81" xfId="0" applyNumberFormat="1" applyFont="1" applyFill="1" applyBorder="1" applyAlignment="1" applyProtection="1">
      <alignment horizontal="left" vertical="center" wrapText="1"/>
      <protection locked="0"/>
    </xf>
    <xf numFmtId="3" fontId="0" fillId="2" borderId="80" xfId="0" applyNumberFormat="1" applyFill="1" applyBorder="1" applyAlignment="1" applyProtection="1">
      <alignment horizontal="left" vertical="center" wrapText="1"/>
      <protection locked="0"/>
    </xf>
    <xf numFmtId="3" fontId="6" fillId="5" borderId="80" xfId="0" applyNumberFormat="1" applyFont="1" applyFill="1" applyBorder="1" applyAlignment="1">
      <alignment horizontal="left" vertical="center" wrapText="1"/>
    </xf>
    <xf numFmtId="3" fontId="0" fillId="0" borderId="80" xfId="0" applyNumberFormat="1" applyBorder="1" applyAlignment="1" applyProtection="1">
      <alignment horizontal="left" vertical="center" wrapText="1"/>
      <protection locked="0"/>
    </xf>
    <xf numFmtId="3" fontId="6" fillId="3" borderId="30" xfId="0" applyNumberFormat="1" applyFont="1" applyFill="1" applyBorder="1" applyAlignment="1">
      <alignment horizontal="left" vertical="center" wrapText="1"/>
    </xf>
    <xf numFmtId="3" fontId="0" fillId="2" borderId="109" xfId="0" applyNumberFormat="1" applyFill="1" applyBorder="1" applyAlignment="1" applyProtection="1">
      <alignment horizontal="left" vertical="center" wrapText="1"/>
      <protection locked="0"/>
    </xf>
    <xf numFmtId="3" fontId="0" fillId="7" borderId="105" xfId="0" applyNumberFormat="1" applyFill="1" applyBorder="1" applyAlignment="1" applyProtection="1">
      <alignment horizontal="left" vertical="center" wrapText="1"/>
      <protection locked="0"/>
    </xf>
    <xf numFmtId="3" fontId="6" fillId="7" borderId="154" xfId="0" applyNumberFormat="1" applyFont="1" applyFill="1" applyBorder="1" applyAlignment="1">
      <alignment horizontal="left" vertical="center" wrapText="1"/>
    </xf>
    <xf numFmtId="3" fontId="0" fillId="0" borderId="148" xfId="0" applyNumberFormat="1" applyBorder="1" applyAlignment="1" applyProtection="1">
      <alignment horizontal="left" vertical="center" wrapText="1"/>
      <protection locked="0"/>
    </xf>
    <xf numFmtId="3" fontId="6" fillId="2" borderId="123" xfId="0" applyNumberFormat="1" applyFont="1" applyFill="1" applyBorder="1"/>
    <xf numFmtId="3" fontId="0" fillId="4" borderId="123" xfId="0" applyNumberFormat="1" applyFill="1" applyBorder="1"/>
    <xf numFmtId="3" fontId="0" fillId="2" borderId="30" xfId="0" applyNumberFormat="1" applyFill="1" applyBorder="1" applyAlignment="1">
      <alignment horizontal="left" vertical="center" wrapText="1"/>
    </xf>
    <xf numFmtId="3" fontId="0" fillId="3" borderId="216" xfId="0" applyNumberFormat="1" applyFill="1" applyBorder="1" applyAlignment="1" applyProtection="1">
      <alignment horizontal="left" vertical="center" wrapText="1"/>
      <protection locked="0"/>
    </xf>
    <xf numFmtId="3" fontId="0" fillId="2" borderId="65" xfId="0" applyNumberFormat="1" applyFill="1" applyBorder="1"/>
    <xf numFmtId="3" fontId="0" fillId="8" borderId="65" xfId="0" applyNumberFormat="1" applyFill="1" applyBorder="1"/>
    <xf numFmtId="3" fontId="0" fillId="2" borderId="99" xfId="0" applyNumberFormat="1" applyFill="1" applyBorder="1"/>
    <xf numFmtId="3" fontId="0" fillId="7" borderId="115" xfId="0" applyNumberFormat="1" applyFill="1" applyBorder="1"/>
    <xf numFmtId="3" fontId="0" fillId="2" borderId="142" xfId="0" applyNumberFormat="1" applyFill="1" applyBorder="1"/>
    <xf numFmtId="3" fontId="0" fillId="7" borderId="101" xfId="0" applyNumberFormat="1" applyFill="1" applyBorder="1"/>
    <xf numFmtId="164" fontId="1" fillId="2" borderId="0" xfId="0" applyNumberFormat="1" applyFont="1" applyFill="1"/>
    <xf numFmtId="164" fontId="2" fillId="2" borderId="0" xfId="0" applyNumberFormat="1" applyFont="1" applyFill="1"/>
    <xf numFmtId="0" fontId="2" fillId="0" borderId="0" xfId="0" applyFont="1"/>
    <xf numFmtId="3" fontId="2" fillId="0" borderId="0" xfId="0" applyNumberFormat="1" applyFont="1"/>
    <xf numFmtId="3" fontId="2" fillId="2" borderId="0" xfId="0" applyNumberFormat="1" applyFont="1" applyFill="1"/>
    <xf numFmtId="3" fontId="0" fillId="6" borderId="75" xfId="0" applyNumberFormat="1" applyFill="1" applyBorder="1"/>
    <xf numFmtId="3" fontId="6" fillId="0" borderId="138" xfId="0" applyNumberFormat="1" applyFont="1" applyBorder="1"/>
    <xf numFmtId="3" fontId="0" fillId="6" borderId="150" xfId="0" applyNumberFormat="1" applyFill="1" applyBorder="1" applyAlignment="1">
      <alignment horizontal="center"/>
    </xf>
    <xf numFmtId="9" fontId="0" fillId="2" borderId="89" xfId="1" applyFont="1" applyFill="1" applyBorder="1"/>
    <xf numFmtId="166" fontId="0" fillId="2" borderId="68" xfId="1" applyNumberFormat="1" applyFont="1" applyFill="1" applyBorder="1" applyAlignment="1">
      <alignment horizontal="right"/>
    </xf>
    <xf numFmtId="166" fontId="0" fillId="2" borderId="107" xfId="1" applyNumberFormat="1" applyFont="1" applyFill="1" applyBorder="1"/>
    <xf numFmtId="3" fontId="0" fillId="2" borderId="112" xfId="0" applyNumberFormat="1" applyFill="1" applyBorder="1" applyAlignment="1">
      <alignment horizontal="center"/>
    </xf>
    <xf numFmtId="3" fontId="0" fillId="2" borderId="113" xfId="0" applyNumberFormat="1" applyFill="1" applyBorder="1" applyAlignment="1">
      <alignment horizontal="center"/>
    </xf>
    <xf numFmtId="3" fontId="1" fillId="2" borderId="0" xfId="0" applyNumberFormat="1" applyFont="1" applyFill="1"/>
    <xf numFmtId="3" fontId="19" fillId="0" borderId="0" xfId="0" applyNumberFormat="1" applyFont="1"/>
    <xf numFmtId="3" fontId="20" fillId="0" borderId="0" xfId="0" applyNumberFormat="1" applyFont="1"/>
    <xf numFmtId="165" fontId="0" fillId="2" borderId="59" xfId="0" applyNumberFormat="1" applyFill="1" applyBorder="1"/>
    <xf numFmtId="166" fontId="6" fillId="4" borderId="199" xfId="1" applyNumberFormat="1" applyFont="1" applyFill="1" applyBorder="1" applyAlignment="1"/>
    <xf numFmtId="9" fontId="6" fillId="4" borderId="206" xfId="1" applyFont="1" applyFill="1" applyBorder="1" applyAlignment="1"/>
    <xf numFmtId="0" fontId="14" fillId="2" borderId="0" xfId="0" applyFont="1" applyFill="1" applyAlignment="1">
      <alignment horizontal="left" wrapText="1"/>
    </xf>
    <xf numFmtId="0" fontId="14" fillId="2" borderId="0" xfId="0" applyFont="1" applyFill="1" applyAlignment="1">
      <alignment wrapText="1"/>
    </xf>
    <xf numFmtId="0" fontId="14" fillId="0" borderId="0" xfId="0" applyFont="1" applyAlignment="1">
      <alignment horizontal="left" wrapText="1"/>
    </xf>
    <xf numFmtId="0" fontId="14" fillId="0" borderId="0" xfId="0" applyFont="1" applyAlignment="1">
      <alignment horizontal="left" vertical="top"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6" fillId="2" borderId="4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4" xfId="0" applyFont="1" applyFill="1" applyBorder="1" applyAlignment="1">
      <alignment horizontal="center" vertical="center"/>
    </xf>
    <xf numFmtId="0" fontId="14" fillId="0" borderId="0" xfId="0" applyFont="1" applyAlignment="1">
      <alignment horizontal="left"/>
    </xf>
    <xf numFmtId="0" fontId="0" fillId="2" borderId="10" xfId="0" applyFill="1" applyBorder="1" applyAlignment="1">
      <alignment horizontal="center"/>
    </xf>
    <xf numFmtId="0" fontId="0" fillId="2" borderId="36" xfId="0" applyFill="1" applyBorder="1" applyAlignment="1">
      <alignment horizontal="center"/>
    </xf>
    <xf numFmtId="0" fontId="0" fillId="4" borderId="13"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23" xfId="0" applyFill="1" applyBorder="1" applyAlignment="1">
      <alignment horizontal="center" wrapText="1"/>
    </xf>
    <xf numFmtId="0" fontId="0" fillId="4" borderId="24" xfId="0" applyFill="1" applyBorder="1" applyAlignment="1">
      <alignment horizontal="center" wrapText="1"/>
    </xf>
    <xf numFmtId="0" fontId="0" fillId="4" borderId="25" xfId="0" applyFill="1" applyBorder="1" applyAlignment="1">
      <alignment horizontal="center" wrapText="1"/>
    </xf>
    <xf numFmtId="0" fontId="0" fillId="4" borderId="16" xfId="0" applyFill="1" applyBorder="1" applyAlignment="1">
      <alignment horizontal="center" wrapText="1"/>
    </xf>
    <xf numFmtId="0" fontId="0" fillId="4" borderId="26" xfId="0" applyFill="1" applyBorder="1" applyAlignment="1">
      <alignment horizontal="center" wrapText="1"/>
    </xf>
    <xf numFmtId="0" fontId="0" fillId="4" borderId="17" xfId="0" applyFill="1" applyBorder="1" applyAlignment="1">
      <alignment horizontal="center" wrapText="1"/>
    </xf>
    <xf numFmtId="0" fontId="0" fillId="4" borderId="18" xfId="0" applyFill="1" applyBorder="1" applyAlignment="1">
      <alignment horizontal="center" wrapText="1"/>
    </xf>
    <xf numFmtId="0" fontId="0" fillId="4" borderId="19" xfId="0" applyFill="1" applyBorder="1" applyAlignment="1">
      <alignment horizontal="center" wrapText="1"/>
    </xf>
    <xf numFmtId="0" fontId="0" fillId="4" borderId="1" xfId="0" applyFill="1" applyBorder="1" applyAlignment="1">
      <alignment horizontal="center" wrapText="1"/>
    </xf>
    <xf numFmtId="0" fontId="0" fillId="4" borderId="27" xfId="0" applyFill="1" applyBorder="1" applyAlignment="1">
      <alignment horizontal="center" wrapText="1"/>
    </xf>
    <xf numFmtId="0" fontId="0" fillId="4" borderId="30" xfId="0" applyFill="1" applyBorder="1" applyAlignment="1">
      <alignment horizontal="center" wrapText="1"/>
    </xf>
    <xf numFmtId="0" fontId="0" fillId="4" borderId="17"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2" xfId="0" applyFill="1" applyBorder="1" applyAlignment="1">
      <alignment horizontal="center" wrapText="1"/>
    </xf>
    <xf numFmtId="0" fontId="0" fillId="4" borderId="13"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1" xfId="0" applyFill="1" applyBorder="1" applyAlignment="1">
      <alignment horizontal="center" wrapText="1"/>
    </xf>
    <xf numFmtId="0" fontId="0" fillId="4" borderId="20" xfId="0" applyFill="1" applyBorder="1" applyAlignment="1">
      <alignment horizontal="center"/>
    </xf>
    <xf numFmtId="0" fontId="0" fillId="4" borderId="21" xfId="0"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8" xfId="0"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applyAlignment="1">
      <alignment horizontal="left" wrapText="1"/>
    </xf>
    <xf numFmtId="0" fontId="0" fillId="0" borderId="3" xfId="0" applyBorder="1" applyAlignment="1">
      <alignment horizontal="center" wrapText="1"/>
    </xf>
    <xf numFmtId="0" fontId="0" fillId="0" borderId="11" xfId="0" applyBorder="1" applyAlignment="1">
      <alignment horizontal="center" wrapText="1"/>
    </xf>
    <xf numFmtId="0" fontId="0" fillId="0" borderId="37" xfId="0"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0" fillId="0" borderId="38" xfId="0" applyBorder="1" applyAlignment="1">
      <alignment horizontal="center" wrapText="1"/>
    </xf>
    <xf numFmtId="0" fontId="6" fillId="3" borderId="7" xfId="0" applyFont="1" applyFill="1" applyBorder="1" applyAlignment="1">
      <alignment horizontal="center"/>
    </xf>
    <xf numFmtId="0" fontId="3" fillId="0" borderId="0" xfId="0" applyFont="1" applyAlignment="1">
      <alignment horizontal="center" wrapText="1"/>
    </xf>
    <xf numFmtId="3" fontId="19" fillId="0" borderId="0" xfId="0" applyNumberFormat="1" applyFont="1" applyAlignment="1">
      <alignment horizontal="left" vertical="top" wrapText="1"/>
    </xf>
    <xf numFmtId="3" fontId="21" fillId="0" borderId="0" xfId="0" applyNumberFormat="1" applyFont="1" applyAlignment="1">
      <alignment horizontal="left" wrapText="1"/>
    </xf>
    <xf numFmtId="0" fontId="0" fillId="4" borderId="32" xfId="0" applyFill="1" applyBorder="1" applyAlignment="1">
      <alignment horizontal="center" wrapText="1"/>
    </xf>
    <xf numFmtId="0" fontId="0" fillId="4" borderId="33" xfId="0" applyFill="1" applyBorder="1" applyAlignment="1">
      <alignment horizontal="center" wrapText="1"/>
    </xf>
    <xf numFmtId="0" fontId="0" fillId="4" borderId="32" xfId="0" applyFill="1" applyBorder="1" applyAlignment="1">
      <alignment horizontal="center" vertical="center" wrapText="1"/>
    </xf>
    <xf numFmtId="0" fontId="0" fillId="4" borderId="0" xfId="0" applyFill="1" applyAlignment="1">
      <alignment horizontal="center" wrapText="1"/>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0" fillId="4" borderId="18" xfId="0"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78E1-B2A5-4A17-8C6A-A139157F6436}">
  <sheetPr>
    <tabColor theme="0"/>
  </sheetPr>
  <dimension ref="A1:EJ127"/>
  <sheetViews>
    <sheetView zoomScale="76" zoomScaleNormal="76" workbookViewId="0">
      <pane xSplit="3" ySplit="11" topLeftCell="AR93" activePane="bottomRight" state="frozen"/>
      <selection pane="topRight" activeCell="D1" sqref="D1"/>
      <selection pane="bottomLeft" activeCell="A11" sqref="A11"/>
      <selection pane="bottomRight" activeCell="CH22" sqref="CH22"/>
    </sheetView>
  </sheetViews>
  <sheetFormatPr defaultRowHeight="12.5" outlineLevelRow="1" outlineLevelCol="1" x14ac:dyDescent="0.25"/>
  <cols>
    <col min="1" max="1" width="10" style="5" customWidth="1"/>
    <col min="2" max="2" width="49" style="720" customWidth="1"/>
    <col min="3" max="3" width="16.1796875" customWidth="1"/>
    <col min="4" max="4" width="10.7265625" style="695" hidden="1" customWidth="1" outlineLevel="1"/>
    <col min="5" max="5" width="10.54296875" style="695" hidden="1" customWidth="1" outlineLevel="1"/>
    <col min="6" max="7" width="9" hidden="1" customWidth="1" outlineLevel="1"/>
    <col min="8" max="9" width="11.453125" hidden="1" customWidth="1" outlineLevel="1"/>
    <col min="10" max="11" width="10.26953125" hidden="1" customWidth="1" outlineLevel="1"/>
    <col min="12" max="12" width="10.54296875" hidden="1" customWidth="1" outlineLevel="1"/>
    <col min="13" max="13" width="10" hidden="1" customWidth="1" outlineLevel="1"/>
    <col min="14" max="14" width="9.7265625" hidden="1" customWidth="1" outlineLevel="1"/>
    <col min="15" max="15" width="10" style="697" hidden="1" customWidth="1" outlineLevel="1"/>
    <col min="16" max="17" width="9.7265625" hidden="1" customWidth="1" outlineLevel="1"/>
    <col min="18" max="19" width="8.7265625" hidden="1" customWidth="1" outlineLevel="1"/>
    <col min="20" max="20" width="9.7265625" hidden="1" customWidth="1" outlineLevel="1"/>
    <col min="21" max="21" width="9.1796875" style="697" hidden="1" customWidth="1" outlineLevel="1"/>
    <col min="22" max="22" width="8.54296875" hidden="1" customWidth="1" outlineLevel="1"/>
    <col min="23" max="23" width="7.26953125" hidden="1" customWidth="1" outlineLevel="1"/>
    <col min="24" max="24" width="9.453125" style="695" hidden="1" customWidth="1" outlineLevel="1"/>
    <col min="25" max="25" width="8.26953125" style="695" hidden="1" customWidth="1" outlineLevel="1"/>
    <col min="26" max="26" width="8.54296875" hidden="1" customWidth="1" outlineLevel="1"/>
    <col min="27" max="27" width="8.81640625" hidden="1" customWidth="1" outlineLevel="1"/>
    <col min="28" max="28" width="10" hidden="1" customWidth="1" outlineLevel="1"/>
    <col min="29" max="29" width="9.26953125" hidden="1" customWidth="1" outlineLevel="1"/>
    <col min="30" max="30" width="9.453125" hidden="1" customWidth="1" outlineLevel="1"/>
    <col min="31" max="31" width="9.1796875" hidden="1" customWidth="1" outlineLevel="1"/>
    <col min="32" max="32" width="9.54296875" hidden="1" customWidth="1" outlineLevel="1"/>
    <col min="33" max="33" width="10.1796875" hidden="1" customWidth="1" outlineLevel="1"/>
    <col min="34" max="34" width="9.7265625" style="697" hidden="1" customWidth="1" outlineLevel="1"/>
    <col min="35" max="35" width="10.1796875" style="697" hidden="1" customWidth="1" outlineLevel="1"/>
    <col min="36" max="36" width="9.7265625" hidden="1" customWidth="1" outlineLevel="1"/>
    <col min="37" max="37" width="10.1796875" hidden="1" customWidth="1" outlineLevel="1"/>
    <col min="38" max="40" width="9.7265625" hidden="1" customWidth="1" outlineLevel="1"/>
    <col min="41" max="41" width="10.453125" style="697" hidden="1" customWidth="1" outlineLevel="1"/>
    <col min="42" max="42" width="7.26953125" hidden="1" customWidth="1" outlineLevel="1"/>
    <col min="43" max="43" width="7.1796875" hidden="1" customWidth="1" outlineLevel="1"/>
    <col min="44" max="44" width="9.1796875" style="695" customWidth="1" collapsed="1"/>
    <col min="45" max="46" width="7.453125" style="696" customWidth="1"/>
    <col min="47" max="47" width="7.453125" customWidth="1"/>
    <col min="48" max="49" width="9.54296875" customWidth="1"/>
    <col min="50" max="50" width="10.81640625" customWidth="1"/>
    <col min="51" max="51" width="9.54296875" customWidth="1"/>
    <col min="52" max="52" width="10.453125" customWidth="1"/>
    <col min="53" max="53" width="9.26953125" customWidth="1"/>
    <col min="54" max="54" width="9.26953125" style="697" customWidth="1"/>
    <col min="55" max="55" width="9.1796875" style="697" customWidth="1"/>
    <col min="56" max="56" width="10.453125" customWidth="1"/>
    <col min="57" max="57" width="8.54296875" customWidth="1"/>
    <col min="58" max="59" width="8.453125" customWidth="1"/>
    <col min="60" max="60" width="7.453125" customWidth="1"/>
    <col min="61" max="61" width="7.453125" style="697" customWidth="1"/>
    <col min="62" max="63" width="7.453125" customWidth="1"/>
    <col min="64" max="64" width="9.1796875" style="695" customWidth="1"/>
    <col min="65" max="67" width="7.453125" customWidth="1"/>
    <col min="68" max="68" width="10.26953125" customWidth="1"/>
    <col min="69" max="69" width="9.7265625" customWidth="1"/>
    <col min="70" max="70" width="9.453125" customWidth="1"/>
    <col min="71" max="71" width="9" customWidth="1"/>
    <col min="72" max="72" width="9.81640625" customWidth="1"/>
    <col min="73" max="73" width="9.453125" customWidth="1"/>
    <col min="74" max="74" width="9.7265625" style="697" customWidth="1"/>
    <col min="75" max="75" width="8.1796875" customWidth="1"/>
    <col min="76" max="76" width="10.453125" customWidth="1"/>
    <col min="77" max="77" width="10.1796875" customWidth="1"/>
    <col min="78" max="79" width="8.81640625" customWidth="1"/>
    <col min="80" max="81" width="8.453125" customWidth="1"/>
    <col min="82" max="83" width="7.453125" customWidth="1"/>
    <col min="84" max="84" width="8.81640625" style="695" customWidth="1"/>
    <col min="85" max="87" width="7.453125" customWidth="1"/>
    <col min="88" max="88" width="13.1796875" customWidth="1"/>
    <col min="89" max="89" width="10" customWidth="1"/>
    <col min="90" max="90" width="13" customWidth="1"/>
    <col min="91" max="91" width="9.1796875" customWidth="1"/>
    <col min="92" max="92" width="11" customWidth="1"/>
    <col min="93" max="93" width="9.1796875" customWidth="1"/>
    <col min="94" max="94" width="12.7265625" customWidth="1"/>
    <col min="95" max="95" width="9.1796875" customWidth="1"/>
    <col min="96" max="96" width="10.54296875" customWidth="1"/>
    <col min="97" max="97" width="9.54296875" customWidth="1"/>
    <col min="98" max="101" width="9.26953125" customWidth="1"/>
    <col min="102" max="103" width="7.453125" customWidth="1"/>
    <col min="104" max="104" width="7.453125" style="5" hidden="1" customWidth="1" outlineLevel="1"/>
    <col min="105" max="105" width="7.453125" style="8" hidden="1" customWidth="1" outlineLevel="1"/>
    <col min="106" max="119" width="7.453125" style="5" hidden="1" customWidth="1" outlineLevel="1"/>
    <col min="120" max="121" width="7.453125" hidden="1" customWidth="1" outlineLevel="1"/>
    <col min="122" max="122" width="7.453125" style="9" hidden="1" customWidth="1" outlineLevel="1"/>
    <col min="123" max="138" width="7.453125" style="5" hidden="1" customWidth="1" outlineLevel="1"/>
    <col min="139" max="139" width="7.453125" hidden="1" customWidth="1" outlineLevel="1"/>
    <col min="140" max="140" width="9.1796875" collapsed="1"/>
  </cols>
  <sheetData>
    <row r="1" spans="1:140" s="1" customFormat="1" ht="14" x14ac:dyDescent="0.3">
      <c r="A1" s="1" t="s">
        <v>0</v>
      </c>
      <c r="E1" s="2"/>
      <c r="F1" s="2"/>
      <c r="G1" s="2"/>
      <c r="H1" s="2"/>
      <c r="I1" s="2"/>
      <c r="J1" s="2"/>
      <c r="K1" s="2"/>
      <c r="L1" s="2"/>
      <c r="M1" s="2"/>
      <c r="N1" s="2"/>
      <c r="O1" s="2"/>
      <c r="P1" s="2"/>
      <c r="Q1" s="2"/>
      <c r="R1" s="2"/>
      <c r="S1" s="2"/>
      <c r="CF1" s="3"/>
    </row>
    <row r="2" spans="1:140" s="1" customFormat="1" ht="14.5" customHeight="1" x14ac:dyDescent="0.3">
      <c r="A2" s="1113" t="s">
        <v>1</v>
      </c>
      <c r="B2" s="1113"/>
      <c r="C2" s="1113"/>
      <c r="D2" s="1113"/>
      <c r="E2" s="1113"/>
      <c r="F2" s="1113"/>
      <c r="G2" s="1113"/>
      <c r="H2" s="1113"/>
      <c r="I2" s="1113"/>
      <c r="J2" s="1113"/>
      <c r="K2" s="1113"/>
      <c r="L2" s="1113"/>
      <c r="M2" s="1113"/>
      <c r="N2" s="1113"/>
      <c r="O2" s="1113"/>
      <c r="P2" s="1113"/>
      <c r="Q2" s="1113"/>
      <c r="R2" s="1113"/>
      <c r="S2" s="1113"/>
      <c r="BC2" s="4"/>
      <c r="BD2" s="4"/>
      <c r="BE2" s="4"/>
      <c r="BF2" s="4"/>
      <c r="BG2" s="4"/>
      <c r="BH2" s="4"/>
      <c r="BI2" s="4"/>
      <c r="BJ2" s="4"/>
      <c r="BK2" s="4"/>
      <c r="BL2" s="4"/>
      <c r="BM2" s="4"/>
      <c r="BN2" s="4"/>
      <c r="BO2" s="4"/>
      <c r="BP2" s="4"/>
      <c r="BQ2" s="4"/>
      <c r="BR2" s="4"/>
      <c r="BS2" s="4"/>
      <c r="BT2" s="4"/>
      <c r="CF2" s="3"/>
    </row>
    <row r="3" spans="1:140" ht="16.5" customHeight="1" x14ac:dyDescent="0.35">
      <c r="B3" s="6"/>
      <c r="C3" s="6"/>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7"/>
      <c r="BT3" s="7"/>
      <c r="BU3" s="7"/>
      <c r="BV3" s="7"/>
      <c r="BW3" s="5"/>
      <c r="BX3" s="5"/>
      <c r="BY3" s="5"/>
      <c r="BZ3" s="5"/>
      <c r="CA3" s="5"/>
      <c r="CB3" s="5"/>
      <c r="CC3" s="5"/>
      <c r="CD3" s="5"/>
      <c r="CE3" s="5"/>
      <c r="CF3" s="8"/>
      <c r="CG3" s="5"/>
      <c r="CH3" s="5"/>
      <c r="CI3" s="5"/>
      <c r="CJ3" s="5"/>
      <c r="CK3" s="5"/>
      <c r="CL3" s="5"/>
      <c r="CM3" s="5"/>
      <c r="CN3" s="5"/>
      <c r="CO3" s="5"/>
      <c r="CP3" s="5"/>
      <c r="CQ3" s="5"/>
      <c r="CR3" s="5"/>
      <c r="CS3" s="5"/>
      <c r="CT3" s="5"/>
      <c r="CU3" s="5"/>
      <c r="CV3" s="5"/>
      <c r="CW3" s="5"/>
      <c r="CX3" s="5"/>
      <c r="CY3" s="5"/>
      <c r="DP3" s="5"/>
      <c r="DQ3" s="5"/>
      <c r="EI3" s="5"/>
      <c r="EJ3" s="5"/>
    </row>
    <row r="4" spans="1:140" ht="33" customHeight="1" x14ac:dyDescent="0.35">
      <c r="A4" s="1114" t="s">
        <v>2</v>
      </c>
      <c r="B4" s="1114"/>
      <c r="C4" s="1114"/>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7"/>
      <c r="BT4" s="7"/>
      <c r="BU4" s="7"/>
      <c r="BV4" s="7"/>
      <c r="BW4" s="5"/>
      <c r="BX4" s="5"/>
      <c r="BY4" s="5"/>
      <c r="BZ4" s="5"/>
      <c r="CA4" s="5"/>
      <c r="CB4" s="5"/>
      <c r="CC4" s="5"/>
      <c r="CD4" s="5"/>
      <c r="CE4" s="5"/>
      <c r="CF4" s="8"/>
      <c r="CG4" s="5"/>
      <c r="CH4" s="5"/>
      <c r="CI4" s="5"/>
      <c r="CJ4" s="5"/>
      <c r="CK4" s="5"/>
      <c r="CL4" s="5"/>
      <c r="CM4" s="5"/>
      <c r="CN4" s="5"/>
      <c r="CO4" s="5"/>
      <c r="CP4" s="5"/>
      <c r="CQ4" s="5"/>
      <c r="CR4" s="5"/>
      <c r="CS4" s="5"/>
      <c r="CT4" s="5"/>
      <c r="CU4" s="5"/>
      <c r="CV4" s="5"/>
      <c r="CW4" s="5"/>
      <c r="CX4" s="5"/>
      <c r="CY4" s="5"/>
      <c r="DD4" s="7"/>
      <c r="DE4" s="7"/>
      <c r="DH4" s="7"/>
      <c r="DI4" s="7"/>
      <c r="DP4" s="5"/>
      <c r="DQ4" s="5"/>
      <c r="EI4" s="5"/>
      <c r="EJ4" s="5"/>
    </row>
    <row r="5" spans="1:140" s="5" customFormat="1" ht="20.5" thickBot="1" x14ac:dyDescent="0.45">
      <c r="A5" s="5" t="s">
        <v>3</v>
      </c>
      <c r="B5" s="10"/>
      <c r="C5" s="11"/>
      <c r="D5" s="12"/>
      <c r="E5" s="12"/>
      <c r="F5" s="11"/>
      <c r="G5" s="11"/>
      <c r="H5" s="11"/>
      <c r="I5" s="11"/>
      <c r="J5" s="11"/>
      <c r="K5" s="11"/>
      <c r="L5" s="11"/>
      <c r="M5" s="11"/>
      <c r="N5" s="11"/>
      <c r="O5" s="13"/>
      <c r="P5" s="11"/>
      <c r="Q5" s="11"/>
      <c r="R5" s="11"/>
      <c r="S5" s="11"/>
      <c r="T5" s="11"/>
      <c r="U5" s="13"/>
      <c r="V5" s="14"/>
      <c r="W5" s="14"/>
      <c r="X5" s="12"/>
      <c r="Y5" s="12"/>
      <c r="Z5" s="11"/>
      <c r="AA5" s="11"/>
      <c r="AB5" s="11"/>
      <c r="AC5" s="11"/>
      <c r="AD5" s="11"/>
      <c r="AE5" s="11"/>
      <c r="AF5" s="11"/>
      <c r="AG5" s="11"/>
      <c r="AH5" s="13"/>
      <c r="AI5" s="13"/>
      <c r="AJ5" s="11"/>
      <c r="AK5" s="11"/>
      <c r="AL5" s="11"/>
      <c r="AM5" s="11"/>
      <c r="AN5" s="11"/>
      <c r="AO5" s="13"/>
      <c r="AP5" s="14"/>
      <c r="AQ5" s="14"/>
      <c r="AR5" s="12"/>
      <c r="AS5" s="15"/>
      <c r="AT5" s="15"/>
      <c r="AU5" s="11"/>
      <c r="AV5" s="11"/>
      <c r="AW5" s="11"/>
      <c r="AX5" s="11"/>
      <c r="AY5" s="11"/>
      <c r="AZ5" s="11"/>
      <c r="BA5" s="11"/>
      <c r="BB5" s="13"/>
      <c r="BC5" s="13"/>
      <c r="BD5" s="11"/>
      <c r="BE5" s="11"/>
      <c r="BF5" s="11"/>
      <c r="BG5" s="11"/>
      <c r="BH5" s="11"/>
      <c r="BI5" s="13"/>
      <c r="BJ5" s="14"/>
      <c r="BK5" s="14"/>
      <c r="BL5" s="12"/>
      <c r="BM5" s="11"/>
      <c r="BN5" s="11"/>
      <c r="BO5" s="11"/>
      <c r="BP5" s="11"/>
      <c r="BQ5" s="11"/>
      <c r="BR5" s="11"/>
      <c r="BS5" s="11"/>
      <c r="BT5" s="11"/>
      <c r="BU5" s="11"/>
      <c r="BV5" s="13"/>
      <c r="BW5" s="11"/>
      <c r="BX5" s="11"/>
      <c r="BY5" s="11"/>
      <c r="BZ5" s="11"/>
      <c r="CA5" s="11"/>
      <c r="CB5" s="11"/>
      <c r="CC5" s="11"/>
      <c r="CD5" s="14"/>
      <c r="CE5" s="14"/>
      <c r="CF5" s="12"/>
      <c r="CG5" s="11"/>
      <c r="CH5" s="11"/>
      <c r="CI5" s="11"/>
      <c r="CJ5" s="11"/>
      <c r="CK5" s="11"/>
      <c r="CL5" s="11"/>
      <c r="CM5" s="11"/>
      <c r="CN5" s="11"/>
      <c r="CO5" s="11"/>
      <c r="CP5" s="11"/>
      <c r="CQ5" s="11"/>
      <c r="CR5" s="11"/>
      <c r="CS5" s="11"/>
      <c r="CT5" s="11"/>
      <c r="CU5" s="11"/>
      <c r="CV5" s="11"/>
      <c r="CW5" s="11"/>
      <c r="CX5" s="14"/>
      <c r="CY5" s="14"/>
      <c r="DA5" s="8"/>
      <c r="DP5" s="14"/>
      <c r="DQ5" s="14"/>
      <c r="DR5" s="9"/>
    </row>
    <row r="6" spans="1:140" s="5" customFormat="1" ht="17.25" customHeight="1" x14ac:dyDescent="0.3">
      <c r="A6" s="16"/>
      <c r="B6" s="1115" t="s">
        <v>4</v>
      </c>
      <c r="C6" s="1118" t="s">
        <v>5</v>
      </c>
      <c r="D6" s="1107" t="s">
        <v>6</v>
      </c>
      <c r="E6" s="1108"/>
      <c r="F6" s="1108"/>
      <c r="G6" s="1108"/>
      <c r="H6" s="1108"/>
      <c r="I6" s="1108"/>
      <c r="J6" s="1108"/>
      <c r="K6" s="1108"/>
      <c r="L6" s="1108"/>
      <c r="M6" s="1108"/>
      <c r="N6" s="1108"/>
      <c r="O6" s="1108"/>
      <c r="P6" s="1108"/>
      <c r="Q6" s="1108"/>
      <c r="R6" s="1108"/>
      <c r="S6" s="1108"/>
      <c r="T6" s="1108"/>
      <c r="U6" s="1108"/>
      <c r="V6" s="1108"/>
      <c r="W6" s="1121"/>
      <c r="X6" s="1107" t="s">
        <v>7</v>
      </c>
      <c r="Y6" s="1108"/>
      <c r="Z6" s="1108"/>
      <c r="AA6" s="1108"/>
      <c r="AB6" s="1108"/>
      <c r="AC6" s="1108"/>
      <c r="AD6" s="1108"/>
      <c r="AE6" s="1108"/>
      <c r="AF6" s="1108"/>
      <c r="AG6" s="1108"/>
      <c r="AH6" s="1108"/>
      <c r="AI6" s="1108"/>
      <c r="AJ6" s="1108"/>
      <c r="AK6" s="1108"/>
      <c r="AL6" s="1108"/>
      <c r="AM6" s="1108"/>
      <c r="AN6" s="1108"/>
      <c r="AO6" s="1108"/>
      <c r="AP6" s="1108"/>
      <c r="AQ6" s="1121"/>
      <c r="AR6" s="1107" t="s">
        <v>8</v>
      </c>
      <c r="AS6" s="1108"/>
      <c r="AT6" s="1108"/>
      <c r="AU6" s="1108"/>
      <c r="AV6" s="1108"/>
      <c r="AW6" s="1108"/>
      <c r="AX6" s="1108"/>
      <c r="AY6" s="1108"/>
      <c r="AZ6" s="1108"/>
      <c r="BA6" s="1108"/>
      <c r="BB6" s="1108"/>
      <c r="BC6" s="1108"/>
      <c r="BD6" s="1108"/>
      <c r="BE6" s="1108"/>
      <c r="BF6" s="1108"/>
      <c r="BG6" s="1108"/>
      <c r="BH6" s="1108"/>
      <c r="BI6" s="1108"/>
      <c r="BJ6" s="1108"/>
      <c r="BK6" s="18"/>
      <c r="BL6" s="1107" t="s">
        <v>9</v>
      </c>
      <c r="BM6" s="1108"/>
      <c r="BN6" s="1108"/>
      <c r="BO6" s="1108"/>
      <c r="BP6" s="1108"/>
      <c r="BQ6" s="1108"/>
      <c r="BR6" s="1108"/>
      <c r="BS6" s="1108"/>
      <c r="BT6" s="1108"/>
      <c r="BU6" s="1108"/>
      <c r="BV6" s="1108"/>
      <c r="BW6" s="1108"/>
      <c r="BX6" s="1108"/>
      <c r="BY6" s="1108"/>
      <c r="BZ6" s="1108"/>
      <c r="CA6" s="1108"/>
      <c r="CB6" s="1108"/>
      <c r="CC6" s="1109"/>
      <c r="CD6" s="17"/>
      <c r="CE6" s="18"/>
      <c r="CF6" s="1107" t="s">
        <v>10</v>
      </c>
      <c r="CG6" s="1108"/>
      <c r="CH6" s="1108"/>
      <c r="CI6" s="1108"/>
      <c r="CJ6" s="1108"/>
      <c r="CK6" s="1108"/>
      <c r="CL6" s="1108"/>
      <c r="CM6" s="1108"/>
      <c r="CN6" s="1108"/>
      <c r="CO6" s="1108"/>
      <c r="CP6" s="1108"/>
      <c r="CQ6" s="1108"/>
      <c r="CR6" s="1108"/>
      <c r="CS6" s="1108"/>
      <c r="CT6" s="1108"/>
      <c r="CU6" s="1108"/>
      <c r="CV6" s="1108"/>
      <c r="CW6" s="1109"/>
      <c r="CX6" s="19"/>
      <c r="CY6" s="18"/>
      <c r="CZ6" s="1110" t="s">
        <v>11</v>
      </c>
      <c r="DA6" s="1111"/>
      <c r="DB6" s="1111"/>
      <c r="DC6" s="1111"/>
      <c r="DD6" s="1111"/>
      <c r="DE6" s="1111"/>
      <c r="DF6" s="1111"/>
      <c r="DG6" s="1111"/>
      <c r="DH6" s="1111"/>
      <c r="DI6" s="1111"/>
      <c r="DJ6" s="1111"/>
      <c r="DK6" s="1111"/>
      <c r="DL6" s="1111"/>
      <c r="DM6" s="1111"/>
      <c r="DN6" s="1111"/>
      <c r="DO6" s="1111"/>
      <c r="DP6" s="21"/>
      <c r="DQ6" s="20"/>
      <c r="DR6" s="1110" t="s">
        <v>12</v>
      </c>
      <c r="DS6" s="1111"/>
      <c r="DT6" s="1111"/>
      <c r="DU6" s="1111"/>
      <c r="DV6" s="1111"/>
      <c r="DW6" s="1111"/>
      <c r="DX6" s="1111"/>
      <c r="DY6" s="1111"/>
      <c r="DZ6" s="1111"/>
      <c r="EA6" s="1111"/>
      <c r="EB6" s="1111"/>
      <c r="EC6" s="1111"/>
      <c r="ED6" s="1111"/>
      <c r="EE6" s="1111"/>
      <c r="EF6" s="1111"/>
      <c r="EG6" s="1111"/>
      <c r="EH6" s="1111"/>
      <c r="EI6" s="1112"/>
    </row>
    <row r="7" spans="1:140" ht="20.25" customHeight="1" x14ac:dyDescent="0.25">
      <c r="A7" s="1075" t="s">
        <v>13</v>
      </c>
      <c r="B7" s="1116"/>
      <c r="C7" s="1119"/>
      <c r="D7" s="1077" t="s">
        <v>14</v>
      </c>
      <c r="E7" s="1078"/>
      <c r="F7" s="1078"/>
      <c r="G7" s="1079"/>
      <c r="H7" s="1083" t="s">
        <v>15</v>
      </c>
      <c r="I7" s="1078"/>
      <c r="J7" s="1078"/>
      <c r="K7" s="1078"/>
      <c r="L7" s="1078"/>
      <c r="M7" s="1079"/>
      <c r="N7" s="1085"/>
      <c r="O7" s="1086"/>
      <c r="P7" s="1086"/>
      <c r="Q7" s="1086"/>
      <c r="R7" s="1086"/>
      <c r="S7" s="1086"/>
      <c r="T7" s="1086"/>
      <c r="U7" s="1086"/>
      <c r="V7" s="1086"/>
      <c r="W7" s="1087"/>
      <c r="X7" s="1077" t="s">
        <v>14</v>
      </c>
      <c r="Y7" s="1078"/>
      <c r="Z7" s="1078"/>
      <c r="AA7" s="1079"/>
      <c r="AB7" s="1083" t="s">
        <v>15</v>
      </c>
      <c r="AC7" s="1078"/>
      <c r="AD7" s="1078"/>
      <c r="AE7" s="1078"/>
      <c r="AF7" s="1078"/>
      <c r="AG7" s="1079"/>
      <c r="AH7" s="1085"/>
      <c r="AI7" s="1086"/>
      <c r="AJ7" s="1086"/>
      <c r="AK7" s="1086"/>
      <c r="AL7" s="1086"/>
      <c r="AM7" s="1086"/>
      <c r="AN7" s="1086"/>
      <c r="AO7" s="1086"/>
      <c r="AP7" s="1086"/>
      <c r="AQ7" s="1087"/>
      <c r="AR7" s="1077" t="s">
        <v>14</v>
      </c>
      <c r="AS7" s="1078"/>
      <c r="AT7" s="1078"/>
      <c r="AU7" s="1079"/>
      <c r="AV7" s="1083" t="s">
        <v>15</v>
      </c>
      <c r="AW7" s="1078"/>
      <c r="AX7" s="1078"/>
      <c r="AY7" s="1078"/>
      <c r="AZ7" s="1078"/>
      <c r="BA7" s="1079"/>
      <c r="BB7" s="1085"/>
      <c r="BC7" s="1086"/>
      <c r="BD7" s="1086"/>
      <c r="BE7" s="1086"/>
      <c r="BF7" s="1086"/>
      <c r="BG7" s="1086"/>
      <c r="BH7" s="1086"/>
      <c r="BI7" s="1086"/>
      <c r="BJ7" s="1086"/>
      <c r="BK7" s="1087"/>
      <c r="BL7" s="1077" t="s">
        <v>14</v>
      </c>
      <c r="BM7" s="1078"/>
      <c r="BN7" s="1078"/>
      <c r="BO7" s="1079"/>
      <c r="BP7" s="1083" t="s">
        <v>15</v>
      </c>
      <c r="BQ7" s="1078"/>
      <c r="BR7" s="1078"/>
      <c r="BS7" s="1078"/>
      <c r="BT7" s="1078"/>
      <c r="BU7" s="1079"/>
      <c r="BV7" s="1085"/>
      <c r="BW7" s="1086"/>
      <c r="BX7" s="1086"/>
      <c r="BY7" s="1086"/>
      <c r="BZ7" s="1086"/>
      <c r="CA7" s="1086"/>
      <c r="CB7" s="1086"/>
      <c r="CC7" s="1086"/>
      <c r="CD7" s="1086"/>
      <c r="CE7" s="1087"/>
      <c r="CF7" s="1077" t="s">
        <v>14</v>
      </c>
      <c r="CG7" s="1078"/>
      <c r="CH7" s="1078"/>
      <c r="CI7" s="1079"/>
      <c r="CJ7" s="1083" t="s">
        <v>15</v>
      </c>
      <c r="CK7" s="1078"/>
      <c r="CL7" s="1078"/>
      <c r="CM7" s="1078"/>
      <c r="CN7" s="1078"/>
      <c r="CO7" s="1079"/>
      <c r="CP7" s="1085"/>
      <c r="CQ7" s="1086"/>
      <c r="CR7" s="1086"/>
      <c r="CS7" s="1086"/>
      <c r="CT7" s="1086"/>
      <c r="CU7" s="1086"/>
      <c r="CV7" s="1086"/>
      <c r="CW7" s="1086"/>
      <c r="CX7" s="1086"/>
      <c r="CY7" s="1087"/>
      <c r="CZ7" s="1092" t="s">
        <v>16</v>
      </c>
      <c r="DA7" s="1067"/>
      <c r="DB7" s="1067"/>
      <c r="DC7" s="1093"/>
      <c r="DD7" s="1091" t="s">
        <v>15</v>
      </c>
      <c r="DE7" s="1067"/>
      <c r="DF7" s="1067"/>
      <c r="DG7" s="1093"/>
      <c r="DH7" s="1091" t="s">
        <v>17</v>
      </c>
      <c r="DI7" s="1067"/>
      <c r="DJ7" s="1067"/>
      <c r="DK7" s="1067"/>
      <c r="DL7" s="1067"/>
      <c r="DM7" s="1067"/>
      <c r="DN7" s="1067"/>
      <c r="DO7" s="1067"/>
      <c r="DP7" s="1083" t="s">
        <v>18</v>
      </c>
      <c r="DQ7" s="1098"/>
      <c r="DR7" s="1099" t="s">
        <v>16</v>
      </c>
      <c r="DS7" s="1095"/>
      <c r="DT7" s="1094" t="s">
        <v>15</v>
      </c>
      <c r="DU7" s="1095"/>
      <c r="DV7" s="1091" t="s">
        <v>17</v>
      </c>
      <c r="DW7" s="1067"/>
      <c r="DX7" s="1067"/>
      <c r="DY7" s="1067"/>
      <c r="DZ7" s="1067"/>
      <c r="EA7" s="1067"/>
      <c r="EB7" s="1067"/>
      <c r="EC7" s="1067"/>
      <c r="ED7" s="1067"/>
      <c r="EE7" s="1067"/>
      <c r="EF7" s="1067"/>
      <c r="EG7" s="1067"/>
      <c r="EH7" s="1083" t="s">
        <v>19</v>
      </c>
      <c r="EI7" s="1098"/>
    </row>
    <row r="8" spans="1:140" ht="20.25" customHeight="1" x14ac:dyDescent="0.25">
      <c r="A8" s="1075"/>
      <c r="B8" s="1116"/>
      <c r="C8" s="1119"/>
      <c r="D8" s="1080"/>
      <c r="E8" s="1081"/>
      <c r="F8" s="1081"/>
      <c r="G8" s="1082"/>
      <c r="H8" s="1084"/>
      <c r="I8" s="1081"/>
      <c r="J8" s="1081"/>
      <c r="K8" s="1081"/>
      <c r="L8" s="1081"/>
      <c r="M8" s="1082"/>
      <c r="N8" s="1084" t="s">
        <v>20</v>
      </c>
      <c r="O8" s="1081"/>
      <c r="P8" s="1081"/>
      <c r="Q8" s="1082"/>
      <c r="R8" s="1084" t="s">
        <v>21</v>
      </c>
      <c r="S8" s="1081"/>
      <c r="T8" s="1081"/>
      <c r="U8" s="1082"/>
      <c r="V8" s="1088" t="s">
        <v>22</v>
      </c>
      <c r="W8" s="1089"/>
      <c r="X8" s="1080"/>
      <c r="Y8" s="1081"/>
      <c r="Z8" s="1081"/>
      <c r="AA8" s="1082"/>
      <c r="AB8" s="1084"/>
      <c r="AC8" s="1081"/>
      <c r="AD8" s="1081"/>
      <c r="AE8" s="1081"/>
      <c r="AF8" s="1081"/>
      <c r="AG8" s="1082"/>
      <c r="AH8" s="1084" t="s">
        <v>20</v>
      </c>
      <c r="AI8" s="1081"/>
      <c r="AJ8" s="1081"/>
      <c r="AK8" s="1082"/>
      <c r="AL8" s="1084" t="s">
        <v>21</v>
      </c>
      <c r="AM8" s="1081"/>
      <c r="AN8" s="1081"/>
      <c r="AO8" s="1082"/>
      <c r="AP8" s="1088" t="s">
        <v>22</v>
      </c>
      <c r="AQ8" s="1089"/>
      <c r="AR8" s="1080"/>
      <c r="AS8" s="1081"/>
      <c r="AT8" s="1081"/>
      <c r="AU8" s="1082"/>
      <c r="AV8" s="1084"/>
      <c r="AW8" s="1081"/>
      <c r="AX8" s="1081"/>
      <c r="AY8" s="1081"/>
      <c r="AZ8" s="1081"/>
      <c r="BA8" s="1082"/>
      <c r="BB8" s="1084" t="s">
        <v>20</v>
      </c>
      <c r="BC8" s="1081"/>
      <c r="BD8" s="1081"/>
      <c r="BE8" s="1082"/>
      <c r="BF8" s="1084" t="s">
        <v>21</v>
      </c>
      <c r="BG8" s="1081"/>
      <c r="BH8" s="1081"/>
      <c r="BI8" s="1082"/>
      <c r="BJ8" s="1088" t="s">
        <v>22</v>
      </c>
      <c r="BK8" s="1089"/>
      <c r="BL8" s="1080"/>
      <c r="BM8" s="1081"/>
      <c r="BN8" s="1081"/>
      <c r="BO8" s="1082"/>
      <c r="BP8" s="1084"/>
      <c r="BQ8" s="1081"/>
      <c r="BR8" s="1081"/>
      <c r="BS8" s="1081"/>
      <c r="BT8" s="1081"/>
      <c r="BU8" s="1082"/>
      <c r="BV8" s="1084" t="s">
        <v>20</v>
      </c>
      <c r="BW8" s="1081"/>
      <c r="BX8" s="1081"/>
      <c r="BY8" s="1082"/>
      <c r="BZ8" s="1084" t="s">
        <v>21</v>
      </c>
      <c r="CA8" s="1081"/>
      <c r="CB8" s="1081"/>
      <c r="CC8" s="1082"/>
      <c r="CD8" s="1088" t="s">
        <v>22</v>
      </c>
      <c r="CE8" s="1089"/>
      <c r="CF8" s="1080"/>
      <c r="CG8" s="1081"/>
      <c r="CH8" s="1081"/>
      <c r="CI8" s="1082"/>
      <c r="CJ8" s="1084"/>
      <c r="CK8" s="1081"/>
      <c r="CL8" s="1081"/>
      <c r="CM8" s="1081"/>
      <c r="CN8" s="1081"/>
      <c r="CO8" s="1082"/>
      <c r="CP8" s="1084" t="s">
        <v>20</v>
      </c>
      <c r="CQ8" s="1081"/>
      <c r="CR8" s="1081"/>
      <c r="CS8" s="1082"/>
      <c r="CT8" s="1084" t="s">
        <v>21</v>
      </c>
      <c r="CU8" s="1081"/>
      <c r="CV8" s="1081"/>
      <c r="CW8" s="1082"/>
      <c r="CX8" s="1088" t="s">
        <v>22</v>
      </c>
      <c r="CY8" s="1089"/>
      <c r="CZ8" s="1099" t="s">
        <v>23</v>
      </c>
      <c r="DA8" s="1095"/>
      <c r="DB8" s="1094" t="s">
        <v>24</v>
      </c>
      <c r="DC8" s="1095"/>
      <c r="DD8" s="1094" t="s">
        <v>25</v>
      </c>
      <c r="DE8" s="1095"/>
      <c r="DF8" s="1094" t="s">
        <v>26</v>
      </c>
      <c r="DG8" s="1095"/>
      <c r="DH8" s="1091" t="s">
        <v>20</v>
      </c>
      <c r="DI8" s="1067"/>
      <c r="DJ8" s="1067"/>
      <c r="DK8" s="1093"/>
      <c r="DL8" s="1091" t="s">
        <v>27</v>
      </c>
      <c r="DM8" s="1067"/>
      <c r="DN8" s="1067"/>
      <c r="DO8" s="1067"/>
      <c r="DP8" s="1088"/>
      <c r="DQ8" s="1089"/>
      <c r="DR8" s="1100"/>
      <c r="DS8" s="1101"/>
      <c r="DT8" s="1103"/>
      <c r="DU8" s="1101"/>
      <c r="DV8" s="1094" t="s">
        <v>28</v>
      </c>
      <c r="DW8" s="1095"/>
      <c r="DX8" s="1094" t="s">
        <v>29</v>
      </c>
      <c r="DY8" s="1095"/>
      <c r="DZ8" s="1091" t="s">
        <v>20</v>
      </c>
      <c r="EA8" s="1067"/>
      <c r="EB8" s="1067"/>
      <c r="EC8" s="1093"/>
      <c r="ED8" s="1091" t="s">
        <v>27</v>
      </c>
      <c r="EE8" s="1067"/>
      <c r="EF8" s="1067"/>
      <c r="EG8" s="1067"/>
      <c r="EH8" s="1088"/>
      <c r="EI8" s="1089"/>
    </row>
    <row r="9" spans="1:140" ht="56.25" customHeight="1" x14ac:dyDescent="0.25">
      <c r="A9" s="1075"/>
      <c r="B9" s="1116"/>
      <c r="C9" s="1119"/>
      <c r="D9" s="1105" t="s">
        <v>23</v>
      </c>
      <c r="E9" s="1106"/>
      <c r="F9" s="1085" t="s">
        <v>24</v>
      </c>
      <c r="G9" s="1104"/>
      <c r="H9" s="1084" t="s">
        <v>30</v>
      </c>
      <c r="I9" s="1082"/>
      <c r="J9" s="1084" t="s">
        <v>25</v>
      </c>
      <c r="K9" s="1082"/>
      <c r="L9" s="1084" t="s">
        <v>26</v>
      </c>
      <c r="M9" s="1082"/>
      <c r="N9" s="1085" t="s">
        <v>25</v>
      </c>
      <c r="O9" s="1104"/>
      <c r="P9" s="1085" t="s">
        <v>26</v>
      </c>
      <c r="Q9" s="1104"/>
      <c r="R9" s="1085" t="s">
        <v>25</v>
      </c>
      <c r="S9" s="1104"/>
      <c r="T9" s="1085" t="s">
        <v>26</v>
      </c>
      <c r="U9" s="1104"/>
      <c r="V9" s="1084"/>
      <c r="W9" s="1090"/>
      <c r="X9" s="1105" t="s">
        <v>23</v>
      </c>
      <c r="Y9" s="1106"/>
      <c r="Z9" s="1085" t="s">
        <v>24</v>
      </c>
      <c r="AA9" s="1104"/>
      <c r="AB9" s="1084" t="s">
        <v>30</v>
      </c>
      <c r="AC9" s="1082"/>
      <c r="AD9" s="1084" t="s">
        <v>25</v>
      </c>
      <c r="AE9" s="1082"/>
      <c r="AF9" s="1084" t="s">
        <v>26</v>
      </c>
      <c r="AG9" s="1082"/>
      <c r="AH9" s="1085" t="s">
        <v>25</v>
      </c>
      <c r="AI9" s="1104"/>
      <c r="AJ9" s="1085" t="s">
        <v>26</v>
      </c>
      <c r="AK9" s="1104"/>
      <c r="AL9" s="1085" t="s">
        <v>25</v>
      </c>
      <c r="AM9" s="1104"/>
      <c r="AN9" s="1085" t="s">
        <v>26</v>
      </c>
      <c r="AO9" s="1104"/>
      <c r="AP9" s="1084"/>
      <c r="AQ9" s="1090"/>
      <c r="AR9" s="1105" t="s">
        <v>23</v>
      </c>
      <c r="AS9" s="1106"/>
      <c r="AT9" s="1085" t="s">
        <v>24</v>
      </c>
      <c r="AU9" s="1104"/>
      <c r="AV9" s="1084" t="s">
        <v>30</v>
      </c>
      <c r="AW9" s="1082"/>
      <c r="AX9" s="1084" t="s">
        <v>25</v>
      </c>
      <c r="AY9" s="1082"/>
      <c r="AZ9" s="1084" t="s">
        <v>26</v>
      </c>
      <c r="BA9" s="1082"/>
      <c r="BB9" s="1085" t="s">
        <v>25</v>
      </c>
      <c r="BC9" s="1104"/>
      <c r="BD9" s="1085" t="s">
        <v>26</v>
      </c>
      <c r="BE9" s="1104"/>
      <c r="BF9" s="1085" t="s">
        <v>25</v>
      </c>
      <c r="BG9" s="1104"/>
      <c r="BH9" s="1085" t="s">
        <v>26</v>
      </c>
      <c r="BI9" s="1104"/>
      <c r="BJ9" s="1084"/>
      <c r="BK9" s="1090"/>
      <c r="BL9" s="1105" t="s">
        <v>23</v>
      </c>
      <c r="BM9" s="1106"/>
      <c r="BN9" s="1085" t="s">
        <v>24</v>
      </c>
      <c r="BO9" s="1104"/>
      <c r="BP9" s="1084" t="s">
        <v>30</v>
      </c>
      <c r="BQ9" s="1082"/>
      <c r="BR9" s="1084" t="s">
        <v>25</v>
      </c>
      <c r="BS9" s="1082"/>
      <c r="BT9" s="1084" t="s">
        <v>26</v>
      </c>
      <c r="BU9" s="1082"/>
      <c r="BV9" s="1085" t="s">
        <v>25</v>
      </c>
      <c r="BW9" s="1104"/>
      <c r="BX9" s="1085" t="s">
        <v>26</v>
      </c>
      <c r="BY9" s="1104"/>
      <c r="BZ9" s="1085" t="s">
        <v>25</v>
      </c>
      <c r="CA9" s="1104"/>
      <c r="CB9" s="1085" t="s">
        <v>26</v>
      </c>
      <c r="CC9" s="1104"/>
      <c r="CD9" s="1084"/>
      <c r="CE9" s="1090"/>
      <c r="CF9" s="1105" t="s">
        <v>23</v>
      </c>
      <c r="CG9" s="1106"/>
      <c r="CH9" s="1085" t="s">
        <v>24</v>
      </c>
      <c r="CI9" s="1104"/>
      <c r="CJ9" s="1084" t="s">
        <v>30</v>
      </c>
      <c r="CK9" s="1082"/>
      <c r="CL9" s="1084" t="s">
        <v>25</v>
      </c>
      <c r="CM9" s="1082"/>
      <c r="CN9" s="1084" t="s">
        <v>26</v>
      </c>
      <c r="CO9" s="1082"/>
      <c r="CP9" s="1085" t="s">
        <v>25</v>
      </c>
      <c r="CQ9" s="1104"/>
      <c r="CR9" s="1085" t="s">
        <v>26</v>
      </c>
      <c r="CS9" s="1104"/>
      <c r="CT9" s="1085" t="s">
        <v>25</v>
      </c>
      <c r="CU9" s="1104"/>
      <c r="CV9" s="1085" t="s">
        <v>26</v>
      </c>
      <c r="CW9" s="1104"/>
      <c r="CX9" s="1084"/>
      <c r="CY9" s="1090"/>
      <c r="CZ9" s="1102"/>
      <c r="DA9" s="1097"/>
      <c r="DB9" s="1096"/>
      <c r="DC9" s="1097"/>
      <c r="DD9" s="1096"/>
      <c r="DE9" s="1097"/>
      <c r="DF9" s="1096"/>
      <c r="DG9" s="1097"/>
      <c r="DH9" s="1091" t="s">
        <v>25</v>
      </c>
      <c r="DI9" s="1093"/>
      <c r="DJ9" s="1091" t="s">
        <v>26</v>
      </c>
      <c r="DK9" s="1093"/>
      <c r="DL9" s="1091" t="s">
        <v>25</v>
      </c>
      <c r="DM9" s="1093"/>
      <c r="DN9" s="1091" t="s">
        <v>26</v>
      </c>
      <c r="DO9" s="1067"/>
      <c r="DP9" s="1084"/>
      <c r="DQ9" s="1090"/>
      <c r="DR9" s="1102"/>
      <c r="DS9" s="1097"/>
      <c r="DT9" s="1096"/>
      <c r="DU9" s="1097"/>
      <c r="DV9" s="1096"/>
      <c r="DW9" s="1097"/>
      <c r="DX9" s="1096"/>
      <c r="DY9" s="1097"/>
      <c r="DZ9" s="1091" t="s">
        <v>25</v>
      </c>
      <c r="EA9" s="1093"/>
      <c r="EB9" s="1091" t="s">
        <v>26</v>
      </c>
      <c r="EC9" s="1093"/>
      <c r="ED9" s="1091" t="s">
        <v>25</v>
      </c>
      <c r="EE9" s="1093"/>
      <c r="EF9" s="1091" t="s">
        <v>26</v>
      </c>
      <c r="EG9" s="1067"/>
      <c r="EH9" s="1084"/>
      <c r="EI9" s="1090"/>
    </row>
    <row r="10" spans="1:140" s="5" customFormat="1" ht="15.75" customHeight="1" x14ac:dyDescent="0.25">
      <c r="A10" s="1075"/>
      <c r="B10" s="1116"/>
      <c r="C10" s="1119"/>
      <c r="D10" s="32" t="s">
        <v>31</v>
      </c>
      <c r="E10" s="33" t="s">
        <v>32</v>
      </c>
      <c r="F10" s="34" t="s">
        <v>31</v>
      </c>
      <c r="G10" s="35" t="s">
        <v>32</v>
      </c>
      <c r="H10" s="25" t="s">
        <v>31</v>
      </c>
      <c r="I10" s="25" t="s">
        <v>33</v>
      </c>
      <c r="J10" s="25" t="s">
        <v>31</v>
      </c>
      <c r="K10" s="25" t="s">
        <v>33</v>
      </c>
      <c r="L10" s="25" t="s">
        <v>31</v>
      </c>
      <c r="M10" s="34" t="s">
        <v>33</v>
      </c>
      <c r="N10" s="25" t="s">
        <v>31</v>
      </c>
      <c r="O10" s="36" t="s">
        <v>33</v>
      </c>
      <c r="P10" s="25" t="s">
        <v>31</v>
      </c>
      <c r="Q10" s="34" t="s">
        <v>33</v>
      </c>
      <c r="R10" s="26" t="s">
        <v>31</v>
      </c>
      <c r="S10" s="25" t="s">
        <v>33</v>
      </c>
      <c r="T10" s="25" t="s">
        <v>31</v>
      </c>
      <c r="U10" s="37" t="s">
        <v>33</v>
      </c>
      <c r="V10" s="26" t="s">
        <v>31</v>
      </c>
      <c r="W10" s="38" t="s">
        <v>33</v>
      </c>
      <c r="X10" s="32" t="s">
        <v>31</v>
      </c>
      <c r="Y10" s="33" t="s">
        <v>32</v>
      </c>
      <c r="Z10" s="34" t="s">
        <v>31</v>
      </c>
      <c r="AA10" s="35" t="s">
        <v>32</v>
      </c>
      <c r="AB10" s="25" t="s">
        <v>31</v>
      </c>
      <c r="AC10" s="25" t="s">
        <v>33</v>
      </c>
      <c r="AD10" s="25" t="s">
        <v>31</v>
      </c>
      <c r="AE10" s="25" t="s">
        <v>33</v>
      </c>
      <c r="AF10" s="25" t="s">
        <v>31</v>
      </c>
      <c r="AG10" s="34" t="s">
        <v>33</v>
      </c>
      <c r="AH10" s="25" t="s">
        <v>31</v>
      </c>
      <c r="AI10" s="36" t="s">
        <v>33</v>
      </c>
      <c r="AJ10" s="25" t="s">
        <v>31</v>
      </c>
      <c r="AK10" s="34" t="s">
        <v>33</v>
      </c>
      <c r="AL10" s="26" t="s">
        <v>31</v>
      </c>
      <c r="AM10" s="25" t="s">
        <v>33</v>
      </c>
      <c r="AN10" s="25" t="s">
        <v>31</v>
      </c>
      <c r="AO10" s="37" t="s">
        <v>33</v>
      </c>
      <c r="AP10" s="26" t="s">
        <v>31</v>
      </c>
      <c r="AQ10" s="38" t="s">
        <v>33</v>
      </c>
      <c r="AR10" s="32" t="s">
        <v>31</v>
      </c>
      <c r="AS10" s="33" t="s">
        <v>32</v>
      </c>
      <c r="AT10" s="34" t="s">
        <v>31</v>
      </c>
      <c r="AU10" s="35" t="s">
        <v>32</v>
      </c>
      <c r="AV10" s="25" t="s">
        <v>31</v>
      </c>
      <c r="AW10" s="25" t="s">
        <v>33</v>
      </c>
      <c r="AX10" s="25" t="s">
        <v>31</v>
      </c>
      <c r="AY10" s="25" t="s">
        <v>33</v>
      </c>
      <c r="AZ10" s="25" t="s">
        <v>31</v>
      </c>
      <c r="BA10" s="34" t="s">
        <v>33</v>
      </c>
      <c r="BB10" s="25" t="s">
        <v>31</v>
      </c>
      <c r="BC10" s="36" t="s">
        <v>33</v>
      </c>
      <c r="BD10" s="25" t="s">
        <v>31</v>
      </c>
      <c r="BE10" s="34" t="s">
        <v>33</v>
      </c>
      <c r="BF10" s="26" t="s">
        <v>31</v>
      </c>
      <c r="BG10" s="25" t="s">
        <v>33</v>
      </c>
      <c r="BH10" s="25" t="s">
        <v>31</v>
      </c>
      <c r="BI10" s="37" t="s">
        <v>33</v>
      </c>
      <c r="BJ10" s="26" t="s">
        <v>31</v>
      </c>
      <c r="BK10" s="38" t="s">
        <v>33</v>
      </c>
      <c r="BL10" s="32" t="s">
        <v>31</v>
      </c>
      <c r="BM10" s="33" t="s">
        <v>32</v>
      </c>
      <c r="BN10" s="34" t="s">
        <v>31</v>
      </c>
      <c r="BO10" s="35" t="s">
        <v>32</v>
      </c>
      <c r="BP10" s="25" t="s">
        <v>31</v>
      </c>
      <c r="BQ10" s="25" t="s">
        <v>33</v>
      </c>
      <c r="BR10" s="25" t="s">
        <v>31</v>
      </c>
      <c r="BS10" s="25" t="s">
        <v>33</v>
      </c>
      <c r="BT10" s="25" t="s">
        <v>31</v>
      </c>
      <c r="BU10" s="34" t="s">
        <v>33</v>
      </c>
      <c r="BV10" s="25" t="s">
        <v>31</v>
      </c>
      <c r="BW10" s="36" t="s">
        <v>33</v>
      </c>
      <c r="BX10" s="25" t="s">
        <v>31</v>
      </c>
      <c r="BY10" s="34" t="s">
        <v>33</v>
      </c>
      <c r="BZ10" s="26" t="s">
        <v>31</v>
      </c>
      <c r="CA10" s="25" t="s">
        <v>33</v>
      </c>
      <c r="CB10" s="25" t="s">
        <v>31</v>
      </c>
      <c r="CC10" s="37" t="s">
        <v>33</v>
      </c>
      <c r="CD10" s="26" t="s">
        <v>31</v>
      </c>
      <c r="CE10" s="38" t="s">
        <v>33</v>
      </c>
      <c r="CF10" s="32" t="s">
        <v>31</v>
      </c>
      <c r="CG10" s="33" t="s">
        <v>32</v>
      </c>
      <c r="CH10" s="34" t="s">
        <v>31</v>
      </c>
      <c r="CI10" s="35" t="s">
        <v>32</v>
      </c>
      <c r="CJ10" s="25" t="s">
        <v>31</v>
      </c>
      <c r="CK10" s="25" t="s">
        <v>33</v>
      </c>
      <c r="CL10" s="25" t="s">
        <v>31</v>
      </c>
      <c r="CM10" s="25" t="s">
        <v>33</v>
      </c>
      <c r="CN10" s="25" t="s">
        <v>31</v>
      </c>
      <c r="CO10" s="34" t="s">
        <v>33</v>
      </c>
      <c r="CP10" s="25" t="s">
        <v>31</v>
      </c>
      <c r="CQ10" s="36" t="s">
        <v>33</v>
      </c>
      <c r="CR10" s="25" t="s">
        <v>31</v>
      </c>
      <c r="CS10" s="34" t="s">
        <v>33</v>
      </c>
      <c r="CT10" s="26" t="s">
        <v>31</v>
      </c>
      <c r="CU10" s="25" t="s">
        <v>33</v>
      </c>
      <c r="CV10" s="25" t="s">
        <v>31</v>
      </c>
      <c r="CW10" s="37" t="s">
        <v>33</v>
      </c>
      <c r="CX10" s="26" t="s">
        <v>31</v>
      </c>
      <c r="CY10" s="38" t="s">
        <v>33</v>
      </c>
      <c r="CZ10" s="39" t="s">
        <v>31</v>
      </c>
      <c r="DA10" s="40" t="s">
        <v>33</v>
      </c>
      <c r="DB10" s="41" t="s">
        <v>31</v>
      </c>
      <c r="DC10" s="41" t="s">
        <v>33</v>
      </c>
      <c r="DD10" s="31" t="s">
        <v>34</v>
      </c>
      <c r="DE10" s="31" t="s">
        <v>33</v>
      </c>
      <c r="DF10" s="31" t="s">
        <v>34</v>
      </c>
      <c r="DG10" s="31" t="s">
        <v>33</v>
      </c>
      <c r="DH10" s="27" t="s">
        <v>31</v>
      </c>
      <c r="DI10" s="42" t="s">
        <v>33</v>
      </c>
      <c r="DJ10" s="30" t="s">
        <v>31</v>
      </c>
      <c r="DK10" s="43" t="s">
        <v>33</v>
      </c>
      <c r="DL10" s="31" t="s">
        <v>31</v>
      </c>
      <c r="DM10" s="41" t="s">
        <v>33</v>
      </c>
      <c r="DN10" s="30" t="s">
        <v>31</v>
      </c>
      <c r="DO10" s="28" t="s">
        <v>33</v>
      </c>
      <c r="DP10" s="25" t="s">
        <v>31</v>
      </c>
      <c r="DQ10" s="38" t="s">
        <v>33</v>
      </c>
      <c r="DR10" s="1092" t="s">
        <v>35</v>
      </c>
      <c r="DS10" s="1093"/>
      <c r="DT10" s="1091" t="s">
        <v>35</v>
      </c>
      <c r="DU10" s="1093"/>
      <c r="DV10" s="1091" t="s">
        <v>35</v>
      </c>
      <c r="DW10" s="1093"/>
      <c r="DX10" s="1091" t="s">
        <v>35</v>
      </c>
      <c r="DY10" s="1093"/>
      <c r="DZ10" s="1091" t="s">
        <v>35</v>
      </c>
      <c r="EA10" s="1093"/>
      <c r="EB10" s="1091" t="s">
        <v>35</v>
      </c>
      <c r="EC10" s="1093"/>
      <c r="ED10" s="1091" t="s">
        <v>35</v>
      </c>
      <c r="EE10" s="1093"/>
      <c r="EF10" s="1091" t="s">
        <v>35</v>
      </c>
      <c r="EG10" s="1093"/>
      <c r="EH10" s="1067" t="s">
        <v>35</v>
      </c>
      <c r="EI10" s="1068"/>
      <c r="EJ10"/>
    </row>
    <row r="11" spans="1:140" s="5" customFormat="1" ht="25.5" thickBot="1" x14ac:dyDescent="0.3">
      <c r="A11" s="1076"/>
      <c r="B11" s="1117"/>
      <c r="C11" s="1120"/>
      <c r="D11" s="44" t="s">
        <v>36</v>
      </c>
      <c r="E11" s="45" t="s">
        <v>36</v>
      </c>
      <c r="F11" s="46" t="s">
        <v>37</v>
      </c>
      <c r="G11" s="47" t="s">
        <v>37</v>
      </c>
      <c r="H11" s="24" t="s">
        <v>38</v>
      </c>
      <c r="I11" s="48" t="s">
        <v>38</v>
      </c>
      <c r="J11" s="22" t="s">
        <v>38</v>
      </c>
      <c r="K11" s="24" t="s">
        <v>38</v>
      </c>
      <c r="L11" s="24" t="s">
        <v>38</v>
      </c>
      <c r="M11" s="48" t="s">
        <v>38</v>
      </c>
      <c r="N11" s="49" t="s">
        <v>38</v>
      </c>
      <c r="O11" s="50" t="s">
        <v>38</v>
      </c>
      <c r="P11" s="22" t="s">
        <v>38</v>
      </c>
      <c r="Q11" s="48" t="s">
        <v>38</v>
      </c>
      <c r="R11" s="22" t="s">
        <v>38</v>
      </c>
      <c r="S11" s="24" t="s">
        <v>38</v>
      </c>
      <c r="T11" s="24" t="s">
        <v>38</v>
      </c>
      <c r="U11" s="51" t="s">
        <v>38</v>
      </c>
      <c r="V11" s="23" t="s">
        <v>38</v>
      </c>
      <c r="W11" s="29" t="s">
        <v>38</v>
      </c>
      <c r="X11" s="44" t="s">
        <v>36</v>
      </c>
      <c r="Y11" s="45" t="s">
        <v>36</v>
      </c>
      <c r="Z11" s="46" t="s">
        <v>37</v>
      </c>
      <c r="AA11" s="47" t="s">
        <v>37</v>
      </c>
      <c r="AB11" s="24" t="s">
        <v>38</v>
      </c>
      <c r="AC11" s="48" t="s">
        <v>38</v>
      </c>
      <c r="AD11" s="22" t="s">
        <v>38</v>
      </c>
      <c r="AE11" s="24" t="s">
        <v>38</v>
      </c>
      <c r="AF11" s="24" t="s">
        <v>38</v>
      </c>
      <c r="AG11" s="48" t="s">
        <v>38</v>
      </c>
      <c r="AH11" s="49" t="s">
        <v>38</v>
      </c>
      <c r="AI11" s="50" t="s">
        <v>38</v>
      </c>
      <c r="AJ11" s="22" t="s">
        <v>38</v>
      </c>
      <c r="AK11" s="48" t="s">
        <v>38</v>
      </c>
      <c r="AL11" s="22" t="s">
        <v>38</v>
      </c>
      <c r="AM11" s="24" t="s">
        <v>38</v>
      </c>
      <c r="AN11" s="24" t="s">
        <v>38</v>
      </c>
      <c r="AO11" s="51" t="s">
        <v>38</v>
      </c>
      <c r="AP11" s="23" t="s">
        <v>38</v>
      </c>
      <c r="AQ11" s="29" t="s">
        <v>38</v>
      </c>
      <c r="AR11" s="44" t="s">
        <v>36</v>
      </c>
      <c r="AS11" s="45" t="s">
        <v>36</v>
      </c>
      <c r="AT11" s="46" t="s">
        <v>37</v>
      </c>
      <c r="AU11" s="47" t="s">
        <v>37</v>
      </c>
      <c r="AV11" s="24" t="s">
        <v>38</v>
      </c>
      <c r="AW11" s="48" t="s">
        <v>38</v>
      </c>
      <c r="AX11" s="22" t="s">
        <v>38</v>
      </c>
      <c r="AY11" s="24" t="s">
        <v>38</v>
      </c>
      <c r="AZ11" s="24" t="s">
        <v>38</v>
      </c>
      <c r="BA11" s="48" t="s">
        <v>38</v>
      </c>
      <c r="BB11" s="49" t="s">
        <v>38</v>
      </c>
      <c r="BC11" s="50" t="s">
        <v>38</v>
      </c>
      <c r="BD11" s="22" t="s">
        <v>38</v>
      </c>
      <c r="BE11" s="48" t="s">
        <v>38</v>
      </c>
      <c r="BF11" s="22" t="s">
        <v>38</v>
      </c>
      <c r="BG11" s="24" t="s">
        <v>38</v>
      </c>
      <c r="BH11" s="24" t="s">
        <v>38</v>
      </c>
      <c r="BI11" s="51" t="s">
        <v>38</v>
      </c>
      <c r="BJ11" s="23" t="s">
        <v>38</v>
      </c>
      <c r="BK11" s="29" t="s">
        <v>38</v>
      </c>
      <c r="BL11" s="44" t="s">
        <v>36</v>
      </c>
      <c r="BM11" s="45" t="s">
        <v>36</v>
      </c>
      <c r="BN11" s="46" t="s">
        <v>37</v>
      </c>
      <c r="BO11" s="47" t="s">
        <v>37</v>
      </c>
      <c r="BP11" s="24" t="s">
        <v>38</v>
      </c>
      <c r="BQ11" s="48" t="s">
        <v>38</v>
      </c>
      <c r="BR11" s="22" t="s">
        <v>38</v>
      </c>
      <c r="BS11" s="24" t="s">
        <v>38</v>
      </c>
      <c r="BT11" s="24" t="s">
        <v>38</v>
      </c>
      <c r="BU11" s="48" t="s">
        <v>38</v>
      </c>
      <c r="BV11" s="49" t="s">
        <v>38</v>
      </c>
      <c r="BW11" s="50" t="s">
        <v>38</v>
      </c>
      <c r="BX11" s="22" t="s">
        <v>38</v>
      </c>
      <c r="BY11" s="48" t="s">
        <v>38</v>
      </c>
      <c r="BZ11" s="22" t="s">
        <v>38</v>
      </c>
      <c r="CA11" s="24" t="s">
        <v>38</v>
      </c>
      <c r="CB11" s="24" t="s">
        <v>38</v>
      </c>
      <c r="CC11" s="51" t="s">
        <v>38</v>
      </c>
      <c r="CD11" s="23" t="s">
        <v>38</v>
      </c>
      <c r="CE11" s="29" t="s">
        <v>38</v>
      </c>
      <c r="CF11" s="44" t="s">
        <v>36</v>
      </c>
      <c r="CG11" s="45" t="s">
        <v>36</v>
      </c>
      <c r="CH11" s="46" t="s">
        <v>37</v>
      </c>
      <c r="CI11" s="47" t="s">
        <v>37</v>
      </c>
      <c r="CJ11" s="24" t="s">
        <v>38</v>
      </c>
      <c r="CK11" s="48" t="s">
        <v>38</v>
      </c>
      <c r="CL11" s="22" t="s">
        <v>38</v>
      </c>
      <c r="CM11" s="24" t="s">
        <v>38</v>
      </c>
      <c r="CN11" s="24" t="s">
        <v>38</v>
      </c>
      <c r="CO11" s="48" t="s">
        <v>38</v>
      </c>
      <c r="CP11" s="49" t="s">
        <v>38</v>
      </c>
      <c r="CQ11" s="50" t="s">
        <v>38</v>
      </c>
      <c r="CR11" s="22" t="s">
        <v>38</v>
      </c>
      <c r="CS11" s="48" t="s">
        <v>38</v>
      </c>
      <c r="CT11" s="22" t="s">
        <v>38</v>
      </c>
      <c r="CU11" s="24" t="s">
        <v>38</v>
      </c>
      <c r="CV11" s="24" t="s">
        <v>38</v>
      </c>
      <c r="CW11" s="51" t="s">
        <v>38</v>
      </c>
      <c r="CX11" s="23" t="s">
        <v>38</v>
      </c>
      <c r="CY11" s="29" t="s">
        <v>38</v>
      </c>
      <c r="CZ11" s="52" t="s">
        <v>39</v>
      </c>
      <c r="DA11" s="53" t="s">
        <v>39</v>
      </c>
      <c r="DB11" s="54" t="s">
        <v>37</v>
      </c>
      <c r="DC11" s="54" t="s">
        <v>37</v>
      </c>
      <c r="DD11" s="55" t="s">
        <v>40</v>
      </c>
      <c r="DE11" s="54" t="s">
        <v>40</v>
      </c>
      <c r="DF11" s="54" t="s">
        <v>40</v>
      </c>
      <c r="DG11" s="54" t="s">
        <v>40</v>
      </c>
      <c r="DH11" s="55" t="s">
        <v>40</v>
      </c>
      <c r="DI11" s="54" t="s">
        <v>40</v>
      </c>
      <c r="DJ11" s="54" t="s">
        <v>40</v>
      </c>
      <c r="DK11" s="54" t="s">
        <v>40</v>
      </c>
      <c r="DL11" s="55" t="s">
        <v>40</v>
      </c>
      <c r="DM11" s="54" t="s">
        <v>40</v>
      </c>
      <c r="DN11" s="54" t="s">
        <v>40</v>
      </c>
      <c r="DO11" s="56" t="s">
        <v>40</v>
      </c>
      <c r="DP11" s="48" t="s">
        <v>38</v>
      </c>
      <c r="DQ11" s="29" t="s">
        <v>38</v>
      </c>
      <c r="DR11" s="57" t="s">
        <v>41</v>
      </c>
      <c r="DS11" s="54" t="s">
        <v>37</v>
      </c>
      <c r="DT11" s="55" t="s">
        <v>40</v>
      </c>
      <c r="DU11" s="54" t="s">
        <v>37</v>
      </c>
      <c r="DV11" s="55" t="s">
        <v>40</v>
      </c>
      <c r="DW11" s="54" t="s">
        <v>37</v>
      </c>
      <c r="DX11" s="54" t="s">
        <v>40</v>
      </c>
      <c r="DY11" s="54" t="s">
        <v>37</v>
      </c>
      <c r="DZ11" s="55" t="s">
        <v>40</v>
      </c>
      <c r="EA11" s="54" t="s">
        <v>37</v>
      </c>
      <c r="EB11" s="54" t="s">
        <v>40</v>
      </c>
      <c r="EC11" s="54" t="s">
        <v>37</v>
      </c>
      <c r="ED11" s="55" t="s">
        <v>40</v>
      </c>
      <c r="EE11" s="54" t="s">
        <v>37</v>
      </c>
      <c r="EF11" s="54" t="s">
        <v>40</v>
      </c>
      <c r="EG11" s="56" t="s">
        <v>37</v>
      </c>
      <c r="EH11" s="56" t="s">
        <v>40</v>
      </c>
      <c r="EI11" s="58" t="s">
        <v>37</v>
      </c>
      <c r="EJ11"/>
    </row>
    <row r="12" spans="1:140" s="89" customFormat="1" ht="13" x14ac:dyDescent="0.25">
      <c r="A12" s="1069" t="s">
        <v>42</v>
      </c>
      <c r="B12" s="59" t="s">
        <v>43</v>
      </c>
      <c r="C12" s="60"/>
      <c r="D12" s="61">
        <v>873.2</v>
      </c>
      <c r="E12" s="62"/>
      <c r="F12" s="62">
        <v>8.0280226902885943</v>
      </c>
      <c r="G12" s="62"/>
      <c r="H12" s="63" t="s">
        <v>44</v>
      </c>
      <c r="I12" s="64" t="s">
        <v>44</v>
      </c>
      <c r="J12" s="65">
        <v>297590</v>
      </c>
      <c r="K12" s="66"/>
      <c r="L12" s="67" t="s">
        <v>44</v>
      </c>
      <c r="M12" s="68" t="s">
        <v>44</v>
      </c>
      <c r="N12" s="69">
        <v>291722</v>
      </c>
      <c r="O12" s="66"/>
      <c r="P12" s="63" t="s">
        <v>44</v>
      </c>
      <c r="Q12" s="64" t="s">
        <v>44</v>
      </c>
      <c r="R12" s="69">
        <v>5868</v>
      </c>
      <c r="S12" s="66"/>
      <c r="T12" s="63" t="s">
        <v>44</v>
      </c>
      <c r="U12" s="64" t="s">
        <v>44</v>
      </c>
      <c r="V12" s="70">
        <v>341</v>
      </c>
      <c r="W12" s="70"/>
      <c r="X12" s="61">
        <v>883.50000000000011</v>
      </c>
      <c r="Y12" s="62"/>
      <c r="Z12" s="62">
        <v>8.0487204948573829</v>
      </c>
      <c r="AA12" s="62"/>
      <c r="AB12" s="63" t="s">
        <v>44</v>
      </c>
      <c r="AC12" s="64" t="s">
        <v>44</v>
      </c>
      <c r="AD12" s="65">
        <v>309421</v>
      </c>
      <c r="AE12" s="66"/>
      <c r="AF12" s="67" t="s">
        <v>44</v>
      </c>
      <c r="AG12" s="68" t="s">
        <v>44</v>
      </c>
      <c r="AH12" s="69">
        <v>303488</v>
      </c>
      <c r="AI12" s="66"/>
      <c r="AJ12" s="63" t="s">
        <v>44</v>
      </c>
      <c r="AK12" s="64" t="s">
        <v>44</v>
      </c>
      <c r="AL12" s="69">
        <v>5933</v>
      </c>
      <c r="AM12" s="66"/>
      <c r="AN12" s="63" t="s">
        <v>44</v>
      </c>
      <c r="AO12" s="64" t="s">
        <v>44</v>
      </c>
      <c r="AP12" s="70">
        <v>350</v>
      </c>
      <c r="AQ12" s="70"/>
      <c r="AR12" s="61">
        <v>887.30000000000007</v>
      </c>
      <c r="AS12" s="62"/>
      <c r="AT12" s="62">
        <v>7.9995311894265191</v>
      </c>
      <c r="AU12" s="62"/>
      <c r="AV12" s="63" t="s">
        <v>44</v>
      </c>
      <c r="AW12" s="64" t="s">
        <v>44</v>
      </c>
      <c r="AX12" s="65">
        <v>315689</v>
      </c>
      <c r="AY12" s="66"/>
      <c r="AZ12" s="67" t="s">
        <v>44</v>
      </c>
      <c r="BA12" s="68" t="s">
        <v>44</v>
      </c>
      <c r="BB12" s="69">
        <v>309691</v>
      </c>
      <c r="BC12" s="66"/>
      <c r="BD12" s="63" t="s">
        <v>44</v>
      </c>
      <c r="BE12" s="64" t="s">
        <v>44</v>
      </c>
      <c r="BF12" s="69">
        <v>5998</v>
      </c>
      <c r="BG12" s="66"/>
      <c r="BH12" s="63" t="s">
        <v>44</v>
      </c>
      <c r="BI12" s="64" t="s">
        <v>44</v>
      </c>
      <c r="BJ12" s="70">
        <v>356</v>
      </c>
      <c r="BK12" s="70"/>
      <c r="BL12" s="61">
        <v>888.2</v>
      </c>
      <c r="BM12" s="62"/>
      <c r="BN12" s="62">
        <v>7.9609927488818579</v>
      </c>
      <c r="BO12" s="62"/>
      <c r="BP12" s="63" t="s">
        <v>44</v>
      </c>
      <c r="BQ12" s="64" t="s">
        <v>44</v>
      </c>
      <c r="BR12" s="65">
        <v>316997</v>
      </c>
      <c r="BS12" s="66"/>
      <c r="BT12" s="67" t="s">
        <v>44</v>
      </c>
      <c r="BU12" s="68" t="s">
        <v>44</v>
      </c>
      <c r="BV12" s="69">
        <v>310999</v>
      </c>
      <c r="BW12" s="66"/>
      <c r="BX12" s="63" t="s">
        <v>44</v>
      </c>
      <c r="BY12" s="64" t="s">
        <v>44</v>
      </c>
      <c r="BZ12" s="69">
        <v>5998</v>
      </c>
      <c r="CA12" s="66"/>
      <c r="CB12" s="63" t="s">
        <v>44</v>
      </c>
      <c r="CC12" s="64" t="s">
        <v>44</v>
      </c>
      <c r="CD12" s="70">
        <v>357</v>
      </c>
      <c r="CE12" s="70"/>
      <c r="CF12" s="61">
        <v>3532.2000000000003</v>
      </c>
      <c r="CG12" s="70"/>
      <c r="CH12" s="62">
        <v>8.0090516205393794</v>
      </c>
      <c r="CI12" s="71"/>
      <c r="CJ12" s="67" t="s">
        <v>44</v>
      </c>
      <c r="CK12" s="68" t="s">
        <v>44</v>
      </c>
      <c r="CL12" s="69">
        <v>1239697</v>
      </c>
      <c r="CM12" s="72"/>
      <c r="CN12" s="73" t="s">
        <v>44</v>
      </c>
      <c r="CO12" s="68" t="s">
        <v>44</v>
      </c>
      <c r="CP12" s="69">
        <v>1215900</v>
      </c>
      <c r="CQ12" s="66"/>
      <c r="CR12" s="67" t="s">
        <v>44</v>
      </c>
      <c r="CS12" s="68" t="s">
        <v>44</v>
      </c>
      <c r="CT12" s="69">
        <v>23797</v>
      </c>
      <c r="CU12" s="66"/>
      <c r="CV12" s="67" t="s">
        <v>44</v>
      </c>
      <c r="CW12" s="68" t="s">
        <v>44</v>
      </c>
      <c r="CX12" s="69">
        <v>350.97021686201231</v>
      </c>
      <c r="CY12" s="74"/>
      <c r="CZ12" s="75">
        <f t="shared" ref="CZ12:DA43" si="0">D12+X12</f>
        <v>1756.7000000000003</v>
      </c>
      <c r="DA12" s="76">
        <f t="shared" si="0"/>
        <v>0</v>
      </c>
      <c r="DB12" s="77" t="e">
        <f>(CZ12/#REF!)*100</f>
        <v>#REF!</v>
      </c>
      <c r="DC12" s="78" t="e">
        <f>(DA12/#REF!)*100</f>
        <v>#REF!</v>
      </c>
      <c r="DD12" s="69">
        <f t="shared" ref="DD12:DO33" si="1">J12+AD12</f>
        <v>607011</v>
      </c>
      <c r="DE12" s="79">
        <f t="shared" si="1"/>
        <v>0</v>
      </c>
      <c r="DF12" s="79" t="e">
        <f t="shared" si="1"/>
        <v>#VALUE!</v>
      </c>
      <c r="DG12" s="80" t="e">
        <f t="shared" si="1"/>
        <v>#VALUE!</v>
      </c>
      <c r="DH12" s="69">
        <f t="shared" si="1"/>
        <v>595210</v>
      </c>
      <c r="DI12" s="66">
        <f t="shared" si="1"/>
        <v>0</v>
      </c>
      <c r="DJ12" s="66" t="e">
        <f t="shared" si="1"/>
        <v>#VALUE!</v>
      </c>
      <c r="DK12" s="66" t="e">
        <f t="shared" si="1"/>
        <v>#VALUE!</v>
      </c>
      <c r="DL12" s="69">
        <f t="shared" si="1"/>
        <v>11801</v>
      </c>
      <c r="DM12" s="66">
        <f t="shared" si="1"/>
        <v>0</v>
      </c>
      <c r="DN12" s="66" t="e">
        <f t="shared" si="1"/>
        <v>#VALUE!</v>
      </c>
      <c r="DO12" s="72" t="e">
        <f t="shared" si="1"/>
        <v>#VALUE!</v>
      </c>
      <c r="DP12" s="81">
        <f>DD12/CZ12</f>
        <v>345.54050207775936</v>
      </c>
      <c r="DQ12" s="82" t="e">
        <f>DE12/DA12</f>
        <v>#DIV/0!</v>
      </c>
      <c r="DR12" s="83">
        <f>CZ12-DA12</f>
        <v>1756.7000000000003</v>
      </c>
      <c r="DS12" s="84">
        <f t="shared" ref="DS12:DS61" si="2">ABS((DR12/CZ12)*100)</f>
        <v>100</v>
      </c>
      <c r="DT12" s="79" t="e">
        <f t="shared" ref="DT12:DT61" si="3">(DD12+DF12)-(DE12+DG12)</f>
        <v>#VALUE!</v>
      </c>
      <c r="DU12" s="84" t="e">
        <f t="shared" ref="DU12:DU61" si="4">ABS((DT12/(DD12+DF12)*100))</f>
        <v>#VALUE!</v>
      </c>
      <c r="DV12" s="79">
        <f t="shared" ref="DV12:DV61" si="5">DD12-DE12</f>
        <v>607011</v>
      </c>
      <c r="DW12" s="85">
        <f t="shared" ref="DW12:DW61" si="6">ABS((DV12/DD12)*100)</f>
        <v>100</v>
      </c>
      <c r="DX12" s="86" t="e">
        <f t="shared" ref="DX12:DX61" si="7">DF12-DG12</f>
        <v>#VALUE!</v>
      </c>
      <c r="DY12" s="84" t="e">
        <f t="shared" ref="DY12:DY61" si="8">ABS((DX12/DF12)*100)</f>
        <v>#VALUE!</v>
      </c>
      <c r="DZ12" s="79">
        <f t="shared" ref="DZ12:DZ61" si="9">DH12-DI12</f>
        <v>595210</v>
      </c>
      <c r="EA12" s="85">
        <f t="shared" ref="EA12:EA61" si="10">ABS((DZ12/DH12)*100)</f>
        <v>100</v>
      </c>
      <c r="EB12" s="86" t="e">
        <f t="shared" ref="EB12:EB61" si="11">DJ12-DK12</f>
        <v>#VALUE!</v>
      </c>
      <c r="EC12" s="84" t="e">
        <f t="shared" ref="EC12:EC61" si="12">ABS((EB12/DJ12)*100)</f>
        <v>#VALUE!</v>
      </c>
      <c r="ED12" s="79">
        <f t="shared" ref="ED12:ED61" si="13">DL12-DM12</f>
        <v>11801</v>
      </c>
      <c r="EE12" s="87">
        <v>0</v>
      </c>
      <c r="EF12" s="66" t="e">
        <f t="shared" ref="EF12:EF61" si="14">DN12-DO12</f>
        <v>#VALUE!</v>
      </c>
      <c r="EG12" s="87" t="e">
        <f t="shared" ref="EG12:EG61" si="15">ABS((EF12/DN12)*100)</f>
        <v>#VALUE!</v>
      </c>
      <c r="EH12" s="65" t="e">
        <f>DP12-DQ12</f>
        <v>#DIV/0!</v>
      </c>
      <c r="EI12" s="88" t="e">
        <f>ABS(EH12/DP12)*100</f>
        <v>#DIV/0!</v>
      </c>
    </row>
    <row r="13" spans="1:140" s="124" customFormat="1" ht="15.75" customHeight="1" x14ac:dyDescent="0.3">
      <c r="A13" s="1070"/>
      <c r="B13" s="90"/>
      <c r="C13" s="91" t="s">
        <v>45</v>
      </c>
      <c r="D13" s="92">
        <v>442.4</v>
      </c>
      <c r="E13" s="93"/>
      <c r="F13" s="93">
        <v>20.490968040759611</v>
      </c>
      <c r="G13" s="93"/>
      <c r="H13" s="94" t="s">
        <v>44</v>
      </c>
      <c r="I13" s="95" t="s">
        <v>44</v>
      </c>
      <c r="J13" s="96">
        <v>235499</v>
      </c>
      <c r="K13" s="97"/>
      <c r="L13" s="98" t="s">
        <v>44</v>
      </c>
      <c r="M13" s="99" t="s">
        <v>44</v>
      </c>
      <c r="N13" s="100">
        <v>229631</v>
      </c>
      <c r="O13" s="101"/>
      <c r="P13" s="94" t="s">
        <v>44</v>
      </c>
      <c r="Q13" s="95" t="s">
        <v>44</v>
      </c>
      <c r="R13" s="100">
        <v>5868</v>
      </c>
      <c r="S13" s="97"/>
      <c r="T13" s="94" t="s">
        <v>44</v>
      </c>
      <c r="U13" s="95" t="s">
        <v>44</v>
      </c>
      <c r="V13" s="102">
        <v>532</v>
      </c>
      <c r="W13" s="102"/>
      <c r="X13" s="92">
        <v>443.6</v>
      </c>
      <c r="Y13" s="93"/>
      <c r="Z13" s="93">
        <v>20.31135531135531</v>
      </c>
      <c r="AA13" s="93"/>
      <c r="AB13" s="94" t="s">
        <v>44</v>
      </c>
      <c r="AC13" s="95" t="s">
        <v>44</v>
      </c>
      <c r="AD13" s="96">
        <v>247032</v>
      </c>
      <c r="AE13" s="97"/>
      <c r="AF13" s="98" t="s">
        <v>44</v>
      </c>
      <c r="AG13" s="99" t="s">
        <v>44</v>
      </c>
      <c r="AH13" s="100">
        <v>241099</v>
      </c>
      <c r="AI13" s="101"/>
      <c r="AJ13" s="94" t="s">
        <v>44</v>
      </c>
      <c r="AK13" s="95" t="s">
        <v>44</v>
      </c>
      <c r="AL13" s="100">
        <v>5933</v>
      </c>
      <c r="AM13" s="97"/>
      <c r="AN13" s="94" t="s">
        <v>44</v>
      </c>
      <c r="AO13" s="95" t="s">
        <v>44</v>
      </c>
      <c r="AP13" s="102">
        <v>557</v>
      </c>
      <c r="AQ13" s="102"/>
      <c r="AR13" s="92">
        <v>451.4</v>
      </c>
      <c r="AS13" s="93"/>
      <c r="AT13" s="93">
        <v>20.443840579710145</v>
      </c>
      <c r="AU13" s="93"/>
      <c r="AV13" s="94" t="s">
        <v>44</v>
      </c>
      <c r="AW13" s="95" t="s">
        <v>44</v>
      </c>
      <c r="AX13" s="96">
        <v>253378</v>
      </c>
      <c r="AY13" s="97"/>
      <c r="AZ13" s="98" t="s">
        <v>44</v>
      </c>
      <c r="BA13" s="99" t="s">
        <v>44</v>
      </c>
      <c r="BB13" s="100">
        <v>247380</v>
      </c>
      <c r="BC13" s="101"/>
      <c r="BD13" s="94" t="s">
        <v>44</v>
      </c>
      <c r="BE13" s="95" t="s">
        <v>44</v>
      </c>
      <c r="BF13" s="100">
        <v>5998</v>
      </c>
      <c r="BG13" s="97"/>
      <c r="BH13" s="94" t="s">
        <v>44</v>
      </c>
      <c r="BI13" s="95" t="s">
        <v>44</v>
      </c>
      <c r="BJ13" s="102">
        <v>561</v>
      </c>
      <c r="BK13" s="102"/>
      <c r="BL13" s="92">
        <v>448.2</v>
      </c>
      <c r="BM13" s="93"/>
      <c r="BN13" s="93">
        <v>20.289723856948847</v>
      </c>
      <c r="BO13" s="93"/>
      <c r="BP13" s="94" t="s">
        <v>44</v>
      </c>
      <c r="BQ13" s="95" t="s">
        <v>44</v>
      </c>
      <c r="BR13" s="96">
        <v>254097</v>
      </c>
      <c r="BS13" s="97"/>
      <c r="BT13" s="98" t="s">
        <v>44</v>
      </c>
      <c r="BU13" s="99" t="s">
        <v>44</v>
      </c>
      <c r="BV13" s="100">
        <v>248099</v>
      </c>
      <c r="BW13" s="101"/>
      <c r="BX13" s="94" t="s">
        <v>44</v>
      </c>
      <c r="BY13" s="95" t="s">
        <v>44</v>
      </c>
      <c r="BZ13" s="100">
        <v>5998</v>
      </c>
      <c r="CA13" s="97"/>
      <c r="CB13" s="94" t="s">
        <v>44</v>
      </c>
      <c r="CC13" s="95" t="s">
        <v>44</v>
      </c>
      <c r="CD13" s="102">
        <v>567</v>
      </c>
      <c r="CE13" s="102"/>
      <c r="CF13" s="103">
        <v>1785.6000000000001</v>
      </c>
      <c r="CG13" s="104"/>
      <c r="CH13" s="105">
        <v>20.38356164383562</v>
      </c>
      <c r="CI13" s="106"/>
      <c r="CJ13" s="98" t="s">
        <v>44</v>
      </c>
      <c r="CK13" s="99" t="s">
        <v>44</v>
      </c>
      <c r="CL13" s="100">
        <v>990006</v>
      </c>
      <c r="CM13" s="107"/>
      <c r="CN13" s="108" t="s">
        <v>44</v>
      </c>
      <c r="CO13" s="99" t="s">
        <v>44</v>
      </c>
      <c r="CP13" s="100">
        <v>966209</v>
      </c>
      <c r="CQ13" s="97"/>
      <c r="CR13" s="98" t="s">
        <v>44</v>
      </c>
      <c r="CS13" s="99" t="s">
        <v>44</v>
      </c>
      <c r="CT13" s="100">
        <v>23797</v>
      </c>
      <c r="CU13" s="97"/>
      <c r="CV13" s="98" t="s">
        <v>44</v>
      </c>
      <c r="CW13" s="99" t="s">
        <v>44</v>
      </c>
      <c r="CX13" s="100">
        <v>554.4388440860215</v>
      </c>
      <c r="CY13" s="109"/>
      <c r="CZ13" s="110">
        <f t="shared" si="0"/>
        <v>886</v>
      </c>
      <c r="DA13" s="111">
        <f t="shared" si="0"/>
        <v>0</v>
      </c>
      <c r="DB13" s="112">
        <f>(CZ13/4343)*100</f>
        <v>20.400644715634353</v>
      </c>
      <c r="DC13" s="113">
        <f>(DA13/4343)*100</f>
        <v>0</v>
      </c>
      <c r="DD13" s="100">
        <f t="shared" si="1"/>
        <v>482531</v>
      </c>
      <c r="DE13" s="102">
        <f t="shared" si="1"/>
        <v>0</v>
      </c>
      <c r="DF13" s="102" t="e">
        <f t="shared" si="1"/>
        <v>#VALUE!</v>
      </c>
      <c r="DG13" s="114" t="e">
        <f t="shared" si="1"/>
        <v>#VALUE!</v>
      </c>
      <c r="DH13" s="100">
        <f t="shared" si="1"/>
        <v>470730</v>
      </c>
      <c r="DI13" s="97">
        <f t="shared" si="1"/>
        <v>0</v>
      </c>
      <c r="DJ13" s="97" t="e">
        <f t="shared" si="1"/>
        <v>#VALUE!</v>
      </c>
      <c r="DK13" s="97" t="e">
        <f t="shared" si="1"/>
        <v>#VALUE!</v>
      </c>
      <c r="DL13" s="100">
        <f t="shared" si="1"/>
        <v>11801</v>
      </c>
      <c r="DM13" s="97">
        <f t="shared" si="1"/>
        <v>0</v>
      </c>
      <c r="DN13" s="97" t="e">
        <f t="shared" si="1"/>
        <v>#VALUE!</v>
      </c>
      <c r="DO13" s="115" t="e">
        <f t="shared" si="1"/>
        <v>#VALUE!</v>
      </c>
      <c r="DP13" s="100">
        <f>ROUND((DD13/CZ13),0)</f>
        <v>545</v>
      </c>
      <c r="DQ13" s="116" t="e">
        <f>ROUND((DE13/DA13),0)</f>
        <v>#DIV/0!</v>
      </c>
      <c r="DR13" s="117">
        <f>CZ13-DA13</f>
        <v>886</v>
      </c>
      <c r="DS13" s="118">
        <f t="shared" si="2"/>
        <v>100</v>
      </c>
      <c r="DT13" s="104" t="e">
        <f t="shared" si="3"/>
        <v>#VALUE!</v>
      </c>
      <c r="DU13" s="118" t="e">
        <f t="shared" si="4"/>
        <v>#VALUE!</v>
      </c>
      <c r="DV13" s="104">
        <f t="shared" si="5"/>
        <v>482531</v>
      </c>
      <c r="DW13" s="119">
        <f t="shared" si="6"/>
        <v>100</v>
      </c>
      <c r="DX13" s="120" t="e">
        <f t="shared" si="7"/>
        <v>#VALUE!</v>
      </c>
      <c r="DY13" s="118" t="e">
        <f t="shared" si="8"/>
        <v>#VALUE!</v>
      </c>
      <c r="DZ13" s="104">
        <f t="shared" si="9"/>
        <v>470730</v>
      </c>
      <c r="EA13" s="119">
        <f t="shared" si="10"/>
        <v>100</v>
      </c>
      <c r="EB13" s="120" t="e">
        <f t="shared" si="11"/>
        <v>#VALUE!</v>
      </c>
      <c r="EC13" s="118" t="e">
        <f t="shared" si="12"/>
        <v>#VALUE!</v>
      </c>
      <c r="ED13" s="104">
        <f t="shared" si="13"/>
        <v>11801</v>
      </c>
      <c r="EE13" s="121">
        <v>0</v>
      </c>
      <c r="EF13" s="120" t="e">
        <f t="shared" si="14"/>
        <v>#VALUE!</v>
      </c>
      <c r="EG13" s="121" t="e">
        <f t="shared" si="15"/>
        <v>#VALUE!</v>
      </c>
      <c r="EH13" s="122" t="e">
        <f>DP13-DQ13</f>
        <v>#DIV/0!</v>
      </c>
      <c r="EI13" s="123" t="e">
        <f>ABS(EH13/DP13)*100</f>
        <v>#DIV/0!</v>
      </c>
    </row>
    <row r="14" spans="1:140" ht="15.75" customHeight="1" x14ac:dyDescent="0.3">
      <c r="A14" s="1070"/>
      <c r="B14" s="90"/>
      <c r="C14" s="91" t="s">
        <v>46</v>
      </c>
      <c r="D14" s="92">
        <v>85</v>
      </c>
      <c r="E14" s="93"/>
      <c r="F14" s="93">
        <v>3.9370078740157481</v>
      </c>
      <c r="G14" s="93"/>
      <c r="H14" s="94" t="s">
        <v>44</v>
      </c>
      <c r="I14" s="95" t="s">
        <v>44</v>
      </c>
      <c r="J14" s="125">
        <v>0</v>
      </c>
      <c r="K14" s="120"/>
      <c r="L14" s="98" t="s">
        <v>44</v>
      </c>
      <c r="M14" s="99" t="s">
        <v>44</v>
      </c>
      <c r="N14" s="100">
        <v>0</v>
      </c>
      <c r="O14" s="126"/>
      <c r="P14" s="94" t="s">
        <v>44</v>
      </c>
      <c r="Q14" s="95" t="s">
        <v>44</v>
      </c>
      <c r="R14" s="100">
        <v>0</v>
      </c>
      <c r="S14" s="97"/>
      <c r="T14" s="94" t="s">
        <v>44</v>
      </c>
      <c r="U14" s="95" t="s">
        <v>44</v>
      </c>
      <c r="V14" s="102">
        <v>0</v>
      </c>
      <c r="W14" s="102"/>
      <c r="X14" s="92">
        <v>85.6</v>
      </c>
      <c r="Y14" s="93"/>
      <c r="Z14" s="93">
        <v>3.9194139194139193</v>
      </c>
      <c r="AA14" s="93"/>
      <c r="AB14" s="94" t="s">
        <v>44</v>
      </c>
      <c r="AC14" s="95" t="s">
        <v>44</v>
      </c>
      <c r="AD14" s="125">
        <v>0</v>
      </c>
      <c r="AE14" s="120"/>
      <c r="AF14" s="98" t="s">
        <v>44</v>
      </c>
      <c r="AG14" s="99" t="s">
        <v>44</v>
      </c>
      <c r="AH14" s="100">
        <v>0</v>
      </c>
      <c r="AI14" s="126"/>
      <c r="AJ14" s="94" t="s">
        <v>44</v>
      </c>
      <c r="AK14" s="95" t="s">
        <v>44</v>
      </c>
      <c r="AL14" s="100">
        <v>0</v>
      </c>
      <c r="AM14" s="97"/>
      <c r="AN14" s="94" t="s">
        <v>44</v>
      </c>
      <c r="AO14" s="95" t="s">
        <v>44</v>
      </c>
      <c r="AP14" s="102">
        <v>0</v>
      </c>
      <c r="AQ14" s="102"/>
      <c r="AR14" s="92">
        <v>86.2</v>
      </c>
      <c r="AS14" s="93"/>
      <c r="AT14" s="93">
        <v>3.9039855072463769</v>
      </c>
      <c r="AU14" s="93"/>
      <c r="AV14" s="94" t="s">
        <v>44</v>
      </c>
      <c r="AW14" s="95" t="s">
        <v>44</v>
      </c>
      <c r="AX14" s="125">
        <v>0</v>
      </c>
      <c r="AY14" s="120"/>
      <c r="AZ14" s="98" t="s">
        <v>44</v>
      </c>
      <c r="BA14" s="99" t="s">
        <v>44</v>
      </c>
      <c r="BB14" s="100">
        <v>0</v>
      </c>
      <c r="BC14" s="126"/>
      <c r="BD14" s="94" t="s">
        <v>44</v>
      </c>
      <c r="BE14" s="95" t="s">
        <v>44</v>
      </c>
      <c r="BF14" s="100">
        <v>0</v>
      </c>
      <c r="BG14" s="97"/>
      <c r="BH14" s="94" t="s">
        <v>44</v>
      </c>
      <c r="BI14" s="95" t="s">
        <v>44</v>
      </c>
      <c r="BJ14" s="102">
        <v>0</v>
      </c>
      <c r="BK14" s="102"/>
      <c r="BL14" s="92">
        <v>86.2</v>
      </c>
      <c r="BM14" s="93"/>
      <c r="BN14" s="93">
        <v>3.9022181982797646</v>
      </c>
      <c r="BO14" s="93"/>
      <c r="BP14" s="94" t="s">
        <v>44</v>
      </c>
      <c r="BQ14" s="95" t="s">
        <v>44</v>
      </c>
      <c r="BR14" s="125">
        <v>0</v>
      </c>
      <c r="BS14" s="120"/>
      <c r="BT14" s="98" t="s">
        <v>44</v>
      </c>
      <c r="BU14" s="99" t="s">
        <v>44</v>
      </c>
      <c r="BV14" s="100">
        <v>0</v>
      </c>
      <c r="BW14" s="126"/>
      <c r="BX14" s="94" t="s">
        <v>44</v>
      </c>
      <c r="BY14" s="95" t="s">
        <v>44</v>
      </c>
      <c r="BZ14" s="100">
        <v>0</v>
      </c>
      <c r="CA14" s="97"/>
      <c r="CB14" s="94" t="s">
        <v>44</v>
      </c>
      <c r="CC14" s="95" t="s">
        <v>44</v>
      </c>
      <c r="CD14" s="102">
        <v>0</v>
      </c>
      <c r="CE14" s="102"/>
      <c r="CF14" s="103">
        <v>343</v>
      </c>
      <c r="CG14" s="102"/>
      <c r="CH14" s="105">
        <v>3.9155251141552516</v>
      </c>
      <c r="CI14" s="127"/>
      <c r="CJ14" s="98" t="s">
        <v>44</v>
      </c>
      <c r="CK14" s="99" t="s">
        <v>44</v>
      </c>
      <c r="CL14" s="100">
        <v>0</v>
      </c>
      <c r="CM14" s="107"/>
      <c r="CN14" s="108" t="s">
        <v>44</v>
      </c>
      <c r="CO14" s="99" t="s">
        <v>44</v>
      </c>
      <c r="CP14" s="100">
        <v>0</v>
      </c>
      <c r="CQ14" s="97"/>
      <c r="CR14" s="98" t="s">
        <v>44</v>
      </c>
      <c r="CS14" s="99" t="s">
        <v>44</v>
      </c>
      <c r="CT14" s="100">
        <v>0</v>
      </c>
      <c r="CU14" s="97"/>
      <c r="CV14" s="98" t="s">
        <v>44</v>
      </c>
      <c r="CW14" s="99" t="s">
        <v>44</v>
      </c>
      <c r="CX14" s="100">
        <v>0</v>
      </c>
      <c r="CY14" s="128"/>
      <c r="CZ14" s="110">
        <f t="shared" si="0"/>
        <v>170.6</v>
      </c>
      <c r="DA14" s="111">
        <f t="shared" si="0"/>
        <v>0</v>
      </c>
      <c r="DB14" s="112">
        <f t="shared" ref="DB14:DC17" si="16">(CZ14/4343)*100</f>
        <v>3.9281602578862533</v>
      </c>
      <c r="DC14" s="113">
        <f t="shared" si="16"/>
        <v>0</v>
      </c>
      <c r="DD14" s="100">
        <f t="shared" si="1"/>
        <v>0</v>
      </c>
      <c r="DE14" s="102">
        <f t="shared" si="1"/>
        <v>0</v>
      </c>
      <c r="DF14" s="102" t="e">
        <f t="shared" si="1"/>
        <v>#VALUE!</v>
      </c>
      <c r="DG14" s="114" t="e">
        <f t="shared" si="1"/>
        <v>#VALUE!</v>
      </c>
      <c r="DH14" s="100">
        <f t="shared" si="1"/>
        <v>0</v>
      </c>
      <c r="DI14" s="97">
        <f t="shared" si="1"/>
        <v>0</v>
      </c>
      <c r="DJ14" s="97" t="e">
        <f t="shared" si="1"/>
        <v>#VALUE!</v>
      </c>
      <c r="DK14" s="97" t="e">
        <f t="shared" si="1"/>
        <v>#VALUE!</v>
      </c>
      <c r="DL14" s="100">
        <f t="shared" si="1"/>
        <v>0</v>
      </c>
      <c r="DM14" s="97">
        <f t="shared" si="1"/>
        <v>0</v>
      </c>
      <c r="DN14" s="97" t="e">
        <f t="shared" si="1"/>
        <v>#VALUE!</v>
      </c>
      <c r="DO14" s="115" t="e">
        <f t="shared" si="1"/>
        <v>#VALUE!</v>
      </c>
      <c r="DP14" s="100">
        <f>ROUND((DD14/CZ14),0)</f>
        <v>0</v>
      </c>
      <c r="DQ14" s="116" t="e">
        <f t="shared" ref="DQ14:DQ17" si="17">ROUND((DE14/DA14),0)</f>
        <v>#DIV/0!</v>
      </c>
      <c r="DR14" s="117">
        <f t="shared" ref="DR14:DR81" si="18">CZ14-DA14</f>
        <v>170.6</v>
      </c>
      <c r="DS14" s="118">
        <f t="shared" si="2"/>
        <v>100</v>
      </c>
      <c r="DT14" s="104" t="e">
        <f t="shared" si="3"/>
        <v>#VALUE!</v>
      </c>
      <c r="DU14" s="118" t="e">
        <f t="shared" si="4"/>
        <v>#VALUE!</v>
      </c>
      <c r="DV14" s="104">
        <f t="shared" si="5"/>
        <v>0</v>
      </c>
      <c r="DW14" s="119" t="e">
        <f t="shared" si="6"/>
        <v>#DIV/0!</v>
      </c>
      <c r="DX14" s="120" t="e">
        <f t="shared" si="7"/>
        <v>#VALUE!</v>
      </c>
      <c r="DY14" s="118" t="e">
        <f t="shared" si="8"/>
        <v>#VALUE!</v>
      </c>
      <c r="DZ14" s="104">
        <f t="shared" si="9"/>
        <v>0</v>
      </c>
      <c r="EA14" s="119" t="e">
        <f t="shared" si="10"/>
        <v>#DIV/0!</v>
      </c>
      <c r="EB14" s="120" t="e">
        <f t="shared" si="11"/>
        <v>#VALUE!</v>
      </c>
      <c r="EC14" s="118" t="e">
        <f t="shared" si="12"/>
        <v>#VALUE!</v>
      </c>
      <c r="ED14" s="104">
        <f t="shared" si="13"/>
        <v>0</v>
      </c>
      <c r="EE14" s="121">
        <v>0</v>
      </c>
      <c r="EF14" s="120" t="e">
        <f t="shared" si="14"/>
        <v>#VALUE!</v>
      </c>
      <c r="EG14" s="121" t="e">
        <f t="shared" si="15"/>
        <v>#VALUE!</v>
      </c>
      <c r="EH14" s="122" t="e">
        <f t="shared" ref="EH14:EH81" si="19">DP14-DQ14</f>
        <v>#DIV/0!</v>
      </c>
      <c r="EI14" s="123" t="e">
        <f t="shared" ref="EI14:EI80" si="20">ABS(EH14/DP14)*100</f>
        <v>#DIV/0!</v>
      </c>
    </row>
    <row r="15" spans="1:140" ht="15.75" customHeight="1" x14ac:dyDescent="0.3">
      <c r="A15" s="1070"/>
      <c r="B15" s="90"/>
      <c r="C15" s="91" t="s">
        <v>47</v>
      </c>
      <c r="D15" s="92">
        <v>79.2</v>
      </c>
      <c r="E15" s="93"/>
      <c r="F15" s="93">
        <v>3.6683649837887913</v>
      </c>
      <c r="G15" s="93"/>
      <c r="H15" s="94" t="s">
        <v>44</v>
      </c>
      <c r="I15" s="95" t="s">
        <v>44</v>
      </c>
      <c r="J15" s="125">
        <v>0</v>
      </c>
      <c r="K15" s="120"/>
      <c r="L15" s="98" t="s">
        <v>44</v>
      </c>
      <c r="M15" s="99" t="s">
        <v>44</v>
      </c>
      <c r="N15" s="100">
        <v>0</v>
      </c>
      <c r="O15" s="126"/>
      <c r="P15" s="94" t="s">
        <v>44</v>
      </c>
      <c r="Q15" s="95" t="s">
        <v>44</v>
      </c>
      <c r="R15" s="100">
        <v>0</v>
      </c>
      <c r="S15" s="97"/>
      <c r="T15" s="94" t="s">
        <v>44</v>
      </c>
      <c r="U15" s="95" t="s">
        <v>44</v>
      </c>
      <c r="V15" s="102">
        <v>0</v>
      </c>
      <c r="W15" s="102"/>
      <c r="X15" s="92">
        <v>78.7</v>
      </c>
      <c r="Y15" s="93"/>
      <c r="Z15" s="93">
        <v>3.603479853479854</v>
      </c>
      <c r="AA15" s="93"/>
      <c r="AB15" s="94" t="s">
        <v>44</v>
      </c>
      <c r="AC15" s="95" t="s">
        <v>44</v>
      </c>
      <c r="AD15" s="125">
        <v>0</v>
      </c>
      <c r="AE15" s="120"/>
      <c r="AF15" s="98" t="s">
        <v>44</v>
      </c>
      <c r="AG15" s="99" t="s">
        <v>44</v>
      </c>
      <c r="AH15" s="100">
        <v>0</v>
      </c>
      <c r="AI15" s="126"/>
      <c r="AJ15" s="94" t="s">
        <v>44</v>
      </c>
      <c r="AK15" s="95" t="s">
        <v>44</v>
      </c>
      <c r="AL15" s="100">
        <v>0</v>
      </c>
      <c r="AM15" s="97"/>
      <c r="AN15" s="94" t="s">
        <v>44</v>
      </c>
      <c r="AO15" s="95" t="s">
        <v>44</v>
      </c>
      <c r="AP15" s="102">
        <v>0</v>
      </c>
      <c r="AQ15" s="102"/>
      <c r="AR15" s="92">
        <v>79.7</v>
      </c>
      <c r="AS15" s="93"/>
      <c r="AT15" s="93">
        <v>3.6096014492753623</v>
      </c>
      <c r="AU15" s="93"/>
      <c r="AV15" s="94" t="s">
        <v>44</v>
      </c>
      <c r="AW15" s="95" t="s">
        <v>44</v>
      </c>
      <c r="AX15" s="125">
        <v>0</v>
      </c>
      <c r="AY15" s="120"/>
      <c r="AZ15" s="98" t="s">
        <v>44</v>
      </c>
      <c r="BA15" s="99" t="s">
        <v>44</v>
      </c>
      <c r="BB15" s="100">
        <v>0</v>
      </c>
      <c r="BC15" s="126"/>
      <c r="BD15" s="94" t="s">
        <v>44</v>
      </c>
      <c r="BE15" s="95" t="s">
        <v>44</v>
      </c>
      <c r="BF15" s="100">
        <v>0</v>
      </c>
      <c r="BG15" s="97"/>
      <c r="BH15" s="94" t="s">
        <v>44</v>
      </c>
      <c r="BI15" s="95" t="s">
        <v>44</v>
      </c>
      <c r="BJ15" s="102">
        <v>0</v>
      </c>
      <c r="BK15" s="102"/>
      <c r="BL15" s="92">
        <v>80.2</v>
      </c>
      <c r="BM15" s="93"/>
      <c r="BN15" s="93">
        <v>3.6306020823902219</v>
      </c>
      <c r="BO15" s="93"/>
      <c r="BP15" s="94" t="s">
        <v>44</v>
      </c>
      <c r="BQ15" s="95" t="s">
        <v>44</v>
      </c>
      <c r="BR15" s="125">
        <v>0</v>
      </c>
      <c r="BS15" s="120"/>
      <c r="BT15" s="98" t="s">
        <v>44</v>
      </c>
      <c r="BU15" s="99" t="s">
        <v>44</v>
      </c>
      <c r="BV15" s="100">
        <v>0</v>
      </c>
      <c r="BW15" s="126"/>
      <c r="BX15" s="94" t="s">
        <v>44</v>
      </c>
      <c r="BY15" s="95" t="s">
        <v>44</v>
      </c>
      <c r="BZ15" s="100">
        <v>0</v>
      </c>
      <c r="CA15" s="97"/>
      <c r="CB15" s="94" t="s">
        <v>44</v>
      </c>
      <c r="CC15" s="95" t="s">
        <v>44</v>
      </c>
      <c r="CD15" s="102">
        <v>0</v>
      </c>
      <c r="CE15" s="102"/>
      <c r="CF15" s="103">
        <v>317.8</v>
      </c>
      <c r="CG15" s="102"/>
      <c r="CH15" s="105">
        <v>3.6278538812785386</v>
      </c>
      <c r="CI15" s="127"/>
      <c r="CJ15" s="98" t="s">
        <v>44</v>
      </c>
      <c r="CK15" s="99" t="s">
        <v>44</v>
      </c>
      <c r="CL15" s="100">
        <v>0</v>
      </c>
      <c r="CM15" s="107"/>
      <c r="CN15" s="108" t="s">
        <v>44</v>
      </c>
      <c r="CO15" s="99" t="s">
        <v>44</v>
      </c>
      <c r="CP15" s="100">
        <v>0</v>
      </c>
      <c r="CQ15" s="97"/>
      <c r="CR15" s="98" t="s">
        <v>44</v>
      </c>
      <c r="CS15" s="99" t="s">
        <v>44</v>
      </c>
      <c r="CT15" s="100">
        <v>0</v>
      </c>
      <c r="CU15" s="97"/>
      <c r="CV15" s="98" t="s">
        <v>44</v>
      </c>
      <c r="CW15" s="99" t="s">
        <v>44</v>
      </c>
      <c r="CX15" s="100">
        <v>0</v>
      </c>
      <c r="CY15" s="129"/>
      <c r="CZ15" s="110">
        <f t="shared" si="0"/>
        <v>157.9</v>
      </c>
      <c r="DA15" s="111">
        <f t="shared" si="0"/>
        <v>0</v>
      </c>
      <c r="DB15" s="112">
        <f t="shared" si="16"/>
        <v>3.6357356665899148</v>
      </c>
      <c r="DC15" s="113">
        <f t="shared" si="16"/>
        <v>0</v>
      </c>
      <c r="DD15" s="100">
        <f t="shared" si="1"/>
        <v>0</v>
      </c>
      <c r="DE15" s="102">
        <f t="shared" si="1"/>
        <v>0</v>
      </c>
      <c r="DF15" s="102" t="e">
        <f t="shared" si="1"/>
        <v>#VALUE!</v>
      </c>
      <c r="DG15" s="114" t="e">
        <f t="shared" si="1"/>
        <v>#VALUE!</v>
      </c>
      <c r="DH15" s="100">
        <f t="shared" si="1"/>
        <v>0</v>
      </c>
      <c r="DI15" s="97">
        <f t="shared" si="1"/>
        <v>0</v>
      </c>
      <c r="DJ15" s="97" t="e">
        <f t="shared" si="1"/>
        <v>#VALUE!</v>
      </c>
      <c r="DK15" s="97" t="e">
        <f t="shared" si="1"/>
        <v>#VALUE!</v>
      </c>
      <c r="DL15" s="100">
        <f t="shared" si="1"/>
        <v>0</v>
      </c>
      <c r="DM15" s="97">
        <f t="shared" si="1"/>
        <v>0</v>
      </c>
      <c r="DN15" s="97" t="e">
        <f t="shared" si="1"/>
        <v>#VALUE!</v>
      </c>
      <c r="DO15" s="115" t="e">
        <f t="shared" si="1"/>
        <v>#VALUE!</v>
      </c>
      <c r="DP15" s="100">
        <f t="shared" ref="DP15:DP17" si="21">ROUND((DD15/CZ15),0)</f>
        <v>0</v>
      </c>
      <c r="DQ15" s="116" t="e">
        <f t="shared" si="17"/>
        <v>#DIV/0!</v>
      </c>
      <c r="DR15" s="117">
        <f t="shared" si="18"/>
        <v>157.9</v>
      </c>
      <c r="DS15" s="118">
        <f t="shared" si="2"/>
        <v>100</v>
      </c>
      <c r="DT15" s="104" t="e">
        <f t="shared" si="3"/>
        <v>#VALUE!</v>
      </c>
      <c r="DU15" s="118" t="e">
        <f t="shared" si="4"/>
        <v>#VALUE!</v>
      </c>
      <c r="DV15" s="104">
        <f t="shared" si="5"/>
        <v>0</v>
      </c>
      <c r="DW15" s="119" t="e">
        <f t="shared" si="6"/>
        <v>#DIV/0!</v>
      </c>
      <c r="DX15" s="120" t="e">
        <f t="shared" si="7"/>
        <v>#VALUE!</v>
      </c>
      <c r="DY15" s="118" t="e">
        <f t="shared" si="8"/>
        <v>#VALUE!</v>
      </c>
      <c r="DZ15" s="104">
        <f t="shared" si="9"/>
        <v>0</v>
      </c>
      <c r="EA15" s="119" t="e">
        <f t="shared" si="10"/>
        <v>#DIV/0!</v>
      </c>
      <c r="EB15" s="120" t="e">
        <f t="shared" si="11"/>
        <v>#VALUE!</v>
      </c>
      <c r="EC15" s="118" t="e">
        <f t="shared" si="12"/>
        <v>#VALUE!</v>
      </c>
      <c r="ED15" s="104">
        <f t="shared" si="13"/>
        <v>0</v>
      </c>
      <c r="EE15" s="121">
        <v>0</v>
      </c>
      <c r="EF15" s="120" t="e">
        <f t="shared" si="14"/>
        <v>#VALUE!</v>
      </c>
      <c r="EG15" s="121" t="e">
        <f t="shared" si="15"/>
        <v>#VALUE!</v>
      </c>
      <c r="EH15" s="122" t="e">
        <f t="shared" si="19"/>
        <v>#DIV/0!</v>
      </c>
      <c r="EI15" s="123" t="e">
        <f t="shared" si="20"/>
        <v>#DIV/0!</v>
      </c>
    </row>
    <row r="16" spans="1:140" ht="15.75" customHeight="1" x14ac:dyDescent="0.3">
      <c r="A16" s="1070"/>
      <c r="B16" s="90"/>
      <c r="C16" s="91" t="s">
        <v>48</v>
      </c>
      <c r="D16" s="92">
        <v>186.4</v>
      </c>
      <c r="E16" s="93"/>
      <c r="F16" s="93">
        <v>8.6336266790180645</v>
      </c>
      <c r="G16" s="93"/>
      <c r="H16" s="94" t="s">
        <v>44</v>
      </c>
      <c r="I16" s="95" t="s">
        <v>44</v>
      </c>
      <c r="J16" s="125">
        <v>62091</v>
      </c>
      <c r="K16" s="120"/>
      <c r="L16" s="98" t="s">
        <v>44</v>
      </c>
      <c r="M16" s="99" t="s">
        <v>44</v>
      </c>
      <c r="N16" s="100">
        <v>62091</v>
      </c>
      <c r="O16" s="126"/>
      <c r="P16" s="94" t="s">
        <v>44</v>
      </c>
      <c r="Q16" s="95" t="s">
        <v>44</v>
      </c>
      <c r="R16" s="100">
        <v>0</v>
      </c>
      <c r="S16" s="97"/>
      <c r="T16" s="94" t="s">
        <v>44</v>
      </c>
      <c r="U16" s="95" t="s">
        <v>44</v>
      </c>
      <c r="V16" s="102">
        <v>333</v>
      </c>
      <c r="W16" s="102"/>
      <c r="X16" s="92">
        <v>186.9</v>
      </c>
      <c r="Y16" s="93"/>
      <c r="Z16" s="93">
        <v>8.5576923076923084</v>
      </c>
      <c r="AA16" s="93"/>
      <c r="AB16" s="94" t="s">
        <v>44</v>
      </c>
      <c r="AC16" s="95" t="s">
        <v>44</v>
      </c>
      <c r="AD16" s="125">
        <v>62389</v>
      </c>
      <c r="AE16" s="120"/>
      <c r="AF16" s="98" t="s">
        <v>44</v>
      </c>
      <c r="AG16" s="99" t="s">
        <v>44</v>
      </c>
      <c r="AH16" s="100">
        <v>62389</v>
      </c>
      <c r="AI16" s="126"/>
      <c r="AJ16" s="94" t="s">
        <v>44</v>
      </c>
      <c r="AK16" s="95" t="s">
        <v>44</v>
      </c>
      <c r="AL16" s="100">
        <v>0</v>
      </c>
      <c r="AM16" s="97"/>
      <c r="AN16" s="94" t="s">
        <v>44</v>
      </c>
      <c r="AO16" s="95" t="s">
        <v>44</v>
      </c>
      <c r="AP16" s="102">
        <v>334</v>
      </c>
      <c r="AQ16" s="102"/>
      <c r="AR16" s="92">
        <v>189.5</v>
      </c>
      <c r="AS16" s="93"/>
      <c r="AT16" s="93">
        <v>8.5824275362318847</v>
      </c>
      <c r="AU16" s="93"/>
      <c r="AV16" s="94" t="s">
        <v>44</v>
      </c>
      <c r="AW16" s="95" t="s">
        <v>44</v>
      </c>
      <c r="AX16" s="125">
        <v>62311</v>
      </c>
      <c r="AY16" s="120"/>
      <c r="AZ16" s="98" t="s">
        <v>44</v>
      </c>
      <c r="BA16" s="99" t="s">
        <v>44</v>
      </c>
      <c r="BB16" s="100">
        <v>62311</v>
      </c>
      <c r="BC16" s="126"/>
      <c r="BD16" s="94" t="s">
        <v>44</v>
      </c>
      <c r="BE16" s="95" t="s">
        <v>44</v>
      </c>
      <c r="BF16" s="100">
        <v>0</v>
      </c>
      <c r="BG16" s="97"/>
      <c r="BH16" s="94" t="s">
        <v>44</v>
      </c>
      <c r="BI16" s="95" t="s">
        <v>44</v>
      </c>
      <c r="BJ16" s="102">
        <v>329</v>
      </c>
      <c r="BK16" s="102"/>
      <c r="BL16" s="92">
        <v>188.4</v>
      </c>
      <c r="BM16" s="93"/>
      <c r="BN16" s="93">
        <v>8.5287460389316436</v>
      </c>
      <c r="BO16" s="93"/>
      <c r="BP16" s="94" t="s">
        <v>44</v>
      </c>
      <c r="BQ16" s="95" t="s">
        <v>44</v>
      </c>
      <c r="BR16" s="125">
        <v>62900</v>
      </c>
      <c r="BS16" s="120"/>
      <c r="BT16" s="98" t="s">
        <v>44</v>
      </c>
      <c r="BU16" s="99" t="s">
        <v>44</v>
      </c>
      <c r="BV16" s="100">
        <v>62900</v>
      </c>
      <c r="BW16" s="126"/>
      <c r="BX16" s="94" t="s">
        <v>44</v>
      </c>
      <c r="BY16" s="95" t="s">
        <v>44</v>
      </c>
      <c r="BZ16" s="100">
        <v>0</v>
      </c>
      <c r="CA16" s="97"/>
      <c r="CB16" s="94" t="s">
        <v>44</v>
      </c>
      <c r="CC16" s="95" t="s">
        <v>44</v>
      </c>
      <c r="CD16" s="102">
        <v>334</v>
      </c>
      <c r="CE16" s="102"/>
      <c r="CF16" s="103">
        <v>751.19999999999993</v>
      </c>
      <c r="CG16" s="102"/>
      <c r="CH16" s="105">
        <v>8.5753424657534243</v>
      </c>
      <c r="CI16" s="127"/>
      <c r="CJ16" s="98" t="s">
        <v>44</v>
      </c>
      <c r="CK16" s="99" t="s">
        <v>44</v>
      </c>
      <c r="CL16" s="100">
        <v>249691</v>
      </c>
      <c r="CM16" s="107"/>
      <c r="CN16" s="108" t="s">
        <v>44</v>
      </c>
      <c r="CO16" s="99" t="s">
        <v>44</v>
      </c>
      <c r="CP16" s="100">
        <v>249691</v>
      </c>
      <c r="CQ16" s="97"/>
      <c r="CR16" s="98" t="s">
        <v>44</v>
      </c>
      <c r="CS16" s="99" t="s">
        <v>44</v>
      </c>
      <c r="CT16" s="100">
        <v>0</v>
      </c>
      <c r="CU16" s="97"/>
      <c r="CV16" s="98" t="s">
        <v>44</v>
      </c>
      <c r="CW16" s="99" t="s">
        <v>44</v>
      </c>
      <c r="CX16" s="100">
        <v>332.3895101171459</v>
      </c>
      <c r="CY16" s="129"/>
      <c r="CZ16" s="110">
        <f t="shared" si="0"/>
        <v>373.3</v>
      </c>
      <c r="DA16" s="111">
        <f t="shared" si="0"/>
        <v>0</v>
      </c>
      <c r="DB16" s="112">
        <f t="shared" si="16"/>
        <v>8.5954409394427813</v>
      </c>
      <c r="DC16" s="113">
        <f t="shared" si="16"/>
        <v>0</v>
      </c>
      <c r="DD16" s="100">
        <f t="shared" si="1"/>
        <v>124480</v>
      </c>
      <c r="DE16" s="102">
        <f t="shared" si="1"/>
        <v>0</v>
      </c>
      <c r="DF16" s="102" t="e">
        <f t="shared" si="1"/>
        <v>#VALUE!</v>
      </c>
      <c r="DG16" s="114" t="e">
        <f t="shared" si="1"/>
        <v>#VALUE!</v>
      </c>
      <c r="DH16" s="100">
        <f t="shared" si="1"/>
        <v>124480</v>
      </c>
      <c r="DI16" s="97">
        <f t="shared" si="1"/>
        <v>0</v>
      </c>
      <c r="DJ16" s="97" t="e">
        <f t="shared" si="1"/>
        <v>#VALUE!</v>
      </c>
      <c r="DK16" s="97" t="e">
        <f t="shared" si="1"/>
        <v>#VALUE!</v>
      </c>
      <c r="DL16" s="100">
        <f t="shared" si="1"/>
        <v>0</v>
      </c>
      <c r="DM16" s="97">
        <f t="shared" si="1"/>
        <v>0</v>
      </c>
      <c r="DN16" s="97" t="e">
        <f t="shared" si="1"/>
        <v>#VALUE!</v>
      </c>
      <c r="DO16" s="115" t="e">
        <f t="shared" si="1"/>
        <v>#VALUE!</v>
      </c>
      <c r="DP16" s="100">
        <f t="shared" si="21"/>
        <v>333</v>
      </c>
      <c r="DQ16" s="116" t="e">
        <f t="shared" si="17"/>
        <v>#DIV/0!</v>
      </c>
      <c r="DR16" s="117">
        <f t="shared" si="18"/>
        <v>373.3</v>
      </c>
      <c r="DS16" s="118">
        <f t="shared" si="2"/>
        <v>100</v>
      </c>
      <c r="DT16" s="104" t="e">
        <f t="shared" si="3"/>
        <v>#VALUE!</v>
      </c>
      <c r="DU16" s="118" t="e">
        <f t="shared" si="4"/>
        <v>#VALUE!</v>
      </c>
      <c r="DV16" s="104">
        <f t="shared" si="5"/>
        <v>124480</v>
      </c>
      <c r="DW16" s="119">
        <f t="shared" si="6"/>
        <v>100</v>
      </c>
      <c r="DX16" s="120" t="e">
        <f t="shared" si="7"/>
        <v>#VALUE!</v>
      </c>
      <c r="DY16" s="118" t="e">
        <f t="shared" si="8"/>
        <v>#VALUE!</v>
      </c>
      <c r="DZ16" s="104">
        <f t="shared" si="9"/>
        <v>124480</v>
      </c>
      <c r="EA16" s="119">
        <f t="shared" si="10"/>
        <v>100</v>
      </c>
      <c r="EB16" s="120" t="e">
        <f t="shared" si="11"/>
        <v>#VALUE!</v>
      </c>
      <c r="EC16" s="118" t="e">
        <f t="shared" si="12"/>
        <v>#VALUE!</v>
      </c>
      <c r="ED16" s="104">
        <f t="shared" si="13"/>
        <v>0</v>
      </c>
      <c r="EE16" s="121">
        <v>0</v>
      </c>
      <c r="EF16" s="120" t="e">
        <f t="shared" si="14"/>
        <v>#VALUE!</v>
      </c>
      <c r="EG16" s="121" t="e">
        <f t="shared" si="15"/>
        <v>#VALUE!</v>
      </c>
      <c r="EH16" s="122" t="e">
        <f t="shared" si="19"/>
        <v>#DIV/0!</v>
      </c>
      <c r="EI16" s="123" t="e">
        <f t="shared" si="20"/>
        <v>#DIV/0!</v>
      </c>
    </row>
    <row r="17" spans="1:139" ht="15.75" customHeight="1" x14ac:dyDescent="0.3">
      <c r="A17" s="1070"/>
      <c r="B17" s="90"/>
      <c r="C17" s="91" t="s">
        <v>49</v>
      </c>
      <c r="D17" s="92">
        <v>80.2</v>
      </c>
      <c r="E17" s="93"/>
      <c r="F17" s="93">
        <v>3.7146827234830941</v>
      </c>
      <c r="G17" s="93"/>
      <c r="H17" s="94" t="s">
        <v>44</v>
      </c>
      <c r="I17" s="95" t="s">
        <v>44</v>
      </c>
      <c r="J17" s="125">
        <v>0</v>
      </c>
      <c r="K17" s="120"/>
      <c r="L17" s="98" t="s">
        <v>44</v>
      </c>
      <c r="M17" s="99" t="s">
        <v>44</v>
      </c>
      <c r="N17" s="100">
        <v>0</v>
      </c>
      <c r="O17" s="126"/>
      <c r="P17" s="94" t="s">
        <v>44</v>
      </c>
      <c r="Q17" s="95" t="s">
        <v>44</v>
      </c>
      <c r="R17" s="100">
        <v>0</v>
      </c>
      <c r="S17" s="97"/>
      <c r="T17" s="94" t="s">
        <v>44</v>
      </c>
      <c r="U17" s="95" t="s">
        <v>44</v>
      </c>
      <c r="V17" s="102">
        <v>0</v>
      </c>
      <c r="W17" s="102"/>
      <c r="X17" s="92">
        <v>88.7</v>
      </c>
      <c r="Y17" s="93"/>
      <c r="Z17" s="93">
        <v>4.0613553113553111</v>
      </c>
      <c r="AA17" s="93"/>
      <c r="AB17" s="94" t="s">
        <v>44</v>
      </c>
      <c r="AC17" s="95" t="s">
        <v>44</v>
      </c>
      <c r="AD17" s="125">
        <v>0</v>
      </c>
      <c r="AE17" s="120"/>
      <c r="AF17" s="98" t="s">
        <v>44</v>
      </c>
      <c r="AG17" s="99" t="s">
        <v>44</v>
      </c>
      <c r="AH17" s="100">
        <v>0</v>
      </c>
      <c r="AI17" s="126"/>
      <c r="AJ17" s="94" t="s">
        <v>44</v>
      </c>
      <c r="AK17" s="95" t="s">
        <v>44</v>
      </c>
      <c r="AL17" s="100">
        <v>0</v>
      </c>
      <c r="AM17" s="97"/>
      <c r="AN17" s="94" t="s">
        <v>44</v>
      </c>
      <c r="AO17" s="95" t="s">
        <v>44</v>
      </c>
      <c r="AP17" s="102">
        <v>0</v>
      </c>
      <c r="AQ17" s="102"/>
      <c r="AR17" s="92">
        <v>80.5</v>
      </c>
      <c r="AS17" s="93"/>
      <c r="AT17" s="93">
        <v>3.6458333333333335</v>
      </c>
      <c r="AU17" s="93"/>
      <c r="AV17" s="94" t="s">
        <v>44</v>
      </c>
      <c r="AW17" s="95" t="s">
        <v>44</v>
      </c>
      <c r="AX17" s="125">
        <v>0</v>
      </c>
      <c r="AY17" s="120"/>
      <c r="AZ17" s="98" t="s">
        <v>44</v>
      </c>
      <c r="BA17" s="99" t="s">
        <v>44</v>
      </c>
      <c r="BB17" s="100">
        <v>0</v>
      </c>
      <c r="BC17" s="126"/>
      <c r="BD17" s="94" t="s">
        <v>44</v>
      </c>
      <c r="BE17" s="95" t="s">
        <v>44</v>
      </c>
      <c r="BF17" s="100">
        <v>0</v>
      </c>
      <c r="BG17" s="97"/>
      <c r="BH17" s="94" t="s">
        <v>44</v>
      </c>
      <c r="BI17" s="95" t="s">
        <v>44</v>
      </c>
      <c r="BJ17" s="102">
        <v>0</v>
      </c>
      <c r="BK17" s="102"/>
      <c r="BL17" s="92">
        <v>85.2</v>
      </c>
      <c r="BM17" s="93"/>
      <c r="BN17" s="93">
        <v>3.8569488456315075</v>
      </c>
      <c r="BO17" s="93"/>
      <c r="BP17" s="94" t="s">
        <v>44</v>
      </c>
      <c r="BQ17" s="95" t="s">
        <v>44</v>
      </c>
      <c r="BR17" s="125">
        <v>0</v>
      </c>
      <c r="BS17" s="120"/>
      <c r="BT17" s="98" t="s">
        <v>44</v>
      </c>
      <c r="BU17" s="99" t="s">
        <v>44</v>
      </c>
      <c r="BV17" s="100">
        <v>0</v>
      </c>
      <c r="BW17" s="126"/>
      <c r="BX17" s="94" t="s">
        <v>44</v>
      </c>
      <c r="BY17" s="95" t="s">
        <v>44</v>
      </c>
      <c r="BZ17" s="100">
        <v>0</v>
      </c>
      <c r="CA17" s="97"/>
      <c r="CB17" s="94" t="s">
        <v>44</v>
      </c>
      <c r="CC17" s="95" t="s">
        <v>44</v>
      </c>
      <c r="CD17" s="102">
        <v>0</v>
      </c>
      <c r="CE17" s="102"/>
      <c r="CF17" s="103">
        <v>334.6</v>
      </c>
      <c r="CG17" s="102"/>
      <c r="CH17" s="105">
        <v>3.8196347031963471</v>
      </c>
      <c r="CI17" s="127"/>
      <c r="CJ17" s="98" t="s">
        <v>44</v>
      </c>
      <c r="CK17" s="99" t="s">
        <v>44</v>
      </c>
      <c r="CL17" s="100">
        <v>0</v>
      </c>
      <c r="CM17" s="107"/>
      <c r="CN17" s="108" t="s">
        <v>44</v>
      </c>
      <c r="CO17" s="99" t="s">
        <v>44</v>
      </c>
      <c r="CP17" s="100">
        <v>0</v>
      </c>
      <c r="CQ17" s="97"/>
      <c r="CR17" s="98" t="s">
        <v>44</v>
      </c>
      <c r="CS17" s="99" t="s">
        <v>44</v>
      </c>
      <c r="CT17" s="100">
        <v>0</v>
      </c>
      <c r="CU17" s="97"/>
      <c r="CV17" s="98" t="s">
        <v>44</v>
      </c>
      <c r="CW17" s="99" t="s">
        <v>44</v>
      </c>
      <c r="CX17" s="100">
        <v>0</v>
      </c>
      <c r="CY17" s="129"/>
      <c r="CZ17" s="110">
        <f t="shared" si="0"/>
        <v>168.9</v>
      </c>
      <c r="DA17" s="111">
        <f t="shared" si="0"/>
        <v>0</v>
      </c>
      <c r="DB17" s="112">
        <f t="shared" si="16"/>
        <v>3.8890168086576105</v>
      </c>
      <c r="DC17" s="113">
        <f t="shared" si="16"/>
        <v>0</v>
      </c>
      <c r="DD17" s="100">
        <f t="shared" si="1"/>
        <v>0</v>
      </c>
      <c r="DE17" s="102">
        <f t="shared" si="1"/>
        <v>0</v>
      </c>
      <c r="DF17" s="102" t="e">
        <f t="shared" si="1"/>
        <v>#VALUE!</v>
      </c>
      <c r="DG17" s="114" t="e">
        <f t="shared" si="1"/>
        <v>#VALUE!</v>
      </c>
      <c r="DH17" s="100">
        <f t="shared" si="1"/>
        <v>0</v>
      </c>
      <c r="DI17" s="97">
        <f t="shared" si="1"/>
        <v>0</v>
      </c>
      <c r="DJ17" s="97" t="e">
        <f t="shared" si="1"/>
        <v>#VALUE!</v>
      </c>
      <c r="DK17" s="97" t="e">
        <f t="shared" si="1"/>
        <v>#VALUE!</v>
      </c>
      <c r="DL17" s="100">
        <f t="shared" si="1"/>
        <v>0</v>
      </c>
      <c r="DM17" s="97">
        <f t="shared" si="1"/>
        <v>0</v>
      </c>
      <c r="DN17" s="97" t="e">
        <f t="shared" si="1"/>
        <v>#VALUE!</v>
      </c>
      <c r="DO17" s="115" t="e">
        <f t="shared" si="1"/>
        <v>#VALUE!</v>
      </c>
      <c r="DP17" s="100">
        <f t="shared" si="21"/>
        <v>0</v>
      </c>
      <c r="DQ17" s="116" t="e">
        <f t="shared" si="17"/>
        <v>#DIV/0!</v>
      </c>
      <c r="DR17" s="117">
        <f t="shared" si="18"/>
        <v>168.9</v>
      </c>
      <c r="DS17" s="118">
        <f t="shared" si="2"/>
        <v>100</v>
      </c>
      <c r="DT17" s="104" t="e">
        <f t="shared" si="3"/>
        <v>#VALUE!</v>
      </c>
      <c r="DU17" s="118" t="e">
        <f t="shared" si="4"/>
        <v>#VALUE!</v>
      </c>
      <c r="DV17" s="104">
        <f t="shared" si="5"/>
        <v>0</v>
      </c>
      <c r="DW17" s="119" t="e">
        <f t="shared" si="6"/>
        <v>#DIV/0!</v>
      </c>
      <c r="DX17" s="120" t="e">
        <f t="shared" si="7"/>
        <v>#VALUE!</v>
      </c>
      <c r="DY17" s="118" t="e">
        <f t="shared" si="8"/>
        <v>#VALUE!</v>
      </c>
      <c r="DZ17" s="104">
        <f t="shared" si="9"/>
        <v>0</v>
      </c>
      <c r="EA17" s="119" t="e">
        <f t="shared" si="10"/>
        <v>#DIV/0!</v>
      </c>
      <c r="EB17" s="120" t="e">
        <f t="shared" si="11"/>
        <v>#VALUE!</v>
      </c>
      <c r="EC17" s="118" t="e">
        <f t="shared" si="12"/>
        <v>#VALUE!</v>
      </c>
      <c r="ED17" s="104">
        <f t="shared" si="13"/>
        <v>0</v>
      </c>
      <c r="EE17" s="121">
        <v>0</v>
      </c>
      <c r="EF17" s="120" t="e">
        <f t="shared" si="14"/>
        <v>#VALUE!</v>
      </c>
      <c r="EG17" s="121" t="e">
        <f t="shared" si="15"/>
        <v>#VALUE!</v>
      </c>
      <c r="EH17" s="122" t="e">
        <f>DP17-DQ17</f>
        <v>#DIV/0!</v>
      </c>
      <c r="EI17" s="123" t="e">
        <f>ABS(EH17/DP17)*100</f>
        <v>#DIV/0!</v>
      </c>
    </row>
    <row r="18" spans="1:139" s="157" customFormat="1" ht="26.25" customHeight="1" x14ac:dyDescent="0.3">
      <c r="A18" s="1070"/>
      <c r="B18" s="130" t="s">
        <v>50</v>
      </c>
      <c r="C18" s="131"/>
      <c r="D18" s="132">
        <v>1051.2</v>
      </c>
      <c r="E18" s="133"/>
      <c r="F18" s="133">
        <v>9.6645183829951566</v>
      </c>
      <c r="G18" s="133"/>
      <c r="H18" s="134" t="s">
        <v>44</v>
      </c>
      <c r="I18" s="135" t="s">
        <v>44</v>
      </c>
      <c r="J18" s="136">
        <v>278862</v>
      </c>
      <c r="K18" s="86"/>
      <c r="L18" s="137" t="s">
        <v>44</v>
      </c>
      <c r="M18" s="138" t="s">
        <v>44</v>
      </c>
      <c r="N18" s="139">
        <v>278862</v>
      </c>
      <c r="O18" s="140"/>
      <c r="P18" s="134" t="s">
        <v>44</v>
      </c>
      <c r="Q18" s="135" t="s">
        <v>44</v>
      </c>
      <c r="R18" s="139">
        <v>0</v>
      </c>
      <c r="S18" s="140"/>
      <c r="T18" s="134" t="s">
        <v>44</v>
      </c>
      <c r="U18" s="135" t="s">
        <v>44</v>
      </c>
      <c r="V18" s="141">
        <v>265</v>
      </c>
      <c r="W18" s="141"/>
      <c r="X18" s="132">
        <v>1010.9</v>
      </c>
      <c r="Y18" s="133"/>
      <c r="Z18" s="133">
        <v>9.2093396131876926</v>
      </c>
      <c r="AA18" s="133"/>
      <c r="AB18" s="134" t="s">
        <v>44</v>
      </c>
      <c r="AC18" s="135" t="s">
        <v>44</v>
      </c>
      <c r="AD18" s="136">
        <v>267508</v>
      </c>
      <c r="AE18" s="86"/>
      <c r="AF18" s="137" t="s">
        <v>44</v>
      </c>
      <c r="AG18" s="138" t="s">
        <v>44</v>
      </c>
      <c r="AH18" s="139">
        <v>267508</v>
      </c>
      <c r="AI18" s="140"/>
      <c r="AJ18" s="134" t="s">
        <v>44</v>
      </c>
      <c r="AK18" s="135" t="s">
        <v>44</v>
      </c>
      <c r="AL18" s="139">
        <v>0</v>
      </c>
      <c r="AM18" s="140"/>
      <c r="AN18" s="134" t="s">
        <v>44</v>
      </c>
      <c r="AO18" s="135" t="s">
        <v>44</v>
      </c>
      <c r="AP18" s="141">
        <v>265</v>
      </c>
      <c r="AQ18" s="141"/>
      <c r="AR18" s="132">
        <v>972.30000000000007</v>
      </c>
      <c r="AS18" s="133"/>
      <c r="AT18" s="133">
        <v>8.7658561653098204</v>
      </c>
      <c r="AU18" s="133"/>
      <c r="AV18" s="134" t="s">
        <v>44</v>
      </c>
      <c r="AW18" s="135" t="s">
        <v>44</v>
      </c>
      <c r="AX18" s="136">
        <v>235111</v>
      </c>
      <c r="AY18" s="86"/>
      <c r="AZ18" s="137" t="s">
        <v>44</v>
      </c>
      <c r="BA18" s="138" t="s">
        <v>44</v>
      </c>
      <c r="BB18" s="139">
        <v>235111</v>
      </c>
      <c r="BC18" s="140"/>
      <c r="BD18" s="134" t="s">
        <v>44</v>
      </c>
      <c r="BE18" s="135" t="s">
        <v>44</v>
      </c>
      <c r="BF18" s="139">
        <v>0</v>
      </c>
      <c r="BG18" s="140"/>
      <c r="BH18" s="134" t="s">
        <v>44</v>
      </c>
      <c r="BI18" s="135" t="s">
        <v>44</v>
      </c>
      <c r="BJ18" s="141">
        <v>242</v>
      </c>
      <c r="BK18" s="141"/>
      <c r="BL18" s="132">
        <v>1228.9000000000001</v>
      </c>
      <c r="BM18" s="133"/>
      <c r="BN18" s="133">
        <v>11.014708386738253</v>
      </c>
      <c r="BO18" s="133"/>
      <c r="BP18" s="134" t="s">
        <v>44</v>
      </c>
      <c r="BQ18" s="135" t="s">
        <v>44</v>
      </c>
      <c r="BR18" s="136">
        <v>283467</v>
      </c>
      <c r="BS18" s="86"/>
      <c r="BT18" s="137" t="s">
        <v>44</v>
      </c>
      <c r="BU18" s="138" t="s">
        <v>44</v>
      </c>
      <c r="BV18" s="139">
        <v>283467</v>
      </c>
      <c r="BW18" s="140"/>
      <c r="BX18" s="134" t="s">
        <v>44</v>
      </c>
      <c r="BY18" s="135" t="s">
        <v>44</v>
      </c>
      <c r="BZ18" s="139">
        <v>0</v>
      </c>
      <c r="CA18" s="140"/>
      <c r="CB18" s="134" t="s">
        <v>44</v>
      </c>
      <c r="CC18" s="135" t="s">
        <v>44</v>
      </c>
      <c r="CD18" s="141">
        <v>231</v>
      </c>
      <c r="CE18" s="141"/>
      <c r="CF18" s="142">
        <v>4263.2999999999993</v>
      </c>
      <c r="CG18" s="141"/>
      <c r="CH18" s="133">
        <v>9.6667770154140555</v>
      </c>
      <c r="CI18" s="143"/>
      <c r="CJ18" s="137" t="s">
        <v>44</v>
      </c>
      <c r="CK18" s="138" t="s">
        <v>44</v>
      </c>
      <c r="CL18" s="139">
        <v>1064948</v>
      </c>
      <c r="CM18" s="144"/>
      <c r="CN18" s="145" t="s">
        <v>44</v>
      </c>
      <c r="CO18" s="138" t="s">
        <v>44</v>
      </c>
      <c r="CP18" s="139">
        <v>1064948</v>
      </c>
      <c r="CQ18" s="140"/>
      <c r="CR18" s="137" t="s">
        <v>44</v>
      </c>
      <c r="CS18" s="138" t="s">
        <v>44</v>
      </c>
      <c r="CT18" s="139">
        <v>0</v>
      </c>
      <c r="CU18" s="140"/>
      <c r="CV18" s="137" t="s">
        <v>44</v>
      </c>
      <c r="CW18" s="138" t="s">
        <v>44</v>
      </c>
      <c r="CX18" s="139">
        <v>249.79429080759041</v>
      </c>
      <c r="CY18" s="146"/>
      <c r="CZ18" s="147">
        <f t="shared" si="0"/>
        <v>2062.1</v>
      </c>
      <c r="DA18" s="148">
        <f t="shared" si="0"/>
        <v>0</v>
      </c>
      <c r="DB18" s="149" t="e">
        <f>(CZ18/#REF!)*100</f>
        <v>#REF!</v>
      </c>
      <c r="DC18" s="150" t="e">
        <f>(DA18/#REF!)*100</f>
        <v>#REF!</v>
      </c>
      <c r="DD18" s="139">
        <f t="shared" si="1"/>
        <v>546370</v>
      </c>
      <c r="DE18" s="141">
        <f t="shared" si="1"/>
        <v>0</v>
      </c>
      <c r="DF18" s="141" t="e">
        <f t="shared" si="1"/>
        <v>#VALUE!</v>
      </c>
      <c r="DG18" s="151" t="e">
        <f t="shared" si="1"/>
        <v>#VALUE!</v>
      </c>
      <c r="DH18" s="139">
        <f t="shared" si="1"/>
        <v>546370</v>
      </c>
      <c r="DI18" s="140">
        <f t="shared" si="1"/>
        <v>0</v>
      </c>
      <c r="DJ18" s="140" t="e">
        <f t="shared" si="1"/>
        <v>#VALUE!</v>
      </c>
      <c r="DK18" s="140" t="e">
        <f t="shared" si="1"/>
        <v>#VALUE!</v>
      </c>
      <c r="DL18" s="139">
        <f t="shared" si="1"/>
        <v>0</v>
      </c>
      <c r="DM18" s="140">
        <f t="shared" si="1"/>
        <v>0</v>
      </c>
      <c r="DN18" s="140" t="e">
        <f t="shared" si="1"/>
        <v>#VALUE!</v>
      </c>
      <c r="DO18" s="152" t="e">
        <f t="shared" si="1"/>
        <v>#VALUE!</v>
      </c>
      <c r="DP18" s="139">
        <f t="shared" ref="DP18:DQ63" si="22">DD18/CZ18</f>
        <v>264.95805247078221</v>
      </c>
      <c r="DQ18" s="153" t="e">
        <f t="shared" si="22"/>
        <v>#DIV/0!</v>
      </c>
      <c r="DR18" s="154">
        <f t="shared" si="18"/>
        <v>2062.1</v>
      </c>
      <c r="DS18" s="84">
        <f t="shared" si="2"/>
        <v>100</v>
      </c>
      <c r="DT18" s="79" t="e">
        <f t="shared" si="3"/>
        <v>#VALUE!</v>
      </c>
      <c r="DU18" s="84" t="e">
        <f t="shared" si="4"/>
        <v>#VALUE!</v>
      </c>
      <c r="DV18" s="79">
        <f t="shared" si="5"/>
        <v>546370</v>
      </c>
      <c r="DW18" s="85">
        <f t="shared" si="6"/>
        <v>100</v>
      </c>
      <c r="DX18" s="86" t="e">
        <f t="shared" si="7"/>
        <v>#VALUE!</v>
      </c>
      <c r="DY18" s="84" t="e">
        <f t="shared" si="8"/>
        <v>#VALUE!</v>
      </c>
      <c r="DZ18" s="79">
        <f t="shared" si="9"/>
        <v>546370</v>
      </c>
      <c r="EA18" s="85">
        <f t="shared" si="10"/>
        <v>100</v>
      </c>
      <c r="EB18" s="86" t="e">
        <f t="shared" si="11"/>
        <v>#VALUE!</v>
      </c>
      <c r="EC18" s="84" t="e">
        <f t="shared" si="12"/>
        <v>#VALUE!</v>
      </c>
      <c r="ED18" s="79">
        <f t="shared" si="13"/>
        <v>0</v>
      </c>
      <c r="EE18" s="87">
        <v>0</v>
      </c>
      <c r="EF18" s="86" t="e">
        <f t="shared" si="14"/>
        <v>#VALUE!</v>
      </c>
      <c r="EG18" s="87" t="e">
        <f t="shared" si="15"/>
        <v>#VALUE!</v>
      </c>
      <c r="EH18" s="155" t="e">
        <f t="shared" si="19"/>
        <v>#DIV/0!</v>
      </c>
      <c r="EI18" s="156" t="e">
        <f t="shared" si="20"/>
        <v>#DIV/0!</v>
      </c>
    </row>
    <row r="19" spans="1:139" s="124" customFormat="1" ht="15.75" customHeight="1" x14ac:dyDescent="0.3">
      <c r="A19" s="1070"/>
      <c r="B19" s="90"/>
      <c r="C19" s="91" t="s">
        <v>45</v>
      </c>
      <c r="D19" s="92">
        <v>388</v>
      </c>
      <c r="E19" s="93"/>
      <c r="F19" s="93">
        <v>17.971283001389533</v>
      </c>
      <c r="G19" s="93"/>
      <c r="H19" s="158" t="s">
        <v>44</v>
      </c>
      <c r="I19" s="159" t="s">
        <v>44</v>
      </c>
      <c r="J19" s="96">
        <v>147615</v>
      </c>
      <c r="K19" s="97"/>
      <c r="L19" s="98" t="s">
        <v>44</v>
      </c>
      <c r="M19" s="99" t="s">
        <v>44</v>
      </c>
      <c r="N19" s="100">
        <v>147615</v>
      </c>
      <c r="O19" s="101"/>
      <c r="P19" s="158" t="s">
        <v>44</v>
      </c>
      <c r="Q19" s="159" t="s">
        <v>44</v>
      </c>
      <c r="R19" s="100">
        <v>0</v>
      </c>
      <c r="S19" s="97"/>
      <c r="T19" s="158" t="s">
        <v>44</v>
      </c>
      <c r="U19" s="159" t="s">
        <v>44</v>
      </c>
      <c r="V19" s="102">
        <v>380</v>
      </c>
      <c r="W19" s="102"/>
      <c r="X19" s="92">
        <v>360.09999999999997</v>
      </c>
      <c r="Y19" s="93"/>
      <c r="Z19" s="93">
        <v>16.488095238095237</v>
      </c>
      <c r="AA19" s="93"/>
      <c r="AB19" s="158" t="s">
        <v>44</v>
      </c>
      <c r="AC19" s="159" t="s">
        <v>44</v>
      </c>
      <c r="AD19" s="96">
        <v>138856</v>
      </c>
      <c r="AE19" s="97"/>
      <c r="AF19" s="98" t="s">
        <v>44</v>
      </c>
      <c r="AG19" s="99" t="s">
        <v>44</v>
      </c>
      <c r="AH19" s="100">
        <v>138856</v>
      </c>
      <c r="AI19" s="101"/>
      <c r="AJ19" s="158" t="s">
        <v>44</v>
      </c>
      <c r="AK19" s="159" t="s">
        <v>44</v>
      </c>
      <c r="AL19" s="100">
        <v>0</v>
      </c>
      <c r="AM19" s="97"/>
      <c r="AN19" s="158" t="s">
        <v>44</v>
      </c>
      <c r="AO19" s="159" t="s">
        <v>44</v>
      </c>
      <c r="AP19" s="102">
        <v>386</v>
      </c>
      <c r="AQ19" s="102"/>
      <c r="AR19" s="92">
        <v>308.39999999999998</v>
      </c>
      <c r="AS19" s="93"/>
      <c r="AT19" s="93">
        <v>13.967391304347826</v>
      </c>
      <c r="AU19" s="93"/>
      <c r="AV19" s="158" t="s">
        <v>44</v>
      </c>
      <c r="AW19" s="159" t="s">
        <v>44</v>
      </c>
      <c r="AX19" s="96">
        <v>104627</v>
      </c>
      <c r="AY19" s="97"/>
      <c r="AZ19" s="98" t="s">
        <v>44</v>
      </c>
      <c r="BA19" s="99" t="s">
        <v>44</v>
      </c>
      <c r="BB19" s="100">
        <v>104627</v>
      </c>
      <c r="BC19" s="101"/>
      <c r="BD19" s="158" t="s">
        <v>44</v>
      </c>
      <c r="BE19" s="159" t="s">
        <v>44</v>
      </c>
      <c r="BF19" s="100">
        <v>0</v>
      </c>
      <c r="BG19" s="97"/>
      <c r="BH19" s="158" t="s">
        <v>44</v>
      </c>
      <c r="BI19" s="159" t="s">
        <v>44</v>
      </c>
      <c r="BJ19" s="102">
        <v>339</v>
      </c>
      <c r="BK19" s="102"/>
      <c r="BL19" s="92">
        <v>385.70000000000005</v>
      </c>
      <c r="BM19" s="93"/>
      <c r="BN19" s="93">
        <v>17.460389316432778</v>
      </c>
      <c r="BO19" s="93"/>
      <c r="BP19" s="158" t="s">
        <v>44</v>
      </c>
      <c r="BQ19" s="159" t="s">
        <v>44</v>
      </c>
      <c r="BR19" s="96">
        <v>149766</v>
      </c>
      <c r="BS19" s="97"/>
      <c r="BT19" s="98" t="s">
        <v>44</v>
      </c>
      <c r="BU19" s="99" t="s">
        <v>44</v>
      </c>
      <c r="BV19" s="100">
        <v>149766</v>
      </c>
      <c r="BW19" s="101"/>
      <c r="BX19" s="158" t="s">
        <v>44</v>
      </c>
      <c r="BY19" s="159" t="s">
        <v>44</v>
      </c>
      <c r="BZ19" s="100">
        <v>0</v>
      </c>
      <c r="CA19" s="97"/>
      <c r="CB19" s="158" t="s">
        <v>44</v>
      </c>
      <c r="CC19" s="159" t="s">
        <v>44</v>
      </c>
      <c r="CD19" s="102">
        <v>388</v>
      </c>
      <c r="CE19" s="102"/>
      <c r="CF19" s="103">
        <v>1442.2</v>
      </c>
      <c r="CG19" s="102"/>
      <c r="CH19" s="93">
        <v>16.463470319634705</v>
      </c>
      <c r="CI19" s="127"/>
      <c r="CJ19" s="98" t="s">
        <v>44</v>
      </c>
      <c r="CK19" s="99" t="s">
        <v>44</v>
      </c>
      <c r="CL19" s="100">
        <v>540864</v>
      </c>
      <c r="CM19" s="107"/>
      <c r="CN19" s="108" t="s">
        <v>44</v>
      </c>
      <c r="CO19" s="99" t="s">
        <v>44</v>
      </c>
      <c r="CP19" s="100">
        <v>540864</v>
      </c>
      <c r="CQ19" s="97"/>
      <c r="CR19" s="98" t="s">
        <v>44</v>
      </c>
      <c r="CS19" s="99" t="s">
        <v>44</v>
      </c>
      <c r="CT19" s="100">
        <v>0</v>
      </c>
      <c r="CU19" s="97"/>
      <c r="CV19" s="98" t="s">
        <v>44</v>
      </c>
      <c r="CW19" s="99" t="s">
        <v>44</v>
      </c>
      <c r="CX19" s="100">
        <v>375.02704201913741</v>
      </c>
      <c r="CY19" s="129"/>
      <c r="CZ19" s="110">
        <f t="shared" si="0"/>
        <v>748.09999999999991</v>
      </c>
      <c r="DA19" s="111">
        <f t="shared" si="0"/>
        <v>0</v>
      </c>
      <c r="DB19" s="112">
        <f>(CZ19/4343)*100</f>
        <v>17.225420216440245</v>
      </c>
      <c r="DC19" s="113">
        <f>(DA19/4343)*100</f>
        <v>0</v>
      </c>
      <c r="DD19" s="100">
        <f t="shared" si="1"/>
        <v>286471</v>
      </c>
      <c r="DE19" s="102">
        <f t="shared" si="1"/>
        <v>0</v>
      </c>
      <c r="DF19" s="102" t="e">
        <f t="shared" si="1"/>
        <v>#VALUE!</v>
      </c>
      <c r="DG19" s="114" t="e">
        <f t="shared" si="1"/>
        <v>#VALUE!</v>
      </c>
      <c r="DH19" s="100">
        <f t="shared" si="1"/>
        <v>286471</v>
      </c>
      <c r="DI19" s="97">
        <f t="shared" si="1"/>
        <v>0</v>
      </c>
      <c r="DJ19" s="97" t="e">
        <f t="shared" si="1"/>
        <v>#VALUE!</v>
      </c>
      <c r="DK19" s="97" t="e">
        <f t="shared" si="1"/>
        <v>#VALUE!</v>
      </c>
      <c r="DL19" s="100">
        <f t="shared" si="1"/>
        <v>0</v>
      </c>
      <c r="DM19" s="97">
        <f t="shared" si="1"/>
        <v>0</v>
      </c>
      <c r="DN19" s="97" t="e">
        <f t="shared" si="1"/>
        <v>#VALUE!</v>
      </c>
      <c r="DO19" s="115" t="e">
        <f t="shared" si="1"/>
        <v>#VALUE!</v>
      </c>
      <c r="DP19" s="100">
        <f>ROUND((DD19/CZ19),0)</f>
        <v>383</v>
      </c>
      <c r="DQ19" s="116" t="e">
        <f>ROUND((DE19/DA19),0)</f>
        <v>#DIV/0!</v>
      </c>
      <c r="DR19" s="117">
        <f t="shared" si="18"/>
        <v>748.09999999999991</v>
      </c>
      <c r="DS19" s="118">
        <f t="shared" si="2"/>
        <v>100</v>
      </c>
      <c r="DT19" s="104" t="e">
        <f t="shared" si="3"/>
        <v>#VALUE!</v>
      </c>
      <c r="DU19" s="118" t="e">
        <f t="shared" si="4"/>
        <v>#VALUE!</v>
      </c>
      <c r="DV19" s="104">
        <f t="shared" si="5"/>
        <v>286471</v>
      </c>
      <c r="DW19" s="119">
        <f t="shared" si="6"/>
        <v>100</v>
      </c>
      <c r="DX19" s="120" t="e">
        <f t="shared" si="7"/>
        <v>#VALUE!</v>
      </c>
      <c r="DY19" s="118" t="e">
        <f t="shared" si="8"/>
        <v>#VALUE!</v>
      </c>
      <c r="DZ19" s="104">
        <f t="shared" si="9"/>
        <v>286471</v>
      </c>
      <c r="EA19" s="119">
        <f t="shared" si="10"/>
        <v>100</v>
      </c>
      <c r="EB19" s="120" t="e">
        <f t="shared" si="11"/>
        <v>#VALUE!</v>
      </c>
      <c r="EC19" s="118" t="e">
        <f t="shared" si="12"/>
        <v>#VALUE!</v>
      </c>
      <c r="ED19" s="104">
        <f t="shared" si="13"/>
        <v>0</v>
      </c>
      <c r="EE19" s="121">
        <v>0</v>
      </c>
      <c r="EF19" s="120" t="e">
        <f t="shared" si="14"/>
        <v>#VALUE!</v>
      </c>
      <c r="EG19" s="121" t="e">
        <f t="shared" si="15"/>
        <v>#VALUE!</v>
      </c>
      <c r="EH19" s="122" t="e">
        <f t="shared" si="19"/>
        <v>#DIV/0!</v>
      </c>
      <c r="EI19" s="123" t="e">
        <f t="shared" si="20"/>
        <v>#DIV/0!</v>
      </c>
    </row>
    <row r="20" spans="1:139" s="124" customFormat="1" ht="15.75" customHeight="1" x14ac:dyDescent="0.3">
      <c r="A20" s="1070"/>
      <c r="B20" s="90"/>
      <c r="C20" s="91" t="s">
        <v>46</v>
      </c>
      <c r="D20" s="92">
        <v>20.6</v>
      </c>
      <c r="E20" s="93"/>
      <c r="F20" s="93">
        <v>0.95414543770264015</v>
      </c>
      <c r="G20" s="93"/>
      <c r="H20" s="158" t="s">
        <v>44</v>
      </c>
      <c r="I20" s="159" t="s">
        <v>44</v>
      </c>
      <c r="J20" s="96">
        <v>6407</v>
      </c>
      <c r="K20" s="97"/>
      <c r="L20" s="98" t="s">
        <v>44</v>
      </c>
      <c r="M20" s="99" t="s">
        <v>44</v>
      </c>
      <c r="N20" s="100">
        <v>6407</v>
      </c>
      <c r="O20" s="101"/>
      <c r="P20" s="158" t="s">
        <v>44</v>
      </c>
      <c r="Q20" s="159" t="s">
        <v>44</v>
      </c>
      <c r="R20" s="100">
        <v>0</v>
      </c>
      <c r="S20" s="97"/>
      <c r="T20" s="158" t="s">
        <v>44</v>
      </c>
      <c r="U20" s="159" t="s">
        <v>44</v>
      </c>
      <c r="V20" s="102">
        <v>311</v>
      </c>
      <c r="W20" s="102"/>
      <c r="X20" s="92">
        <v>18.399999999999999</v>
      </c>
      <c r="Y20" s="93"/>
      <c r="Z20" s="93">
        <v>0.8424908424908425</v>
      </c>
      <c r="AA20" s="93"/>
      <c r="AB20" s="158" t="s">
        <v>44</v>
      </c>
      <c r="AC20" s="159" t="s">
        <v>44</v>
      </c>
      <c r="AD20" s="96">
        <v>5708</v>
      </c>
      <c r="AE20" s="97"/>
      <c r="AF20" s="98" t="s">
        <v>44</v>
      </c>
      <c r="AG20" s="99" t="s">
        <v>44</v>
      </c>
      <c r="AH20" s="100">
        <v>5708</v>
      </c>
      <c r="AI20" s="101"/>
      <c r="AJ20" s="158" t="s">
        <v>44</v>
      </c>
      <c r="AK20" s="159" t="s">
        <v>44</v>
      </c>
      <c r="AL20" s="100">
        <v>0</v>
      </c>
      <c r="AM20" s="97"/>
      <c r="AN20" s="158" t="s">
        <v>44</v>
      </c>
      <c r="AO20" s="159" t="s">
        <v>44</v>
      </c>
      <c r="AP20" s="102">
        <v>310</v>
      </c>
      <c r="AQ20" s="102"/>
      <c r="AR20" s="92">
        <v>19.8</v>
      </c>
      <c r="AS20" s="93"/>
      <c r="AT20" s="93">
        <v>0.89673913043478259</v>
      </c>
      <c r="AU20" s="93"/>
      <c r="AV20" s="158" t="s">
        <v>44</v>
      </c>
      <c r="AW20" s="159" t="s">
        <v>44</v>
      </c>
      <c r="AX20" s="96">
        <v>6261</v>
      </c>
      <c r="AY20" s="97"/>
      <c r="AZ20" s="98" t="s">
        <v>44</v>
      </c>
      <c r="BA20" s="99" t="s">
        <v>44</v>
      </c>
      <c r="BB20" s="100">
        <v>6261</v>
      </c>
      <c r="BC20" s="101"/>
      <c r="BD20" s="158" t="s">
        <v>44</v>
      </c>
      <c r="BE20" s="159" t="s">
        <v>44</v>
      </c>
      <c r="BF20" s="100">
        <v>0</v>
      </c>
      <c r="BG20" s="97"/>
      <c r="BH20" s="158" t="s">
        <v>44</v>
      </c>
      <c r="BI20" s="159" t="s">
        <v>44</v>
      </c>
      <c r="BJ20" s="102">
        <v>316</v>
      </c>
      <c r="BK20" s="102"/>
      <c r="BL20" s="92">
        <v>18.8</v>
      </c>
      <c r="BM20" s="93"/>
      <c r="BN20" s="93">
        <v>0.85106382978723405</v>
      </c>
      <c r="BO20" s="93"/>
      <c r="BP20" s="158" t="s">
        <v>44</v>
      </c>
      <c r="BQ20" s="159" t="s">
        <v>44</v>
      </c>
      <c r="BR20" s="96">
        <v>5861</v>
      </c>
      <c r="BS20" s="97"/>
      <c r="BT20" s="98" t="s">
        <v>44</v>
      </c>
      <c r="BU20" s="99" t="s">
        <v>44</v>
      </c>
      <c r="BV20" s="100">
        <v>5861</v>
      </c>
      <c r="BW20" s="101"/>
      <c r="BX20" s="158" t="s">
        <v>44</v>
      </c>
      <c r="BY20" s="159" t="s">
        <v>44</v>
      </c>
      <c r="BZ20" s="100">
        <v>0</v>
      </c>
      <c r="CA20" s="97"/>
      <c r="CB20" s="158" t="s">
        <v>44</v>
      </c>
      <c r="CC20" s="159" t="s">
        <v>44</v>
      </c>
      <c r="CD20" s="102">
        <v>312</v>
      </c>
      <c r="CE20" s="102"/>
      <c r="CF20" s="103">
        <v>77.599999999999994</v>
      </c>
      <c r="CG20" s="102"/>
      <c r="CH20" s="93">
        <v>0.88584474885844733</v>
      </c>
      <c r="CI20" s="127"/>
      <c r="CJ20" s="98" t="s">
        <v>44</v>
      </c>
      <c r="CK20" s="99" t="s">
        <v>44</v>
      </c>
      <c r="CL20" s="100">
        <v>24237</v>
      </c>
      <c r="CM20" s="107"/>
      <c r="CN20" s="108" t="s">
        <v>44</v>
      </c>
      <c r="CO20" s="99" t="s">
        <v>44</v>
      </c>
      <c r="CP20" s="100">
        <v>24237</v>
      </c>
      <c r="CQ20" s="97"/>
      <c r="CR20" s="98" t="s">
        <v>44</v>
      </c>
      <c r="CS20" s="99" t="s">
        <v>44</v>
      </c>
      <c r="CT20" s="100">
        <v>0</v>
      </c>
      <c r="CU20" s="97"/>
      <c r="CV20" s="98" t="s">
        <v>44</v>
      </c>
      <c r="CW20" s="99" t="s">
        <v>44</v>
      </c>
      <c r="CX20" s="100">
        <v>312.33247422680415</v>
      </c>
      <c r="CY20" s="129"/>
      <c r="CZ20" s="110">
        <f t="shared" si="0"/>
        <v>39</v>
      </c>
      <c r="DA20" s="111">
        <f t="shared" si="0"/>
        <v>0</v>
      </c>
      <c r="DB20" s="112">
        <f t="shared" ref="DB20:DC23" si="23">(CZ20/4343)*100</f>
        <v>0.89799677642182829</v>
      </c>
      <c r="DC20" s="113">
        <f t="shared" si="23"/>
        <v>0</v>
      </c>
      <c r="DD20" s="100">
        <f t="shared" si="1"/>
        <v>12115</v>
      </c>
      <c r="DE20" s="102">
        <f t="shared" si="1"/>
        <v>0</v>
      </c>
      <c r="DF20" s="102" t="e">
        <f t="shared" si="1"/>
        <v>#VALUE!</v>
      </c>
      <c r="DG20" s="114" t="e">
        <f t="shared" si="1"/>
        <v>#VALUE!</v>
      </c>
      <c r="DH20" s="100">
        <f t="shared" si="1"/>
        <v>12115</v>
      </c>
      <c r="DI20" s="97">
        <f t="shared" si="1"/>
        <v>0</v>
      </c>
      <c r="DJ20" s="97" t="e">
        <f t="shared" si="1"/>
        <v>#VALUE!</v>
      </c>
      <c r="DK20" s="97" t="e">
        <f t="shared" si="1"/>
        <v>#VALUE!</v>
      </c>
      <c r="DL20" s="100">
        <f t="shared" si="1"/>
        <v>0</v>
      </c>
      <c r="DM20" s="97">
        <f t="shared" si="1"/>
        <v>0</v>
      </c>
      <c r="DN20" s="97" t="e">
        <f t="shared" si="1"/>
        <v>#VALUE!</v>
      </c>
      <c r="DO20" s="115" t="e">
        <f t="shared" si="1"/>
        <v>#VALUE!</v>
      </c>
      <c r="DP20" s="100">
        <f t="shared" ref="DP20:DQ24" si="24">ROUND((DD20/CZ20),0)</f>
        <v>311</v>
      </c>
      <c r="DQ20" s="116" t="e">
        <f t="shared" si="24"/>
        <v>#DIV/0!</v>
      </c>
      <c r="DR20" s="117">
        <f t="shared" si="18"/>
        <v>39</v>
      </c>
      <c r="DS20" s="118">
        <f t="shared" si="2"/>
        <v>100</v>
      </c>
      <c r="DT20" s="104" t="e">
        <f t="shared" si="3"/>
        <v>#VALUE!</v>
      </c>
      <c r="DU20" s="118" t="e">
        <f t="shared" si="4"/>
        <v>#VALUE!</v>
      </c>
      <c r="DV20" s="104">
        <f t="shared" si="5"/>
        <v>12115</v>
      </c>
      <c r="DW20" s="119">
        <f t="shared" si="6"/>
        <v>100</v>
      </c>
      <c r="DX20" s="120" t="e">
        <f t="shared" si="7"/>
        <v>#VALUE!</v>
      </c>
      <c r="DY20" s="118" t="e">
        <f t="shared" si="8"/>
        <v>#VALUE!</v>
      </c>
      <c r="DZ20" s="104">
        <f t="shared" si="9"/>
        <v>12115</v>
      </c>
      <c r="EA20" s="119">
        <f t="shared" si="10"/>
        <v>100</v>
      </c>
      <c r="EB20" s="120" t="e">
        <f t="shared" si="11"/>
        <v>#VALUE!</v>
      </c>
      <c r="EC20" s="118" t="e">
        <f t="shared" si="12"/>
        <v>#VALUE!</v>
      </c>
      <c r="ED20" s="104">
        <f t="shared" si="13"/>
        <v>0</v>
      </c>
      <c r="EE20" s="121">
        <v>0</v>
      </c>
      <c r="EF20" s="120" t="e">
        <f t="shared" si="14"/>
        <v>#VALUE!</v>
      </c>
      <c r="EG20" s="121" t="e">
        <f t="shared" si="15"/>
        <v>#VALUE!</v>
      </c>
      <c r="EH20" s="122" t="e">
        <f t="shared" si="19"/>
        <v>#DIV/0!</v>
      </c>
      <c r="EI20" s="123" t="e">
        <f t="shared" si="20"/>
        <v>#DIV/0!</v>
      </c>
    </row>
    <row r="21" spans="1:139" s="124" customFormat="1" ht="15.75" customHeight="1" x14ac:dyDescent="0.3">
      <c r="A21" s="1070"/>
      <c r="B21" s="90"/>
      <c r="C21" s="91" t="s">
        <v>47</v>
      </c>
      <c r="D21" s="92">
        <v>0</v>
      </c>
      <c r="E21" s="93"/>
      <c r="F21" s="93">
        <v>0</v>
      </c>
      <c r="G21" s="93"/>
      <c r="H21" s="158" t="s">
        <v>44</v>
      </c>
      <c r="I21" s="159" t="s">
        <v>44</v>
      </c>
      <c r="J21" s="96">
        <v>0</v>
      </c>
      <c r="K21" s="97"/>
      <c r="L21" s="98" t="s">
        <v>44</v>
      </c>
      <c r="M21" s="99" t="s">
        <v>44</v>
      </c>
      <c r="N21" s="100">
        <v>0</v>
      </c>
      <c r="O21" s="101"/>
      <c r="P21" s="158" t="s">
        <v>44</v>
      </c>
      <c r="Q21" s="159" t="s">
        <v>44</v>
      </c>
      <c r="R21" s="100">
        <v>0</v>
      </c>
      <c r="S21" s="97"/>
      <c r="T21" s="158" t="s">
        <v>44</v>
      </c>
      <c r="U21" s="159" t="s">
        <v>44</v>
      </c>
      <c r="V21" s="102">
        <v>0</v>
      </c>
      <c r="W21" s="102"/>
      <c r="X21" s="92">
        <v>0</v>
      </c>
      <c r="Y21" s="93"/>
      <c r="Z21" s="93">
        <v>0</v>
      </c>
      <c r="AA21" s="93"/>
      <c r="AB21" s="158" t="s">
        <v>44</v>
      </c>
      <c r="AC21" s="159" t="s">
        <v>44</v>
      </c>
      <c r="AD21" s="96">
        <v>0</v>
      </c>
      <c r="AE21" s="97"/>
      <c r="AF21" s="98" t="s">
        <v>44</v>
      </c>
      <c r="AG21" s="99" t="s">
        <v>44</v>
      </c>
      <c r="AH21" s="100">
        <v>0</v>
      </c>
      <c r="AI21" s="101"/>
      <c r="AJ21" s="158" t="s">
        <v>44</v>
      </c>
      <c r="AK21" s="159" t="s">
        <v>44</v>
      </c>
      <c r="AL21" s="100">
        <v>0</v>
      </c>
      <c r="AM21" s="97"/>
      <c r="AN21" s="158" t="s">
        <v>44</v>
      </c>
      <c r="AO21" s="159" t="s">
        <v>44</v>
      </c>
      <c r="AP21" s="102">
        <v>0</v>
      </c>
      <c r="AQ21" s="102"/>
      <c r="AR21" s="92">
        <v>0</v>
      </c>
      <c r="AS21" s="93"/>
      <c r="AT21" s="93">
        <v>0</v>
      </c>
      <c r="AU21" s="93"/>
      <c r="AV21" s="158" t="s">
        <v>44</v>
      </c>
      <c r="AW21" s="159" t="s">
        <v>44</v>
      </c>
      <c r="AX21" s="96">
        <v>0</v>
      </c>
      <c r="AY21" s="97"/>
      <c r="AZ21" s="98" t="s">
        <v>44</v>
      </c>
      <c r="BA21" s="99" t="s">
        <v>44</v>
      </c>
      <c r="BB21" s="100">
        <v>0</v>
      </c>
      <c r="BC21" s="101"/>
      <c r="BD21" s="158" t="s">
        <v>44</v>
      </c>
      <c r="BE21" s="159" t="s">
        <v>44</v>
      </c>
      <c r="BF21" s="100">
        <v>0</v>
      </c>
      <c r="BG21" s="97"/>
      <c r="BH21" s="158" t="s">
        <v>44</v>
      </c>
      <c r="BI21" s="159" t="s">
        <v>44</v>
      </c>
      <c r="BJ21" s="102">
        <v>0</v>
      </c>
      <c r="BK21" s="102"/>
      <c r="BL21" s="92">
        <v>0</v>
      </c>
      <c r="BM21" s="93"/>
      <c r="BN21" s="93">
        <v>0</v>
      </c>
      <c r="BO21" s="93"/>
      <c r="BP21" s="158" t="s">
        <v>44</v>
      </c>
      <c r="BQ21" s="159" t="s">
        <v>44</v>
      </c>
      <c r="BR21" s="96">
        <v>0</v>
      </c>
      <c r="BS21" s="97"/>
      <c r="BT21" s="98" t="s">
        <v>44</v>
      </c>
      <c r="BU21" s="99" t="s">
        <v>44</v>
      </c>
      <c r="BV21" s="100">
        <v>0</v>
      </c>
      <c r="BW21" s="101"/>
      <c r="BX21" s="158" t="s">
        <v>44</v>
      </c>
      <c r="BY21" s="159" t="s">
        <v>44</v>
      </c>
      <c r="BZ21" s="100">
        <v>0</v>
      </c>
      <c r="CA21" s="97"/>
      <c r="CB21" s="158" t="s">
        <v>44</v>
      </c>
      <c r="CC21" s="159" t="s">
        <v>44</v>
      </c>
      <c r="CD21" s="102">
        <v>0</v>
      </c>
      <c r="CE21" s="102"/>
      <c r="CF21" s="103">
        <v>0</v>
      </c>
      <c r="CG21" s="102"/>
      <c r="CH21" s="93">
        <v>0</v>
      </c>
      <c r="CI21" s="127"/>
      <c r="CJ21" s="98" t="s">
        <v>44</v>
      </c>
      <c r="CK21" s="99" t="s">
        <v>44</v>
      </c>
      <c r="CL21" s="100">
        <v>0</v>
      </c>
      <c r="CM21" s="107"/>
      <c r="CN21" s="108" t="s">
        <v>44</v>
      </c>
      <c r="CO21" s="99" t="s">
        <v>44</v>
      </c>
      <c r="CP21" s="100">
        <v>0</v>
      </c>
      <c r="CQ21" s="97"/>
      <c r="CR21" s="98" t="s">
        <v>44</v>
      </c>
      <c r="CS21" s="99" t="s">
        <v>44</v>
      </c>
      <c r="CT21" s="100">
        <v>0</v>
      </c>
      <c r="CU21" s="97"/>
      <c r="CV21" s="98" t="s">
        <v>44</v>
      </c>
      <c r="CW21" s="99" t="s">
        <v>44</v>
      </c>
      <c r="CX21" s="100">
        <v>0</v>
      </c>
      <c r="CY21" s="129"/>
      <c r="CZ21" s="110">
        <f t="shared" si="0"/>
        <v>0</v>
      </c>
      <c r="DA21" s="111">
        <f t="shared" si="0"/>
        <v>0</v>
      </c>
      <c r="DB21" s="112">
        <f t="shared" si="23"/>
        <v>0</v>
      </c>
      <c r="DC21" s="113">
        <f t="shared" si="23"/>
        <v>0</v>
      </c>
      <c r="DD21" s="100">
        <f t="shared" si="1"/>
        <v>0</v>
      </c>
      <c r="DE21" s="102">
        <f t="shared" si="1"/>
        <v>0</v>
      </c>
      <c r="DF21" s="102" t="e">
        <f t="shared" si="1"/>
        <v>#VALUE!</v>
      </c>
      <c r="DG21" s="114" t="e">
        <f t="shared" si="1"/>
        <v>#VALUE!</v>
      </c>
      <c r="DH21" s="100">
        <f t="shared" si="1"/>
        <v>0</v>
      </c>
      <c r="DI21" s="97">
        <f t="shared" si="1"/>
        <v>0</v>
      </c>
      <c r="DJ21" s="97" t="e">
        <f t="shared" si="1"/>
        <v>#VALUE!</v>
      </c>
      <c r="DK21" s="97" t="e">
        <f t="shared" si="1"/>
        <v>#VALUE!</v>
      </c>
      <c r="DL21" s="100">
        <f t="shared" si="1"/>
        <v>0</v>
      </c>
      <c r="DM21" s="97">
        <f t="shared" si="1"/>
        <v>0</v>
      </c>
      <c r="DN21" s="97" t="e">
        <f t="shared" si="1"/>
        <v>#VALUE!</v>
      </c>
      <c r="DO21" s="115" t="e">
        <f t="shared" si="1"/>
        <v>#VALUE!</v>
      </c>
      <c r="DP21" s="100" t="e">
        <f t="shared" si="24"/>
        <v>#DIV/0!</v>
      </c>
      <c r="DQ21" s="116" t="e">
        <f t="shared" si="24"/>
        <v>#DIV/0!</v>
      </c>
      <c r="DR21" s="117">
        <f t="shared" si="18"/>
        <v>0</v>
      </c>
      <c r="DS21" s="118" t="e">
        <f t="shared" si="2"/>
        <v>#DIV/0!</v>
      </c>
      <c r="DT21" s="104" t="e">
        <f t="shared" si="3"/>
        <v>#VALUE!</v>
      </c>
      <c r="DU21" s="118" t="e">
        <f t="shared" si="4"/>
        <v>#VALUE!</v>
      </c>
      <c r="DV21" s="104">
        <f t="shared" si="5"/>
        <v>0</v>
      </c>
      <c r="DW21" s="119" t="e">
        <f t="shared" si="6"/>
        <v>#DIV/0!</v>
      </c>
      <c r="DX21" s="120" t="e">
        <f t="shared" si="7"/>
        <v>#VALUE!</v>
      </c>
      <c r="DY21" s="118" t="e">
        <f t="shared" si="8"/>
        <v>#VALUE!</v>
      </c>
      <c r="DZ21" s="104">
        <f t="shared" si="9"/>
        <v>0</v>
      </c>
      <c r="EA21" s="119" t="e">
        <f t="shared" si="10"/>
        <v>#DIV/0!</v>
      </c>
      <c r="EB21" s="120" t="e">
        <f t="shared" si="11"/>
        <v>#VALUE!</v>
      </c>
      <c r="EC21" s="118" t="e">
        <f t="shared" si="12"/>
        <v>#VALUE!</v>
      </c>
      <c r="ED21" s="104">
        <f t="shared" si="13"/>
        <v>0</v>
      </c>
      <c r="EE21" s="121">
        <v>0</v>
      </c>
      <c r="EF21" s="120" t="e">
        <f t="shared" si="14"/>
        <v>#VALUE!</v>
      </c>
      <c r="EG21" s="121" t="e">
        <f t="shared" si="15"/>
        <v>#VALUE!</v>
      </c>
      <c r="EH21" s="122" t="e">
        <f t="shared" si="19"/>
        <v>#DIV/0!</v>
      </c>
      <c r="EI21" s="123" t="e">
        <f t="shared" si="20"/>
        <v>#DIV/0!</v>
      </c>
    </row>
    <row r="22" spans="1:139" ht="15.75" customHeight="1" x14ac:dyDescent="0.3">
      <c r="A22" s="1070"/>
      <c r="B22" s="160"/>
      <c r="C22" s="91" t="s">
        <v>48</v>
      </c>
      <c r="D22" s="92">
        <v>614.5</v>
      </c>
      <c r="E22" s="93"/>
      <c r="F22" s="93">
        <v>28.462251042149145</v>
      </c>
      <c r="G22" s="93"/>
      <c r="H22" s="158" t="s">
        <v>44</v>
      </c>
      <c r="I22" s="159" t="s">
        <v>44</v>
      </c>
      <c r="J22" s="96">
        <v>115039</v>
      </c>
      <c r="K22" s="97"/>
      <c r="L22" s="98" t="s">
        <v>44</v>
      </c>
      <c r="M22" s="99" t="s">
        <v>44</v>
      </c>
      <c r="N22" s="100">
        <v>115039</v>
      </c>
      <c r="O22" s="126"/>
      <c r="P22" s="158" t="s">
        <v>44</v>
      </c>
      <c r="Q22" s="159" t="s">
        <v>44</v>
      </c>
      <c r="R22" s="100">
        <v>0</v>
      </c>
      <c r="S22" s="97"/>
      <c r="T22" s="158" t="s">
        <v>44</v>
      </c>
      <c r="U22" s="159" t="s">
        <v>44</v>
      </c>
      <c r="V22" s="102">
        <v>187</v>
      </c>
      <c r="W22" s="102"/>
      <c r="X22" s="92">
        <v>607.1</v>
      </c>
      <c r="Y22" s="93"/>
      <c r="Z22" s="93">
        <v>27.797619047619047</v>
      </c>
      <c r="AA22" s="93"/>
      <c r="AB22" s="158" t="s">
        <v>44</v>
      </c>
      <c r="AC22" s="159" t="s">
        <v>44</v>
      </c>
      <c r="AD22" s="96">
        <v>114030</v>
      </c>
      <c r="AE22" s="97"/>
      <c r="AF22" s="98" t="s">
        <v>44</v>
      </c>
      <c r="AG22" s="99" t="s">
        <v>44</v>
      </c>
      <c r="AH22" s="100">
        <v>114030</v>
      </c>
      <c r="AI22" s="126"/>
      <c r="AJ22" s="158" t="s">
        <v>44</v>
      </c>
      <c r="AK22" s="159" t="s">
        <v>44</v>
      </c>
      <c r="AL22" s="100">
        <v>0</v>
      </c>
      <c r="AM22" s="97"/>
      <c r="AN22" s="158" t="s">
        <v>44</v>
      </c>
      <c r="AO22" s="159" t="s">
        <v>44</v>
      </c>
      <c r="AP22" s="102">
        <v>188</v>
      </c>
      <c r="AQ22" s="102"/>
      <c r="AR22" s="92">
        <v>615.79999999999995</v>
      </c>
      <c r="AS22" s="93"/>
      <c r="AT22" s="93">
        <v>27.889492753623184</v>
      </c>
      <c r="AU22" s="93"/>
      <c r="AV22" s="158" t="s">
        <v>44</v>
      </c>
      <c r="AW22" s="159" t="s">
        <v>44</v>
      </c>
      <c r="AX22" s="96">
        <v>114627</v>
      </c>
      <c r="AY22" s="97"/>
      <c r="AZ22" s="98" t="s">
        <v>44</v>
      </c>
      <c r="BA22" s="99" t="s">
        <v>44</v>
      </c>
      <c r="BB22" s="100">
        <v>114627</v>
      </c>
      <c r="BC22" s="126"/>
      <c r="BD22" s="158" t="s">
        <v>44</v>
      </c>
      <c r="BE22" s="159" t="s">
        <v>44</v>
      </c>
      <c r="BF22" s="100">
        <v>0</v>
      </c>
      <c r="BG22" s="97"/>
      <c r="BH22" s="158" t="s">
        <v>44</v>
      </c>
      <c r="BI22" s="159" t="s">
        <v>44</v>
      </c>
      <c r="BJ22" s="102">
        <v>186</v>
      </c>
      <c r="BK22" s="102"/>
      <c r="BL22" s="92">
        <v>614.4</v>
      </c>
      <c r="BM22" s="93"/>
      <c r="BN22" s="93">
        <v>27.813490267089179</v>
      </c>
      <c r="BO22" s="93"/>
      <c r="BP22" s="158" t="s">
        <v>44</v>
      </c>
      <c r="BQ22" s="159" t="s">
        <v>44</v>
      </c>
      <c r="BR22" s="96">
        <v>118182</v>
      </c>
      <c r="BS22" s="97"/>
      <c r="BT22" s="98" t="s">
        <v>44</v>
      </c>
      <c r="BU22" s="99" t="s">
        <v>44</v>
      </c>
      <c r="BV22" s="100">
        <v>118182</v>
      </c>
      <c r="BW22" s="126"/>
      <c r="BX22" s="158" t="s">
        <v>44</v>
      </c>
      <c r="BY22" s="159" t="s">
        <v>44</v>
      </c>
      <c r="BZ22" s="100">
        <v>0</v>
      </c>
      <c r="CA22" s="97"/>
      <c r="CB22" s="158" t="s">
        <v>44</v>
      </c>
      <c r="CC22" s="159" t="s">
        <v>44</v>
      </c>
      <c r="CD22" s="102">
        <v>192</v>
      </c>
      <c r="CE22" s="102"/>
      <c r="CF22" s="103">
        <v>2451.7999999999997</v>
      </c>
      <c r="CG22" s="102"/>
      <c r="CH22" s="93">
        <v>27.98858447488584</v>
      </c>
      <c r="CI22" s="127"/>
      <c r="CJ22" s="98" t="s">
        <v>44</v>
      </c>
      <c r="CK22" s="99" t="s">
        <v>44</v>
      </c>
      <c r="CL22" s="100">
        <v>461878</v>
      </c>
      <c r="CM22" s="107"/>
      <c r="CN22" s="108" t="s">
        <v>44</v>
      </c>
      <c r="CO22" s="99" t="s">
        <v>44</v>
      </c>
      <c r="CP22" s="100">
        <v>461878</v>
      </c>
      <c r="CQ22" s="97"/>
      <c r="CR22" s="98" t="s">
        <v>44</v>
      </c>
      <c r="CS22" s="99" t="s">
        <v>44</v>
      </c>
      <c r="CT22" s="100">
        <v>0</v>
      </c>
      <c r="CU22" s="97"/>
      <c r="CV22" s="98" t="s">
        <v>44</v>
      </c>
      <c r="CW22" s="99" t="s">
        <v>44</v>
      </c>
      <c r="CX22" s="100">
        <v>188.38322864834001</v>
      </c>
      <c r="CY22" s="129"/>
      <c r="CZ22" s="110">
        <f t="shared" si="0"/>
        <v>1221.5999999999999</v>
      </c>
      <c r="DA22" s="111">
        <f t="shared" si="0"/>
        <v>0</v>
      </c>
      <c r="DB22" s="112">
        <f t="shared" si="23"/>
        <v>28.128022104536033</v>
      </c>
      <c r="DC22" s="113">
        <f t="shared" si="23"/>
        <v>0</v>
      </c>
      <c r="DD22" s="100">
        <f t="shared" si="1"/>
        <v>229069</v>
      </c>
      <c r="DE22" s="102">
        <f t="shared" si="1"/>
        <v>0</v>
      </c>
      <c r="DF22" s="102" t="e">
        <f t="shared" si="1"/>
        <v>#VALUE!</v>
      </c>
      <c r="DG22" s="114" t="e">
        <f t="shared" si="1"/>
        <v>#VALUE!</v>
      </c>
      <c r="DH22" s="100">
        <f t="shared" si="1"/>
        <v>229069</v>
      </c>
      <c r="DI22" s="97">
        <f t="shared" si="1"/>
        <v>0</v>
      </c>
      <c r="DJ22" s="97" t="e">
        <f t="shared" si="1"/>
        <v>#VALUE!</v>
      </c>
      <c r="DK22" s="97" t="e">
        <f t="shared" si="1"/>
        <v>#VALUE!</v>
      </c>
      <c r="DL22" s="100">
        <f t="shared" si="1"/>
        <v>0</v>
      </c>
      <c r="DM22" s="97">
        <f t="shared" si="1"/>
        <v>0</v>
      </c>
      <c r="DN22" s="97" t="e">
        <f t="shared" si="1"/>
        <v>#VALUE!</v>
      </c>
      <c r="DO22" s="115" t="e">
        <f t="shared" si="1"/>
        <v>#VALUE!</v>
      </c>
      <c r="DP22" s="100">
        <f t="shared" si="24"/>
        <v>188</v>
      </c>
      <c r="DQ22" s="116" t="e">
        <f t="shared" si="24"/>
        <v>#DIV/0!</v>
      </c>
      <c r="DR22" s="117">
        <f t="shared" si="18"/>
        <v>1221.5999999999999</v>
      </c>
      <c r="DS22" s="118">
        <f t="shared" si="2"/>
        <v>100</v>
      </c>
      <c r="DT22" s="104" t="e">
        <f t="shared" si="3"/>
        <v>#VALUE!</v>
      </c>
      <c r="DU22" s="118" t="e">
        <f t="shared" si="4"/>
        <v>#VALUE!</v>
      </c>
      <c r="DV22" s="104">
        <f t="shared" si="5"/>
        <v>229069</v>
      </c>
      <c r="DW22" s="119">
        <f t="shared" si="6"/>
        <v>100</v>
      </c>
      <c r="DX22" s="120" t="e">
        <f t="shared" si="7"/>
        <v>#VALUE!</v>
      </c>
      <c r="DY22" s="118" t="e">
        <f t="shared" si="8"/>
        <v>#VALUE!</v>
      </c>
      <c r="DZ22" s="104">
        <f t="shared" si="9"/>
        <v>229069</v>
      </c>
      <c r="EA22" s="119">
        <f t="shared" si="10"/>
        <v>100</v>
      </c>
      <c r="EB22" s="120" t="e">
        <f t="shared" si="11"/>
        <v>#VALUE!</v>
      </c>
      <c r="EC22" s="118" t="e">
        <f t="shared" si="12"/>
        <v>#VALUE!</v>
      </c>
      <c r="ED22" s="104">
        <f t="shared" si="13"/>
        <v>0</v>
      </c>
      <c r="EE22" s="121">
        <v>0</v>
      </c>
      <c r="EF22" s="120" t="e">
        <f t="shared" si="14"/>
        <v>#VALUE!</v>
      </c>
      <c r="EG22" s="121" t="e">
        <f t="shared" si="15"/>
        <v>#VALUE!</v>
      </c>
      <c r="EH22" s="122" t="e">
        <f t="shared" si="19"/>
        <v>#DIV/0!</v>
      </c>
      <c r="EI22" s="123" t="e">
        <f t="shared" si="20"/>
        <v>#DIV/0!</v>
      </c>
    </row>
    <row r="23" spans="1:139" ht="15.75" customHeight="1" x14ac:dyDescent="0.3">
      <c r="A23" s="1070"/>
      <c r="B23" s="160"/>
      <c r="C23" s="91" t="s">
        <v>49</v>
      </c>
      <c r="D23" s="92">
        <v>16.2</v>
      </c>
      <c r="E23" s="93"/>
      <c r="F23" s="93">
        <v>0.75034738304770721</v>
      </c>
      <c r="G23" s="93"/>
      <c r="H23" s="158" t="s">
        <v>44</v>
      </c>
      <c r="I23" s="159" t="s">
        <v>44</v>
      </c>
      <c r="J23" s="96">
        <v>4275</v>
      </c>
      <c r="K23" s="97"/>
      <c r="L23" s="98" t="s">
        <v>44</v>
      </c>
      <c r="M23" s="99" t="s">
        <v>44</v>
      </c>
      <c r="N23" s="100">
        <v>4275</v>
      </c>
      <c r="O23" s="126"/>
      <c r="P23" s="158" t="s">
        <v>44</v>
      </c>
      <c r="Q23" s="159" t="s">
        <v>44</v>
      </c>
      <c r="R23" s="100">
        <v>0</v>
      </c>
      <c r="S23" s="97"/>
      <c r="T23" s="158" t="s">
        <v>44</v>
      </c>
      <c r="U23" s="159" t="s">
        <v>44</v>
      </c>
      <c r="V23" s="102">
        <v>264</v>
      </c>
      <c r="W23" s="102"/>
      <c r="X23" s="92">
        <v>15.2</v>
      </c>
      <c r="Y23" s="93"/>
      <c r="Z23" s="93">
        <v>0.69597069597069594</v>
      </c>
      <c r="AA23" s="93"/>
      <c r="AB23" s="158" t="s">
        <v>44</v>
      </c>
      <c r="AC23" s="159" t="s">
        <v>44</v>
      </c>
      <c r="AD23" s="96">
        <v>4039</v>
      </c>
      <c r="AE23" s="97"/>
      <c r="AF23" s="98" t="s">
        <v>44</v>
      </c>
      <c r="AG23" s="99" t="s">
        <v>44</v>
      </c>
      <c r="AH23" s="100">
        <v>4039</v>
      </c>
      <c r="AI23" s="126"/>
      <c r="AJ23" s="158" t="s">
        <v>44</v>
      </c>
      <c r="AK23" s="159" t="s">
        <v>44</v>
      </c>
      <c r="AL23" s="100">
        <v>0</v>
      </c>
      <c r="AM23" s="97"/>
      <c r="AN23" s="158" t="s">
        <v>44</v>
      </c>
      <c r="AO23" s="159" t="s">
        <v>44</v>
      </c>
      <c r="AP23" s="102">
        <v>266</v>
      </c>
      <c r="AQ23" s="102"/>
      <c r="AR23" s="92">
        <v>18.2</v>
      </c>
      <c r="AS23" s="93"/>
      <c r="AT23" s="93">
        <v>0.82427536231884058</v>
      </c>
      <c r="AU23" s="93"/>
      <c r="AV23" s="158" t="s">
        <v>44</v>
      </c>
      <c r="AW23" s="159" t="s">
        <v>44</v>
      </c>
      <c r="AX23" s="96">
        <v>4665</v>
      </c>
      <c r="AY23" s="97"/>
      <c r="AZ23" s="98" t="s">
        <v>44</v>
      </c>
      <c r="BA23" s="99" t="s">
        <v>44</v>
      </c>
      <c r="BB23" s="100">
        <v>4665</v>
      </c>
      <c r="BC23" s="126"/>
      <c r="BD23" s="158" t="s">
        <v>44</v>
      </c>
      <c r="BE23" s="159" t="s">
        <v>44</v>
      </c>
      <c r="BF23" s="100">
        <v>0</v>
      </c>
      <c r="BG23" s="97"/>
      <c r="BH23" s="158" t="s">
        <v>44</v>
      </c>
      <c r="BI23" s="159" t="s">
        <v>44</v>
      </c>
      <c r="BJ23" s="102">
        <v>256</v>
      </c>
      <c r="BK23" s="102"/>
      <c r="BL23" s="92">
        <v>198.1</v>
      </c>
      <c r="BM23" s="93"/>
      <c r="BN23" s="93">
        <v>8.9678587596197374</v>
      </c>
      <c r="BO23" s="93"/>
      <c r="BP23" s="158" t="s">
        <v>44</v>
      </c>
      <c r="BQ23" s="159" t="s">
        <v>44</v>
      </c>
      <c r="BR23" s="96">
        <v>4058</v>
      </c>
      <c r="BS23" s="97"/>
      <c r="BT23" s="98" t="s">
        <v>44</v>
      </c>
      <c r="BU23" s="99" t="s">
        <v>44</v>
      </c>
      <c r="BV23" s="100">
        <v>4058</v>
      </c>
      <c r="BW23" s="126"/>
      <c r="BX23" s="158" t="s">
        <v>44</v>
      </c>
      <c r="BY23" s="159" t="s">
        <v>44</v>
      </c>
      <c r="BZ23" s="100">
        <v>0</v>
      </c>
      <c r="CA23" s="97"/>
      <c r="CB23" s="158" t="s">
        <v>44</v>
      </c>
      <c r="CC23" s="159" t="s">
        <v>44</v>
      </c>
      <c r="CD23" s="102">
        <v>20</v>
      </c>
      <c r="CE23" s="102"/>
      <c r="CF23" s="103">
        <v>247.7</v>
      </c>
      <c r="CG23" s="102"/>
      <c r="CH23" s="93">
        <v>2.8276255707762559</v>
      </c>
      <c r="CI23" s="127"/>
      <c r="CJ23" s="98" t="s">
        <v>44</v>
      </c>
      <c r="CK23" s="99" t="s">
        <v>44</v>
      </c>
      <c r="CL23" s="100">
        <v>17037</v>
      </c>
      <c r="CM23" s="107"/>
      <c r="CN23" s="108" t="s">
        <v>44</v>
      </c>
      <c r="CO23" s="99" t="s">
        <v>44</v>
      </c>
      <c r="CP23" s="100">
        <v>17037</v>
      </c>
      <c r="CQ23" s="97"/>
      <c r="CR23" s="98" t="s">
        <v>44</v>
      </c>
      <c r="CS23" s="99" t="s">
        <v>44</v>
      </c>
      <c r="CT23" s="100">
        <v>0</v>
      </c>
      <c r="CU23" s="97"/>
      <c r="CV23" s="98" t="s">
        <v>44</v>
      </c>
      <c r="CW23" s="99" t="s">
        <v>44</v>
      </c>
      <c r="CX23" s="100">
        <v>68.780783205490522</v>
      </c>
      <c r="CY23" s="129"/>
      <c r="CZ23" s="110">
        <f t="shared" si="0"/>
        <v>31.4</v>
      </c>
      <c r="DA23" s="111">
        <f t="shared" si="0"/>
        <v>0</v>
      </c>
      <c r="DB23" s="112">
        <f t="shared" si="23"/>
        <v>0.72300253281142057</v>
      </c>
      <c r="DC23" s="113">
        <f t="shared" si="23"/>
        <v>0</v>
      </c>
      <c r="DD23" s="100">
        <f t="shared" si="1"/>
        <v>8314</v>
      </c>
      <c r="DE23" s="102">
        <f t="shared" si="1"/>
        <v>0</v>
      </c>
      <c r="DF23" s="102" t="e">
        <f t="shared" si="1"/>
        <v>#VALUE!</v>
      </c>
      <c r="DG23" s="114" t="e">
        <f t="shared" si="1"/>
        <v>#VALUE!</v>
      </c>
      <c r="DH23" s="100">
        <f t="shared" si="1"/>
        <v>8314</v>
      </c>
      <c r="DI23" s="97">
        <f t="shared" si="1"/>
        <v>0</v>
      </c>
      <c r="DJ23" s="97" t="e">
        <f t="shared" si="1"/>
        <v>#VALUE!</v>
      </c>
      <c r="DK23" s="97" t="e">
        <f t="shared" si="1"/>
        <v>#VALUE!</v>
      </c>
      <c r="DL23" s="100">
        <f t="shared" si="1"/>
        <v>0</v>
      </c>
      <c r="DM23" s="97">
        <f t="shared" si="1"/>
        <v>0</v>
      </c>
      <c r="DN23" s="97" t="e">
        <f t="shared" si="1"/>
        <v>#VALUE!</v>
      </c>
      <c r="DO23" s="115" t="e">
        <f t="shared" si="1"/>
        <v>#VALUE!</v>
      </c>
      <c r="DP23" s="100">
        <f t="shared" si="24"/>
        <v>265</v>
      </c>
      <c r="DQ23" s="116" t="e">
        <f t="shared" si="24"/>
        <v>#DIV/0!</v>
      </c>
      <c r="DR23" s="117">
        <f t="shared" si="18"/>
        <v>31.4</v>
      </c>
      <c r="DS23" s="118">
        <f t="shared" si="2"/>
        <v>100</v>
      </c>
      <c r="DT23" s="104" t="e">
        <f t="shared" si="3"/>
        <v>#VALUE!</v>
      </c>
      <c r="DU23" s="118" t="e">
        <f t="shared" si="4"/>
        <v>#VALUE!</v>
      </c>
      <c r="DV23" s="104">
        <f t="shared" si="5"/>
        <v>8314</v>
      </c>
      <c r="DW23" s="119">
        <f t="shared" si="6"/>
        <v>100</v>
      </c>
      <c r="DX23" s="120" t="e">
        <f t="shared" si="7"/>
        <v>#VALUE!</v>
      </c>
      <c r="DY23" s="118" t="e">
        <f t="shared" si="8"/>
        <v>#VALUE!</v>
      </c>
      <c r="DZ23" s="104">
        <f t="shared" si="9"/>
        <v>8314</v>
      </c>
      <c r="EA23" s="119">
        <f t="shared" si="10"/>
        <v>100</v>
      </c>
      <c r="EB23" s="120" t="e">
        <f t="shared" si="11"/>
        <v>#VALUE!</v>
      </c>
      <c r="EC23" s="118" t="e">
        <f t="shared" si="12"/>
        <v>#VALUE!</v>
      </c>
      <c r="ED23" s="104">
        <f t="shared" si="13"/>
        <v>0</v>
      </c>
      <c r="EE23" s="121">
        <v>0</v>
      </c>
      <c r="EF23" s="120" t="e">
        <f t="shared" si="14"/>
        <v>#VALUE!</v>
      </c>
      <c r="EG23" s="121" t="e">
        <f t="shared" si="15"/>
        <v>#VALUE!</v>
      </c>
      <c r="EH23" s="122" t="e">
        <f t="shared" si="19"/>
        <v>#DIV/0!</v>
      </c>
      <c r="EI23" s="123" t="e">
        <f t="shared" si="20"/>
        <v>#DIV/0!</v>
      </c>
    </row>
    <row r="24" spans="1:139" ht="15.75" customHeight="1" x14ac:dyDescent="0.3">
      <c r="A24" s="1070"/>
      <c r="B24" s="160"/>
      <c r="C24" s="161" t="s">
        <v>51</v>
      </c>
      <c r="D24" s="92">
        <v>11.9</v>
      </c>
      <c r="E24" s="93"/>
      <c r="F24" s="93">
        <v>100</v>
      </c>
      <c r="G24" s="93"/>
      <c r="H24" s="158" t="s">
        <v>44</v>
      </c>
      <c r="I24" s="159" t="s">
        <v>44</v>
      </c>
      <c r="J24" s="96">
        <v>5526</v>
      </c>
      <c r="K24" s="97"/>
      <c r="L24" s="98" t="s">
        <v>44</v>
      </c>
      <c r="M24" s="99" t="s">
        <v>44</v>
      </c>
      <c r="N24" s="100">
        <v>5526</v>
      </c>
      <c r="O24" s="126"/>
      <c r="P24" s="158" t="s">
        <v>44</v>
      </c>
      <c r="Q24" s="159" t="s">
        <v>44</v>
      </c>
      <c r="R24" s="100">
        <v>0</v>
      </c>
      <c r="S24" s="97"/>
      <c r="T24" s="158" t="s">
        <v>44</v>
      </c>
      <c r="U24" s="159" t="s">
        <v>44</v>
      </c>
      <c r="V24" s="102">
        <v>464</v>
      </c>
      <c r="W24" s="102"/>
      <c r="X24" s="92">
        <v>10.1</v>
      </c>
      <c r="Y24" s="93"/>
      <c r="Z24" s="93">
        <v>100</v>
      </c>
      <c r="AA24" s="93"/>
      <c r="AB24" s="158" t="s">
        <v>44</v>
      </c>
      <c r="AC24" s="159" t="s">
        <v>44</v>
      </c>
      <c r="AD24" s="96">
        <v>4875</v>
      </c>
      <c r="AE24" s="97"/>
      <c r="AF24" s="98" t="s">
        <v>44</v>
      </c>
      <c r="AG24" s="99" t="s">
        <v>44</v>
      </c>
      <c r="AH24" s="100">
        <v>4875</v>
      </c>
      <c r="AI24" s="126"/>
      <c r="AJ24" s="158" t="s">
        <v>44</v>
      </c>
      <c r="AK24" s="159" t="s">
        <v>44</v>
      </c>
      <c r="AL24" s="100">
        <v>0</v>
      </c>
      <c r="AM24" s="97"/>
      <c r="AN24" s="158" t="s">
        <v>44</v>
      </c>
      <c r="AO24" s="159" t="s">
        <v>44</v>
      </c>
      <c r="AP24" s="102">
        <v>483</v>
      </c>
      <c r="AQ24" s="102"/>
      <c r="AR24" s="92">
        <v>10.1</v>
      </c>
      <c r="AS24" s="93"/>
      <c r="AT24" s="93">
        <v>100</v>
      </c>
      <c r="AU24" s="93"/>
      <c r="AV24" s="158" t="s">
        <v>44</v>
      </c>
      <c r="AW24" s="159" t="s">
        <v>44</v>
      </c>
      <c r="AX24" s="96">
        <v>4931</v>
      </c>
      <c r="AY24" s="97"/>
      <c r="AZ24" s="98" t="s">
        <v>44</v>
      </c>
      <c r="BA24" s="99" t="s">
        <v>44</v>
      </c>
      <c r="BB24" s="100">
        <v>4931</v>
      </c>
      <c r="BC24" s="126"/>
      <c r="BD24" s="158" t="s">
        <v>44</v>
      </c>
      <c r="BE24" s="159" t="s">
        <v>44</v>
      </c>
      <c r="BF24" s="100">
        <v>0</v>
      </c>
      <c r="BG24" s="97"/>
      <c r="BH24" s="158" t="s">
        <v>44</v>
      </c>
      <c r="BI24" s="159" t="s">
        <v>44</v>
      </c>
      <c r="BJ24" s="102">
        <v>488</v>
      </c>
      <c r="BK24" s="102"/>
      <c r="BL24" s="92">
        <v>11.9</v>
      </c>
      <c r="BM24" s="93"/>
      <c r="BN24" s="93">
        <v>100</v>
      </c>
      <c r="BO24" s="93"/>
      <c r="BP24" s="158" t="s">
        <v>44</v>
      </c>
      <c r="BQ24" s="159" t="s">
        <v>44</v>
      </c>
      <c r="BR24" s="96">
        <v>5600</v>
      </c>
      <c r="BS24" s="97"/>
      <c r="BT24" s="98" t="s">
        <v>44</v>
      </c>
      <c r="BU24" s="99" t="s">
        <v>44</v>
      </c>
      <c r="BV24" s="100">
        <v>5600</v>
      </c>
      <c r="BW24" s="126"/>
      <c r="BX24" s="158" t="s">
        <v>44</v>
      </c>
      <c r="BY24" s="159" t="s">
        <v>44</v>
      </c>
      <c r="BZ24" s="100">
        <v>0</v>
      </c>
      <c r="CA24" s="97"/>
      <c r="CB24" s="158" t="s">
        <v>44</v>
      </c>
      <c r="CC24" s="159" t="s">
        <v>44</v>
      </c>
      <c r="CD24" s="102">
        <v>471</v>
      </c>
      <c r="CE24" s="102"/>
      <c r="CF24" s="103">
        <v>44</v>
      </c>
      <c r="CG24" s="102"/>
      <c r="CH24" s="93">
        <v>100</v>
      </c>
      <c r="CI24" s="127"/>
      <c r="CJ24" s="98" t="s">
        <v>44</v>
      </c>
      <c r="CK24" s="99" t="s">
        <v>44</v>
      </c>
      <c r="CL24" s="100">
        <v>20932</v>
      </c>
      <c r="CM24" s="107"/>
      <c r="CN24" s="108" t="s">
        <v>44</v>
      </c>
      <c r="CO24" s="99" t="s">
        <v>44</v>
      </c>
      <c r="CP24" s="100">
        <v>20932</v>
      </c>
      <c r="CQ24" s="97"/>
      <c r="CR24" s="98" t="s">
        <v>44</v>
      </c>
      <c r="CS24" s="99" t="s">
        <v>44</v>
      </c>
      <c r="CT24" s="100">
        <v>0</v>
      </c>
      <c r="CU24" s="97"/>
      <c r="CV24" s="98" t="s">
        <v>44</v>
      </c>
      <c r="CW24" s="99" t="s">
        <v>44</v>
      </c>
      <c r="CX24" s="100">
        <v>475.72727272727275</v>
      </c>
      <c r="CY24" s="129"/>
      <c r="CZ24" s="162">
        <f t="shared" si="0"/>
        <v>22</v>
      </c>
      <c r="DA24" s="111">
        <f t="shared" si="0"/>
        <v>0</v>
      </c>
      <c r="DB24" s="112">
        <f>(CZ24/22.9)*100</f>
        <v>96.069868995633186</v>
      </c>
      <c r="DC24" s="113">
        <f>(DA24/CZ24)*100</f>
        <v>0</v>
      </c>
      <c r="DD24" s="100">
        <f t="shared" si="1"/>
        <v>10401</v>
      </c>
      <c r="DE24" s="102">
        <f t="shared" si="1"/>
        <v>0</v>
      </c>
      <c r="DF24" s="102" t="e">
        <f t="shared" si="1"/>
        <v>#VALUE!</v>
      </c>
      <c r="DG24" s="114" t="e">
        <f t="shared" si="1"/>
        <v>#VALUE!</v>
      </c>
      <c r="DH24" s="100">
        <f t="shared" si="1"/>
        <v>10401</v>
      </c>
      <c r="DI24" s="97">
        <f t="shared" si="1"/>
        <v>0</v>
      </c>
      <c r="DJ24" s="97" t="e">
        <f t="shared" si="1"/>
        <v>#VALUE!</v>
      </c>
      <c r="DK24" s="97" t="e">
        <f t="shared" si="1"/>
        <v>#VALUE!</v>
      </c>
      <c r="DL24" s="100">
        <f t="shared" si="1"/>
        <v>0</v>
      </c>
      <c r="DM24" s="97">
        <f t="shared" si="1"/>
        <v>0</v>
      </c>
      <c r="DN24" s="97" t="e">
        <f t="shared" si="1"/>
        <v>#VALUE!</v>
      </c>
      <c r="DO24" s="115" t="e">
        <f t="shared" si="1"/>
        <v>#VALUE!</v>
      </c>
      <c r="DP24" s="100">
        <f t="shared" si="24"/>
        <v>473</v>
      </c>
      <c r="DQ24" s="116" t="e">
        <f t="shared" si="24"/>
        <v>#DIV/0!</v>
      </c>
      <c r="DR24" s="117">
        <f t="shared" si="18"/>
        <v>22</v>
      </c>
      <c r="DS24" s="118">
        <f t="shared" si="2"/>
        <v>100</v>
      </c>
      <c r="DT24" s="104" t="e">
        <f t="shared" si="3"/>
        <v>#VALUE!</v>
      </c>
      <c r="DU24" s="118" t="e">
        <f t="shared" si="4"/>
        <v>#VALUE!</v>
      </c>
      <c r="DV24" s="104">
        <f t="shared" si="5"/>
        <v>10401</v>
      </c>
      <c r="DW24" s="119">
        <f t="shared" si="6"/>
        <v>100</v>
      </c>
      <c r="DX24" s="120" t="e">
        <f t="shared" si="7"/>
        <v>#VALUE!</v>
      </c>
      <c r="DY24" s="118" t="e">
        <f t="shared" si="8"/>
        <v>#VALUE!</v>
      </c>
      <c r="DZ24" s="104">
        <f t="shared" si="9"/>
        <v>10401</v>
      </c>
      <c r="EA24" s="119">
        <f t="shared" si="10"/>
        <v>100</v>
      </c>
      <c r="EB24" s="120" t="e">
        <f t="shared" si="11"/>
        <v>#VALUE!</v>
      </c>
      <c r="EC24" s="118" t="e">
        <f t="shared" si="12"/>
        <v>#VALUE!</v>
      </c>
      <c r="ED24" s="104">
        <f t="shared" si="13"/>
        <v>0</v>
      </c>
      <c r="EE24" s="121">
        <v>0</v>
      </c>
      <c r="EF24" s="120" t="e">
        <f t="shared" si="14"/>
        <v>#VALUE!</v>
      </c>
      <c r="EG24" s="121" t="e">
        <f t="shared" si="15"/>
        <v>#VALUE!</v>
      </c>
      <c r="EH24" s="122" t="e">
        <f t="shared" si="19"/>
        <v>#DIV/0!</v>
      </c>
      <c r="EI24" s="123" t="e">
        <f t="shared" si="20"/>
        <v>#DIV/0!</v>
      </c>
    </row>
    <row r="25" spans="1:139" s="157" customFormat="1" ht="26.25" customHeight="1" x14ac:dyDescent="0.3">
      <c r="A25" s="1070"/>
      <c r="B25" s="130" t="s">
        <v>52</v>
      </c>
      <c r="C25" s="131"/>
      <c r="D25" s="132">
        <v>12.2</v>
      </c>
      <c r="E25" s="133"/>
      <c r="F25" s="133">
        <v>0.11216431152258456</v>
      </c>
      <c r="G25" s="133"/>
      <c r="H25" s="134" t="s">
        <v>44</v>
      </c>
      <c r="I25" s="135" t="s">
        <v>44</v>
      </c>
      <c r="J25" s="136">
        <v>48615</v>
      </c>
      <c r="K25" s="86"/>
      <c r="L25" s="137" t="s">
        <v>44</v>
      </c>
      <c r="M25" s="138" t="s">
        <v>44</v>
      </c>
      <c r="N25" s="139">
        <v>48615</v>
      </c>
      <c r="O25" s="140"/>
      <c r="P25" s="134" t="s">
        <v>44</v>
      </c>
      <c r="Q25" s="135" t="s">
        <v>44</v>
      </c>
      <c r="R25" s="139">
        <v>0</v>
      </c>
      <c r="S25" s="140"/>
      <c r="T25" s="134" t="s">
        <v>44</v>
      </c>
      <c r="U25" s="135" t="s">
        <v>44</v>
      </c>
      <c r="V25" s="141">
        <v>3985</v>
      </c>
      <c r="W25" s="141"/>
      <c r="X25" s="132">
        <v>10.199999999999999</v>
      </c>
      <c r="Y25" s="133"/>
      <c r="Z25" s="133">
        <v>9.2922409787827148E-2</v>
      </c>
      <c r="AA25" s="133"/>
      <c r="AB25" s="134" t="s">
        <v>44</v>
      </c>
      <c r="AC25" s="135" t="s">
        <v>44</v>
      </c>
      <c r="AD25" s="136">
        <v>48222</v>
      </c>
      <c r="AE25" s="86"/>
      <c r="AF25" s="137" t="s">
        <v>44</v>
      </c>
      <c r="AG25" s="138" t="s">
        <v>44</v>
      </c>
      <c r="AH25" s="139">
        <v>48222</v>
      </c>
      <c r="AI25" s="140"/>
      <c r="AJ25" s="134" t="s">
        <v>44</v>
      </c>
      <c r="AK25" s="135" t="s">
        <v>44</v>
      </c>
      <c r="AL25" s="139">
        <v>0</v>
      </c>
      <c r="AM25" s="140"/>
      <c r="AN25" s="134" t="s">
        <v>44</v>
      </c>
      <c r="AO25" s="135" t="s">
        <v>44</v>
      </c>
      <c r="AP25" s="141">
        <v>4728</v>
      </c>
      <c r="AQ25" s="141"/>
      <c r="AR25" s="132">
        <v>4.5999999999999996</v>
      </c>
      <c r="AS25" s="133"/>
      <c r="AT25" s="133">
        <v>4.1471704577214004E-2</v>
      </c>
      <c r="AU25" s="133"/>
      <c r="AV25" s="134" t="s">
        <v>44</v>
      </c>
      <c r="AW25" s="135" t="s">
        <v>44</v>
      </c>
      <c r="AX25" s="136">
        <v>43045</v>
      </c>
      <c r="AY25" s="86"/>
      <c r="AZ25" s="137" t="s">
        <v>44</v>
      </c>
      <c r="BA25" s="138" t="s">
        <v>44</v>
      </c>
      <c r="BB25" s="139">
        <v>43045</v>
      </c>
      <c r="BC25" s="140"/>
      <c r="BD25" s="134" t="s">
        <v>44</v>
      </c>
      <c r="BE25" s="135" t="s">
        <v>44</v>
      </c>
      <c r="BF25" s="139">
        <v>0</v>
      </c>
      <c r="BG25" s="140"/>
      <c r="BH25" s="134" t="s">
        <v>44</v>
      </c>
      <c r="BI25" s="135" t="s">
        <v>44</v>
      </c>
      <c r="BJ25" s="141">
        <v>9358</v>
      </c>
      <c r="BK25" s="141"/>
      <c r="BL25" s="132">
        <v>12.2</v>
      </c>
      <c r="BM25" s="133"/>
      <c r="BN25" s="133">
        <v>0.10934937124111535</v>
      </c>
      <c r="BO25" s="133"/>
      <c r="BP25" s="134" t="s">
        <v>44</v>
      </c>
      <c r="BQ25" s="135" t="s">
        <v>44</v>
      </c>
      <c r="BR25" s="136">
        <v>43055</v>
      </c>
      <c r="BS25" s="86"/>
      <c r="BT25" s="137" t="s">
        <v>44</v>
      </c>
      <c r="BU25" s="138" t="s">
        <v>44</v>
      </c>
      <c r="BV25" s="139">
        <v>43055</v>
      </c>
      <c r="BW25" s="140"/>
      <c r="BX25" s="134" t="s">
        <v>44</v>
      </c>
      <c r="BY25" s="135" t="s">
        <v>44</v>
      </c>
      <c r="BZ25" s="139">
        <v>0</v>
      </c>
      <c r="CA25" s="140"/>
      <c r="CB25" s="134" t="s">
        <v>44</v>
      </c>
      <c r="CC25" s="135" t="s">
        <v>44</v>
      </c>
      <c r="CD25" s="141">
        <v>3529</v>
      </c>
      <c r="CE25" s="141"/>
      <c r="CF25" s="142">
        <v>39.200000000000003</v>
      </c>
      <c r="CG25" s="141"/>
      <c r="CH25" s="133">
        <v>8.8883648583076721E-2</v>
      </c>
      <c r="CI25" s="143"/>
      <c r="CJ25" s="137" t="s">
        <v>44</v>
      </c>
      <c r="CK25" s="138" t="s">
        <v>44</v>
      </c>
      <c r="CL25" s="139">
        <v>182937</v>
      </c>
      <c r="CM25" s="144"/>
      <c r="CN25" s="145" t="s">
        <v>44</v>
      </c>
      <c r="CO25" s="138" t="s">
        <v>44</v>
      </c>
      <c r="CP25" s="139">
        <v>182937</v>
      </c>
      <c r="CQ25" s="140"/>
      <c r="CR25" s="137" t="s">
        <v>44</v>
      </c>
      <c r="CS25" s="138" t="s">
        <v>44</v>
      </c>
      <c r="CT25" s="139">
        <v>0</v>
      </c>
      <c r="CU25" s="140"/>
      <c r="CV25" s="137" t="s">
        <v>44</v>
      </c>
      <c r="CW25" s="138" t="s">
        <v>44</v>
      </c>
      <c r="CX25" s="139">
        <v>4666.7602040816328</v>
      </c>
      <c r="CY25" s="146"/>
      <c r="CZ25" s="147">
        <f t="shared" si="0"/>
        <v>22.4</v>
      </c>
      <c r="DA25" s="148">
        <f t="shared" si="0"/>
        <v>0</v>
      </c>
      <c r="DB25" s="149" t="e">
        <f>(CZ25/#REF!)*100</f>
        <v>#REF!</v>
      </c>
      <c r="DC25" s="150" t="e">
        <f>(DA25/#REF!)*100</f>
        <v>#REF!</v>
      </c>
      <c r="DD25" s="139">
        <f t="shared" si="1"/>
        <v>96837</v>
      </c>
      <c r="DE25" s="141">
        <f t="shared" si="1"/>
        <v>0</v>
      </c>
      <c r="DF25" s="141" t="e">
        <f t="shared" si="1"/>
        <v>#VALUE!</v>
      </c>
      <c r="DG25" s="151" t="e">
        <f t="shared" si="1"/>
        <v>#VALUE!</v>
      </c>
      <c r="DH25" s="139">
        <f t="shared" si="1"/>
        <v>96837</v>
      </c>
      <c r="DI25" s="140">
        <f t="shared" si="1"/>
        <v>0</v>
      </c>
      <c r="DJ25" s="140" t="e">
        <f t="shared" si="1"/>
        <v>#VALUE!</v>
      </c>
      <c r="DK25" s="140" t="e">
        <f t="shared" si="1"/>
        <v>#VALUE!</v>
      </c>
      <c r="DL25" s="139">
        <f t="shared" si="1"/>
        <v>0</v>
      </c>
      <c r="DM25" s="140">
        <f t="shared" si="1"/>
        <v>0</v>
      </c>
      <c r="DN25" s="140" t="e">
        <f t="shared" si="1"/>
        <v>#VALUE!</v>
      </c>
      <c r="DO25" s="152" t="e">
        <f t="shared" si="1"/>
        <v>#VALUE!</v>
      </c>
      <c r="DP25" s="139">
        <f>ROUND((DD25/CZ25),0)</f>
        <v>4323</v>
      </c>
      <c r="DQ25" s="153" t="e">
        <f>ROUND((DE25/DA25),0)</f>
        <v>#DIV/0!</v>
      </c>
      <c r="DR25" s="154">
        <f t="shared" si="18"/>
        <v>22.4</v>
      </c>
      <c r="DS25" s="84">
        <f t="shared" si="2"/>
        <v>100</v>
      </c>
      <c r="DT25" s="79" t="e">
        <f t="shared" si="3"/>
        <v>#VALUE!</v>
      </c>
      <c r="DU25" s="84" t="e">
        <f t="shared" si="4"/>
        <v>#VALUE!</v>
      </c>
      <c r="DV25" s="79">
        <f t="shared" si="5"/>
        <v>96837</v>
      </c>
      <c r="DW25" s="85">
        <f t="shared" si="6"/>
        <v>100</v>
      </c>
      <c r="DX25" s="86" t="e">
        <f t="shared" si="7"/>
        <v>#VALUE!</v>
      </c>
      <c r="DY25" s="84" t="e">
        <f t="shared" si="8"/>
        <v>#VALUE!</v>
      </c>
      <c r="DZ25" s="79">
        <f t="shared" si="9"/>
        <v>96837</v>
      </c>
      <c r="EA25" s="85">
        <f t="shared" si="10"/>
        <v>100</v>
      </c>
      <c r="EB25" s="86" t="e">
        <f t="shared" si="11"/>
        <v>#VALUE!</v>
      </c>
      <c r="EC25" s="84" t="e">
        <f t="shared" si="12"/>
        <v>#VALUE!</v>
      </c>
      <c r="ED25" s="79">
        <f t="shared" si="13"/>
        <v>0</v>
      </c>
      <c r="EE25" s="87">
        <v>0</v>
      </c>
      <c r="EF25" s="86" t="e">
        <f t="shared" si="14"/>
        <v>#VALUE!</v>
      </c>
      <c r="EG25" s="87" t="e">
        <f t="shared" si="15"/>
        <v>#VALUE!</v>
      </c>
      <c r="EH25" s="155" t="e">
        <f t="shared" si="19"/>
        <v>#DIV/0!</v>
      </c>
      <c r="EI25" s="156" t="e">
        <f t="shared" si="20"/>
        <v>#DIV/0!</v>
      </c>
    </row>
    <row r="26" spans="1:139" s="124" customFormat="1" ht="15.75" customHeight="1" x14ac:dyDescent="0.3">
      <c r="A26" s="1070"/>
      <c r="B26" s="90"/>
      <c r="C26" s="91" t="s">
        <v>45</v>
      </c>
      <c r="D26" s="92">
        <v>12.2</v>
      </c>
      <c r="E26" s="93"/>
      <c r="F26" s="93">
        <v>0.56507642427049554</v>
      </c>
      <c r="G26" s="93"/>
      <c r="H26" s="163" t="s">
        <v>44</v>
      </c>
      <c r="I26" s="159" t="s">
        <v>44</v>
      </c>
      <c r="J26" s="96">
        <v>48615</v>
      </c>
      <c r="K26" s="97"/>
      <c r="L26" s="98" t="s">
        <v>44</v>
      </c>
      <c r="M26" s="99" t="s">
        <v>44</v>
      </c>
      <c r="N26" s="100">
        <v>48615</v>
      </c>
      <c r="O26" s="101"/>
      <c r="P26" s="163" t="s">
        <v>44</v>
      </c>
      <c r="Q26" s="159" t="s">
        <v>44</v>
      </c>
      <c r="R26" s="100">
        <v>0</v>
      </c>
      <c r="S26" s="97"/>
      <c r="T26" s="163" t="s">
        <v>44</v>
      </c>
      <c r="U26" s="159" t="s">
        <v>44</v>
      </c>
      <c r="V26" s="102">
        <v>3985</v>
      </c>
      <c r="W26" s="102"/>
      <c r="X26" s="92">
        <v>10.199999999999999</v>
      </c>
      <c r="Y26" s="93"/>
      <c r="Z26" s="93">
        <v>0.46703296703296704</v>
      </c>
      <c r="AA26" s="93"/>
      <c r="AB26" s="163" t="s">
        <v>44</v>
      </c>
      <c r="AC26" s="159" t="s">
        <v>44</v>
      </c>
      <c r="AD26" s="96">
        <v>48222</v>
      </c>
      <c r="AE26" s="97"/>
      <c r="AF26" s="98" t="s">
        <v>44</v>
      </c>
      <c r="AG26" s="99" t="s">
        <v>44</v>
      </c>
      <c r="AH26" s="100">
        <v>48222</v>
      </c>
      <c r="AI26" s="101"/>
      <c r="AJ26" s="163" t="s">
        <v>44</v>
      </c>
      <c r="AK26" s="159" t="s">
        <v>44</v>
      </c>
      <c r="AL26" s="100">
        <v>0</v>
      </c>
      <c r="AM26" s="97"/>
      <c r="AN26" s="163" t="s">
        <v>44</v>
      </c>
      <c r="AO26" s="159" t="s">
        <v>44</v>
      </c>
      <c r="AP26" s="102">
        <v>4728</v>
      </c>
      <c r="AQ26" s="102"/>
      <c r="AR26" s="92">
        <v>4.5999999999999996</v>
      </c>
      <c r="AS26" s="93"/>
      <c r="AT26" s="93">
        <v>0.20833333333333334</v>
      </c>
      <c r="AU26" s="93"/>
      <c r="AV26" s="163" t="s">
        <v>44</v>
      </c>
      <c r="AW26" s="159" t="s">
        <v>44</v>
      </c>
      <c r="AX26" s="96">
        <v>43045</v>
      </c>
      <c r="AY26" s="97"/>
      <c r="AZ26" s="98" t="s">
        <v>44</v>
      </c>
      <c r="BA26" s="99" t="s">
        <v>44</v>
      </c>
      <c r="BB26" s="100">
        <v>43045</v>
      </c>
      <c r="BC26" s="101"/>
      <c r="BD26" s="163" t="s">
        <v>44</v>
      </c>
      <c r="BE26" s="159" t="s">
        <v>44</v>
      </c>
      <c r="BF26" s="100">
        <v>0</v>
      </c>
      <c r="BG26" s="97"/>
      <c r="BH26" s="163" t="s">
        <v>44</v>
      </c>
      <c r="BI26" s="159" t="s">
        <v>44</v>
      </c>
      <c r="BJ26" s="102">
        <v>9358</v>
      </c>
      <c r="BK26" s="102"/>
      <c r="BL26" s="92">
        <v>12.2</v>
      </c>
      <c r="BM26" s="93"/>
      <c r="BN26" s="93">
        <v>0.55228610230873687</v>
      </c>
      <c r="BO26" s="93"/>
      <c r="BP26" s="163" t="s">
        <v>44</v>
      </c>
      <c r="BQ26" s="159" t="s">
        <v>44</v>
      </c>
      <c r="BR26" s="96">
        <v>43055</v>
      </c>
      <c r="BS26" s="97"/>
      <c r="BT26" s="98" t="s">
        <v>44</v>
      </c>
      <c r="BU26" s="99" t="s">
        <v>44</v>
      </c>
      <c r="BV26" s="100">
        <v>43055</v>
      </c>
      <c r="BW26" s="101"/>
      <c r="BX26" s="163" t="s">
        <v>44</v>
      </c>
      <c r="BY26" s="159" t="s">
        <v>44</v>
      </c>
      <c r="BZ26" s="100">
        <v>0</v>
      </c>
      <c r="CA26" s="97"/>
      <c r="CB26" s="163" t="s">
        <v>44</v>
      </c>
      <c r="CC26" s="159" t="s">
        <v>44</v>
      </c>
      <c r="CD26" s="102">
        <v>3529</v>
      </c>
      <c r="CE26" s="102"/>
      <c r="CF26" s="103">
        <v>39.200000000000003</v>
      </c>
      <c r="CG26" s="102"/>
      <c r="CH26" s="93">
        <v>0.44748858447488593</v>
      </c>
      <c r="CI26" s="127"/>
      <c r="CJ26" s="98" t="s">
        <v>44</v>
      </c>
      <c r="CK26" s="99" t="s">
        <v>44</v>
      </c>
      <c r="CL26" s="100">
        <v>182937</v>
      </c>
      <c r="CM26" s="107"/>
      <c r="CN26" s="108" t="s">
        <v>44</v>
      </c>
      <c r="CO26" s="99" t="s">
        <v>44</v>
      </c>
      <c r="CP26" s="100">
        <v>182937</v>
      </c>
      <c r="CQ26" s="97"/>
      <c r="CR26" s="98" t="s">
        <v>44</v>
      </c>
      <c r="CS26" s="99" t="s">
        <v>44</v>
      </c>
      <c r="CT26" s="100">
        <v>0</v>
      </c>
      <c r="CU26" s="97"/>
      <c r="CV26" s="98" t="s">
        <v>44</v>
      </c>
      <c r="CW26" s="99" t="s">
        <v>44</v>
      </c>
      <c r="CX26" s="100">
        <v>4666.7602040816328</v>
      </c>
      <c r="CY26" s="129"/>
      <c r="CZ26" s="110">
        <f t="shared" si="0"/>
        <v>22.4</v>
      </c>
      <c r="DA26" s="111">
        <f t="shared" si="0"/>
        <v>0</v>
      </c>
      <c r="DB26" s="112">
        <f>(CZ26/4343)*100</f>
        <v>0.51577250748330639</v>
      </c>
      <c r="DC26" s="113">
        <f>(DA26/4343)*100</f>
        <v>0</v>
      </c>
      <c r="DD26" s="100">
        <f t="shared" si="1"/>
        <v>96837</v>
      </c>
      <c r="DE26" s="102">
        <f t="shared" si="1"/>
        <v>0</v>
      </c>
      <c r="DF26" s="102" t="e">
        <f t="shared" si="1"/>
        <v>#VALUE!</v>
      </c>
      <c r="DG26" s="114" t="e">
        <f t="shared" si="1"/>
        <v>#VALUE!</v>
      </c>
      <c r="DH26" s="100">
        <f t="shared" si="1"/>
        <v>96837</v>
      </c>
      <c r="DI26" s="97">
        <f t="shared" si="1"/>
        <v>0</v>
      </c>
      <c r="DJ26" s="97" t="e">
        <f t="shared" si="1"/>
        <v>#VALUE!</v>
      </c>
      <c r="DK26" s="97" t="e">
        <f t="shared" si="1"/>
        <v>#VALUE!</v>
      </c>
      <c r="DL26" s="100">
        <f t="shared" si="1"/>
        <v>0</v>
      </c>
      <c r="DM26" s="97">
        <f t="shared" si="1"/>
        <v>0</v>
      </c>
      <c r="DN26" s="97" t="e">
        <f t="shared" si="1"/>
        <v>#VALUE!</v>
      </c>
      <c r="DO26" s="115" t="e">
        <f t="shared" si="1"/>
        <v>#VALUE!</v>
      </c>
      <c r="DP26" s="100">
        <f>ROUND((DD26/CZ26),0)</f>
        <v>4323</v>
      </c>
      <c r="DQ26" s="116" t="e">
        <f t="shared" si="22"/>
        <v>#DIV/0!</v>
      </c>
      <c r="DR26" s="117">
        <f t="shared" si="18"/>
        <v>22.4</v>
      </c>
      <c r="DS26" s="118">
        <f t="shared" si="2"/>
        <v>100</v>
      </c>
      <c r="DT26" s="104" t="e">
        <f t="shared" si="3"/>
        <v>#VALUE!</v>
      </c>
      <c r="DU26" s="118" t="e">
        <f t="shared" si="4"/>
        <v>#VALUE!</v>
      </c>
      <c r="DV26" s="104">
        <f t="shared" si="5"/>
        <v>96837</v>
      </c>
      <c r="DW26" s="119">
        <f t="shared" si="6"/>
        <v>100</v>
      </c>
      <c r="DX26" s="120" t="e">
        <f t="shared" si="7"/>
        <v>#VALUE!</v>
      </c>
      <c r="DY26" s="118" t="e">
        <f t="shared" si="8"/>
        <v>#VALUE!</v>
      </c>
      <c r="DZ26" s="104">
        <f t="shared" si="9"/>
        <v>96837</v>
      </c>
      <c r="EA26" s="119">
        <f t="shared" si="10"/>
        <v>100</v>
      </c>
      <c r="EB26" s="120" t="e">
        <f t="shared" si="11"/>
        <v>#VALUE!</v>
      </c>
      <c r="EC26" s="118" t="e">
        <f t="shared" si="12"/>
        <v>#VALUE!</v>
      </c>
      <c r="ED26" s="104">
        <f t="shared" si="13"/>
        <v>0</v>
      </c>
      <c r="EE26" s="121">
        <v>0</v>
      </c>
      <c r="EF26" s="120" t="e">
        <f t="shared" si="14"/>
        <v>#VALUE!</v>
      </c>
      <c r="EG26" s="121" t="e">
        <f t="shared" si="15"/>
        <v>#VALUE!</v>
      </c>
      <c r="EH26" s="122" t="e">
        <f t="shared" si="19"/>
        <v>#DIV/0!</v>
      </c>
      <c r="EI26" s="123" t="e">
        <f t="shared" si="20"/>
        <v>#DIV/0!</v>
      </c>
    </row>
    <row r="27" spans="1:139" s="157" customFormat="1" ht="15.75" customHeight="1" x14ac:dyDescent="0.3">
      <c r="A27" s="1070"/>
      <c r="B27" s="164" t="s">
        <v>53</v>
      </c>
      <c r="C27" s="165"/>
      <c r="D27" s="132">
        <v>66.100000000000009</v>
      </c>
      <c r="E27" s="133"/>
      <c r="F27" s="133">
        <v>0.6077099173477738</v>
      </c>
      <c r="G27" s="133"/>
      <c r="H27" s="134" t="s">
        <v>44</v>
      </c>
      <c r="I27" s="135" t="s">
        <v>44</v>
      </c>
      <c r="J27" s="136">
        <v>22521</v>
      </c>
      <c r="K27" s="86"/>
      <c r="L27" s="137" t="s">
        <v>44</v>
      </c>
      <c r="M27" s="138" t="s">
        <v>44</v>
      </c>
      <c r="N27" s="139">
        <v>22521</v>
      </c>
      <c r="O27" s="140"/>
      <c r="P27" s="134" t="s">
        <v>44</v>
      </c>
      <c r="Q27" s="135" t="s">
        <v>44</v>
      </c>
      <c r="R27" s="139">
        <v>0</v>
      </c>
      <c r="S27" s="140"/>
      <c r="T27" s="134" t="s">
        <v>44</v>
      </c>
      <c r="U27" s="135" t="s">
        <v>44</v>
      </c>
      <c r="V27" s="141">
        <v>341</v>
      </c>
      <c r="W27" s="141"/>
      <c r="X27" s="132">
        <v>64.8</v>
      </c>
      <c r="Y27" s="133"/>
      <c r="Z27" s="133">
        <v>0.59033060335796061</v>
      </c>
      <c r="AA27" s="133"/>
      <c r="AB27" s="134" t="s">
        <v>44</v>
      </c>
      <c r="AC27" s="135" t="s">
        <v>44</v>
      </c>
      <c r="AD27" s="136">
        <v>22506</v>
      </c>
      <c r="AE27" s="86"/>
      <c r="AF27" s="137" t="s">
        <v>44</v>
      </c>
      <c r="AG27" s="138" t="s">
        <v>44</v>
      </c>
      <c r="AH27" s="139">
        <v>22506</v>
      </c>
      <c r="AI27" s="140"/>
      <c r="AJ27" s="134" t="s">
        <v>44</v>
      </c>
      <c r="AK27" s="135" t="s">
        <v>44</v>
      </c>
      <c r="AL27" s="139">
        <v>0</v>
      </c>
      <c r="AM27" s="140"/>
      <c r="AN27" s="134" t="s">
        <v>44</v>
      </c>
      <c r="AO27" s="135" t="s">
        <v>44</v>
      </c>
      <c r="AP27" s="141">
        <v>347</v>
      </c>
      <c r="AQ27" s="141"/>
      <c r="AR27" s="132">
        <v>67.900000000000006</v>
      </c>
      <c r="AS27" s="133"/>
      <c r="AT27" s="133">
        <v>0.61215842191148506</v>
      </c>
      <c r="AU27" s="133"/>
      <c r="AV27" s="134" t="s">
        <v>44</v>
      </c>
      <c r="AW27" s="135" t="s">
        <v>44</v>
      </c>
      <c r="AX27" s="136">
        <v>23108</v>
      </c>
      <c r="AY27" s="86"/>
      <c r="AZ27" s="137" t="s">
        <v>44</v>
      </c>
      <c r="BA27" s="138" t="s">
        <v>44</v>
      </c>
      <c r="BB27" s="139">
        <v>23108</v>
      </c>
      <c r="BC27" s="140"/>
      <c r="BD27" s="134" t="s">
        <v>44</v>
      </c>
      <c r="BE27" s="135" t="s">
        <v>44</v>
      </c>
      <c r="BF27" s="139">
        <v>0</v>
      </c>
      <c r="BG27" s="140"/>
      <c r="BH27" s="134" t="s">
        <v>44</v>
      </c>
      <c r="BI27" s="135" t="s">
        <v>44</v>
      </c>
      <c r="BJ27" s="141">
        <v>340</v>
      </c>
      <c r="BK27" s="141"/>
      <c r="BL27" s="132">
        <v>67.2</v>
      </c>
      <c r="BM27" s="133"/>
      <c r="BN27" s="133">
        <v>0.602317848147783</v>
      </c>
      <c r="BO27" s="133"/>
      <c r="BP27" s="134" t="s">
        <v>44</v>
      </c>
      <c r="BQ27" s="135" t="s">
        <v>44</v>
      </c>
      <c r="BR27" s="136">
        <v>23291</v>
      </c>
      <c r="BS27" s="86"/>
      <c r="BT27" s="137" t="s">
        <v>44</v>
      </c>
      <c r="BU27" s="138" t="s">
        <v>44</v>
      </c>
      <c r="BV27" s="139">
        <v>23291</v>
      </c>
      <c r="BW27" s="140"/>
      <c r="BX27" s="134" t="s">
        <v>44</v>
      </c>
      <c r="BY27" s="135" t="s">
        <v>44</v>
      </c>
      <c r="BZ27" s="139">
        <v>0</v>
      </c>
      <c r="CA27" s="140"/>
      <c r="CB27" s="134" t="s">
        <v>44</v>
      </c>
      <c r="CC27" s="135" t="s">
        <v>44</v>
      </c>
      <c r="CD27" s="141">
        <v>347</v>
      </c>
      <c r="CE27" s="141"/>
      <c r="CF27" s="142">
        <v>266</v>
      </c>
      <c r="CG27" s="141"/>
      <c r="CH27" s="133">
        <v>0.60313904395659201</v>
      </c>
      <c r="CI27" s="143"/>
      <c r="CJ27" s="137" t="s">
        <v>44</v>
      </c>
      <c r="CK27" s="138" t="s">
        <v>44</v>
      </c>
      <c r="CL27" s="139">
        <v>91426</v>
      </c>
      <c r="CM27" s="144"/>
      <c r="CN27" s="145" t="s">
        <v>44</v>
      </c>
      <c r="CO27" s="138" t="s">
        <v>44</v>
      </c>
      <c r="CP27" s="139">
        <v>91426</v>
      </c>
      <c r="CQ27" s="140"/>
      <c r="CR27" s="137" t="s">
        <v>44</v>
      </c>
      <c r="CS27" s="138" t="s">
        <v>44</v>
      </c>
      <c r="CT27" s="139">
        <v>0</v>
      </c>
      <c r="CU27" s="140"/>
      <c r="CV27" s="137" t="s">
        <v>44</v>
      </c>
      <c r="CW27" s="138" t="s">
        <v>44</v>
      </c>
      <c r="CX27" s="139">
        <v>343.70676691729324</v>
      </c>
      <c r="CY27" s="146"/>
      <c r="CZ27" s="147">
        <f t="shared" si="0"/>
        <v>130.9</v>
      </c>
      <c r="DA27" s="148">
        <f t="shared" si="0"/>
        <v>0</v>
      </c>
      <c r="DB27" s="149" t="e">
        <f>(CZ27/#REF!)*100</f>
        <v>#REF!</v>
      </c>
      <c r="DC27" s="150" t="e">
        <f>(DA27/#REF!)*100</f>
        <v>#REF!</v>
      </c>
      <c r="DD27" s="139">
        <f t="shared" si="1"/>
        <v>45027</v>
      </c>
      <c r="DE27" s="141">
        <f t="shared" si="1"/>
        <v>0</v>
      </c>
      <c r="DF27" s="141" t="e">
        <f t="shared" si="1"/>
        <v>#VALUE!</v>
      </c>
      <c r="DG27" s="151" t="e">
        <f t="shared" si="1"/>
        <v>#VALUE!</v>
      </c>
      <c r="DH27" s="139">
        <f t="shared" si="1"/>
        <v>45027</v>
      </c>
      <c r="DI27" s="140">
        <f t="shared" si="1"/>
        <v>0</v>
      </c>
      <c r="DJ27" s="140" t="e">
        <f t="shared" si="1"/>
        <v>#VALUE!</v>
      </c>
      <c r="DK27" s="140" t="e">
        <f t="shared" si="1"/>
        <v>#VALUE!</v>
      </c>
      <c r="DL27" s="139">
        <f t="shared" si="1"/>
        <v>0</v>
      </c>
      <c r="DM27" s="140">
        <f t="shared" si="1"/>
        <v>0</v>
      </c>
      <c r="DN27" s="140" t="e">
        <f t="shared" si="1"/>
        <v>#VALUE!</v>
      </c>
      <c r="DO27" s="152" t="e">
        <f t="shared" si="1"/>
        <v>#VALUE!</v>
      </c>
      <c r="DP27" s="139">
        <f>ROUND((DD27/CZ27),0)</f>
        <v>344</v>
      </c>
      <c r="DQ27" s="153" t="e">
        <f>ROUND((DE27/DA27),0)</f>
        <v>#DIV/0!</v>
      </c>
      <c r="DR27" s="154">
        <f t="shared" si="18"/>
        <v>130.9</v>
      </c>
      <c r="DS27" s="84">
        <f t="shared" si="2"/>
        <v>100</v>
      </c>
      <c r="DT27" s="79" t="e">
        <f t="shared" si="3"/>
        <v>#VALUE!</v>
      </c>
      <c r="DU27" s="84" t="e">
        <f t="shared" si="4"/>
        <v>#VALUE!</v>
      </c>
      <c r="DV27" s="79">
        <f t="shared" si="5"/>
        <v>45027</v>
      </c>
      <c r="DW27" s="85">
        <f t="shared" si="6"/>
        <v>100</v>
      </c>
      <c r="DX27" s="86" t="e">
        <f t="shared" si="7"/>
        <v>#VALUE!</v>
      </c>
      <c r="DY27" s="84" t="e">
        <f t="shared" si="8"/>
        <v>#VALUE!</v>
      </c>
      <c r="DZ27" s="79">
        <f t="shared" si="9"/>
        <v>45027</v>
      </c>
      <c r="EA27" s="85">
        <f t="shared" si="10"/>
        <v>100</v>
      </c>
      <c r="EB27" s="86" t="e">
        <f t="shared" si="11"/>
        <v>#VALUE!</v>
      </c>
      <c r="EC27" s="84" t="e">
        <f t="shared" si="12"/>
        <v>#VALUE!</v>
      </c>
      <c r="ED27" s="79">
        <f t="shared" si="13"/>
        <v>0</v>
      </c>
      <c r="EE27" s="87">
        <v>0</v>
      </c>
      <c r="EF27" s="86" t="e">
        <f t="shared" si="14"/>
        <v>#VALUE!</v>
      </c>
      <c r="EG27" s="87" t="e">
        <f t="shared" si="15"/>
        <v>#VALUE!</v>
      </c>
      <c r="EH27" s="155" t="e">
        <f t="shared" si="19"/>
        <v>#DIV/0!</v>
      </c>
      <c r="EI27" s="156" t="e">
        <f t="shared" si="20"/>
        <v>#DIV/0!</v>
      </c>
    </row>
    <row r="28" spans="1:139" s="124" customFormat="1" ht="15.75" customHeight="1" x14ac:dyDescent="0.3">
      <c r="A28" s="1070"/>
      <c r="B28" s="90"/>
      <c r="C28" s="91" t="s">
        <v>45</v>
      </c>
      <c r="D28" s="92">
        <v>37.6</v>
      </c>
      <c r="E28" s="93"/>
      <c r="F28" s="93">
        <v>1.7415470125057897</v>
      </c>
      <c r="G28" s="93"/>
      <c r="H28" s="158" t="s">
        <v>44</v>
      </c>
      <c r="I28" s="159" t="s">
        <v>44</v>
      </c>
      <c r="J28" s="96">
        <v>19227</v>
      </c>
      <c r="K28" s="97"/>
      <c r="L28" s="166" t="s">
        <v>44</v>
      </c>
      <c r="M28" s="167" t="s">
        <v>44</v>
      </c>
      <c r="N28" s="100">
        <v>19227</v>
      </c>
      <c r="O28" s="101"/>
      <c r="P28" s="158" t="s">
        <v>44</v>
      </c>
      <c r="Q28" s="159" t="s">
        <v>44</v>
      </c>
      <c r="R28" s="100">
        <v>0</v>
      </c>
      <c r="S28" s="97"/>
      <c r="T28" s="158" t="s">
        <v>44</v>
      </c>
      <c r="U28" s="159" t="s">
        <v>44</v>
      </c>
      <c r="V28" s="102">
        <v>511</v>
      </c>
      <c r="W28" s="102"/>
      <c r="X28" s="92">
        <v>37.4</v>
      </c>
      <c r="Y28" s="93"/>
      <c r="Z28" s="93">
        <v>1.7124542124542124</v>
      </c>
      <c r="AA28" s="93"/>
      <c r="AB28" s="158" t="s">
        <v>44</v>
      </c>
      <c r="AC28" s="159" t="s">
        <v>44</v>
      </c>
      <c r="AD28" s="96">
        <v>19531</v>
      </c>
      <c r="AE28" s="97"/>
      <c r="AF28" s="166" t="s">
        <v>44</v>
      </c>
      <c r="AG28" s="167" t="s">
        <v>44</v>
      </c>
      <c r="AH28" s="100">
        <v>19531</v>
      </c>
      <c r="AI28" s="101"/>
      <c r="AJ28" s="158" t="s">
        <v>44</v>
      </c>
      <c r="AK28" s="159" t="s">
        <v>44</v>
      </c>
      <c r="AL28" s="100">
        <v>0</v>
      </c>
      <c r="AM28" s="97"/>
      <c r="AN28" s="158" t="s">
        <v>44</v>
      </c>
      <c r="AO28" s="159" t="s">
        <v>44</v>
      </c>
      <c r="AP28" s="102">
        <v>522</v>
      </c>
      <c r="AQ28" s="102"/>
      <c r="AR28" s="92">
        <v>37.9</v>
      </c>
      <c r="AS28" s="93"/>
      <c r="AT28" s="93">
        <v>1.7164855072463767</v>
      </c>
      <c r="AU28" s="93"/>
      <c r="AV28" s="158" t="s">
        <v>44</v>
      </c>
      <c r="AW28" s="159" t="s">
        <v>44</v>
      </c>
      <c r="AX28" s="96">
        <v>19766</v>
      </c>
      <c r="AY28" s="97"/>
      <c r="AZ28" s="166" t="s">
        <v>44</v>
      </c>
      <c r="BA28" s="167" t="s">
        <v>44</v>
      </c>
      <c r="BB28" s="100">
        <v>19766</v>
      </c>
      <c r="BC28" s="101"/>
      <c r="BD28" s="158" t="s">
        <v>44</v>
      </c>
      <c r="BE28" s="159" t="s">
        <v>44</v>
      </c>
      <c r="BF28" s="100">
        <v>0</v>
      </c>
      <c r="BG28" s="97"/>
      <c r="BH28" s="158" t="s">
        <v>44</v>
      </c>
      <c r="BI28" s="159" t="s">
        <v>44</v>
      </c>
      <c r="BJ28" s="102">
        <v>522</v>
      </c>
      <c r="BK28" s="102"/>
      <c r="BL28" s="92">
        <v>38.5</v>
      </c>
      <c r="BM28" s="93"/>
      <c r="BN28" s="93">
        <v>1.7428700769578995</v>
      </c>
      <c r="BO28" s="93"/>
      <c r="BP28" s="158" t="s">
        <v>44</v>
      </c>
      <c r="BQ28" s="159" t="s">
        <v>44</v>
      </c>
      <c r="BR28" s="96">
        <v>19998</v>
      </c>
      <c r="BS28" s="97"/>
      <c r="BT28" s="166" t="s">
        <v>44</v>
      </c>
      <c r="BU28" s="167" t="s">
        <v>44</v>
      </c>
      <c r="BV28" s="100">
        <v>19998</v>
      </c>
      <c r="BW28" s="101"/>
      <c r="BX28" s="158" t="s">
        <v>44</v>
      </c>
      <c r="BY28" s="159" t="s">
        <v>44</v>
      </c>
      <c r="BZ28" s="100">
        <v>0</v>
      </c>
      <c r="CA28" s="97"/>
      <c r="CB28" s="158" t="s">
        <v>44</v>
      </c>
      <c r="CC28" s="159" t="s">
        <v>44</v>
      </c>
      <c r="CD28" s="102">
        <v>519</v>
      </c>
      <c r="CE28" s="102"/>
      <c r="CF28" s="103">
        <v>151.4</v>
      </c>
      <c r="CG28" s="102"/>
      <c r="CH28" s="93">
        <v>1.7283105022831049</v>
      </c>
      <c r="CI28" s="127"/>
      <c r="CJ28" s="166" t="s">
        <v>44</v>
      </c>
      <c r="CK28" s="167" t="s">
        <v>44</v>
      </c>
      <c r="CL28" s="100">
        <v>78522</v>
      </c>
      <c r="CM28" s="107"/>
      <c r="CN28" s="168" t="s">
        <v>44</v>
      </c>
      <c r="CO28" s="167" t="s">
        <v>44</v>
      </c>
      <c r="CP28" s="100">
        <v>78522</v>
      </c>
      <c r="CQ28" s="97"/>
      <c r="CR28" s="166" t="s">
        <v>44</v>
      </c>
      <c r="CS28" s="167" t="s">
        <v>44</v>
      </c>
      <c r="CT28" s="100">
        <v>0</v>
      </c>
      <c r="CU28" s="97"/>
      <c r="CV28" s="166" t="s">
        <v>44</v>
      </c>
      <c r="CW28" s="167" t="s">
        <v>44</v>
      </c>
      <c r="CX28" s="100">
        <v>518.63936591809772</v>
      </c>
      <c r="CY28" s="129"/>
      <c r="CZ28" s="110">
        <f t="shared" si="0"/>
        <v>75</v>
      </c>
      <c r="DA28" s="111">
        <f t="shared" si="0"/>
        <v>0</v>
      </c>
      <c r="DB28" s="112">
        <f>(CZ28/4343)*100</f>
        <v>1.7269168777342851</v>
      </c>
      <c r="DC28" s="113">
        <f>(DA28/4343)*100</f>
        <v>0</v>
      </c>
      <c r="DD28" s="100">
        <f t="shared" si="1"/>
        <v>38758</v>
      </c>
      <c r="DE28" s="102">
        <f t="shared" si="1"/>
        <v>0</v>
      </c>
      <c r="DF28" s="102" t="e">
        <f t="shared" si="1"/>
        <v>#VALUE!</v>
      </c>
      <c r="DG28" s="114" t="e">
        <f t="shared" si="1"/>
        <v>#VALUE!</v>
      </c>
      <c r="DH28" s="100">
        <f t="shared" si="1"/>
        <v>38758</v>
      </c>
      <c r="DI28" s="97">
        <f t="shared" si="1"/>
        <v>0</v>
      </c>
      <c r="DJ28" s="97" t="e">
        <f t="shared" si="1"/>
        <v>#VALUE!</v>
      </c>
      <c r="DK28" s="97" t="e">
        <f t="shared" si="1"/>
        <v>#VALUE!</v>
      </c>
      <c r="DL28" s="100">
        <f t="shared" si="1"/>
        <v>0</v>
      </c>
      <c r="DM28" s="97">
        <f t="shared" si="1"/>
        <v>0</v>
      </c>
      <c r="DN28" s="97" t="e">
        <f t="shared" si="1"/>
        <v>#VALUE!</v>
      </c>
      <c r="DO28" s="115" t="e">
        <f t="shared" si="1"/>
        <v>#VALUE!</v>
      </c>
      <c r="DP28" s="100">
        <f>ROUND((DD28/CZ28),0)</f>
        <v>517</v>
      </c>
      <c r="DQ28" s="116" t="e">
        <f>ROUND((DE28/DA28),0)</f>
        <v>#DIV/0!</v>
      </c>
      <c r="DR28" s="117">
        <f t="shared" si="18"/>
        <v>75</v>
      </c>
      <c r="DS28" s="118">
        <f t="shared" si="2"/>
        <v>100</v>
      </c>
      <c r="DT28" s="104" t="e">
        <f t="shared" si="3"/>
        <v>#VALUE!</v>
      </c>
      <c r="DU28" s="118" t="e">
        <f t="shared" si="4"/>
        <v>#VALUE!</v>
      </c>
      <c r="DV28" s="104">
        <f t="shared" si="5"/>
        <v>38758</v>
      </c>
      <c r="DW28" s="119">
        <f t="shared" si="6"/>
        <v>100</v>
      </c>
      <c r="DX28" s="120" t="e">
        <f t="shared" si="7"/>
        <v>#VALUE!</v>
      </c>
      <c r="DY28" s="118" t="e">
        <f t="shared" si="8"/>
        <v>#VALUE!</v>
      </c>
      <c r="DZ28" s="104">
        <f t="shared" si="9"/>
        <v>38758</v>
      </c>
      <c r="EA28" s="119">
        <f t="shared" si="10"/>
        <v>100</v>
      </c>
      <c r="EB28" s="120" t="e">
        <f t="shared" si="11"/>
        <v>#VALUE!</v>
      </c>
      <c r="EC28" s="118" t="e">
        <f t="shared" si="12"/>
        <v>#VALUE!</v>
      </c>
      <c r="ED28" s="104">
        <f t="shared" si="13"/>
        <v>0</v>
      </c>
      <c r="EE28" s="121">
        <v>0</v>
      </c>
      <c r="EF28" s="120" t="e">
        <f t="shared" si="14"/>
        <v>#VALUE!</v>
      </c>
      <c r="EG28" s="121" t="e">
        <f t="shared" si="15"/>
        <v>#VALUE!</v>
      </c>
      <c r="EH28" s="122" t="e">
        <f t="shared" si="19"/>
        <v>#DIV/0!</v>
      </c>
      <c r="EI28" s="123" t="e">
        <f t="shared" si="20"/>
        <v>#DIV/0!</v>
      </c>
    </row>
    <row r="29" spans="1:139" s="124" customFormat="1" ht="15.75" customHeight="1" x14ac:dyDescent="0.3">
      <c r="A29" s="1070"/>
      <c r="B29" s="90"/>
      <c r="C29" s="91" t="s">
        <v>46</v>
      </c>
      <c r="D29" s="92">
        <v>3.2</v>
      </c>
      <c r="E29" s="93"/>
      <c r="F29" s="93">
        <v>0.14821676702176934</v>
      </c>
      <c r="G29" s="93"/>
      <c r="H29" s="158" t="s">
        <v>44</v>
      </c>
      <c r="I29" s="159" t="s">
        <v>44</v>
      </c>
      <c r="J29" s="96">
        <v>858</v>
      </c>
      <c r="K29" s="97"/>
      <c r="L29" s="166" t="s">
        <v>44</v>
      </c>
      <c r="M29" s="167" t="s">
        <v>44</v>
      </c>
      <c r="N29" s="100">
        <v>858</v>
      </c>
      <c r="O29" s="101"/>
      <c r="P29" s="158" t="s">
        <v>44</v>
      </c>
      <c r="Q29" s="159" t="s">
        <v>44</v>
      </c>
      <c r="R29" s="100">
        <v>0</v>
      </c>
      <c r="S29" s="97"/>
      <c r="T29" s="158" t="s">
        <v>44</v>
      </c>
      <c r="U29" s="159" t="s">
        <v>44</v>
      </c>
      <c r="V29" s="102">
        <v>268</v>
      </c>
      <c r="W29" s="102"/>
      <c r="X29" s="92">
        <v>3</v>
      </c>
      <c r="Y29" s="93"/>
      <c r="Z29" s="93">
        <v>0.13736263736263737</v>
      </c>
      <c r="AA29" s="93"/>
      <c r="AB29" s="158" t="s">
        <v>44</v>
      </c>
      <c r="AC29" s="159" t="s">
        <v>44</v>
      </c>
      <c r="AD29" s="96">
        <v>792</v>
      </c>
      <c r="AE29" s="97"/>
      <c r="AF29" s="166" t="s">
        <v>44</v>
      </c>
      <c r="AG29" s="167" t="s">
        <v>44</v>
      </c>
      <c r="AH29" s="100">
        <v>792</v>
      </c>
      <c r="AI29" s="101"/>
      <c r="AJ29" s="158" t="s">
        <v>44</v>
      </c>
      <c r="AK29" s="159" t="s">
        <v>44</v>
      </c>
      <c r="AL29" s="100">
        <v>0</v>
      </c>
      <c r="AM29" s="97"/>
      <c r="AN29" s="158" t="s">
        <v>44</v>
      </c>
      <c r="AO29" s="159" t="s">
        <v>44</v>
      </c>
      <c r="AP29" s="102">
        <v>264</v>
      </c>
      <c r="AQ29" s="102"/>
      <c r="AR29" s="92">
        <v>3.2</v>
      </c>
      <c r="AS29" s="93"/>
      <c r="AT29" s="93">
        <v>0.14492753623188406</v>
      </c>
      <c r="AU29" s="93"/>
      <c r="AV29" s="158" t="s">
        <v>44</v>
      </c>
      <c r="AW29" s="159" t="s">
        <v>44</v>
      </c>
      <c r="AX29" s="96">
        <v>861</v>
      </c>
      <c r="AY29" s="97"/>
      <c r="AZ29" s="166" t="s">
        <v>44</v>
      </c>
      <c r="BA29" s="167" t="s">
        <v>44</v>
      </c>
      <c r="BB29" s="100">
        <v>861</v>
      </c>
      <c r="BC29" s="101"/>
      <c r="BD29" s="158" t="s">
        <v>44</v>
      </c>
      <c r="BE29" s="159" t="s">
        <v>44</v>
      </c>
      <c r="BF29" s="100">
        <v>0</v>
      </c>
      <c r="BG29" s="97"/>
      <c r="BH29" s="158" t="s">
        <v>44</v>
      </c>
      <c r="BI29" s="159" t="s">
        <v>44</v>
      </c>
      <c r="BJ29" s="102">
        <v>269</v>
      </c>
      <c r="BK29" s="102"/>
      <c r="BL29" s="92">
        <v>3.1</v>
      </c>
      <c r="BM29" s="93"/>
      <c r="BN29" s="93">
        <v>0.14033499320959711</v>
      </c>
      <c r="BO29" s="93"/>
      <c r="BP29" s="158" t="s">
        <v>44</v>
      </c>
      <c r="BQ29" s="159" t="s">
        <v>44</v>
      </c>
      <c r="BR29" s="96">
        <v>823</v>
      </c>
      <c r="BS29" s="97"/>
      <c r="BT29" s="166" t="s">
        <v>44</v>
      </c>
      <c r="BU29" s="167" t="s">
        <v>44</v>
      </c>
      <c r="BV29" s="100">
        <v>823</v>
      </c>
      <c r="BW29" s="101"/>
      <c r="BX29" s="158" t="s">
        <v>44</v>
      </c>
      <c r="BY29" s="159" t="s">
        <v>44</v>
      </c>
      <c r="BZ29" s="100">
        <v>0</v>
      </c>
      <c r="CA29" s="97"/>
      <c r="CB29" s="158" t="s">
        <v>44</v>
      </c>
      <c r="CC29" s="159" t="s">
        <v>44</v>
      </c>
      <c r="CD29" s="102">
        <v>265</v>
      </c>
      <c r="CE29" s="102"/>
      <c r="CF29" s="103">
        <v>12.5</v>
      </c>
      <c r="CG29" s="102"/>
      <c r="CH29" s="93">
        <v>0.14269406392694062</v>
      </c>
      <c r="CI29" s="127"/>
      <c r="CJ29" s="166" t="s">
        <v>44</v>
      </c>
      <c r="CK29" s="167" t="s">
        <v>44</v>
      </c>
      <c r="CL29" s="100">
        <v>3334</v>
      </c>
      <c r="CM29" s="107"/>
      <c r="CN29" s="168" t="s">
        <v>44</v>
      </c>
      <c r="CO29" s="167" t="s">
        <v>44</v>
      </c>
      <c r="CP29" s="100">
        <v>3334</v>
      </c>
      <c r="CQ29" s="97"/>
      <c r="CR29" s="166" t="s">
        <v>44</v>
      </c>
      <c r="CS29" s="167" t="s">
        <v>44</v>
      </c>
      <c r="CT29" s="100">
        <v>0</v>
      </c>
      <c r="CU29" s="97"/>
      <c r="CV29" s="166" t="s">
        <v>44</v>
      </c>
      <c r="CW29" s="167" t="s">
        <v>44</v>
      </c>
      <c r="CX29" s="100">
        <v>266.72000000000003</v>
      </c>
      <c r="CY29" s="129"/>
      <c r="CZ29" s="110">
        <f t="shared" si="0"/>
        <v>6.2</v>
      </c>
      <c r="DA29" s="111">
        <f t="shared" si="0"/>
        <v>0</v>
      </c>
      <c r="DB29" s="112">
        <f t="shared" ref="DB29:DC31" si="25">(CZ29/4343)*100</f>
        <v>0.14275846189270089</v>
      </c>
      <c r="DC29" s="113">
        <f t="shared" si="25"/>
        <v>0</v>
      </c>
      <c r="DD29" s="100">
        <f t="shared" si="1"/>
        <v>1650</v>
      </c>
      <c r="DE29" s="102">
        <f t="shared" si="1"/>
        <v>0</v>
      </c>
      <c r="DF29" s="102" t="e">
        <f t="shared" si="1"/>
        <v>#VALUE!</v>
      </c>
      <c r="DG29" s="114" t="e">
        <f t="shared" si="1"/>
        <v>#VALUE!</v>
      </c>
      <c r="DH29" s="100">
        <f t="shared" si="1"/>
        <v>1650</v>
      </c>
      <c r="DI29" s="97">
        <f t="shared" si="1"/>
        <v>0</v>
      </c>
      <c r="DJ29" s="97" t="e">
        <f t="shared" si="1"/>
        <v>#VALUE!</v>
      </c>
      <c r="DK29" s="97" t="e">
        <f t="shared" si="1"/>
        <v>#VALUE!</v>
      </c>
      <c r="DL29" s="100">
        <f t="shared" si="1"/>
        <v>0</v>
      </c>
      <c r="DM29" s="97">
        <f t="shared" si="1"/>
        <v>0</v>
      </c>
      <c r="DN29" s="97" t="e">
        <f t="shared" si="1"/>
        <v>#VALUE!</v>
      </c>
      <c r="DO29" s="115" t="e">
        <f t="shared" si="1"/>
        <v>#VALUE!</v>
      </c>
      <c r="DP29" s="100">
        <f t="shared" ref="DP29:DQ31" si="26">ROUND((DD29/CZ29),0)</f>
        <v>266</v>
      </c>
      <c r="DQ29" s="116" t="e">
        <f t="shared" si="26"/>
        <v>#DIV/0!</v>
      </c>
      <c r="DR29" s="117">
        <f t="shared" si="18"/>
        <v>6.2</v>
      </c>
      <c r="DS29" s="118">
        <f t="shared" si="2"/>
        <v>100</v>
      </c>
      <c r="DT29" s="104" t="e">
        <f t="shared" si="3"/>
        <v>#VALUE!</v>
      </c>
      <c r="DU29" s="118" t="e">
        <f t="shared" si="4"/>
        <v>#VALUE!</v>
      </c>
      <c r="DV29" s="104">
        <f t="shared" si="5"/>
        <v>1650</v>
      </c>
      <c r="DW29" s="119">
        <f t="shared" si="6"/>
        <v>100</v>
      </c>
      <c r="DX29" s="120" t="e">
        <f t="shared" si="7"/>
        <v>#VALUE!</v>
      </c>
      <c r="DY29" s="118" t="e">
        <f t="shared" si="8"/>
        <v>#VALUE!</v>
      </c>
      <c r="DZ29" s="104">
        <f t="shared" si="9"/>
        <v>1650</v>
      </c>
      <c r="EA29" s="119">
        <f t="shared" si="10"/>
        <v>100</v>
      </c>
      <c r="EB29" s="120" t="e">
        <f t="shared" si="11"/>
        <v>#VALUE!</v>
      </c>
      <c r="EC29" s="118" t="e">
        <f t="shared" si="12"/>
        <v>#VALUE!</v>
      </c>
      <c r="ED29" s="104">
        <f t="shared" si="13"/>
        <v>0</v>
      </c>
      <c r="EE29" s="121">
        <v>0</v>
      </c>
      <c r="EF29" s="120" t="e">
        <f t="shared" si="14"/>
        <v>#VALUE!</v>
      </c>
      <c r="EG29" s="121" t="e">
        <f t="shared" si="15"/>
        <v>#VALUE!</v>
      </c>
      <c r="EH29" s="122" t="e">
        <f t="shared" si="19"/>
        <v>#DIV/0!</v>
      </c>
      <c r="EI29" s="123" t="e">
        <f t="shared" si="20"/>
        <v>#DIV/0!</v>
      </c>
    </row>
    <row r="30" spans="1:139" ht="15.75" customHeight="1" x14ac:dyDescent="0.3">
      <c r="A30" s="1070"/>
      <c r="B30" s="169"/>
      <c r="C30" s="91" t="s">
        <v>48</v>
      </c>
      <c r="D30" s="92">
        <v>18.8</v>
      </c>
      <c r="E30" s="93"/>
      <c r="F30" s="93">
        <v>0.87077350625289485</v>
      </c>
      <c r="G30" s="93"/>
      <c r="H30" s="158" t="s">
        <v>44</v>
      </c>
      <c r="I30" s="159" t="s">
        <v>44</v>
      </c>
      <c r="J30" s="96">
        <v>1687</v>
      </c>
      <c r="K30" s="97"/>
      <c r="L30" s="166" t="s">
        <v>44</v>
      </c>
      <c r="M30" s="167" t="s">
        <v>44</v>
      </c>
      <c r="N30" s="100">
        <v>1687</v>
      </c>
      <c r="O30" s="126"/>
      <c r="P30" s="158" t="s">
        <v>44</v>
      </c>
      <c r="Q30" s="159" t="s">
        <v>44</v>
      </c>
      <c r="R30" s="100">
        <v>0</v>
      </c>
      <c r="S30" s="97"/>
      <c r="T30" s="158" t="s">
        <v>44</v>
      </c>
      <c r="U30" s="159" t="s">
        <v>44</v>
      </c>
      <c r="V30" s="102">
        <v>90</v>
      </c>
      <c r="W30" s="102"/>
      <c r="X30" s="92">
        <v>17.899999999999999</v>
      </c>
      <c r="Y30" s="93"/>
      <c r="Z30" s="93">
        <v>0.81959706959706946</v>
      </c>
      <c r="AA30" s="93"/>
      <c r="AB30" s="158" t="s">
        <v>44</v>
      </c>
      <c r="AC30" s="159" t="s">
        <v>44</v>
      </c>
      <c r="AD30" s="96">
        <v>1436</v>
      </c>
      <c r="AE30" s="97"/>
      <c r="AF30" s="166" t="s">
        <v>44</v>
      </c>
      <c r="AG30" s="167" t="s">
        <v>44</v>
      </c>
      <c r="AH30" s="100">
        <v>1436</v>
      </c>
      <c r="AI30" s="126"/>
      <c r="AJ30" s="158" t="s">
        <v>44</v>
      </c>
      <c r="AK30" s="159" t="s">
        <v>44</v>
      </c>
      <c r="AL30" s="100">
        <v>0</v>
      </c>
      <c r="AM30" s="97"/>
      <c r="AN30" s="158" t="s">
        <v>44</v>
      </c>
      <c r="AO30" s="159" t="s">
        <v>44</v>
      </c>
      <c r="AP30" s="102">
        <v>80</v>
      </c>
      <c r="AQ30" s="102"/>
      <c r="AR30" s="92">
        <v>20.3</v>
      </c>
      <c r="AS30" s="93"/>
      <c r="AT30" s="93">
        <v>0.91938405797101441</v>
      </c>
      <c r="AU30" s="93"/>
      <c r="AV30" s="158" t="s">
        <v>44</v>
      </c>
      <c r="AW30" s="159" t="s">
        <v>44</v>
      </c>
      <c r="AX30" s="96">
        <v>1742</v>
      </c>
      <c r="AY30" s="97"/>
      <c r="AZ30" s="166" t="s">
        <v>44</v>
      </c>
      <c r="BA30" s="167" t="s">
        <v>44</v>
      </c>
      <c r="BB30" s="100">
        <v>1742</v>
      </c>
      <c r="BC30" s="126"/>
      <c r="BD30" s="158" t="s">
        <v>44</v>
      </c>
      <c r="BE30" s="159" t="s">
        <v>44</v>
      </c>
      <c r="BF30" s="100">
        <v>0</v>
      </c>
      <c r="BG30" s="97"/>
      <c r="BH30" s="158" t="s">
        <v>44</v>
      </c>
      <c r="BI30" s="159" t="s">
        <v>44</v>
      </c>
      <c r="BJ30" s="102">
        <v>86</v>
      </c>
      <c r="BK30" s="102"/>
      <c r="BL30" s="92">
        <v>19.600000000000001</v>
      </c>
      <c r="BM30" s="93"/>
      <c r="BN30" s="93">
        <v>0.88727931190583986</v>
      </c>
      <c r="BO30" s="93"/>
      <c r="BP30" s="158" t="s">
        <v>44</v>
      </c>
      <c r="BQ30" s="159" t="s">
        <v>44</v>
      </c>
      <c r="BR30" s="96">
        <v>1753</v>
      </c>
      <c r="BS30" s="97"/>
      <c r="BT30" s="166" t="s">
        <v>44</v>
      </c>
      <c r="BU30" s="167" t="s">
        <v>44</v>
      </c>
      <c r="BV30" s="100">
        <v>1753</v>
      </c>
      <c r="BW30" s="126"/>
      <c r="BX30" s="158" t="s">
        <v>44</v>
      </c>
      <c r="BY30" s="159" t="s">
        <v>44</v>
      </c>
      <c r="BZ30" s="100">
        <v>0</v>
      </c>
      <c r="CA30" s="97"/>
      <c r="CB30" s="158" t="s">
        <v>44</v>
      </c>
      <c r="CC30" s="159" t="s">
        <v>44</v>
      </c>
      <c r="CD30" s="102">
        <v>89</v>
      </c>
      <c r="CE30" s="102"/>
      <c r="CF30" s="103">
        <v>76.599999999999994</v>
      </c>
      <c r="CG30" s="102"/>
      <c r="CH30" s="93">
        <v>0.87442922374429222</v>
      </c>
      <c r="CI30" s="127"/>
      <c r="CJ30" s="166" t="s">
        <v>44</v>
      </c>
      <c r="CK30" s="167" t="s">
        <v>44</v>
      </c>
      <c r="CL30" s="100">
        <v>6618</v>
      </c>
      <c r="CM30" s="107"/>
      <c r="CN30" s="168" t="s">
        <v>44</v>
      </c>
      <c r="CO30" s="167" t="s">
        <v>44</v>
      </c>
      <c r="CP30" s="100">
        <v>6618</v>
      </c>
      <c r="CQ30" s="97"/>
      <c r="CR30" s="166" t="s">
        <v>44</v>
      </c>
      <c r="CS30" s="167" t="s">
        <v>44</v>
      </c>
      <c r="CT30" s="100">
        <v>0</v>
      </c>
      <c r="CU30" s="97"/>
      <c r="CV30" s="166" t="s">
        <v>44</v>
      </c>
      <c r="CW30" s="167" t="s">
        <v>44</v>
      </c>
      <c r="CX30" s="100">
        <v>86.396866840731079</v>
      </c>
      <c r="CY30" s="129"/>
      <c r="CZ30" s="110">
        <f t="shared" si="0"/>
        <v>36.700000000000003</v>
      </c>
      <c r="DA30" s="111">
        <f t="shared" si="0"/>
        <v>0</v>
      </c>
      <c r="DB30" s="112">
        <f t="shared" si="25"/>
        <v>0.84503799217131026</v>
      </c>
      <c r="DC30" s="113">
        <f t="shared" si="25"/>
        <v>0</v>
      </c>
      <c r="DD30" s="100">
        <f t="shared" si="1"/>
        <v>3123</v>
      </c>
      <c r="DE30" s="102">
        <f t="shared" si="1"/>
        <v>0</v>
      </c>
      <c r="DF30" s="102" t="e">
        <f t="shared" si="1"/>
        <v>#VALUE!</v>
      </c>
      <c r="DG30" s="114" t="e">
        <f t="shared" si="1"/>
        <v>#VALUE!</v>
      </c>
      <c r="DH30" s="100">
        <f t="shared" si="1"/>
        <v>3123</v>
      </c>
      <c r="DI30" s="97">
        <f t="shared" si="1"/>
        <v>0</v>
      </c>
      <c r="DJ30" s="97" t="e">
        <f t="shared" si="1"/>
        <v>#VALUE!</v>
      </c>
      <c r="DK30" s="97" t="e">
        <f t="shared" si="1"/>
        <v>#VALUE!</v>
      </c>
      <c r="DL30" s="100">
        <f t="shared" si="1"/>
        <v>0</v>
      </c>
      <c r="DM30" s="97">
        <f t="shared" si="1"/>
        <v>0</v>
      </c>
      <c r="DN30" s="97" t="e">
        <f t="shared" si="1"/>
        <v>#VALUE!</v>
      </c>
      <c r="DO30" s="115" t="e">
        <f t="shared" si="1"/>
        <v>#VALUE!</v>
      </c>
      <c r="DP30" s="100">
        <f t="shared" si="26"/>
        <v>85</v>
      </c>
      <c r="DQ30" s="116" t="e">
        <f t="shared" si="26"/>
        <v>#DIV/0!</v>
      </c>
      <c r="DR30" s="117">
        <f t="shared" si="18"/>
        <v>36.700000000000003</v>
      </c>
      <c r="DS30" s="118">
        <f t="shared" si="2"/>
        <v>100</v>
      </c>
      <c r="DT30" s="104" t="e">
        <f t="shared" si="3"/>
        <v>#VALUE!</v>
      </c>
      <c r="DU30" s="118" t="e">
        <f t="shared" si="4"/>
        <v>#VALUE!</v>
      </c>
      <c r="DV30" s="104">
        <f t="shared" si="5"/>
        <v>3123</v>
      </c>
      <c r="DW30" s="119">
        <f t="shared" si="6"/>
        <v>100</v>
      </c>
      <c r="DX30" s="120" t="e">
        <f t="shared" si="7"/>
        <v>#VALUE!</v>
      </c>
      <c r="DY30" s="118" t="e">
        <f t="shared" si="8"/>
        <v>#VALUE!</v>
      </c>
      <c r="DZ30" s="104">
        <f t="shared" si="9"/>
        <v>3123</v>
      </c>
      <c r="EA30" s="119">
        <f t="shared" si="10"/>
        <v>100</v>
      </c>
      <c r="EB30" s="120" t="e">
        <f t="shared" si="11"/>
        <v>#VALUE!</v>
      </c>
      <c r="EC30" s="118" t="e">
        <f t="shared" si="12"/>
        <v>#VALUE!</v>
      </c>
      <c r="ED30" s="104">
        <f t="shared" si="13"/>
        <v>0</v>
      </c>
      <c r="EE30" s="121">
        <v>0</v>
      </c>
      <c r="EF30" s="120" t="e">
        <f t="shared" si="14"/>
        <v>#VALUE!</v>
      </c>
      <c r="EG30" s="121" t="e">
        <f t="shared" si="15"/>
        <v>#VALUE!</v>
      </c>
      <c r="EH30" s="122" t="e">
        <f t="shared" si="19"/>
        <v>#DIV/0!</v>
      </c>
      <c r="EI30" s="123" t="e">
        <f t="shared" si="20"/>
        <v>#DIV/0!</v>
      </c>
    </row>
    <row r="31" spans="1:139" ht="15.75" customHeight="1" x14ac:dyDescent="0.3">
      <c r="A31" s="1070"/>
      <c r="B31" s="169"/>
      <c r="C31" s="91" t="s">
        <v>49</v>
      </c>
      <c r="D31" s="92">
        <v>6.5</v>
      </c>
      <c r="E31" s="93"/>
      <c r="F31" s="93">
        <v>0.30106530801296894</v>
      </c>
      <c r="G31" s="93"/>
      <c r="H31" s="158" t="s">
        <v>44</v>
      </c>
      <c r="I31" s="159" t="s">
        <v>44</v>
      </c>
      <c r="J31" s="96">
        <v>749</v>
      </c>
      <c r="K31" s="97"/>
      <c r="L31" s="166" t="s">
        <v>44</v>
      </c>
      <c r="M31" s="167" t="s">
        <v>44</v>
      </c>
      <c r="N31" s="100">
        <v>749</v>
      </c>
      <c r="O31" s="126"/>
      <c r="P31" s="158" t="s">
        <v>44</v>
      </c>
      <c r="Q31" s="159" t="s">
        <v>44</v>
      </c>
      <c r="R31" s="100">
        <v>0</v>
      </c>
      <c r="S31" s="97"/>
      <c r="T31" s="158" t="s">
        <v>44</v>
      </c>
      <c r="U31" s="159" t="s">
        <v>44</v>
      </c>
      <c r="V31" s="102">
        <v>115</v>
      </c>
      <c r="W31" s="102"/>
      <c r="X31" s="92">
        <v>6.5</v>
      </c>
      <c r="Y31" s="93"/>
      <c r="Z31" s="93">
        <v>0.29761904761904762</v>
      </c>
      <c r="AA31" s="93"/>
      <c r="AB31" s="158" t="s">
        <v>44</v>
      </c>
      <c r="AC31" s="159" t="s">
        <v>44</v>
      </c>
      <c r="AD31" s="96">
        <v>747</v>
      </c>
      <c r="AE31" s="97"/>
      <c r="AF31" s="166" t="s">
        <v>44</v>
      </c>
      <c r="AG31" s="167" t="s">
        <v>44</v>
      </c>
      <c r="AH31" s="100">
        <v>747</v>
      </c>
      <c r="AI31" s="126"/>
      <c r="AJ31" s="158" t="s">
        <v>44</v>
      </c>
      <c r="AK31" s="159" t="s">
        <v>44</v>
      </c>
      <c r="AL31" s="100">
        <v>0</v>
      </c>
      <c r="AM31" s="97"/>
      <c r="AN31" s="158" t="s">
        <v>44</v>
      </c>
      <c r="AO31" s="159" t="s">
        <v>44</v>
      </c>
      <c r="AP31" s="102">
        <v>115</v>
      </c>
      <c r="AQ31" s="102"/>
      <c r="AR31" s="92">
        <v>6.5</v>
      </c>
      <c r="AS31" s="93"/>
      <c r="AT31" s="93">
        <v>0.29438405797101452</v>
      </c>
      <c r="AU31" s="93"/>
      <c r="AV31" s="158" t="s">
        <v>44</v>
      </c>
      <c r="AW31" s="159" t="s">
        <v>44</v>
      </c>
      <c r="AX31" s="96">
        <v>739</v>
      </c>
      <c r="AY31" s="97"/>
      <c r="AZ31" s="166" t="s">
        <v>44</v>
      </c>
      <c r="BA31" s="167" t="s">
        <v>44</v>
      </c>
      <c r="BB31" s="100">
        <v>739</v>
      </c>
      <c r="BC31" s="126"/>
      <c r="BD31" s="158" t="s">
        <v>44</v>
      </c>
      <c r="BE31" s="159" t="s">
        <v>44</v>
      </c>
      <c r="BF31" s="100">
        <v>0</v>
      </c>
      <c r="BG31" s="97"/>
      <c r="BH31" s="158" t="s">
        <v>44</v>
      </c>
      <c r="BI31" s="159" t="s">
        <v>44</v>
      </c>
      <c r="BJ31" s="102">
        <v>114</v>
      </c>
      <c r="BK31" s="102"/>
      <c r="BL31" s="92">
        <v>6</v>
      </c>
      <c r="BM31" s="93"/>
      <c r="BN31" s="93">
        <v>0.27161611588954282</v>
      </c>
      <c r="BO31" s="93"/>
      <c r="BP31" s="158" t="s">
        <v>44</v>
      </c>
      <c r="BQ31" s="159" t="s">
        <v>44</v>
      </c>
      <c r="BR31" s="96">
        <v>717</v>
      </c>
      <c r="BS31" s="97"/>
      <c r="BT31" s="166" t="s">
        <v>44</v>
      </c>
      <c r="BU31" s="167" t="s">
        <v>44</v>
      </c>
      <c r="BV31" s="100">
        <v>717</v>
      </c>
      <c r="BW31" s="126"/>
      <c r="BX31" s="158" t="s">
        <v>44</v>
      </c>
      <c r="BY31" s="159" t="s">
        <v>44</v>
      </c>
      <c r="BZ31" s="100">
        <v>0</v>
      </c>
      <c r="CA31" s="97"/>
      <c r="CB31" s="158" t="s">
        <v>44</v>
      </c>
      <c r="CC31" s="159" t="s">
        <v>44</v>
      </c>
      <c r="CD31" s="102">
        <v>120</v>
      </c>
      <c r="CE31" s="102"/>
      <c r="CF31" s="103">
        <v>25.5</v>
      </c>
      <c r="CG31" s="102"/>
      <c r="CH31" s="93">
        <v>0.2910958904109589</v>
      </c>
      <c r="CI31" s="127"/>
      <c r="CJ31" s="166" t="s">
        <v>44</v>
      </c>
      <c r="CK31" s="167" t="s">
        <v>44</v>
      </c>
      <c r="CL31" s="100">
        <v>2952</v>
      </c>
      <c r="CM31" s="107"/>
      <c r="CN31" s="168" t="s">
        <v>44</v>
      </c>
      <c r="CO31" s="167" t="s">
        <v>44</v>
      </c>
      <c r="CP31" s="100">
        <v>2952</v>
      </c>
      <c r="CQ31" s="97"/>
      <c r="CR31" s="166" t="s">
        <v>44</v>
      </c>
      <c r="CS31" s="167" t="s">
        <v>44</v>
      </c>
      <c r="CT31" s="100">
        <v>0</v>
      </c>
      <c r="CU31" s="97"/>
      <c r="CV31" s="166" t="s">
        <v>44</v>
      </c>
      <c r="CW31" s="167" t="s">
        <v>44</v>
      </c>
      <c r="CX31" s="100">
        <v>115.76470588235294</v>
      </c>
      <c r="CY31" s="129"/>
      <c r="CZ31" s="110">
        <f t="shared" si="0"/>
        <v>13</v>
      </c>
      <c r="DA31" s="111">
        <f t="shared" si="0"/>
        <v>0</v>
      </c>
      <c r="DB31" s="112">
        <f t="shared" si="25"/>
        <v>0.2993322588072761</v>
      </c>
      <c r="DC31" s="113">
        <f t="shared" si="25"/>
        <v>0</v>
      </c>
      <c r="DD31" s="100">
        <f t="shared" si="1"/>
        <v>1496</v>
      </c>
      <c r="DE31" s="102">
        <f t="shared" si="1"/>
        <v>0</v>
      </c>
      <c r="DF31" s="102" t="e">
        <f t="shared" si="1"/>
        <v>#VALUE!</v>
      </c>
      <c r="DG31" s="114" t="e">
        <f t="shared" si="1"/>
        <v>#VALUE!</v>
      </c>
      <c r="DH31" s="100">
        <f t="shared" si="1"/>
        <v>1496</v>
      </c>
      <c r="DI31" s="97">
        <f t="shared" si="1"/>
        <v>0</v>
      </c>
      <c r="DJ31" s="97" t="e">
        <f t="shared" si="1"/>
        <v>#VALUE!</v>
      </c>
      <c r="DK31" s="97" t="e">
        <f t="shared" si="1"/>
        <v>#VALUE!</v>
      </c>
      <c r="DL31" s="100">
        <f t="shared" si="1"/>
        <v>0</v>
      </c>
      <c r="DM31" s="97">
        <f t="shared" si="1"/>
        <v>0</v>
      </c>
      <c r="DN31" s="97" t="e">
        <f t="shared" si="1"/>
        <v>#VALUE!</v>
      </c>
      <c r="DO31" s="115" t="e">
        <f t="shared" si="1"/>
        <v>#VALUE!</v>
      </c>
      <c r="DP31" s="100">
        <f t="shared" si="26"/>
        <v>115</v>
      </c>
      <c r="DQ31" s="116" t="e">
        <f t="shared" si="26"/>
        <v>#DIV/0!</v>
      </c>
      <c r="DR31" s="117">
        <f t="shared" si="18"/>
        <v>13</v>
      </c>
      <c r="DS31" s="118">
        <f t="shared" si="2"/>
        <v>100</v>
      </c>
      <c r="DT31" s="104" t="e">
        <f t="shared" si="3"/>
        <v>#VALUE!</v>
      </c>
      <c r="DU31" s="118" t="e">
        <f t="shared" si="4"/>
        <v>#VALUE!</v>
      </c>
      <c r="DV31" s="104">
        <f t="shared" si="5"/>
        <v>1496</v>
      </c>
      <c r="DW31" s="119">
        <f t="shared" si="6"/>
        <v>100</v>
      </c>
      <c r="DX31" s="120" t="e">
        <f t="shared" si="7"/>
        <v>#VALUE!</v>
      </c>
      <c r="DY31" s="118" t="e">
        <f t="shared" si="8"/>
        <v>#VALUE!</v>
      </c>
      <c r="DZ31" s="104">
        <f t="shared" si="9"/>
        <v>1496</v>
      </c>
      <c r="EA31" s="119">
        <f t="shared" si="10"/>
        <v>100</v>
      </c>
      <c r="EB31" s="120" t="e">
        <f t="shared" si="11"/>
        <v>#VALUE!</v>
      </c>
      <c r="EC31" s="118" t="e">
        <f t="shared" si="12"/>
        <v>#VALUE!</v>
      </c>
      <c r="ED31" s="104">
        <f t="shared" si="13"/>
        <v>0</v>
      </c>
      <c r="EE31" s="121">
        <v>0</v>
      </c>
      <c r="EF31" s="120" t="e">
        <f t="shared" si="14"/>
        <v>#VALUE!</v>
      </c>
      <c r="EG31" s="121" t="e">
        <f t="shared" si="15"/>
        <v>#VALUE!</v>
      </c>
      <c r="EH31" s="122" t="e">
        <f t="shared" si="19"/>
        <v>#DIV/0!</v>
      </c>
      <c r="EI31" s="123" t="e">
        <f t="shared" si="20"/>
        <v>#DIV/0!</v>
      </c>
    </row>
    <row r="32" spans="1:139" s="157" customFormat="1" ht="29.25" customHeight="1" x14ac:dyDescent="0.3">
      <c r="A32" s="1070"/>
      <c r="B32" s="164" t="s">
        <v>54</v>
      </c>
      <c r="C32" s="165"/>
      <c r="D32" s="132">
        <v>555.4</v>
      </c>
      <c r="E32" s="133"/>
      <c r="F32" s="133">
        <v>5.1062343130855306</v>
      </c>
      <c r="G32" s="133"/>
      <c r="H32" s="134" t="s">
        <v>44</v>
      </c>
      <c r="I32" s="135" t="s">
        <v>44</v>
      </c>
      <c r="J32" s="136">
        <v>43611</v>
      </c>
      <c r="K32" s="86"/>
      <c r="L32" s="170" t="s">
        <v>44</v>
      </c>
      <c r="M32" s="171" t="s">
        <v>44</v>
      </c>
      <c r="N32" s="139">
        <v>43611</v>
      </c>
      <c r="O32" s="140"/>
      <c r="P32" s="134" t="s">
        <v>44</v>
      </c>
      <c r="Q32" s="135" t="s">
        <v>44</v>
      </c>
      <c r="R32" s="139">
        <v>0</v>
      </c>
      <c r="S32" s="140"/>
      <c r="T32" s="134" t="s">
        <v>44</v>
      </c>
      <c r="U32" s="135" t="s">
        <v>44</v>
      </c>
      <c r="V32" s="141">
        <v>79</v>
      </c>
      <c r="W32" s="141"/>
      <c r="X32" s="132">
        <v>524.70000000000005</v>
      </c>
      <c r="Y32" s="133"/>
      <c r="Z32" s="133">
        <v>4.780038079967933</v>
      </c>
      <c r="AA32" s="133"/>
      <c r="AB32" s="134" t="s">
        <v>44</v>
      </c>
      <c r="AC32" s="135" t="s">
        <v>44</v>
      </c>
      <c r="AD32" s="136">
        <v>41713</v>
      </c>
      <c r="AE32" s="86"/>
      <c r="AF32" s="170" t="s">
        <v>44</v>
      </c>
      <c r="AG32" s="171" t="s">
        <v>44</v>
      </c>
      <c r="AH32" s="139">
        <v>41713</v>
      </c>
      <c r="AI32" s="140"/>
      <c r="AJ32" s="134" t="s">
        <v>44</v>
      </c>
      <c r="AK32" s="135" t="s">
        <v>44</v>
      </c>
      <c r="AL32" s="139">
        <v>0</v>
      </c>
      <c r="AM32" s="140"/>
      <c r="AN32" s="134" t="s">
        <v>44</v>
      </c>
      <c r="AO32" s="135" t="s">
        <v>44</v>
      </c>
      <c r="AP32" s="141">
        <v>79</v>
      </c>
      <c r="AQ32" s="141"/>
      <c r="AR32" s="132">
        <v>549.9</v>
      </c>
      <c r="AS32" s="133"/>
      <c r="AT32" s="133">
        <v>4.9576718145673864</v>
      </c>
      <c r="AU32" s="133"/>
      <c r="AV32" s="134" t="s">
        <v>44</v>
      </c>
      <c r="AW32" s="135" t="s">
        <v>44</v>
      </c>
      <c r="AX32" s="136">
        <v>32905</v>
      </c>
      <c r="AY32" s="86"/>
      <c r="AZ32" s="170" t="s">
        <v>44</v>
      </c>
      <c r="BA32" s="171" t="s">
        <v>44</v>
      </c>
      <c r="BB32" s="139">
        <v>32905</v>
      </c>
      <c r="BC32" s="140"/>
      <c r="BD32" s="134" t="s">
        <v>44</v>
      </c>
      <c r="BE32" s="135" t="s">
        <v>44</v>
      </c>
      <c r="BF32" s="139">
        <v>0</v>
      </c>
      <c r="BG32" s="140"/>
      <c r="BH32" s="134" t="s">
        <v>44</v>
      </c>
      <c r="BI32" s="135" t="s">
        <v>44</v>
      </c>
      <c r="BJ32" s="141">
        <v>60</v>
      </c>
      <c r="BK32" s="141"/>
      <c r="BL32" s="132">
        <v>496.2</v>
      </c>
      <c r="BM32" s="133"/>
      <c r="BN32" s="133">
        <v>4.4474719680197907</v>
      </c>
      <c r="BO32" s="133"/>
      <c r="BP32" s="134" t="s">
        <v>44</v>
      </c>
      <c r="BQ32" s="135" t="s">
        <v>44</v>
      </c>
      <c r="BR32" s="136">
        <v>41015</v>
      </c>
      <c r="BS32" s="86"/>
      <c r="BT32" s="170" t="s">
        <v>44</v>
      </c>
      <c r="BU32" s="171" t="s">
        <v>44</v>
      </c>
      <c r="BV32" s="139">
        <v>41015</v>
      </c>
      <c r="BW32" s="140"/>
      <c r="BX32" s="134" t="s">
        <v>44</v>
      </c>
      <c r="BY32" s="135" t="s">
        <v>44</v>
      </c>
      <c r="BZ32" s="139">
        <v>0</v>
      </c>
      <c r="CA32" s="140"/>
      <c r="CB32" s="134" t="s">
        <v>44</v>
      </c>
      <c r="CC32" s="135" t="s">
        <v>44</v>
      </c>
      <c r="CD32" s="141">
        <v>83</v>
      </c>
      <c r="CE32" s="141"/>
      <c r="CF32" s="142">
        <v>2126.1999999999998</v>
      </c>
      <c r="CG32" s="141"/>
      <c r="CH32" s="133">
        <v>4.8210309596259622</v>
      </c>
      <c r="CI32" s="143"/>
      <c r="CJ32" s="170" t="s">
        <v>44</v>
      </c>
      <c r="CK32" s="171" t="s">
        <v>44</v>
      </c>
      <c r="CL32" s="139">
        <v>159244</v>
      </c>
      <c r="CM32" s="144"/>
      <c r="CN32" s="172" t="s">
        <v>44</v>
      </c>
      <c r="CO32" s="171" t="s">
        <v>44</v>
      </c>
      <c r="CP32" s="139">
        <v>159244</v>
      </c>
      <c r="CQ32" s="140"/>
      <c r="CR32" s="170" t="s">
        <v>44</v>
      </c>
      <c r="CS32" s="171" t="s">
        <v>44</v>
      </c>
      <c r="CT32" s="139">
        <v>0</v>
      </c>
      <c r="CU32" s="140"/>
      <c r="CV32" s="170" t="s">
        <v>44</v>
      </c>
      <c r="CW32" s="171" t="s">
        <v>44</v>
      </c>
      <c r="CX32" s="139">
        <v>74.896058696265641</v>
      </c>
      <c r="CY32" s="146"/>
      <c r="CZ32" s="147">
        <f t="shared" si="0"/>
        <v>1080.0999999999999</v>
      </c>
      <c r="DA32" s="148">
        <f t="shared" si="0"/>
        <v>0</v>
      </c>
      <c r="DB32" s="149" t="e">
        <f>(CZ32/#REF!)*100</f>
        <v>#REF!</v>
      </c>
      <c r="DC32" s="150" t="e">
        <f>(DA32/#REF!)*100</f>
        <v>#REF!</v>
      </c>
      <c r="DD32" s="139">
        <f t="shared" si="1"/>
        <v>85324</v>
      </c>
      <c r="DE32" s="141">
        <f t="shared" si="1"/>
        <v>0</v>
      </c>
      <c r="DF32" s="141" t="e">
        <f t="shared" si="1"/>
        <v>#VALUE!</v>
      </c>
      <c r="DG32" s="151" t="e">
        <f t="shared" si="1"/>
        <v>#VALUE!</v>
      </c>
      <c r="DH32" s="139">
        <f t="shared" si="1"/>
        <v>85324</v>
      </c>
      <c r="DI32" s="140">
        <f t="shared" si="1"/>
        <v>0</v>
      </c>
      <c r="DJ32" s="140" t="e">
        <f t="shared" si="1"/>
        <v>#VALUE!</v>
      </c>
      <c r="DK32" s="140" t="e">
        <f t="shared" si="1"/>
        <v>#VALUE!</v>
      </c>
      <c r="DL32" s="139">
        <f t="shared" si="1"/>
        <v>0</v>
      </c>
      <c r="DM32" s="140">
        <f t="shared" si="1"/>
        <v>0</v>
      </c>
      <c r="DN32" s="140" t="e">
        <f t="shared" si="1"/>
        <v>#VALUE!</v>
      </c>
      <c r="DO32" s="152" t="e">
        <f t="shared" si="1"/>
        <v>#VALUE!</v>
      </c>
      <c r="DP32" s="139">
        <f>ROUND((DD32/CZ32),0)</f>
        <v>79</v>
      </c>
      <c r="DQ32" s="153" t="e">
        <f>ROUND((DE32/DA32),0)</f>
        <v>#DIV/0!</v>
      </c>
      <c r="DR32" s="154">
        <f t="shared" si="18"/>
        <v>1080.0999999999999</v>
      </c>
      <c r="DS32" s="84">
        <f t="shared" si="2"/>
        <v>100</v>
      </c>
      <c r="DT32" s="79" t="e">
        <f t="shared" si="3"/>
        <v>#VALUE!</v>
      </c>
      <c r="DU32" s="84" t="e">
        <f t="shared" si="4"/>
        <v>#VALUE!</v>
      </c>
      <c r="DV32" s="79">
        <f t="shared" si="5"/>
        <v>85324</v>
      </c>
      <c r="DW32" s="85">
        <f t="shared" si="6"/>
        <v>100</v>
      </c>
      <c r="DX32" s="86" t="e">
        <f t="shared" si="7"/>
        <v>#VALUE!</v>
      </c>
      <c r="DY32" s="84" t="e">
        <f t="shared" si="8"/>
        <v>#VALUE!</v>
      </c>
      <c r="DZ32" s="79">
        <f t="shared" si="9"/>
        <v>85324</v>
      </c>
      <c r="EA32" s="85">
        <f t="shared" si="10"/>
        <v>100</v>
      </c>
      <c r="EB32" s="86" t="e">
        <f t="shared" si="11"/>
        <v>#VALUE!</v>
      </c>
      <c r="EC32" s="84" t="e">
        <f t="shared" si="12"/>
        <v>#VALUE!</v>
      </c>
      <c r="ED32" s="79">
        <f t="shared" si="13"/>
        <v>0</v>
      </c>
      <c r="EE32" s="87">
        <v>0</v>
      </c>
      <c r="EF32" s="86" t="e">
        <f t="shared" si="14"/>
        <v>#VALUE!</v>
      </c>
      <c r="EG32" s="87" t="e">
        <f t="shared" si="15"/>
        <v>#VALUE!</v>
      </c>
      <c r="EH32" s="155" t="e">
        <f t="shared" si="19"/>
        <v>#DIV/0!</v>
      </c>
      <c r="EI32" s="156" t="e">
        <f t="shared" si="20"/>
        <v>#DIV/0!</v>
      </c>
    </row>
    <row r="33" spans="1:139" ht="15.75" customHeight="1" x14ac:dyDescent="0.3">
      <c r="A33" s="1070"/>
      <c r="B33" s="160"/>
      <c r="C33" s="91" t="s">
        <v>45</v>
      </c>
      <c r="D33" s="92">
        <v>31.8</v>
      </c>
      <c r="E33" s="93"/>
      <c r="F33" s="93">
        <v>1.4729041222788328</v>
      </c>
      <c r="G33" s="93"/>
      <c r="H33" s="158" t="s">
        <v>44</v>
      </c>
      <c r="I33" s="159" t="s">
        <v>44</v>
      </c>
      <c r="J33" s="96">
        <v>12294</v>
      </c>
      <c r="K33" s="97"/>
      <c r="L33" s="98" t="s">
        <v>44</v>
      </c>
      <c r="M33" s="99" t="s">
        <v>44</v>
      </c>
      <c r="N33" s="100">
        <v>12294</v>
      </c>
      <c r="O33" s="126"/>
      <c r="P33" s="158" t="s">
        <v>44</v>
      </c>
      <c r="Q33" s="159" t="s">
        <v>44</v>
      </c>
      <c r="R33" s="100">
        <v>0</v>
      </c>
      <c r="S33" s="97"/>
      <c r="T33" s="158" t="s">
        <v>44</v>
      </c>
      <c r="U33" s="159" t="s">
        <v>44</v>
      </c>
      <c r="V33" s="102">
        <v>387</v>
      </c>
      <c r="W33" s="102"/>
      <c r="X33" s="92">
        <v>34.5</v>
      </c>
      <c r="Y33" s="93"/>
      <c r="Z33" s="93">
        <v>1.5796703296703296</v>
      </c>
      <c r="AA33" s="93"/>
      <c r="AB33" s="158" t="s">
        <v>44</v>
      </c>
      <c r="AC33" s="159" t="s">
        <v>44</v>
      </c>
      <c r="AD33" s="96">
        <v>12674</v>
      </c>
      <c r="AE33" s="97"/>
      <c r="AF33" s="98" t="s">
        <v>44</v>
      </c>
      <c r="AG33" s="99" t="s">
        <v>44</v>
      </c>
      <c r="AH33" s="100">
        <v>12674</v>
      </c>
      <c r="AI33" s="126"/>
      <c r="AJ33" s="158" t="s">
        <v>44</v>
      </c>
      <c r="AK33" s="159" t="s">
        <v>44</v>
      </c>
      <c r="AL33" s="100">
        <v>0</v>
      </c>
      <c r="AM33" s="97"/>
      <c r="AN33" s="158" t="s">
        <v>44</v>
      </c>
      <c r="AO33" s="159" t="s">
        <v>44</v>
      </c>
      <c r="AP33" s="102">
        <v>367</v>
      </c>
      <c r="AQ33" s="102"/>
      <c r="AR33" s="92">
        <v>31.7</v>
      </c>
      <c r="AS33" s="93"/>
      <c r="AT33" s="93">
        <v>1.4356884057971013</v>
      </c>
      <c r="AU33" s="93"/>
      <c r="AV33" s="158" t="s">
        <v>44</v>
      </c>
      <c r="AW33" s="159" t="s">
        <v>44</v>
      </c>
      <c r="AX33" s="96">
        <v>6974</v>
      </c>
      <c r="AY33" s="97"/>
      <c r="AZ33" s="98" t="s">
        <v>44</v>
      </c>
      <c r="BA33" s="99" t="s">
        <v>44</v>
      </c>
      <c r="BB33" s="100">
        <v>6974</v>
      </c>
      <c r="BC33" s="126"/>
      <c r="BD33" s="158" t="s">
        <v>44</v>
      </c>
      <c r="BE33" s="159" t="s">
        <v>44</v>
      </c>
      <c r="BF33" s="100">
        <v>0</v>
      </c>
      <c r="BG33" s="97"/>
      <c r="BH33" s="158" t="s">
        <v>44</v>
      </c>
      <c r="BI33" s="159" t="s">
        <v>44</v>
      </c>
      <c r="BJ33" s="102">
        <v>220</v>
      </c>
      <c r="BK33" s="102"/>
      <c r="BL33" s="92">
        <v>31.4</v>
      </c>
      <c r="BM33" s="93"/>
      <c r="BN33" s="93">
        <v>1.4214576731552737</v>
      </c>
      <c r="BO33" s="93"/>
      <c r="BP33" s="158" t="s">
        <v>44</v>
      </c>
      <c r="BQ33" s="159" t="s">
        <v>44</v>
      </c>
      <c r="BR33" s="96">
        <v>11708</v>
      </c>
      <c r="BS33" s="97"/>
      <c r="BT33" s="98" t="s">
        <v>44</v>
      </c>
      <c r="BU33" s="99" t="s">
        <v>44</v>
      </c>
      <c r="BV33" s="100">
        <v>11708</v>
      </c>
      <c r="BW33" s="126"/>
      <c r="BX33" s="158" t="s">
        <v>44</v>
      </c>
      <c r="BY33" s="159" t="s">
        <v>44</v>
      </c>
      <c r="BZ33" s="100">
        <v>0</v>
      </c>
      <c r="CA33" s="97"/>
      <c r="CB33" s="158" t="s">
        <v>44</v>
      </c>
      <c r="CC33" s="159" t="s">
        <v>44</v>
      </c>
      <c r="CD33" s="102">
        <v>373</v>
      </c>
      <c r="CE33" s="102"/>
      <c r="CF33" s="103">
        <v>129.4</v>
      </c>
      <c r="CG33" s="102"/>
      <c r="CH33" s="93">
        <v>1.4771689497716896</v>
      </c>
      <c r="CI33" s="127"/>
      <c r="CJ33" s="98" t="s">
        <v>44</v>
      </c>
      <c r="CK33" s="99" t="s">
        <v>44</v>
      </c>
      <c r="CL33" s="100">
        <v>43650</v>
      </c>
      <c r="CM33" s="107"/>
      <c r="CN33" s="108" t="s">
        <v>44</v>
      </c>
      <c r="CO33" s="99" t="s">
        <v>44</v>
      </c>
      <c r="CP33" s="100">
        <v>43650</v>
      </c>
      <c r="CQ33" s="97"/>
      <c r="CR33" s="98" t="s">
        <v>44</v>
      </c>
      <c r="CS33" s="99" t="s">
        <v>44</v>
      </c>
      <c r="CT33" s="100">
        <v>0</v>
      </c>
      <c r="CU33" s="97"/>
      <c r="CV33" s="98" t="s">
        <v>44</v>
      </c>
      <c r="CW33" s="99" t="s">
        <v>44</v>
      </c>
      <c r="CX33" s="100">
        <v>337.3261205564142</v>
      </c>
      <c r="CY33" s="129"/>
      <c r="CZ33" s="110">
        <f t="shared" si="0"/>
        <v>66.3</v>
      </c>
      <c r="DA33" s="111">
        <f t="shared" si="0"/>
        <v>0</v>
      </c>
      <c r="DB33" s="112">
        <f>(CZ33/4343)*100</f>
        <v>1.5265945199171078</v>
      </c>
      <c r="DC33" s="113">
        <f>(DA33/4343)*100</f>
        <v>0</v>
      </c>
      <c r="DD33" s="100">
        <f t="shared" si="1"/>
        <v>24968</v>
      </c>
      <c r="DE33" s="102">
        <f t="shared" si="1"/>
        <v>0</v>
      </c>
      <c r="DF33" s="102" t="e">
        <f t="shared" si="1"/>
        <v>#VALUE!</v>
      </c>
      <c r="DG33" s="114" t="e">
        <f t="shared" ref="DG33:DO61" si="27">M33+AG33</f>
        <v>#VALUE!</v>
      </c>
      <c r="DH33" s="100">
        <f t="shared" si="27"/>
        <v>24968</v>
      </c>
      <c r="DI33" s="97">
        <f t="shared" si="27"/>
        <v>0</v>
      </c>
      <c r="DJ33" s="97" t="e">
        <f t="shared" si="27"/>
        <v>#VALUE!</v>
      </c>
      <c r="DK33" s="97" t="e">
        <f t="shared" si="27"/>
        <v>#VALUE!</v>
      </c>
      <c r="DL33" s="100">
        <f t="shared" si="27"/>
        <v>0</v>
      </c>
      <c r="DM33" s="97">
        <f t="shared" si="27"/>
        <v>0</v>
      </c>
      <c r="DN33" s="97" t="e">
        <f t="shared" si="27"/>
        <v>#VALUE!</v>
      </c>
      <c r="DO33" s="115" t="e">
        <f t="shared" si="27"/>
        <v>#VALUE!</v>
      </c>
      <c r="DP33" s="100">
        <f t="shared" ref="DP33:DQ61" si="28">ROUND((DD33/CZ33),0)</f>
        <v>377</v>
      </c>
      <c r="DQ33" s="116" t="e">
        <f t="shared" si="28"/>
        <v>#DIV/0!</v>
      </c>
      <c r="DR33" s="117">
        <f t="shared" si="18"/>
        <v>66.3</v>
      </c>
      <c r="DS33" s="118">
        <f t="shared" si="2"/>
        <v>100</v>
      </c>
      <c r="DT33" s="104" t="e">
        <f t="shared" si="3"/>
        <v>#VALUE!</v>
      </c>
      <c r="DU33" s="118" t="e">
        <f t="shared" si="4"/>
        <v>#VALUE!</v>
      </c>
      <c r="DV33" s="104">
        <f t="shared" si="5"/>
        <v>24968</v>
      </c>
      <c r="DW33" s="119">
        <f t="shared" si="6"/>
        <v>100</v>
      </c>
      <c r="DX33" s="120" t="e">
        <f t="shared" si="7"/>
        <v>#VALUE!</v>
      </c>
      <c r="DY33" s="118" t="e">
        <f t="shared" si="8"/>
        <v>#VALUE!</v>
      </c>
      <c r="DZ33" s="104">
        <f t="shared" si="9"/>
        <v>24968</v>
      </c>
      <c r="EA33" s="119">
        <f t="shared" si="10"/>
        <v>100</v>
      </c>
      <c r="EB33" s="120" t="e">
        <f t="shared" si="11"/>
        <v>#VALUE!</v>
      </c>
      <c r="EC33" s="118" t="e">
        <f t="shared" si="12"/>
        <v>#VALUE!</v>
      </c>
      <c r="ED33" s="104">
        <f t="shared" si="13"/>
        <v>0</v>
      </c>
      <c r="EE33" s="121">
        <v>0</v>
      </c>
      <c r="EF33" s="120" t="e">
        <f t="shared" si="14"/>
        <v>#VALUE!</v>
      </c>
      <c r="EG33" s="121" t="e">
        <f t="shared" si="15"/>
        <v>#VALUE!</v>
      </c>
      <c r="EH33" s="122" t="e">
        <f t="shared" si="19"/>
        <v>#DIV/0!</v>
      </c>
      <c r="EI33" s="123" t="e">
        <f t="shared" si="20"/>
        <v>#DIV/0!</v>
      </c>
    </row>
    <row r="34" spans="1:139" ht="15.75" customHeight="1" x14ac:dyDescent="0.3">
      <c r="A34" s="1070"/>
      <c r="B34" s="160"/>
      <c r="C34" s="91" t="s">
        <v>46</v>
      </c>
      <c r="D34" s="92">
        <v>0</v>
      </c>
      <c r="E34" s="93"/>
      <c r="F34" s="93">
        <v>0</v>
      </c>
      <c r="G34" s="93"/>
      <c r="H34" s="158" t="s">
        <v>44</v>
      </c>
      <c r="I34" s="159" t="s">
        <v>44</v>
      </c>
      <c r="J34" s="96">
        <v>0</v>
      </c>
      <c r="K34" s="97"/>
      <c r="L34" s="98" t="s">
        <v>44</v>
      </c>
      <c r="M34" s="99" t="s">
        <v>44</v>
      </c>
      <c r="N34" s="100">
        <v>0</v>
      </c>
      <c r="O34" s="126"/>
      <c r="P34" s="158" t="s">
        <v>44</v>
      </c>
      <c r="Q34" s="159" t="s">
        <v>44</v>
      </c>
      <c r="R34" s="100">
        <v>0</v>
      </c>
      <c r="S34" s="97"/>
      <c r="T34" s="158" t="s">
        <v>44</v>
      </c>
      <c r="U34" s="159" t="s">
        <v>44</v>
      </c>
      <c r="V34" s="102">
        <v>0</v>
      </c>
      <c r="W34" s="102"/>
      <c r="X34" s="92">
        <v>0</v>
      </c>
      <c r="Y34" s="93"/>
      <c r="Z34" s="93">
        <v>0</v>
      </c>
      <c r="AA34" s="93"/>
      <c r="AB34" s="158" t="s">
        <v>44</v>
      </c>
      <c r="AC34" s="159" t="s">
        <v>44</v>
      </c>
      <c r="AD34" s="96">
        <v>0</v>
      </c>
      <c r="AE34" s="97"/>
      <c r="AF34" s="98" t="s">
        <v>44</v>
      </c>
      <c r="AG34" s="99" t="s">
        <v>44</v>
      </c>
      <c r="AH34" s="100">
        <v>0</v>
      </c>
      <c r="AI34" s="126"/>
      <c r="AJ34" s="158" t="s">
        <v>44</v>
      </c>
      <c r="AK34" s="159" t="s">
        <v>44</v>
      </c>
      <c r="AL34" s="100">
        <v>0</v>
      </c>
      <c r="AM34" s="97"/>
      <c r="AN34" s="158" t="s">
        <v>44</v>
      </c>
      <c r="AO34" s="159" t="s">
        <v>44</v>
      </c>
      <c r="AP34" s="102">
        <v>0</v>
      </c>
      <c r="AQ34" s="102"/>
      <c r="AR34" s="92">
        <v>0</v>
      </c>
      <c r="AS34" s="93"/>
      <c r="AT34" s="93">
        <v>0</v>
      </c>
      <c r="AU34" s="93"/>
      <c r="AV34" s="158" t="s">
        <v>44</v>
      </c>
      <c r="AW34" s="159" t="s">
        <v>44</v>
      </c>
      <c r="AX34" s="96">
        <v>0</v>
      </c>
      <c r="AY34" s="97"/>
      <c r="AZ34" s="98" t="s">
        <v>44</v>
      </c>
      <c r="BA34" s="99" t="s">
        <v>44</v>
      </c>
      <c r="BB34" s="100">
        <v>0</v>
      </c>
      <c r="BC34" s="126"/>
      <c r="BD34" s="158" t="s">
        <v>44</v>
      </c>
      <c r="BE34" s="159" t="s">
        <v>44</v>
      </c>
      <c r="BF34" s="100">
        <v>0</v>
      </c>
      <c r="BG34" s="97"/>
      <c r="BH34" s="158" t="s">
        <v>44</v>
      </c>
      <c r="BI34" s="159" t="s">
        <v>44</v>
      </c>
      <c r="BJ34" s="102">
        <v>0</v>
      </c>
      <c r="BK34" s="102"/>
      <c r="BL34" s="92">
        <v>0</v>
      </c>
      <c r="BM34" s="93"/>
      <c r="BN34" s="93">
        <v>0</v>
      </c>
      <c r="BO34" s="93"/>
      <c r="BP34" s="158" t="s">
        <v>44</v>
      </c>
      <c r="BQ34" s="159" t="s">
        <v>44</v>
      </c>
      <c r="BR34" s="96">
        <v>0</v>
      </c>
      <c r="BS34" s="97"/>
      <c r="BT34" s="98" t="s">
        <v>44</v>
      </c>
      <c r="BU34" s="99" t="s">
        <v>44</v>
      </c>
      <c r="BV34" s="100">
        <v>0</v>
      </c>
      <c r="BW34" s="126"/>
      <c r="BX34" s="158" t="s">
        <v>44</v>
      </c>
      <c r="BY34" s="159" t="s">
        <v>44</v>
      </c>
      <c r="BZ34" s="100">
        <v>0</v>
      </c>
      <c r="CA34" s="97"/>
      <c r="CB34" s="158" t="s">
        <v>44</v>
      </c>
      <c r="CC34" s="159" t="s">
        <v>44</v>
      </c>
      <c r="CD34" s="102">
        <v>0</v>
      </c>
      <c r="CE34" s="102"/>
      <c r="CF34" s="103">
        <v>0</v>
      </c>
      <c r="CG34" s="102"/>
      <c r="CH34" s="93">
        <v>0</v>
      </c>
      <c r="CI34" s="127"/>
      <c r="CJ34" s="98" t="s">
        <v>44</v>
      </c>
      <c r="CK34" s="99" t="s">
        <v>44</v>
      </c>
      <c r="CL34" s="100">
        <v>0</v>
      </c>
      <c r="CM34" s="107"/>
      <c r="CN34" s="108" t="s">
        <v>44</v>
      </c>
      <c r="CO34" s="99" t="s">
        <v>44</v>
      </c>
      <c r="CP34" s="100">
        <v>0</v>
      </c>
      <c r="CQ34" s="97"/>
      <c r="CR34" s="98" t="s">
        <v>44</v>
      </c>
      <c r="CS34" s="99" t="s">
        <v>44</v>
      </c>
      <c r="CT34" s="100">
        <v>0</v>
      </c>
      <c r="CU34" s="97"/>
      <c r="CV34" s="98" t="s">
        <v>44</v>
      </c>
      <c r="CW34" s="99" t="s">
        <v>44</v>
      </c>
      <c r="CX34" s="100">
        <v>0</v>
      </c>
      <c r="CY34" s="129"/>
      <c r="CZ34" s="110">
        <f t="shared" si="0"/>
        <v>0</v>
      </c>
      <c r="DA34" s="111">
        <f t="shared" si="0"/>
        <v>0</v>
      </c>
      <c r="DB34" s="112">
        <f t="shared" ref="DB34:DC37" si="29">(CZ34/4343)*100</f>
        <v>0</v>
      </c>
      <c r="DC34" s="113">
        <f t="shared" si="29"/>
        <v>0</v>
      </c>
      <c r="DD34" s="100">
        <f t="shared" ref="DD34:DF61" si="30">J34+AD34</f>
        <v>0</v>
      </c>
      <c r="DE34" s="102">
        <f t="shared" si="30"/>
        <v>0</v>
      </c>
      <c r="DF34" s="102" t="e">
        <f t="shared" si="30"/>
        <v>#VALUE!</v>
      </c>
      <c r="DG34" s="114" t="e">
        <f t="shared" si="27"/>
        <v>#VALUE!</v>
      </c>
      <c r="DH34" s="100">
        <f t="shared" si="27"/>
        <v>0</v>
      </c>
      <c r="DI34" s="97">
        <f t="shared" si="27"/>
        <v>0</v>
      </c>
      <c r="DJ34" s="97" t="e">
        <f t="shared" si="27"/>
        <v>#VALUE!</v>
      </c>
      <c r="DK34" s="97" t="e">
        <f t="shared" si="27"/>
        <v>#VALUE!</v>
      </c>
      <c r="DL34" s="100">
        <f t="shared" si="27"/>
        <v>0</v>
      </c>
      <c r="DM34" s="97">
        <f t="shared" si="27"/>
        <v>0</v>
      </c>
      <c r="DN34" s="97" t="e">
        <f t="shared" si="27"/>
        <v>#VALUE!</v>
      </c>
      <c r="DO34" s="115" t="e">
        <f t="shared" si="27"/>
        <v>#VALUE!</v>
      </c>
      <c r="DP34" s="100" t="e">
        <f t="shared" si="28"/>
        <v>#DIV/0!</v>
      </c>
      <c r="DQ34" s="116" t="e">
        <f t="shared" si="28"/>
        <v>#DIV/0!</v>
      </c>
      <c r="DR34" s="117">
        <f t="shared" si="18"/>
        <v>0</v>
      </c>
      <c r="DS34" s="118" t="e">
        <f t="shared" si="2"/>
        <v>#DIV/0!</v>
      </c>
      <c r="DT34" s="104" t="e">
        <f t="shared" si="3"/>
        <v>#VALUE!</v>
      </c>
      <c r="DU34" s="118" t="e">
        <f t="shared" si="4"/>
        <v>#VALUE!</v>
      </c>
      <c r="DV34" s="104">
        <f t="shared" si="5"/>
        <v>0</v>
      </c>
      <c r="DW34" s="119" t="e">
        <f t="shared" si="6"/>
        <v>#DIV/0!</v>
      </c>
      <c r="DX34" s="120" t="e">
        <f t="shared" si="7"/>
        <v>#VALUE!</v>
      </c>
      <c r="DY34" s="118" t="e">
        <f t="shared" si="8"/>
        <v>#VALUE!</v>
      </c>
      <c r="DZ34" s="104">
        <f t="shared" si="9"/>
        <v>0</v>
      </c>
      <c r="EA34" s="119" t="e">
        <f t="shared" si="10"/>
        <v>#DIV/0!</v>
      </c>
      <c r="EB34" s="120" t="e">
        <f t="shared" si="11"/>
        <v>#VALUE!</v>
      </c>
      <c r="EC34" s="118" t="e">
        <f t="shared" si="12"/>
        <v>#VALUE!</v>
      </c>
      <c r="ED34" s="104">
        <f t="shared" si="13"/>
        <v>0</v>
      </c>
      <c r="EE34" s="121">
        <v>0</v>
      </c>
      <c r="EF34" s="120" t="e">
        <f t="shared" si="14"/>
        <v>#VALUE!</v>
      </c>
      <c r="EG34" s="121" t="e">
        <f t="shared" si="15"/>
        <v>#VALUE!</v>
      </c>
      <c r="EH34" s="122" t="e">
        <f t="shared" si="19"/>
        <v>#DIV/0!</v>
      </c>
      <c r="EI34" s="123" t="e">
        <f t="shared" si="20"/>
        <v>#DIV/0!</v>
      </c>
    </row>
    <row r="35" spans="1:139" ht="15.75" customHeight="1" x14ac:dyDescent="0.25">
      <c r="A35" s="1070"/>
      <c r="B35" s="173"/>
      <c r="C35" s="91" t="s">
        <v>47</v>
      </c>
      <c r="D35" s="92">
        <v>9.5</v>
      </c>
      <c r="E35" s="93"/>
      <c r="F35" s="93">
        <v>0.44001852709587774</v>
      </c>
      <c r="G35" s="93"/>
      <c r="H35" s="158" t="s">
        <v>44</v>
      </c>
      <c r="I35" s="159" t="s">
        <v>44</v>
      </c>
      <c r="J35" s="96">
        <v>3664</v>
      </c>
      <c r="K35" s="97"/>
      <c r="L35" s="98" t="s">
        <v>44</v>
      </c>
      <c r="M35" s="99" t="s">
        <v>44</v>
      </c>
      <c r="N35" s="100">
        <v>3664</v>
      </c>
      <c r="O35" s="126"/>
      <c r="P35" s="158" t="s">
        <v>44</v>
      </c>
      <c r="Q35" s="159" t="s">
        <v>44</v>
      </c>
      <c r="R35" s="100">
        <v>0</v>
      </c>
      <c r="S35" s="97"/>
      <c r="T35" s="158" t="s">
        <v>44</v>
      </c>
      <c r="U35" s="159" t="s">
        <v>44</v>
      </c>
      <c r="V35" s="102">
        <v>386</v>
      </c>
      <c r="W35" s="102"/>
      <c r="X35" s="92">
        <v>12</v>
      </c>
      <c r="Y35" s="93"/>
      <c r="Z35" s="93">
        <v>0.5494505494505495</v>
      </c>
      <c r="AA35" s="93"/>
      <c r="AB35" s="158" t="s">
        <v>44</v>
      </c>
      <c r="AC35" s="159" t="s">
        <v>44</v>
      </c>
      <c r="AD35" s="96">
        <v>4395</v>
      </c>
      <c r="AE35" s="97"/>
      <c r="AF35" s="98" t="s">
        <v>44</v>
      </c>
      <c r="AG35" s="99" t="s">
        <v>44</v>
      </c>
      <c r="AH35" s="100">
        <v>4395</v>
      </c>
      <c r="AI35" s="126"/>
      <c r="AJ35" s="158" t="s">
        <v>44</v>
      </c>
      <c r="AK35" s="159" t="s">
        <v>44</v>
      </c>
      <c r="AL35" s="100">
        <v>0</v>
      </c>
      <c r="AM35" s="97"/>
      <c r="AN35" s="158" t="s">
        <v>44</v>
      </c>
      <c r="AO35" s="159" t="s">
        <v>44</v>
      </c>
      <c r="AP35" s="102">
        <v>366</v>
      </c>
      <c r="AQ35" s="102"/>
      <c r="AR35" s="92">
        <v>2</v>
      </c>
      <c r="AS35" s="93"/>
      <c r="AT35" s="93">
        <v>9.0579710144927536E-2</v>
      </c>
      <c r="AU35" s="93"/>
      <c r="AV35" s="158" t="s">
        <v>44</v>
      </c>
      <c r="AW35" s="159" t="s">
        <v>44</v>
      </c>
      <c r="AX35" s="96">
        <v>844</v>
      </c>
      <c r="AY35" s="97"/>
      <c r="AZ35" s="98" t="s">
        <v>44</v>
      </c>
      <c r="BA35" s="99" t="s">
        <v>44</v>
      </c>
      <c r="BB35" s="100">
        <v>844</v>
      </c>
      <c r="BC35" s="126"/>
      <c r="BD35" s="158" t="s">
        <v>44</v>
      </c>
      <c r="BE35" s="159" t="s">
        <v>44</v>
      </c>
      <c r="BF35" s="100">
        <v>0</v>
      </c>
      <c r="BG35" s="97"/>
      <c r="BH35" s="158" t="s">
        <v>44</v>
      </c>
      <c r="BI35" s="159" t="s">
        <v>44</v>
      </c>
      <c r="BJ35" s="102">
        <v>422</v>
      </c>
      <c r="BK35" s="102"/>
      <c r="BL35" s="92">
        <v>12</v>
      </c>
      <c r="BM35" s="93"/>
      <c r="BN35" s="93">
        <v>0.54323223177908564</v>
      </c>
      <c r="BO35" s="93"/>
      <c r="BP35" s="158" t="s">
        <v>44</v>
      </c>
      <c r="BQ35" s="159" t="s">
        <v>44</v>
      </c>
      <c r="BR35" s="96">
        <v>4241</v>
      </c>
      <c r="BS35" s="97"/>
      <c r="BT35" s="98" t="s">
        <v>44</v>
      </c>
      <c r="BU35" s="99" t="s">
        <v>44</v>
      </c>
      <c r="BV35" s="100">
        <v>4241</v>
      </c>
      <c r="BW35" s="126"/>
      <c r="BX35" s="158" t="s">
        <v>44</v>
      </c>
      <c r="BY35" s="159" t="s">
        <v>44</v>
      </c>
      <c r="BZ35" s="100">
        <v>0</v>
      </c>
      <c r="CA35" s="97"/>
      <c r="CB35" s="158" t="s">
        <v>44</v>
      </c>
      <c r="CC35" s="159" t="s">
        <v>44</v>
      </c>
      <c r="CD35" s="102">
        <v>353</v>
      </c>
      <c r="CE35" s="102"/>
      <c r="CF35" s="103">
        <v>35.5</v>
      </c>
      <c r="CG35" s="102"/>
      <c r="CH35" s="93">
        <v>0.40525114155251141</v>
      </c>
      <c r="CI35" s="127"/>
      <c r="CJ35" s="98" t="s">
        <v>44</v>
      </c>
      <c r="CK35" s="99" t="s">
        <v>44</v>
      </c>
      <c r="CL35" s="100">
        <v>13144</v>
      </c>
      <c r="CM35" s="107"/>
      <c r="CN35" s="108" t="s">
        <v>44</v>
      </c>
      <c r="CO35" s="99" t="s">
        <v>44</v>
      </c>
      <c r="CP35" s="100">
        <v>13144</v>
      </c>
      <c r="CQ35" s="97"/>
      <c r="CR35" s="98" t="s">
        <v>44</v>
      </c>
      <c r="CS35" s="99" t="s">
        <v>44</v>
      </c>
      <c r="CT35" s="100">
        <v>0</v>
      </c>
      <c r="CU35" s="97"/>
      <c r="CV35" s="98" t="s">
        <v>44</v>
      </c>
      <c r="CW35" s="99" t="s">
        <v>44</v>
      </c>
      <c r="CX35" s="100">
        <v>370.25352112676057</v>
      </c>
      <c r="CY35" s="174"/>
      <c r="CZ35" s="110">
        <f t="shared" si="0"/>
        <v>21.5</v>
      </c>
      <c r="DA35" s="111">
        <f t="shared" si="0"/>
        <v>0</v>
      </c>
      <c r="DB35" s="112">
        <f t="shared" si="29"/>
        <v>0.49504950495049505</v>
      </c>
      <c r="DC35" s="113">
        <f t="shared" si="29"/>
        <v>0</v>
      </c>
      <c r="DD35" s="100">
        <f t="shared" si="30"/>
        <v>8059</v>
      </c>
      <c r="DE35" s="102">
        <f t="shared" si="30"/>
        <v>0</v>
      </c>
      <c r="DF35" s="102" t="e">
        <f t="shared" si="30"/>
        <v>#VALUE!</v>
      </c>
      <c r="DG35" s="114" t="e">
        <f t="shared" si="27"/>
        <v>#VALUE!</v>
      </c>
      <c r="DH35" s="100">
        <f t="shared" si="27"/>
        <v>8059</v>
      </c>
      <c r="DI35" s="97">
        <f t="shared" si="27"/>
        <v>0</v>
      </c>
      <c r="DJ35" s="97" t="e">
        <f t="shared" si="27"/>
        <v>#VALUE!</v>
      </c>
      <c r="DK35" s="97" t="e">
        <f t="shared" si="27"/>
        <v>#VALUE!</v>
      </c>
      <c r="DL35" s="100">
        <f t="shared" si="27"/>
        <v>0</v>
      </c>
      <c r="DM35" s="97">
        <f t="shared" si="27"/>
        <v>0</v>
      </c>
      <c r="DN35" s="97" t="e">
        <f t="shared" si="27"/>
        <v>#VALUE!</v>
      </c>
      <c r="DO35" s="115" t="e">
        <f t="shared" si="27"/>
        <v>#VALUE!</v>
      </c>
      <c r="DP35" s="100">
        <f t="shared" si="28"/>
        <v>375</v>
      </c>
      <c r="DQ35" s="116" t="e">
        <f t="shared" si="28"/>
        <v>#DIV/0!</v>
      </c>
      <c r="DR35" s="117">
        <f t="shared" si="18"/>
        <v>21.5</v>
      </c>
      <c r="DS35" s="118">
        <f t="shared" si="2"/>
        <v>100</v>
      </c>
      <c r="DT35" s="104" t="e">
        <f t="shared" si="3"/>
        <v>#VALUE!</v>
      </c>
      <c r="DU35" s="118" t="e">
        <f t="shared" si="4"/>
        <v>#VALUE!</v>
      </c>
      <c r="DV35" s="104">
        <f t="shared" si="5"/>
        <v>8059</v>
      </c>
      <c r="DW35" s="119">
        <f t="shared" si="6"/>
        <v>100</v>
      </c>
      <c r="DX35" s="120" t="e">
        <f t="shared" si="7"/>
        <v>#VALUE!</v>
      </c>
      <c r="DY35" s="118" t="e">
        <f t="shared" si="8"/>
        <v>#VALUE!</v>
      </c>
      <c r="DZ35" s="104">
        <f t="shared" si="9"/>
        <v>8059</v>
      </c>
      <c r="EA35" s="119">
        <f t="shared" si="10"/>
        <v>100</v>
      </c>
      <c r="EB35" s="120" t="e">
        <f t="shared" si="11"/>
        <v>#VALUE!</v>
      </c>
      <c r="EC35" s="118" t="e">
        <f t="shared" si="12"/>
        <v>#VALUE!</v>
      </c>
      <c r="ED35" s="104">
        <f t="shared" si="13"/>
        <v>0</v>
      </c>
      <c r="EE35" s="121">
        <v>0</v>
      </c>
      <c r="EF35" s="120" t="e">
        <f t="shared" si="14"/>
        <v>#VALUE!</v>
      </c>
      <c r="EG35" s="121" t="e">
        <f t="shared" si="15"/>
        <v>#VALUE!</v>
      </c>
      <c r="EH35" s="122" t="e">
        <f t="shared" si="19"/>
        <v>#DIV/0!</v>
      </c>
      <c r="EI35" s="123" t="e">
        <f t="shared" si="20"/>
        <v>#DIV/0!</v>
      </c>
    </row>
    <row r="36" spans="1:139" ht="15.75" customHeight="1" x14ac:dyDescent="0.25">
      <c r="A36" s="1070"/>
      <c r="B36" s="173"/>
      <c r="C36" s="91" t="s">
        <v>48</v>
      </c>
      <c r="D36" s="92">
        <v>18.399999999999999</v>
      </c>
      <c r="E36" s="93"/>
      <c r="F36" s="93">
        <v>0.85224641037517368</v>
      </c>
      <c r="G36" s="93"/>
      <c r="H36" s="158" t="s">
        <v>44</v>
      </c>
      <c r="I36" s="159" t="s">
        <v>44</v>
      </c>
      <c r="J36" s="96">
        <v>9835</v>
      </c>
      <c r="K36" s="97"/>
      <c r="L36" s="98" t="s">
        <v>44</v>
      </c>
      <c r="M36" s="99" t="s">
        <v>44</v>
      </c>
      <c r="N36" s="100">
        <v>9835</v>
      </c>
      <c r="O36" s="126"/>
      <c r="P36" s="158" t="s">
        <v>44</v>
      </c>
      <c r="Q36" s="159" t="s">
        <v>44</v>
      </c>
      <c r="R36" s="100">
        <v>0</v>
      </c>
      <c r="S36" s="97"/>
      <c r="T36" s="158" t="s">
        <v>44</v>
      </c>
      <c r="U36" s="159" t="s">
        <v>44</v>
      </c>
      <c r="V36" s="102">
        <v>535</v>
      </c>
      <c r="W36" s="102"/>
      <c r="X36" s="92">
        <v>18.399999999999999</v>
      </c>
      <c r="Y36" s="93"/>
      <c r="Z36" s="93">
        <v>0.8424908424908425</v>
      </c>
      <c r="AA36" s="93"/>
      <c r="AB36" s="158" t="s">
        <v>44</v>
      </c>
      <c r="AC36" s="159" t="s">
        <v>44</v>
      </c>
      <c r="AD36" s="96">
        <v>9870</v>
      </c>
      <c r="AE36" s="97"/>
      <c r="AF36" s="98" t="s">
        <v>44</v>
      </c>
      <c r="AG36" s="99" t="s">
        <v>44</v>
      </c>
      <c r="AH36" s="100">
        <v>9870</v>
      </c>
      <c r="AI36" s="126"/>
      <c r="AJ36" s="158" t="s">
        <v>44</v>
      </c>
      <c r="AK36" s="159" t="s">
        <v>44</v>
      </c>
      <c r="AL36" s="100">
        <v>0</v>
      </c>
      <c r="AM36" s="97"/>
      <c r="AN36" s="158" t="s">
        <v>44</v>
      </c>
      <c r="AO36" s="159" t="s">
        <v>44</v>
      </c>
      <c r="AP36" s="102">
        <v>536</v>
      </c>
      <c r="AQ36" s="102"/>
      <c r="AR36" s="92">
        <v>18.399999999999999</v>
      </c>
      <c r="AS36" s="93"/>
      <c r="AT36" s="93">
        <v>0.83333333333333337</v>
      </c>
      <c r="AU36" s="93"/>
      <c r="AV36" s="158" t="s">
        <v>44</v>
      </c>
      <c r="AW36" s="159" t="s">
        <v>44</v>
      </c>
      <c r="AX36" s="96">
        <v>9851</v>
      </c>
      <c r="AY36" s="97"/>
      <c r="AZ36" s="98" t="s">
        <v>44</v>
      </c>
      <c r="BA36" s="99" t="s">
        <v>44</v>
      </c>
      <c r="BB36" s="100">
        <v>9851</v>
      </c>
      <c r="BC36" s="126"/>
      <c r="BD36" s="158" t="s">
        <v>44</v>
      </c>
      <c r="BE36" s="159" t="s">
        <v>44</v>
      </c>
      <c r="BF36" s="100">
        <v>0</v>
      </c>
      <c r="BG36" s="97"/>
      <c r="BH36" s="158" t="s">
        <v>44</v>
      </c>
      <c r="BI36" s="159" t="s">
        <v>44</v>
      </c>
      <c r="BJ36" s="102">
        <v>535</v>
      </c>
      <c r="BK36" s="102"/>
      <c r="BL36" s="92">
        <v>19</v>
      </c>
      <c r="BM36" s="93"/>
      <c r="BN36" s="93">
        <v>0.86011770031688539</v>
      </c>
      <c r="BO36" s="93"/>
      <c r="BP36" s="158" t="s">
        <v>44</v>
      </c>
      <c r="BQ36" s="159" t="s">
        <v>44</v>
      </c>
      <c r="BR36" s="96">
        <v>10112</v>
      </c>
      <c r="BS36" s="97"/>
      <c r="BT36" s="98" t="s">
        <v>44</v>
      </c>
      <c r="BU36" s="99" t="s">
        <v>44</v>
      </c>
      <c r="BV36" s="100">
        <v>10112</v>
      </c>
      <c r="BW36" s="126"/>
      <c r="BX36" s="158" t="s">
        <v>44</v>
      </c>
      <c r="BY36" s="159" t="s">
        <v>44</v>
      </c>
      <c r="BZ36" s="100">
        <v>0</v>
      </c>
      <c r="CA36" s="97"/>
      <c r="CB36" s="158" t="s">
        <v>44</v>
      </c>
      <c r="CC36" s="159" t="s">
        <v>44</v>
      </c>
      <c r="CD36" s="102">
        <v>532</v>
      </c>
      <c r="CE36" s="102"/>
      <c r="CF36" s="103">
        <v>74.199999999999989</v>
      </c>
      <c r="CG36" s="102"/>
      <c r="CH36" s="93">
        <v>0.8470319634703195</v>
      </c>
      <c r="CI36" s="127"/>
      <c r="CJ36" s="98" t="s">
        <v>44</v>
      </c>
      <c r="CK36" s="99" t="s">
        <v>44</v>
      </c>
      <c r="CL36" s="100">
        <v>39668</v>
      </c>
      <c r="CM36" s="107"/>
      <c r="CN36" s="108" t="s">
        <v>44</v>
      </c>
      <c r="CO36" s="99" t="s">
        <v>44</v>
      </c>
      <c r="CP36" s="100">
        <v>39668</v>
      </c>
      <c r="CQ36" s="97"/>
      <c r="CR36" s="98" t="s">
        <v>44</v>
      </c>
      <c r="CS36" s="99" t="s">
        <v>44</v>
      </c>
      <c r="CT36" s="100">
        <v>0</v>
      </c>
      <c r="CU36" s="97"/>
      <c r="CV36" s="98" t="s">
        <v>44</v>
      </c>
      <c r="CW36" s="99" t="s">
        <v>44</v>
      </c>
      <c r="CX36" s="100">
        <v>534.60916442048529</v>
      </c>
      <c r="CY36" s="174"/>
      <c r="CZ36" s="110">
        <f t="shared" si="0"/>
        <v>36.799999999999997</v>
      </c>
      <c r="DA36" s="111">
        <f t="shared" si="0"/>
        <v>0</v>
      </c>
      <c r="DB36" s="112">
        <f t="shared" si="29"/>
        <v>0.84734054800828917</v>
      </c>
      <c r="DC36" s="113">
        <f t="shared" si="29"/>
        <v>0</v>
      </c>
      <c r="DD36" s="100">
        <f t="shared" si="30"/>
        <v>19705</v>
      </c>
      <c r="DE36" s="102">
        <f t="shared" si="30"/>
        <v>0</v>
      </c>
      <c r="DF36" s="102" t="e">
        <f t="shared" si="30"/>
        <v>#VALUE!</v>
      </c>
      <c r="DG36" s="114" t="e">
        <f t="shared" si="27"/>
        <v>#VALUE!</v>
      </c>
      <c r="DH36" s="100">
        <f t="shared" si="27"/>
        <v>19705</v>
      </c>
      <c r="DI36" s="97">
        <f t="shared" si="27"/>
        <v>0</v>
      </c>
      <c r="DJ36" s="97" t="e">
        <f t="shared" si="27"/>
        <v>#VALUE!</v>
      </c>
      <c r="DK36" s="97" t="e">
        <f t="shared" si="27"/>
        <v>#VALUE!</v>
      </c>
      <c r="DL36" s="100">
        <f t="shared" si="27"/>
        <v>0</v>
      </c>
      <c r="DM36" s="97">
        <f t="shared" si="27"/>
        <v>0</v>
      </c>
      <c r="DN36" s="97" t="e">
        <f t="shared" si="27"/>
        <v>#VALUE!</v>
      </c>
      <c r="DO36" s="115" t="e">
        <f t="shared" si="27"/>
        <v>#VALUE!</v>
      </c>
      <c r="DP36" s="100">
        <f t="shared" si="28"/>
        <v>535</v>
      </c>
      <c r="DQ36" s="116" t="e">
        <f t="shared" si="28"/>
        <v>#DIV/0!</v>
      </c>
      <c r="DR36" s="117">
        <f t="shared" si="18"/>
        <v>36.799999999999997</v>
      </c>
      <c r="DS36" s="118">
        <f t="shared" si="2"/>
        <v>100</v>
      </c>
      <c r="DT36" s="104" t="e">
        <f t="shared" si="3"/>
        <v>#VALUE!</v>
      </c>
      <c r="DU36" s="118" t="e">
        <f t="shared" si="4"/>
        <v>#VALUE!</v>
      </c>
      <c r="DV36" s="104">
        <f t="shared" si="5"/>
        <v>19705</v>
      </c>
      <c r="DW36" s="119">
        <f t="shared" si="6"/>
        <v>100</v>
      </c>
      <c r="DX36" s="120" t="e">
        <f t="shared" si="7"/>
        <v>#VALUE!</v>
      </c>
      <c r="DY36" s="118" t="e">
        <f t="shared" si="8"/>
        <v>#VALUE!</v>
      </c>
      <c r="DZ36" s="104">
        <f t="shared" si="9"/>
        <v>19705</v>
      </c>
      <c r="EA36" s="119">
        <f t="shared" si="10"/>
        <v>100</v>
      </c>
      <c r="EB36" s="120" t="e">
        <f t="shared" si="11"/>
        <v>#VALUE!</v>
      </c>
      <c r="EC36" s="118" t="e">
        <f t="shared" si="12"/>
        <v>#VALUE!</v>
      </c>
      <c r="ED36" s="104">
        <f t="shared" si="13"/>
        <v>0</v>
      </c>
      <c r="EE36" s="121">
        <v>0</v>
      </c>
      <c r="EF36" s="120" t="e">
        <f t="shared" si="14"/>
        <v>#VALUE!</v>
      </c>
      <c r="EG36" s="121" t="e">
        <f t="shared" si="15"/>
        <v>#VALUE!</v>
      </c>
      <c r="EH36" s="122" t="e">
        <f t="shared" si="19"/>
        <v>#DIV/0!</v>
      </c>
      <c r="EI36" s="123" t="e">
        <f t="shared" si="20"/>
        <v>#DIV/0!</v>
      </c>
    </row>
    <row r="37" spans="1:139" ht="15.75" customHeight="1" x14ac:dyDescent="0.25">
      <c r="A37" s="1070"/>
      <c r="B37" s="169"/>
      <c r="C37" s="91" t="s">
        <v>49</v>
      </c>
      <c r="D37" s="92">
        <v>495.7</v>
      </c>
      <c r="E37" s="93"/>
      <c r="F37" s="93">
        <v>22.959703566465954</v>
      </c>
      <c r="G37" s="93"/>
      <c r="H37" s="158" t="s">
        <v>44</v>
      </c>
      <c r="I37" s="159" t="s">
        <v>44</v>
      </c>
      <c r="J37" s="96">
        <v>17818</v>
      </c>
      <c r="K37" s="97"/>
      <c r="L37" s="98" t="s">
        <v>44</v>
      </c>
      <c r="M37" s="99" t="s">
        <v>44</v>
      </c>
      <c r="N37" s="100">
        <v>17818</v>
      </c>
      <c r="O37" s="126"/>
      <c r="P37" s="158" t="s">
        <v>44</v>
      </c>
      <c r="Q37" s="159" t="s">
        <v>44</v>
      </c>
      <c r="R37" s="100">
        <v>0</v>
      </c>
      <c r="S37" s="97"/>
      <c r="T37" s="158" t="s">
        <v>44</v>
      </c>
      <c r="U37" s="159" t="s">
        <v>44</v>
      </c>
      <c r="V37" s="102">
        <v>36</v>
      </c>
      <c r="W37" s="102"/>
      <c r="X37" s="92">
        <v>459.8</v>
      </c>
      <c r="Y37" s="93"/>
      <c r="Z37" s="93">
        <v>21.053113553113555</v>
      </c>
      <c r="AA37" s="93"/>
      <c r="AB37" s="158" t="s">
        <v>44</v>
      </c>
      <c r="AC37" s="159" t="s">
        <v>44</v>
      </c>
      <c r="AD37" s="96">
        <v>14774</v>
      </c>
      <c r="AE37" s="97"/>
      <c r="AF37" s="98" t="s">
        <v>44</v>
      </c>
      <c r="AG37" s="99" t="s">
        <v>44</v>
      </c>
      <c r="AH37" s="100">
        <v>14774</v>
      </c>
      <c r="AI37" s="126"/>
      <c r="AJ37" s="158" t="s">
        <v>44</v>
      </c>
      <c r="AK37" s="159" t="s">
        <v>44</v>
      </c>
      <c r="AL37" s="100">
        <v>0</v>
      </c>
      <c r="AM37" s="97"/>
      <c r="AN37" s="158" t="s">
        <v>44</v>
      </c>
      <c r="AO37" s="159" t="s">
        <v>44</v>
      </c>
      <c r="AP37" s="102">
        <v>32</v>
      </c>
      <c r="AQ37" s="102"/>
      <c r="AR37" s="92">
        <v>497.8</v>
      </c>
      <c r="AS37" s="93"/>
      <c r="AT37" s="93">
        <v>22.545289855072465</v>
      </c>
      <c r="AU37" s="93"/>
      <c r="AV37" s="158" t="s">
        <v>44</v>
      </c>
      <c r="AW37" s="159" t="s">
        <v>44</v>
      </c>
      <c r="AX37" s="96">
        <v>15236</v>
      </c>
      <c r="AY37" s="97"/>
      <c r="AZ37" s="98" t="s">
        <v>44</v>
      </c>
      <c r="BA37" s="99" t="s">
        <v>44</v>
      </c>
      <c r="BB37" s="100">
        <v>15236</v>
      </c>
      <c r="BC37" s="126"/>
      <c r="BD37" s="158" t="s">
        <v>44</v>
      </c>
      <c r="BE37" s="159" t="s">
        <v>44</v>
      </c>
      <c r="BF37" s="100">
        <v>0</v>
      </c>
      <c r="BG37" s="97"/>
      <c r="BH37" s="158" t="s">
        <v>44</v>
      </c>
      <c r="BI37" s="159" t="s">
        <v>44</v>
      </c>
      <c r="BJ37" s="102">
        <v>31</v>
      </c>
      <c r="BK37" s="102"/>
      <c r="BL37" s="92">
        <v>433.8</v>
      </c>
      <c r="BM37" s="93"/>
      <c r="BN37" s="93">
        <v>19.637845178813944</v>
      </c>
      <c r="BO37" s="93"/>
      <c r="BP37" s="158" t="s">
        <v>44</v>
      </c>
      <c r="BQ37" s="159" t="s">
        <v>44</v>
      </c>
      <c r="BR37" s="96">
        <v>14954</v>
      </c>
      <c r="BS37" s="97"/>
      <c r="BT37" s="98" t="s">
        <v>44</v>
      </c>
      <c r="BU37" s="99" t="s">
        <v>44</v>
      </c>
      <c r="BV37" s="100">
        <v>14954</v>
      </c>
      <c r="BW37" s="126"/>
      <c r="BX37" s="158" t="s">
        <v>44</v>
      </c>
      <c r="BY37" s="159" t="s">
        <v>44</v>
      </c>
      <c r="BZ37" s="100">
        <v>0</v>
      </c>
      <c r="CA37" s="97"/>
      <c r="CB37" s="158" t="s">
        <v>44</v>
      </c>
      <c r="CC37" s="159" t="s">
        <v>44</v>
      </c>
      <c r="CD37" s="102">
        <v>34</v>
      </c>
      <c r="CE37" s="102"/>
      <c r="CF37" s="103">
        <v>1887.1</v>
      </c>
      <c r="CG37" s="102"/>
      <c r="CH37" s="93">
        <v>21.542237442922374</v>
      </c>
      <c r="CI37" s="127"/>
      <c r="CJ37" s="98" t="s">
        <v>44</v>
      </c>
      <c r="CK37" s="99" t="s">
        <v>44</v>
      </c>
      <c r="CL37" s="100">
        <v>62782</v>
      </c>
      <c r="CM37" s="107"/>
      <c r="CN37" s="108" t="s">
        <v>44</v>
      </c>
      <c r="CO37" s="99" t="s">
        <v>44</v>
      </c>
      <c r="CP37" s="100">
        <v>62782</v>
      </c>
      <c r="CQ37" s="97"/>
      <c r="CR37" s="98" t="s">
        <v>44</v>
      </c>
      <c r="CS37" s="99" t="s">
        <v>44</v>
      </c>
      <c r="CT37" s="100">
        <v>0</v>
      </c>
      <c r="CU37" s="97"/>
      <c r="CV37" s="98" t="s">
        <v>44</v>
      </c>
      <c r="CW37" s="99" t="s">
        <v>44</v>
      </c>
      <c r="CX37" s="100">
        <v>33.269037146945053</v>
      </c>
      <c r="CY37" s="174"/>
      <c r="CZ37" s="110">
        <f t="shared" si="0"/>
        <v>955.5</v>
      </c>
      <c r="DA37" s="111">
        <f t="shared" si="0"/>
        <v>0</v>
      </c>
      <c r="DB37" s="112">
        <f t="shared" si="29"/>
        <v>22.00092102233479</v>
      </c>
      <c r="DC37" s="113">
        <f t="shared" si="29"/>
        <v>0</v>
      </c>
      <c r="DD37" s="100">
        <f t="shared" si="30"/>
        <v>32592</v>
      </c>
      <c r="DE37" s="102">
        <f t="shared" si="30"/>
        <v>0</v>
      </c>
      <c r="DF37" s="102" t="e">
        <f t="shared" si="30"/>
        <v>#VALUE!</v>
      </c>
      <c r="DG37" s="114" t="e">
        <f t="shared" si="27"/>
        <v>#VALUE!</v>
      </c>
      <c r="DH37" s="100">
        <f t="shared" si="27"/>
        <v>32592</v>
      </c>
      <c r="DI37" s="97">
        <f t="shared" si="27"/>
        <v>0</v>
      </c>
      <c r="DJ37" s="97" t="e">
        <f t="shared" si="27"/>
        <v>#VALUE!</v>
      </c>
      <c r="DK37" s="97" t="e">
        <f t="shared" si="27"/>
        <v>#VALUE!</v>
      </c>
      <c r="DL37" s="100">
        <f t="shared" si="27"/>
        <v>0</v>
      </c>
      <c r="DM37" s="97">
        <f t="shared" si="27"/>
        <v>0</v>
      </c>
      <c r="DN37" s="97" t="e">
        <f t="shared" si="27"/>
        <v>#VALUE!</v>
      </c>
      <c r="DO37" s="115" t="e">
        <f t="shared" si="27"/>
        <v>#VALUE!</v>
      </c>
      <c r="DP37" s="100">
        <f t="shared" si="28"/>
        <v>34</v>
      </c>
      <c r="DQ37" s="116" t="e">
        <f t="shared" si="28"/>
        <v>#DIV/0!</v>
      </c>
      <c r="DR37" s="117">
        <f t="shared" si="18"/>
        <v>955.5</v>
      </c>
      <c r="DS37" s="118">
        <f t="shared" si="2"/>
        <v>100</v>
      </c>
      <c r="DT37" s="104" t="e">
        <f t="shared" si="3"/>
        <v>#VALUE!</v>
      </c>
      <c r="DU37" s="118" t="e">
        <f t="shared" si="4"/>
        <v>#VALUE!</v>
      </c>
      <c r="DV37" s="104">
        <f t="shared" si="5"/>
        <v>32592</v>
      </c>
      <c r="DW37" s="119">
        <f t="shared" si="6"/>
        <v>100</v>
      </c>
      <c r="DX37" s="120" t="e">
        <f t="shared" si="7"/>
        <v>#VALUE!</v>
      </c>
      <c r="DY37" s="118" t="e">
        <f t="shared" si="8"/>
        <v>#VALUE!</v>
      </c>
      <c r="DZ37" s="104">
        <f t="shared" si="9"/>
        <v>32592</v>
      </c>
      <c r="EA37" s="119">
        <f t="shared" si="10"/>
        <v>100</v>
      </c>
      <c r="EB37" s="120" t="e">
        <f t="shared" si="11"/>
        <v>#VALUE!</v>
      </c>
      <c r="EC37" s="118" t="e">
        <f t="shared" si="12"/>
        <v>#VALUE!</v>
      </c>
      <c r="ED37" s="104">
        <f t="shared" si="13"/>
        <v>0</v>
      </c>
      <c r="EE37" s="121">
        <v>0</v>
      </c>
      <c r="EF37" s="120" t="e">
        <f t="shared" si="14"/>
        <v>#VALUE!</v>
      </c>
      <c r="EG37" s="121" t="e">
        <f t="shared" si="15"/>
        <v>#VALUE!</v>
      </c>
      <c r="EH37" s="122" t="e">
        <f t="shared" si="19"/>
        <v>#DIV/0!</v>
      </c>
      <c r="EI37" s="123" t="e">
        <f t="shared" si="20"/>
        <v>#DIV/0!</v>
      </c>
    </row>
    <row r="38" spans="1:139" s="157" customFormat="1" ht="27" customHeight="1" x14ac:dyDescent="0.25">
      <c r="A38" s="1070"/>
      <c r="B38" s="164" t="s">
        <v>55</v>
      </c>
      <c r="C38" s="165"/>
      <c r="D38" s="132">
        <v>1115.6999999999998</v>
      </c>
      <c r="E38" s="133"/>
      <c r="F38" s="133">
        <v>10.25751822670062</v>
      </c>
      <c r="G38" s="133"/>
      <c r="H38" s="134" t="s">
        <v>44</v>
      </c>
      <c r="I38" s="135" t="s">
        <v>44</v>
      </c>
      <c r="J38" s="136">
        <v>170139</v>
      </c>
      <c r="K38" s="86"/>
      <c r="L38" s="137" t="s">
        <v>44</v>
      </c>
      <c r="M38" s="138" t="s">
        <v>44</v>
      </c>
      <c r="N38" s="139">
        <v>157376</v>
      </c>
      <c r="O38" s="140"/>
      <c r="P38" s="134" t="s">
        <v>44</v>
      </c>
      <c r="Q38" s="135" t="s">
        <v>44</v>
      </c>
      <c r="R38" s="139">
        <v>12763</v>
      </c>
      <c r="S38" s="140"/>
      <c r="T38" s="134" t="s">
        <v>44</v>
      </c>
      <c r="U38" s="135" t="s">
        <v>44</v>
      </c>
      <c r="V38" s="141">
        <v>152</v>
      </c>
      <c r="W38" s="141"/>
      <c r="X38" s="132">
        <v>1118.8999999999999</v>
      </c>
      <c r="Y38" s="133"/>
      <c r="Z38" s="133">
        <v>10.193223952117627</v>
      </c>
      <c r="AA38" s="133"/>
      <c r="AB38" s="134" t="s">
        <v>44</v>
      </c>
      <c r="AC38" s="135" t="s">
        <v>44</v>
      </c>
      <c r="AD38" s="136">
        <v>155810</v>
      </c>
      <c r="AE38" s="86"/>
      <c r="AF38" s="137" t="s">
        <v>44</v>
      </c>
      <c r="AG38" s="138" t="s">
        <v>44</v>
      </c>
      <c r="AH38" s="139">
        <v>146660</v>
      </c>
      <c r="AI38" s="140"/>
      <c r="AJ38" s="134" t="s">
        <v>44</v>
      </c>
      <c r="AK38" s="135" t="s">
        <v>44</v>
      </c>
      <c r="AL38" s="139">
        <v>9150</v>
      </c>
      <c r="AM38" s="140"/>
      <c r="AN38" s="134" t="s">
        <v>44</v>
      </c>
      <c r="AO38" s="135" t="s">
        <v>44</v>
      </c>
      <c r="AP38" s="141">
        <v>139</v>
      </c>
      <c r="AQ38" s="141"/>
      <c r="AR38" s="132">
        <v>1062.5999999999999</v>
      </c>
      <c r="AS38" s="133"/>
      <c r="AT38" s="133">
        <v>9.5799637573364329</v>
      </c>
      <c r="AU38" s="133"/>
      <c r="AV38" s="134" t="s">
        <v>44</v>
      </c>
      <c r="AW38" s="135" t="s">
        <v>44</v>
      </c>
      <c r="AX38" s="136">
        <v>134958</v>
      </c>
      <c r="AY38" s="86"/>
      <c r="AZ38" s="137" t="s">
        <v>44</v>
      </c>
      <c r="BA38" s="138" t="s">
        <v>44</v>
      </c>
      <c r="BB38" s="139">
        <v>126438</v>
      </c>
      <c r="BC38" s="140"/>
      <c r="BD38" s="134" t="s">
        <v>44</v>
      </c>
      <c r="BE38" s="135" t="s">
        <v>44</v>
      </c>
      <c r="BF38" s="139">
        <v>8520</v>
      </c>
      <c r="BG38" s="140"/>
      <c r="BH38" s="134" t="s">
        <v>44</v>
      </c>
      <c r="BI38" s="135" t="s">
        <v>44</v>
      </c>
      <c r="BJ38" s="141">
        <v>127</v>
      </c>
      <c r="BK38" s="141"/>
      <c r="BL38" s="132">
        <v>1158.7</v>
      </c>
      <c r="BM38" s="133"/>
      <c r="BN38" s="133">
        <v>10.385501348941014</v>
      </c>
      <c r="BO38" s="133"/>
      <c r="BP38" s="134" t="s">
        <v>44</v>
      </c>
      <c r="BQ38" s="135" t="s">
        <v>44</v>
      </c>
      <c r="BR38" s="136">
        <v>162291</v>
      </c>
      <c r="BS38" s="86"/>
      <c r="BT38" s="137" t="s">
        <v>44</v>
      </c>
      <c r="BU38" s="138" t="s">
        <v>44</v>
      </c>
      <c r="BV38" s="139">
        <v>151393</v>
      </c>
      <c r="BW38" s="140"/>
      <c r="BX38" s="134" t="s">
        <v>44</v>
      </c>
      <c r="BY38" s="135" t="s">
        <v>44</v>
      </c>
      <c r="BZ38" s="139">
        <v>10898</v>
      </c>
      <c r="CA38" s="140"/>
      <c r="CB38" s="134" t="s">
        <v>44</v>
      </c>
      <c r="CC38" s="135" t="s">
        <v>44</v>
      </c>
      <c r="CD38" s="141">
        <v>140</v>
      </c>
      <c r="CE38" s="141"/>
      <c r="CF38" s="142">
        <v>4455.8999999999996</v>
      </c>
      <c r="CG38" s="141"/>
      <c r="CH38" s="133">
        <v>10.103485962278866</v>
      </c>
      <c r="CI38" s="143"/>
      <c r="CJ38" s="137" t="s">
        <v>44</v>
      </c>
      <c r="CK38" s="138" t="s">
        <v>44</v>
      </c>
      <c r="CL38" s="139">
        <v>623198</v>
      </c>
      <c r="CM38" s="144"/>
      <c r="CN38" s="145" t="s">
        <v>44</v>
      </c>
      <c r="CO38" s="138" t="s">
        <v>44</v>
      </c>
      <c r="CP38" s="139">
        <v>581867</v>
      </c>
      <c r="CQ38" s="140"/>
      <c r="CR38" s="137" t="s">
        <v>44</v>
      </c>
      <c r="CS38" s="138" t="s">
        <v>44</v>
      </c>
      <c r="CT38" s="139">
        <v>41331</v>
      </c>
      <c r="CU38" s="140"/>
      <c r="CV38" s="137" t="s">
        <v>44</v>
      </c>
      <c r="CW38" s="138" t="s">
        <v>44</v>
      </c>
      <c r="CX38" s="139">
        <v>139.85906326443592</v>
      </c>
      <c r="CY38" s="175"/>
      <c r="CZ38" s="147">
        <f t="shared" si="0"/>
        <v>2234.5999999999995</v>
      </c>
      <c r="DA38" s="148">
        <f t="shared" si="0"/>
        <v>0</v>
      </c>
      <c r="DB38" s="149" t="e">
        <f>(CZ38/#REF!)*100</f>
        <v>#REF!</v>
      </c>
      <c r="DC38" s="150" t="e">
        <f>(DA38/#REF!)*100</f>
        <v>#REF!</v>
      </c>
      <c r="DD38" s="139">
        <f t="shared" si="30"/>
        <v>325949</v>
      </c>
      <c r="DE38" s="141">
        <f t="shared" si="30"/>
        <v>0</v>
      </c>
      <c r="DF38" s="141" t="e">
        <f t="shared" si="30"/>
        <v>#VALUE!</v>
      </c>
      <c r="DG38" s="151" t="e">
        <f t="shared" si="27"/>
        <v>#VALUE!</v>
      </c>
      <c r="DH38" s="139">
        <f t="shared" si="27"/>
        <v>304036</v>
      </c>
      <c r="DI38" s="140">
        <f t="shared" si="27"/>
        <v>0</v>
      </c>
      <c r="DJ38" s="140" t="e">
        <f t="shared" si="27"/>
        <v>#VALUE!</v>
      </c>
      <c r="DK38" s="140" t="e">
        <f t="shared" si="27"/>
        <v>#VALUE!</v>
      </c>
      <c r="DL38" s="139">
        <f t="shared" si="27"/>
        <v>21913</v>
      </c>
      <c r="DM38" s="140">
        <f t="shared" si="27"/>
        <v>0</v>
      </c>
      <c r="DN38" s="140" t="e">
        <f t="shared" si="27"/>
        <v>#VALUE!</v>
      </c>
      <c r="DO38" s="152" t="e">
        <f t="shared" si="27"/>
        <v>#VALUE!</v>
      </c>
      <c r="DP38" s="139">
        <f t="shared" si="28"/>
        <v>146</v>
      </c>
      <c r="DQ38" s="153" t="e">
        <f t="shared" si="28"/>
        <v>#DIV/0!</v>
      </c>
      <c r="DR38" s="154">
        <f t="shared" si="18"/>
        <v>2234.5999999999995</v>
      </c>
      <c r="DS38" s="84">
        <f t="shared" si="2"/>
        <v>100</v>
      </c>
      <c r="DT38" s="79" t="e">
        <f t="shared" si="3"/>
        <v>#VALUE!</v>
      </c>
      <c r="DU38" s="84" t="e">
        <f t="shared" si="4"/>
        <v>#VALUE!</v>
      </c>
      <c r="DV38" s="79">
        <f t="shared" si="5"/>
        <v>325949</v>
      </c>
      <c r="DW38" s="85">
        <f t="shared" si="6"/>
        <v>100</v>
      </c>
      <c r="DX38" s="86" t="e">
        <f t="shared" si="7"/>
        <v>#VALUE!</v>
      </c>
      <c r="DY38" s="84" t="e">
        <f t="shared" si="8"/>
        <v>#VALUE!</v>
      </c>
      <c r="DZ38" s="79">
        <f t="shared" si="9"/>
        <v>304036</v>
      </c>
      <c r="EA38" s="85">
        <f t="shared" si="10"/>
        <v>100</v>
      </c>
      <c r="EB38" s="86" t="e">
        <f t="shared" si="11"/>
        <v>#VALUE!</v>
      </c>
      <c r="EC38" s="84" t="e">
        <f t="shared" si="12"/>
        <v>#VALUE!</v>
      </c>
      <c r="ED38" s="79">
        <f t="shared" si="13"/>
        <v>21913</v>
      </c>
      <c r="EE38" s="87">
        <f t="shared" ref="EE38:EE61" si="31">ABS((ED38/DL38)*100)</f>
        <v>100</v>
      </c>
      <c r="EF38" s="86" t="e">
        <f t="shared" si="14"/>
        <v>#VALUE!</v>
      </c>
      <c r="EG38" s="87" t="e">
        <f t="shared" si="15"/>
        <v>#VALUE!</v>
      </c>
      <c r="EH38" s="155" t="e">
        <f t="shared" si="19"/>
        <v>#DIV/0!</v>
      </c>
      <c r="EI38" s="156" t="e">
        <f t="shared" si="20"/>
        <v>#DIV/0!</v>
      </c>
    </row>
    <row r="39" spans="1:139" s="124" customFormat="1" ht="15.75" customHeight="1" x14ac:dyDescent="0.25">
      <c r="A39" s="1070"/>
      <c r="B39" s="90"/>
      <c r="C39" s="91" t="s">
        <v>45</v>
      </c>
      <c r="D39" s="92">
        <v>245.39999999999998</v>
      </c>
      <c r="E39" s="93"/>
      <c r="F39" s="93">
        <v>11.366373320981934</v>
      </c>
      <c r="G39" s="93"/>
      <c r="H39" s="158" t="s">
        <v>44</v>
      </c>
      <c r="I39" s="159" t="s">
        <v>44</v>
      </c>
      <c r="J39" s="96">
        <v>56468</v>
      </c>
      <c r="K39" s="97"/>
      <c r="L39" s="98" t="s">
        <v>44</v>
      </c>
      <c r="M39" s="99" t="s">
        <v>44</v>
      </c>
      <c r="N39" s="100">
        <v>52627</v>
      </c>
      <c r="O39" s="101"/>
      <c r="P39" s="158" t="s">
        <v>44</v>
      </c>
      <c r="Q39" s="159" t="s">
        <v>44</v>
      </c>
      <c r="R39" s="100">
        <v>3841</v>
      </c>
      <c r="S39" s="97"/>
      <c r="T39" s="158" t="s">
        <v>44</v>
      </c>
      <c r="U39" s="159" t="s">
        <v>44</v>
      </c>
      <c r="V39" s="102">
        <v>230</v>
      </c>
      <c r="W39" s="102"/>
      <c r="X39" s="92">
        <v>253.59999999999997</v>
      </c>
      <c r="Y39" s="93"/>
      <c r="Z39" s="93">
        <v>11.611721611721611</v>
      </c>
      <c r="AA39" s="93"/>
      <c r="AB39" s="158" t="s">
        <v>44</v>
      </c>
      <c r="AC39" s="159" t="s">
        <v>44</v>
      </c>
      <c r="AD39" s="96">
        <v>55033</v>
      </c>
      <c r="AE39" s="97"/>
      <c r="AF39" s="98" t="s">
        <v>44</v>
      </c>
      <c r="AG39" s="99" t="s">
        <v>44</v>
      </c>
      <c r="AH39" s="100">
        <v>51102</v>
      </c>
      <c r="AI39" s="101"/>
      <c r="AJ39" s="158" t="s">
        <v>44</v>
      </c>
      <c r="AK39" s="159" t="s">
        <v>44</v>
      </c>
      <c r="AL39" s="100">
        <v>3931</v>
      </c>
      <c r="AM39" s="97"/>
      <c r="AN39" s="158" t="s">
        <v>44</v>
      </c>
      <c r="AO39" s="159" t="s">
        <v>44</v>
      </c>
      <c r="AP39" s="102">
        <v>217</v>
      </c>
      <c r="AQ39" s="102"/>
      <c r="AR39" s="92">
        <v>241.6</v>
      </c>
      <c r="AS39" s="93"/>
      <c r="AT39" s="93">
        <v>10.942028985507246</v>
      </c>
      <c r="AU39" s="93"/>
      <c r="AV39" s="158" t="s">
        <v>44</v>
      </c>
      <c r="AW39" s="159" t="s">
        <v>44</v>
      </c>
      <c r="AX39" s="96">
        <v>43263</v>
      </c>
      <c r="AY39" s="97"/>
      <c r="AZ39" s="98" t="s">
        <v>44</v>
      </c>
      <c r="BA39" s="99" t="s">
        <v>44</v>
      </c>
      <c r="BB39" s="100">
        <v>40579</v>
      </c>
      <c r="BC39" s="101"/>
      <c r="BD39" s="158" t="s">
        <v>44</v>
      </c>
      <c r="BE39" s="159" t="s">
        <v>44</v>
      </c>
      <c r="BF39" s="100">
        <v>2684</v>
      </c>
      <c r="BG39" s="97"/>
      <c r="BH39" s="158" t="s">
        <v>44</v>
      </c>
      <c r="BI39" s="159" t="s">
        <v>44</v>
      </c>
      <c r="BJ39" s="102">
        <v>179</v>
      </c>
      <c r="BK39" s="102"/>
      <c r="BL39" s="92">
        <v>286.70000000000005</v>
      </c>
      <c r="BM39" s="93"/>
      <c r="BN39" s="93">
        <v>12.978723404255321</v>
      </c>
      <c r="BO39" s="93"/>
      <c r="BP39" s="158" t="s">
        <v>44</v>
      </c>
      <c r="BQ39" s="159" t="s">
        <v>44</v>
      </c>
      <c r="BR39" s="96">
        <v>60681</v>
      </c>
      <c r="BS39" s="97"/>
      <c r="BT39" s="98" t="s">
        <v>44</v>
      </c>
      <c r="BU39" s="99" t="s">
        <v>44</v>
      </c>
      <c r="BV39" s="100">
        <v>58088</v>
      </c>
      <c r="BW39" s="101"/>
      <c r="BX39" s="158" t="s">
        <v>44</v>
      </c>
      <c r="BY39" s="159" t="s">
        <v>44</v>
      </c>
      <c r="BZ39" s="100">
        <v>2593</v>
      </c>
      <c r="CA39" s="97"/>
      <c r="CB39" s="158" t="s">
        <v>44</v>
      </c>
      <c r="CC39" s="159" t="s">
        <v>44</v>
      </c>
      <c r="CD39" s="102">
        <v>212</v>
      </c>
      <c r="CE39" s="102"/>
      <c r="CF39" s="103">
        <v>1027.3</v>
      </c>
      <c r="CG39" s="102"/>
      <c r="CH39" s="93">
        <v>11.72716894977169</v>
      </c>
      <c r="CI39" s="127"/>
      <c r="CJ39" s="98" t="s">
        <v>44</v>
      </c>
      <c r="CK39" s="99" t="s">
        <v>44</v>
      </c>
      <c r="CL39" s="100">
        <v>215445</v>
      </c>
      <c r="CM39" s="107"/>
      <c r="CN39" s="108" t="s">
        <v>44</v>
      </c>
      <c r="CO39" s="99" t="s">
        <v>44</v>
      </c>
      <c r="CP39" s="100">
        <v>202396</v>
      </c>
      <c r="CQ39" s="97"/>
      <c r="CR39" s="98" t="s">
        <v>44</v>
      </c>
      <c r="CS39" s="99" t="s">
        <v>44</v>
      </c>
      <c r="CT39" s="100">
        <v>13049</v>
      </c>
      <c r="CU39" s="97"/>
      <c r="CV39" s="98" t="s">
        <v>44</v>
      </c>
      <c r="CW39" s="99" t="s">
        <v>44</v>
      </c>
      <c r="CX39" s="100">
        <v>209.71965346052761</v>
      </c>
      <c r="CY39" s="174"/>
      <c r="CZ39" s="110">
        <f t="shared" si="0"/>
        <v>498.99999999999994</v>
      </c>
      <c r="DA39" s="111">
        <f t="shared" si="0"/>
        <v>0</v>
      </c>
      <c r="DB39" s="112">
        <f>(CZ39/4343)*100</f>
        <v>11.489753626525442</v>
      </c>
      <c r="DC39" s="113">
        <f>(DA39/4343)*100</f>
        <v>0</v>
      </c>
      <c r="DD39" s="100">
        <f t="shared" si="30"/>
        <v>111501</v>
      </c>
      <c r="DE39" s="102">
        <f t="shared" si="30"/>
        <v>0</v>
      </c>
      <c r="DF39" s="102" t="e">
        <f t="shared" si="30"/>
        <v>#VALUE!</v>
      </c>
      <c r="DG39" s="114" t="e">
        <f t="shared" si="27"/>
        <v>#VALUE!</v>
      </c>
      <c r="DH39" s="100">
        <f t="shared" si="27"/>
        <v>103729</v>
      </c>
      <c r="DI39" s="97">
        <f t="shared" si="27"/>
        <v>0</v>
      </c>
      <c r="DJ39" s="97" t="e">
        <f t="shared" si="27"/>
        <v>#VALUE!</v>
      </c>
      <c r="DK39" s="97" t="e">
        <f t="shared" si="27"/>
        <v>#VALUE!</v>
      </c>
      <c r="DL39" s="100">
        <f t="shared" si="27"/>
        <v>7772</v>
      </c>
      <c r="DM39" s="97">
        <f t="shared" si="27"/>
        <v>0</v>
      </c>
      <c r="DN39" s="97" t="e">
        <f t="shared" si="27"/>
        <v>#VALUE!</v>
      </c>
      <c r="DO39" s="115" t="e">
        <f t="shared" si="27"/>
        <v>#VALUE!</v>
      </c>
      <c r="DP39" s="100">
        <f t="shared" si="28"/>
        <v>223</v>
      </c>
      <c r="DQ39" s="116" t="e">
        <f t="shared" si="28"/>
        <v>#DIV/0!</v>
      </c>
      <c r="DR39" s="117">
        <f t="shared" si="18"/>
        <v>498.99999999999994</v>
      </c>
      <c r="DS39" s="118">
        <f t="shared" si="2"/>
        <v>100</v>
      </c>
      <c r="DT39" s="104" t="e">
        <f t="shared" si="3"/>
        <v>#VALUE!</v>
      </c>
      <c r="DU39" s="118" t="e">
        <f t="shared" si="4"/>
        <v>#VALUE!</v>
      </c>
      <c r="DV39" s="104">
        <f t="shared" si="5"/>
        <v>111501</v>
      </c>
      <c r="DW39" s="119">
        <f t="shared" si="6"/>
        <v>100</v>
      </c>
      <c r="DX39" s="120" t="e">
        <f t="shared" si="7"/>
        <v>#VALUE!</v>
      </c>
      <c r="DY39" s="118" t="e">
        <f t="shared" si="8"/>
        <v>#VALUE!</v>
      </c>
      <c r="DZ39" s="104">
        <f t="shared" si="9"/>
        <v>103729</v>
      </c>
      <c r="EA39" s="119">
        <f t="shared" si="10"/>
        <v>100</v>
      </c>
      <c r="EB39" s="120" t="e">
        <f t="shared" si="11"/>
        <v>#VALUE!</v>
      </c>
      <c r="EC39" s="118" t="e">
        <f t="shared" si="12"/>
        <v>#VALUE!</v>
      </c>
      <c r="ED39" s="104">
        <f t="shared" si="13"/>
        <v>7772</v>
      </c>
      <c r="EE39" s="121">
        <f t="shared" si="31"/>
        <v>100</v>
      </c>
      <c r="EF39" s="120" t="e">
        <f t="shared" si="14"/>
        <v>#VALUE!</v>
      </c>
      <c r="EG39" s="121" t="e">
        <f t="shared" si="15"/>
        <v>#VALUE!</v>
      </c>
      <c r="EH39" s="122" t="e">
        <f t="shared" si="19"/>
        <v>#DIV/0!</v>
      </c>
      <c r="EI39" s="123" t="e">
        <f t="shared" si="20"/>
        <v>#DIV/0!</v>
      </c>
    </row>
    <row r="40" spans="1:139" ht="15.75" customHeight="1" x14ac:dyDescent="0.25">
      <c r="A40" s="1070"/>
      <c r="B40" s="169"/>
      <c r="C40" s="91" t="s">
        <v>46</v>
      </c>
      <c r="D40" s="92">
        <v>151.69999999999999</v>
      </c>
      <c r="E40" s="93"/>
      <c r="F40" s="93">
        <v>7.0264011116257521</v>
      </c>
      <c r="G40" s="93"/>
      <c r="H40" s="158" t="s">
        <v>44</v>
      </c>
      <c r="I40" s="159" t="s">
        <v>44</v>
      </c>
      <c r="J40" s="96">
        <v>11845</v>
      </c>
      <c r="K40" s="97"/>
      <c r="L40" s="98" t="s">
        <v>44</v>
      </c>
      <c r="M40" s="99" t="s">
        <v>44</v>
      </c>
      <c r="N40" s="100">
        <v>11845</v>
      </c>
      <c r="O40" s="126"/>
      <c r="P40" s="158" t="s">
        <v>44</v>
      </c>
      <c r="Q40" s="159" t="s">
        <v>44</v>
      </c>
      <c r="R40" s="100">
        <v>0</v>
      </c>
      <c r="S40" s="97"/>
      <c r="T40" s="158" t="s">
        <v>44</v>
      </c>
      <c r="U40" s="159" t="s">
        <v>44</v>
      </c>
      <c r="V40" s="102">
        <v>78</v>
      </c>
      <c r="W40" s="102"/>
      <c r="X40" s="92">
        <v>164.3</v>
      </c>
      <c r="Y40" s="93"/>
      <c r="Z40" s="93">
        <v>7.5228937728937737</v>
      </c>
      <c r="AA40" s="93"/>
      <c r="AB40" s="158" t="s">
        <v>44</v>
      </c>
      <c r="AC40" s="159" t="s">
        <v>44</v>
      </c>
      <c r="AD40" s="96">
        <v>14098</v>
      </c>
      <c r="AE40" s="97"/>
      <c r="AF40" s="98" t="s">
        <v>44</v>
      </c>
      <c r="AG40" s="99" t="s">
        <v>44</v>
      </c>
      <c r="AH40" s="100">
        <v>14098</v>
      </c>
      <c r="AI40" s="126"/>
      <c r="AJ40" s="158" t="s">
        <v>44</v>
      </c>
      <c r="AK40" s="159" t="s">
        <v>44</v>
      </c>
      <c r="AL40" s="100">
        <v>0</v>
      </c>
      <c r="AM40" s="97"/>
      <c r="AN40" s="158" t="s">
        <v>44</v>
      </c>
      <c r="AO40" s="159" t="s">
        <v>44</v>
      </c>
      <c r="AP40" s="102">
        <v>86</v>
      </c>
      <c r="AQ40" s="102"/>
      <c r="AR40" s="92">
        <v>153.6</v>
      </c>
      <c r="AS40" s="93"/>
      <c r="AT40" s="93">
        <v>6.9565217391304346</v>
      </c>
      <c r="AU40" s="93"/>
      <c r="AV40" s="158" t="s">
        <v>44</v>
      </c>
      <c r="AW40" s="159" t="s">
        <v>44</v>
      </c>
      <c r="AX40" s="96">
        <v>12111</v>
      </c>
      <c r="AY40" s="97"/>
      <c r="AZ40" s="98" t="s">
        <v>44</v>
      </c>
      <c r="BA40" s="99" t="s">
        <v>44</v>
      </c>
      <c r="BB40" s="100">
        <v>12111</v>
      </c>
      <c r="BC40" s="126"/>
      <c r="BD40" s="158" t="s">
        <v>44</v>
      </c>
      <c r="BE40" s="159" t="s">
        <v>44</v>
      </c>
      <c r="BF40" s="100">
        <v>0</v>
      </c>
      <c r="BG40" s="97"/>
      <c r="BH40" s="158" t="s">
        <v>44</v>
      </c>
      <c r="BI40" s="159" t="s">
        <v>44</v>
      </c>
      <c r="BJ40" s="102">
        <v>79</v>
      </c>
      <c r="BK40" s="102"/>
      <c r="BL40" s="92">
        <v>155.1</v>
      </c>
      <c r="BM40" s="93"/>
      <c r="BN40" s="93">
        <v>7.0212765957446814</v>
      </c>
      <c r="BO40" s="93"/>
      <c r="BP40" s="158" t="s">
        <v>44</v>
      </c>
      <c r="BQ40" s="159" t="s">
        <v>44</v>
      </c>
      <c r="BR40" s="96">
        <v>12145</v>
      </c>
      <c r="BS40" s="97"/>
      <c r="BT40" s="98" t="s">
        <v>44</v>
      </c>
      <c r="BU40" s="99" t="s">
        <v>44</v>
      </c>
      <c r="BV40" s="100">
        <v>12145</v>
      </c>
      <c r="BW40" s="126"/>
      <c r="BX40" s="158" t="s">
        <v>44</v>
      </c>
      <c r="BY40" s="159" t="s">
        <v>44</v>
      </c>
      <c r="BZ40" s="100">
        <v>0</v>
      </c>
      <c r="CA40" s="97"/>
      <c r="CB40" s="158" t="s">
        <v>44</v>
      </c>
      <c r="CC40" s="159" t="s">
        <v>44</v>
      </c>
      <c r="CD40" s="102">
        <v>78</v>
      </c>
      <c r="CE40" s="102"/>
      <c r="CF40" s="103">
        <v>624.70000000000005</v>
      </c>
      <c r="CG40" s="102"/>
      <c r="CH40" s="93">
        <v>7.1312785388127855</v>
      </c>
      <c r="CI40" s="127"/>
      <c r="CJ40" s="98" t="s">
        <v>44</v>
      </c>
      <c r="CK40" s="99" t="s">
        <v>44</v>
      </c>
      <c r="CL40" s="100">
        <v>50199</v>
      </c>
      <c r="CM40" s="107"/>
      <c r="CN40" s="108" t="s">
        <v>44</v>
      </c>
      <c r="CO40" s="99" t="s">
        <v>44</v>
      </c>
      <c r="CP40" s="100">
        <v>50199</v>
      </c>
      <c r="CQ40" s="97"/>
      <c r="CR40" s="98" t="s">
        <v>44</v>
      </c>
      <c r="CS40" s="99" t="s">
        <v>44</v>
      </c>
      <c r="CT40" s="100">
        <v>0</v>
      </c>
      <c r="CU40" s="97"/>
      <c r="CV40" s="98" t="s">
        <v>44</v>
      </c>
      <c r="CW40" s="99" t="s">
        <v>44</v>
      </c>
      <c r="CX40" s="100">
        <v>80.356971346246198</v>
      </c>
      <c r="CY40" s="174"/>
      <c r="CZ40" s="110">
        <f t="shared" si="0"/>
        <v>316</v>
      </c>
      <c r="DA40" s="111">
        <f t="shared" si="0"/>
        <v>0</v>
      </c>
      <c r="DB40" s="112">
        <f t="shared" ref="DB40:DC43" si="32">(CZ40/4343)*100</f>
        <v>7.2760764448537882</v>
      </c>
      <c r="DC40" s="113">
        <f t="shared" si="32"/>
        <v>0</v>
      </c>
      <c r="DD40" s="100">
        <f t="shared" si="30"/>
        <v>25943</v>
      </c>
      <c r="DE40" s="102">
        <f t="shared" si="30"/>
        <v>0</v>
      </c>
      <c r="DF40" s="102" t="e">
        <f t="shared" si="30"/>
        <v>#VALUE!</v>
      </c>
      <c r="DG40" s="114" t="e">
        <f t="shared" si="27"/>
        <v>#VALUE!</v>
      </c>
      <c r="DH40" s="100">
        <f t="shared" si="27"/>
        <v>25943</v>
      </c>
      <c r="DI40" s="97">
        <f t="shared" si="27"/>
        <v>0</v>
      </c>
      <c r="DJ40" s="97" t="e">
        <f t="shared" si="27"/>
        <v>#VALUE!</v>
      </c>
      <c r="DK40" s="97" t="e">
        <f t="shared" si="27"/>
        <v>#VALUE!</v>
      </c>
      <c r="DL40" s="100">
        <f t="shared" si="27"/>
        <v>0</v>
      </c>
      <c r="DM40" s="97">
        <f t="shared" si="27"/>
        <v>0</v>
      </c>
      <c r="DN40" s="97" t="e">
        <f t="shared" si="27"/>
        <v>#VALUE!</v>
      </c>
      <c r="DO40" s="115" t="e">
        <f t="shared" si="27"/>
        <v>#VALUE!</v>
      </c>
      <c r="DP40" s="100">
        <f t="shared" si="28"/>
        <v>82</v>
      </c>
      <c r="DQ40" s="116" t="e">
        <f t="shared" si="28"/>
        <v>#DIV/0!</v>
      </c>
      <c r="DR40" s="117">
        <f t="shared" si="18"/>
        <v>316</v>
      </c>
      <c r="DS40" s="118">
        <f t="shared" si="2"/>
        <v>100</v>
      </c>
      <c r="DT40" s="104" t="e">
        <f t="shared" si="3"/>
        <v>#VALUE!</v>
      </c>
      <c r="DU40" s="118" t="e">
        <f t="shared" si="4"/>
        <v>#VALUE!</v>
      </c>
      <c r="DV40" s="104">
        <f t="shared" si="5"/>
        <v>25943</v>
      </c>
      <c r="DW40" s="119">
        <f t="shared" si="6"/>
        <v>100</v>
      </c>
      <c r="DX40" s="120" t="e">
        <f t="shared" si="7"/>
        <v>#VALUE!</v>
      </c>
      <c r="DY40" s="118" t="e">
        <f t="shared" si="8"/>
        <v>#VALUE!</v>
      </c>
      <c r="DZ40" s="104">
        <f t="shared" si="9"/>
        <v>25943</v>
      </c>
      <c r="EA40" s="119">
        <f t="shared" si="10"/>
        <v>100</v>
      </c>
      <c r="EB40" s="120" t="e">
        <f t="shared" si="11"/>
        <v>#VALUE!</v>
      </c>
      <c r="EC40" s="118" t="e">
        <f t="shared" si="12"/>
        <v>#VALUE!</v>
      </c>
      <c r="ED40" s="104">
        <f t="shared" si="13"/>
        <v>0</v>
      </c>
      <c r="EE40" s="121">
        <v>0</v>
      </c>
      <c r="EF40" s="120" t="e">
        <f t="shared" si="14"/>
        <v>#VALUE!</v>
      </c>
      <c r="EG40" s="121" t="e">
        <f t="shared" si="15"/>
        <v>#VALUE!</v>
      </c>
      <c r="EH40" s="122" t="e">
        <f t="shared" si="19"/>
        <v>#DIV/0!</v>
      </c>
      <c r="EI40" s="123" t="e">
        <f t="shared" si="20"/>
        <v>#DIV/0!</v>
      </c>
    </row>
    <row r="41" spans="1:139" ht="15.75" customHeight="1" x14ac:dyDescent="0.25">
      <c r="A41" s="1070"/>
      <c r="B41" s="169"/>
      <c r="C41" s="91" t="s">
        <v>47</v>
      </c>
      <c r="D41" s="92">
        <v>541.70000000000005</v>
      </c>
      <c r="E41" s="93"/>
      <c r="F41" s="93">
        <v>25.090319592403894</v>
      </c>
      <c r="G41" s="93"/>
      <c r="H41" s="158" t="s">
        <v>44</v>
      </c>
      <c r="I41" s="159" t="s">
        <v>44</v>
      </c>
      <c r="J41" s="96">
        <v>73969</v>
      </c>
      <c r="K41" s="97"/>
      <c r="L41" s="98" t="s">
        <v>44</v>
      </c>
      <c r="M41" s="99" t="s">
        <v>44</v>
      </c>
      <c r="N41" s="100">
        <v>73969</v>
      </c>
      <c r="O41" s="126"/>
      <c r="P41" s="158" t="s">
        <v>44</v>
      </c>
      <c r="Q41" s="159" t="s">
        <v>44</v>
      </c>
      <c r="R41" s="100">
        <v>0</v>
      </c>
      <c r="S41" s="97"/>
      <c r="T41" s="158" t="s">
        <v>44</v>
      </c>
      <c r="U41" s="159" t="s">
        <v>44</v>
      </c>
      <c r="V41" s="102">
        <v>137</v>
      </c>
      <c r="W41" s="102"/>
      <c r="X41" s="92">
        <v>533.9</v>
      </c>
      <c r="Y41" s="93"/>
      <c r="Z41" s="93">
        <v>24.445970695970693</v>
      </c>
      <c r="AA41" s="93"/>
      <c r="AB41" s="158" t="s">
        <v>44</v>
      </c>
      <c r="AC41" s="159" t="s">
        <v>44</v>
      </c>
      <c r="AD41" s="96">
        <v>62675</v>
      </c>
      <c r="AE41" s="97"/>
      <c r="AF41" s="98" t="s">
        <v>44</v>
      </c>
      <c r="AG41" s="99" t="s">
        <v>44</v>
      </c>
      <c r="AH41" s="100">
        <v>62675</v>
      </c>
      <c r="AI41" s="126"/>
      <c r="AJ41" s="158" t="s">
        <v>44</v>
      </c>
      <c r="AK41" s="159" t="s">
        <v>44</v>
      </c>
      <c r="AL41" s="100">
        <v>0</v>
      </c>
      <c r="AM41" s="97"/>
      <c r="AN41" s="158" t="s">
        <v>44</v>
      </c>
      <c r="AO41" s="159" t="s">
        <v>44</v>
      </c>
      <c r="AP41" s="102">
        <v>117</v>
      </c>
      <c r="AQ41" s="102"/>
      <c r="AR41" s="92">
        <v>495.9</v>
      </c>
      <c r="AS41" s="93"/>
      <c r="AT41" s="93">
        <v>22.459239130434781</v>
      </c>
      <c r="AU41" s="93"/>
      <c r="AV41" s="158" t="s">
        <v>44</v>
      </c>
      <c r="AW41" s="159" t="s">
        <v>44</v>
      </c>
      <c r="AX41" s="96">
        <v>54935</v>
      </c>
      <c r="AY41" s="97"/>
      <c r="AZ41" s="98" t="s">
        <v>44</v>
      </c>
      <c r="BA41" s="99" t="s">
        <v>44</v>
      </c>
      <c r="BB41" s="100">
        <v>54935</v>
      </c>
      <c r="BC41" s="126"/>
      <c r="BD41" s="158" t="s">
        <v>44</v>
      </c>
      <c r="BE41" s="159" t="s">
        <v>44</v>
      </c>
      <c r="BF41" s="100">
        <v>0</v>
      </c>
      <c r="BG41" s="97"/>
      <c r="BH41" s="158" t="s">
        <v>44</v>
      </c>
      <c r="BI41" s="159" t="s">
        <v>44</v>
      </c>
      <c r="BJ41" s="102">
        <v>111</v>
      </c>
      <c r="BK41" s="102"/>
      <c r="BL41" s="92">
        <v>543.5</v>
      </c>
      <c r="BM41" s="93"/>
      <c r="BN41" s="93">
        <v>24.603893164327751</v>
      </c>
      <c r="BO41" s="93"/>
      <c r="BP41" s="158" t="s">
        <v>44</v>
      </c>
      <c r="BQ41" s="159" t="s">
        <v>44</v>
      </c>
      <c r="BR41" s="96">
        <v>61816</v>
      </c>
      <c r="BS41" s="97"/>
      <c r="BT41" s="98" t="s">
        <v>44</v>
      </c>
      <c r="BU41" s="99" t="s">
        <v>44</v>
      </c>
      <c r="BV41" s="100">
        <v>61816</v>
      </c>
      <c r="BW41" s="126"/>
      <c r="BX41" s="158" t="s">
        <v>44</v>
      </c>
      <c r="BY41" s="159" t="s">
        <v>44</v>
      </c>
      <c r="BZ41" s="100">
        <v>0</v>
      </c>
      <c r="CA41" s="97"/>
      <c r="CB41" s="158" t="s">
        <v>44</v>
      </c>
      <c r="CC41" s="159" t="s">
        <v>44</v>
      </c>
      <c r="CD41" s="102">
        <v>114</v>
      </c>
      <c r="CE41" s="102"/>
      <c r="CF41" s="103">
        <v>2115</v>
      </c>
      <c r="CG41" s="102"/>
      <c r="CH41" s="93">
        <v>24.143835616438356</v>
      </c>
      <c r="CI41" s="127"/>
      <c r="CJ41" s="98" t="s">
        <v>44</v>
      </c>
      <c r="CK41" s="99" t="s">
        <v>44</v>
      </c>
      <c r="CL41" s="100">
        <v>253395</v>
      </c>
      <c r="CM41" s="107"/>
      <c r="CN41" s="108" t="s">
        <v>44</v>
      </c>
      <c r="CO41" s="99" t="s">
        <v>44</v>
      </c>
      <c r="CP41" s="100">
        <v>253395</v>
      </c>
      <c r="CQ41" s="97"/>
      <c r="CR41" s="98" t="s">
        <v>44</v>
      </c>
      <c r="CS41" s="99" t="s">
        <v>44</v>
      </c>
      <c r="CT41" s="100">
        <v>0</v>
      </c>
      <c r="CU41" s="97"/>
      <c r="CV41" s="98" t="s">
        <v>44</v>
      </c>
      <c r="CW41" s="99" t="s">
        <v>44</v>
      </c>
      <c r="CX41" s="100">
        <v>119.80851063829788</v>
      </c>
      <c r="CY41" s="174"/>
      <c r="CZ41" s="110">
        <f t="shared" si="0"/>
        <v>1075.5999999999999</v>
      </c>
      <c r="DA41" s="111">
        <f t="shared" si="0"/>
        <v>0</v>
      </c>
      <c r="DB41" s="176">
        <f t="shared" si="32"/>
        <v>24.766290582546624</v>
      </c>
      <c r="DC41" s="113">
        <f t="shared" si="32"/>
        <v>0</v>
      </c>
      <c r="DD41" s="100">
        <f t="shared" si="30"/>
        <v>136644</v>
      </c>
      <c r="DE41" s="102">
        <f t="shared" si="30"/>
        <v>0</v>
      </c>
      <c r="DF41" s="102" t="e">
        <f t="shared" si="30"/>
        <v>#VALUE!</v>
      </c>
      <c r="DG41" s="114" t="e">
        <f t="shared" si="27"/>
        <v>#VALUE!</v>
      </c>
      <c r="DH41" s="100">
        <f t="shared" si="27"/>
        <v>136644</v>
      </c>
      <c r="DI41" s="97">
        <f t="shared" si="27"/>
        <v>0</v>
      </c>
      <c r="DJ41" s="97" t="e">
        <f t="shared" si="27"/>
        <v>#VALUE!</v>
      </c>
      <c r="DK41" s="97" t="e">
        <f t="shared" si="27"/>
        <v>#VALUE!</v>
      </c>
      <c r="DL41" s="100">
        <f t="shared" si="27"/>
        <v>0</v>
      </c>
      <c r="DM41" s="97">
        <f t="shared" si="27"/>
        <v>0</v>
      </c>
      <c r="DN41" s="97" t="e">
        <f t="shared" si="27"/>
        <v>#VALUE!</v>
      </c>
      <c r="DO41" s="115" t="e">
        <f t="shared" si="27"/>
        <v>#VALUE!</v>
      </c>
      <c r="DP41" s="100">
        <f t="shared" si="28"/>
        <v>127</v>
      </c>
      <c r="DQ41" s="116" t="e">
        <f t="shared" si="28"/>
        <v>#DIV/0!</v>
      </c>
      <c r="DR41" s="117">
        <f t="shared" si="18"/>
        <v>1075.5999999999999</v>
      </c>
      <c r="DS41" s="118">
        <f t="shared" si="2"/>
        <v>100</v>
      </c>
      <c r="DT41" s="104" t="e">
        <f t="shared" si="3"/>
        <v>#VALUE!</v>
      </c>
      <c r="DU41" s="118" t="e">
        <f t="shared" si="4"/>
        <v>#VALUE!</v>
      </c>
      <c r="DV41" s="104">
        <f t="shared" si="5"/>
        <v>136644</v>
      </c>
      <c r="DW41" s="119">
        <f t="shared" si="6"/>
        <v>100</v>
      </c>
      <c r="DX41" s="120" t="e">
        <f t="shared" si="7"/>
        <v>#VALUE!</v>
      </c>
      <c r="DY41" s="118" t="e">
        <f t="shared" si="8"/>
        <v>#VALUE!</v>
      </c>
      <c r="DZ41" s="104">
        <f t="shared" si="9"/>
        <v>136644</v>
      </c>
      <c r="EA41" s="119">
        <f t="shared" si="10"/>
        <v>100</v>
      </c>
      <c r="EB41" s="120" t="e">
        <f t="shared" si="11"/>
        <v>#VALUE!</v>
      </c>
      <c r="EC41" s="118" t="e">
        <f t="shared" si="12"/>
        <v>#VALUE!</v>
      </c>
      <c r="ED41" s="104">
        <f t="shared" si="13"/>
        <v>0</v>
      </c>
      <c r="EE41" s="121">
        <v>0</v>
      </c>
      <c r="EF41" s="120" t="e">
        <f t="shared" si="14"/>
        <v>#VALUE!</v>
      </c>
      <c r="EG41" s="121" t="e">
        <f t="shared" si="15"/>
        <v>#VALUE!</v>
      </c>
      <c r="EH41" s="122" t="e">
        <f t="shared" si="19"/>
        <v>#DIV/0!</v>
      </c>
      <c r="EI41" s="123" t="e">
        <f t="shared" si="20"/>
        <v>#DIV/0!</v>
      </c>
    </row>
    <row r="42" spans="1:139" ht="15.75" customHeight="1" x14ac:dyDescent="0.25">
      <c r="A42" s="1070"/>
      <c r="B42" s="169"/>
      <c r="C42" s="91" t="s">
        <v>48</v>
      </c>
      <c r="D42" s="92">
        <v>170.39999999999998</v>
      </c>
      <c r="E42" s="93"/>
      <c r="F42" s="93">
        <v>7.892542843909216</v>
      </c>
      <c r="G42" s="93"/>
      <c r="H42" s="158" t="s">
        <v>44</v>
      </c>
      <c r="I42" s="159" t="s">
        <v>44</v>
      </c>
      <c r="J42" s="96">
        <v>27108</v>
      </c>
      <c r="K42" s="97"/>
      <c r="L42" s="98" t="s">
        <v>44</v>
      </c>
      <c r="M42" s="99" t="s">
        <v>44</v>
      </c>
      <c r="N42" s="100">
        <v>18186</v>
      </c>
      <c r="O42" s="126"/>
      <c r="P42" s="158" t="s">
        <v>44</v>
      </c>
      <c r="Q42" s="159" t="s">
        <v>44</v>
      </c>
      <c r="R42" s="100">
        <v>8922</v>
      </c>
      <c r="S42" s="97"/>
      <c r="T42" s="158" t="s">
        <v>44</v>
      </c>
      <c r="U42" s="159" t="s">
        <v>44</v>
      </c>
      <c r="V42" s="102">
        <v>159</v>
      </c>
      <c r="W42" s="102"/>
      <c r="X42" s="92">
        <v>162.1</v>
      </c>
      <c r="Y42" s="93"/>
      <c r="Z42" s="93">
        <v>7.4221611721611724</v>
      </c>
      <c r="AA42" s="93"/>
      <c r="AB42" s="158" t="s">
        <v>44</v>
      </c>
      <c r="AC42" s="159" t="s">
        <v>44</v>
      </c>
      <c r="AD42" s="96">
        <v>23415</v>
      </c>
      <c r="AE42" s="97"/>
      <c r="AF42" s="98" t="s">
        <v>44</v>
      </c>
      <c r="AG42" s="99" t="s">
        <v>44</v>
      </c>
      <c r="AH42" s="100">
        <v>18196</v>
      </c>
      <c r="AI42" s="126"/>
      <c r="AJ42" s="158" t="s">
        <v>44</v>
      </c>
      <c r="AK42" s="159" t="s">
        <v>44</v>
      </c>
      <c r="AL42" s="100">
        <v>5219</v>
      </c>
      <c r="AM42" s="97"/>
      <c r="AN42" s="158" t="s">
        <v>44</v>
      </c>
      <c r="AO42" s="159" t="s">
        <v>44</v>
      </c>
      <c r="AP42" s="102">
        <v>144</v>
      </c>
      <c r="AQ42" s="102"/>
      <c r="AR42" s="92">
        <v>165</v>
      </c>
      <c r="AS42" s="93"/>
      <c r="AT42" s="93">
        <v>7.4728260869565215</v>
      </c>
      <c r="AU42" s="93"/>
      <c r="AV42" s="158" t="s">
        <v>44</v>
      </c>
      <c r="AW42" s="159" t="s">
        <v>44</v>
      </c>
      <c r="AX42" s="96">
        <v>23910</v>
      </c>
      <c r="AY42" s="97"/>
      <c r="AZ42" s="98" t="s">
        <v>44</v>
      </c>
      <c r="BA42" s="99" t="s">
        <v>44</v>
      </c>
      <c r="BB42" s="100">
        <v>18074</v>
      </c>
      <c r="BC42" s="126"/>
      <c r="BD42" s="158" t="s">
        <v>44</v>
      </c>
      <c r="BE42" s="159" t="s">
        <v>44</v>
      </c>
      <c r="BF42" s="100">
        <v>5836</v>
      </c>
      <c r="BG42" s="97"/>
      <c r="BH42" s="158" t="s">
        <v>44</v>
      </c>
      <c r="BI42" s="159" t="s">
        <v>44</v>
      </c>
      <c r="BJ42" s="102">
        <v>145</v>
      </c>
      <c r="BK42" s="102"/>
      <c r="BL42" s="92">
        <v>167.89999999999998</v>
      </c>
      <c r="BM42" s="93"/>
      <c r="BN42" s="93">
        <v>7.60072430964237</v>
      </c>
      <c r="BO42" s="93"/>
      <c r="BP42" s="158" t="s">
        <v>44</v>
      </c>
      <c r="BQ42" s="159" t="s">
        <v>44</v>
      </c>
      <c r="BR42" s="96">
        <v>26987</v>
      </c>
      <c r="BS42" s="97"/>
      <c r="BT42" s="98" t="s">
        <v>44</v>
      </c>
      <c r="BU42" s="99" t="s">
        <v>44</v>
      </c>
      <c r="BV42" s="100">
        <v>18682</v>
      </c>
      <c r="BW42" s="126"/>
      <c r="BX42" s="158" t="s">
        <v>44</v>
      </c>
      <c r="BY42" s="159" t="s">
        <v>44</v>
      </c>
      <c r="BZ42" s="100">
        <v>8305</v>
      </c>
      <c r="CA42" s="97"/>
      <c r="CB42" s="158" t="s">
        <v>44</v>
      </c>
      <c r="CC42" s="159" t="s">
        <v>44</v>
      </c>
      <c r="CD42" s="102">
        <v>161</v>
      </c>
      <c r="CE42" s="102"/>
      <c r="CF42" s="103">
        <v>665.4</v>
      </c>
      <c r="CG42" s="102"/>
      <c r="CH42" s="93">
        <v>7.595890410958904</v>
      </c>
      <c r="CI42" s="127"/>
      <c r="CJ42" s="98" t="s">
        <v>44</v>
      </c>
      <c r="CK42" s="99" t="s">
        <v>44</v>
      </c>
      <c r="CL42" s="100">
        <v>101420</v>
      </c>
      <c r="CM42" s="107"/>
      <c r="CN42" s="108" t="s">
        <v>44</v>
      </c>
      <c r="CO42" s="99" t="s">
        <v>44</v>
      </c>
      <c r="CP42" s="100">
        <v>73138</v>
      </c>
      <c r="CQ42" s="97"/>
      <c r="CR42" s="98" t="s">
        <v>44</v>
      </c>
      <c r="CS42" s="99" t="s">
        <v>44</v>
      </c>
      <c r="CT42" s="100">
        <v>28282</v>
      </c>
      <c r="CU42" s="97"/>
      <c r="CV42" s="98" t="s">
        <v>44</v>
      </c>
      <c r="CW42" s="99" t="s">
        <v>44</v>
      </c>
      <c r="CX42" s="100">
        <v>152.41959723474602</v>
      </c>
      <c r="CY42" s="174"/>
      <c r="CZ42" s="110">
        <f t="shared" si="0"/>
        <v>332.5</v>
      </c>
      <c r="DA42" s="111">
        <f t="shared" si="0"/>
        <v>0</v>
      </c>
      <c r="DB42" s="176">
        <f t="shared" si="32"/>
        <v>7.6559981579553309</v>
      </c>
      <c r="DC42" s="113">
        <f t="shared" si="32"/>
        <v>0</v>
      </c>
      <c r="DD42" s="100">
        <f t="shared" si="30"/>
        <v>50523</v>
      </c>
      <c r="DE42" s="102">
        <f t="shared" si="30"/>
        <v>0</v>
      </c>
      <c r="DF42" s="102" t="e">
        <f t="shared" si="30"/>
        <v>#VALUE!</v>
      </c>
      <c r="DG42" s="114" t="e">
        <f t="shared" si="27"/>
        <v>#VALUE!</v>
      </c>
      <c r="DH42" s="100">
        <f t="shared" si="27"/>
        <v>36382</v>
      </c>
      <c r="DI42" s="97">
        <f t="shared" si="27"/>
        <v>0</v>
      </c>
      <c r="DJ42" s="97" t="e">
        <f t="shared" si="27"/>
        <v>#VALUE!</v>
      </c>
      <c r="DK42" s="97" t="e">
        <f t="shared" si="27"/>
        <v>#VALUE!</v>
      </c>
      <c r="DL42" s="100">
        <f t="shared" si="27"/>
        <v>14141</v>
      </c>
      <c r="DM42" s="97">
        <f t="shared" si="27"/>
        <v>0</v>
      </c>
      <c r="DN42" s="97" t="e">
        <f t="shared" si="27"/>
        <v>#VALUE!</v>
      </c>
      <c r="DO42" s="115" t="e">
        <f t="shared" si="27"/>
        <v>#VALUE!</v>
      </c>
      <c r="DP42" s="100">
        <f t="shared" si="28"/>
        <v>152</v>
      </c>
      <c r="DQ42" s="116" t="e">
        <f t="shared" si="28"/>
        <v>#DIV/0!</v>
      </c>
      <c r="DR42" s="117">
        <f t="shared" si="18"/>
        <v>332.5</v>
      </c>
      <c r="DS42" s="118">
        <f t="shared" si="2"/>
        <v>100</v>
      </c>
      <c r="DT42" s="104" t="e">
        <f t="shared" si="3"/>
        <v>#VALUE!</v>
      </c>
      <c r="DU42" s="118" t="e">
        <f t="shared" si="4"/>
        <v>#VALUE!</v>
      </c>
      <c r="DV42" s="104">
        <f t="shared" si="5"/>
        <v>50523</v>
      </c>
      <c r="DW42" s="119">
        <f t="shared" si="6"/>
        <v>100</v>
      </c>
      <c r="DX42" s="120" t="e">
        <f t="shared" si="7"/>
        <v>#VALUE!</v>
      </c>
      <c r="DY42" s="118" t="e">
        <f t="shared" si="8"/>
        <v>#VALUE!</v>
      </c>
      <c r="DZ42" s="104">
        <f t="shared" si="9"/>
        <v>36382</v>
      </c>
      <c r="EA42" s="119">
        <f t="shared" si="10"/>
        <v>100</v>
      </c>
      <c r="EB42" s="120" t="e">
        <f t="shared" si="11"/>
        <v>#VALUE!</v>
      </c>
      <c r="EC42" s="118" t="e">
        <f t="shared" si="12"/>
        <v>#VALUE!</v>
      </c>
      <c r="ED42" s="104">
        <f t="shared" si="13"/>
        <v>14141</v>
      </c>
      <c r="EE42" s="121">
        <f t="shared" si="31"/>
        <v>100</v>
      </c>
      <c r="EF42" s="120" t="e">
        <f t="shared" si="14"/>
        <v>#VALUE!</v>
      </c>
      <c r="EG42" s="121" t="e">
        <f t="shared" si="15"/>
        <v>#VALUE!</v>
      </c>
      <c r="EH42" s="122" t="e">
        <f t="shared" si="19"/>
        <v>#DIV/0!</v>
      </c>
      <c r="EI42" s="123" t="e">
        <f t="shared" si="20"/>
        <v>#DIV/0!</v>
      </c>
    </row>
    <row r="43" spans="1:139" ht="15.75" customHeight="1" x14ac:dyDescent="0.25">
      <c r="A43" s="1070"/>
      <c r="B43" s="169"/>
      <c r="C43" s="91" t="s">
        <v>49</v>
      </c>
      <c r="D43" s="92">
        <v>6.5</v>
      </c>
      <c r="E43" s="93"/>
      <c r="F43" s="93">
        <v>0.30106530801296894</v>
      </c>
      <c r="G43" s="93"/>
      <c r="H43" s="158" t="s">
        <v>44</v>
      </c>
      <c r="I43" s="159" t="s">
        <v>44</v>
      </c>
      <c r="J43" s="96">
        <v>749</v>
      </c>
      <c r="K43" s="97"/>
      <c r="L43" s="98" t="s">
        <v>44</v>
      </c>
      <c r="M43" s="99" t="s">
        <v>44</v>
      </c>
      <c r="N43" s="100">
        <v>749</v>
      </c>
      <c r="O43" s="126"/>
      <c r="P43" s="158" t="s">
        <v>44</v>
      </c>
      <c r="Q43" s="159" t="s">
        <v>44</v>
      </c>
      <c r="R43" s="100">
        <v>0</v>
      </c>
      <c r="S43" s="97"/>
      <c r="T43" s="158" t="s">
        <v>44</v>
      </c>
      <c r="U43" s="159" t="s">
        <v>44</v>
      </c>
      <c r="V43" s="102">
        <v>115</v>
      </c>
      <c r="W43" s="102"/>
      <c r="X43" s="92">
        <v>5</v>
      </c>
      <c r="Y43" s="93"/>
      <c r="Z43" s="93">
        <v>0.22893772893772896</v>
      </c>
      <c r="AA43" s="93"/>
      <c r="AB43" s="158" t="s">
        <v>44</v>
      </c>
      <c r="AC43" s="159" t="s">
        <v>44</v>
      </c>
      <c r="AD43" s="96">
        <v>589</v>
      </c>
      <c r="AE43" s="97"/>
      <c r="AF43" s="98" t="s">
        <v>44</v>
      </c>
      <c r="AG43" s="99" t="s">
        <v>44</v>
      </c>
      <c r="AH43" s="100">
        <v>589</v>
      </c>
      <c r="AI43" s="126"/>
      <c r="AJ43" s="158" t="s">
        <v>44</v>
      </c>
      <c r="AK43" s="159" t="s">
        <v>44</v>
      </c>
      <c r="AL43" s="100">
        <v>0</v>
      </c>
      <c r="AM43" s="97"/>
      <c r="AN43" s="158" t="s">
        <v>44</v>
      </c>
      <c r="AO43" s="159" t="s">
        <v>44</v>
      </c>
      <c r="AP43" s="102">
        <v>118</v>
      </c>
      <c r="AQ43" s="102"/>
      <c r="AR43" s="92">
        <v>6.5</v>
      </c>
      <c r="AS43" s="93"/>
      <c r="AT43" s="93">
        <v>0.29438405797101452</v>
      </c>
      <c r="AU43" s="93"/>
      <c r="AV43" s="158" t="s">
        <v>44</v>
      </c>
      <c r="AW43" s="159" t="s">
        <v>44</v>
      </c>
      <c r="AX43" s="96">
        <v>739</v>
      </c>
      <c r="AY43" s="97"/>
      <c r="AZ43" s="98" t="s">
        <v>44</v>
      </c>
      <c r="BA43" s="99" t="s">
        <v>44</v>
      </c>
      <c r="BB43" s="100">
        <v>739</v>
      </c>
      <c r="BC43" s="126"/>
      <c r="BD43" s="158" t="s">
        <v>44</v>
      </c>
      <c r="BE43" s="159" t="s">
        <v>44</v>
      </c>
      <c r="BF43" s="100">
        <v>0</v>
      </c>
      <c r="BG43" s="97"/>
      <c r="BH43" s="158" t="s">
        <v>44</v>
      </c>
      <c r="BI43" s="159" t="s">
        <v>44</v>
      </c>
      <c r="BJ43" s="102">
        <v>114</v>
      </c>
      <c r="BK43" s="102"/>
      <c r="BL43" s="92">
        <v>5.5</v>
      </c>
      <c r="BM43" s="93"/>
      <c r="BN43" s="93">
        <v>0.24898143956541421</v>
      </c>
      <c r="BO43" s="93"/>
      <c r="BP43" s="158" t="s">
        <v>44</v>
      </c>
      <c r="BQ43" s="159" t="s">
        <v>44</v>
      </c>
      <c r="BR43" s="96">
        <v>662</v>
      </c>
      <c r="BS43" s="97"/>
      <c r="BT43" s="98" t="s">
        <v>44</v>
      </c>
      <c r="BU43" s="99" t="s">
        <v>44</v>
      </c>
      <c r="BV43" s="100">
        <v>662</v>
      </c>
      <c r="BW43" s="126"/>
      <c r="BX43" s="158" t="s">
        <v>44</v>
      </c>
      <c r="BY43" s="159" t="s">
        <v>44</v>
      </c>
      <c r="BZ43" s="100">
        <v>0</v>
      </c>
      <c r="CA43" s="97"/>
      <c r="CB43" s="158" t="s">
        <v>44</v>
      </c>
      <c r="CC43" s="159" t="s">
        <v>44</v>
      </c>
      <c r="CD43" s="102">
        <v>120</v>
      </c>
      <c r="CE43" s="102"/>
      <c r="CF43" s="103">
        <v>23.5</v>
      </c>
      <c r="CG43" s="102"/>
      <c r="CH43" s="93">
        <v>0.2682648401826484</v>
      </c>
      <c r="CI43" s="127"/>
      <c r="CJ43" s="98" t="s">
        <v>44</v>
      </c>
      <c r="CK43" s="99" t="s">
        <v>44</v>
      </c>
      <c r="CL43" s="100">
        <v>2739</v>
      </c>
      <c r="CM43" s="107"/>
      <c r="CN43" s="108" t="s">
        <v>44</v>
      </c>
      <c r="CO43" s="99" t="s">
        <v>44</v>
      </c>
      <c r="CP43" s="100">
        <v>2739</v>
      </c>
      <c r="CQ43" s="97"/>
      <c r="CR43" s="98" t="s">
        <v>44</v>
      </c>
      <c r="CS43" s="99" t="s">
        <v>44</v>
      </c>
      <c r="CT43" s="100">
        <v>0</v>
      </c>
      <c r="CU43" s="97"/>
      <c r="CV43" s="98" t="s">
        <v>44</v>
      </c>
      <c r="CW43" s="99" t="s">
        <v>44</v>
      </c>
      <c r="CX43" s="100">
        <v>116.55319148936171</v>
      </c>
      <c r="CY43" s="174"/>
      <c r="CZ43" s="110">
        <f t="shared" si="0"/>
        <v>11.5</v>
      </c>
      <c r="DA43" s="111">
        <f t="shared" si="0"/>
        <v>0</v>
      </c>
      <c r="DB43" s="176">
        <f t="shared" si="32"/>
        <v>0.26479392125259038</v>
      </c>
      <c r="DC43" s="113">
        <f t="shared" si="32"/>
        <v>0</v>
      </c>
      <c r="DD43" s="100">
        <f t="shared" si="30"/>
        <v>1338</v>
      </c>
      <c r="DE43" s="102">
        <f t="shared" si="30"/>
        <v>0</v>
      </c>
      <c r="DF43" s="102" t="e">
        <f t="shared" si="30"/>
        <v>#VALUE!</v>
      </c>
      <c r="DG43" s="114" t="e">
        <f t="shared" si="27"/>
        <v>#VALUE!</v>
      </c>
      <c r="DH43" s="100">
        <f t="shared" si="27"/>
        <v>1338</v>
      </c>
      <c r="DI43" s="97">
        <f t="shared" si="27"/>
        <v>0</v>
      </c>
      <c r="DJ43" s="97" t="e">
        <f t="shared" si="27"/>
        <v>#VALUE!</v>
      </c>
      <c r="DK43" s="97" t="e">
        <f t="shared" si="27"/>
        <v>#VALUE!</v>
      </c>
      <c r="DL43" s="100">
        <f t="shared" si="27"/>
        <v>0</v>
      </c>
      <c r="DM43" s="97">
        <f t="shared" si="27"/>
        <v>0</v>
      </c>
      <c r="DN43" s="97" t="e">
        <f t="shared" si="27"/>
        <v>#VALUE!</v>
      </c>
      <c r="DO43" s="115" t="e">
        <f t="shared" si="27"/>
        <v>#VALUE!</v>
      </c>
      <c r="DP43" s="100">
        <f t="shared" si="28"/>
        <v>116</v>
      </c>
      <c r="DQ43" s="116" t="e">
        <f t="shared" si="28"/>
        <v>#DIV/0!</v>
      </c>
      <c r="DR43" s="117">
        <f t="shared" si="18"/>
        <v>11.5</v>
      </c>
      <c r="DS43" s="118">
        <f t="shared" si="2"/>
        <v>100</v>
      </c>
      <c r="DT43" s="104" t="e">
        <f t="shared" si="3"/>
        <v>#VALUE!</v>
      </c>
      <c r="DU43" s="118" t="e">
        <f t="shared" si="4"/>
        <v>#VALUE!</v>
      </c>
      <c r="DV43" s="104">
        <f t="shared" si="5"/>
        <v>1338</v>
      </c>
      <c r="DW43" s="119">
        <f t="shared" si="6"/>
        <v>100</v>
      </c>
      <c r="DX43" s="120" t="e">
        <f t="shared" si="7"/>
        <v>#VALUE!</v>
      </c>
      <c r="DY43" s="118" t="e">
        <f t="shared" si="8"/>
        <v>#VALUE!</v>
      </c>
      <c r="DZ43" s="104">
        <f t="shared" si="9"/>
        <v>1338</v>
      </c>
      <c r="EA43" s="119">
        <f t="shared" si="10"/>
        <v>100</v>
      </c>
      <c r="EB43" s="120" t="e">
        <f t="shared" si="11"/>
        <v>#VALUE!</v>
      </c>
      <c r="EC43" s="118" t="e">
        <f t="shared" si="12"/>
        <v>#VALUE!</v>
      </c>
      <c r="ED43" s="104">
        <f t="shared" si="13"/>
        <v>0</v>
      </c>
      <c r="EE43" s="121">
        <v>0</v>
      </c>
      <c r="EF43" s="120" t="e">
        <f t="shared" si="14"/>
        <v>#VALUE!</v>
      </c>
      <c r="EG43" s="121" t="e">
        <f t="shared" si="15"/>
        <v>#VALUE!</v>
      </c>
      <c r="EH43" s="122" t="e">
        <f t="shared" si="19"/>
        <v>#DIV/0!</v>
      </c>
      <c r="EI43" s="123" t="e">
        <f t="shared" si="20"/>
        <v>#DIV/0!</v>
      </c>
    </row>
    <row r="44" spans="1:139" s="157" customFormat="1" ht="29.25" customHeight="1" x14ac:dyDescent="0.25">
      <c r="A44" s="1070"/>
      <c r="B44" s="164" t="s">
        <v>56</v>
      </c>
      <c r="C44" s="165"/>
      <c r="D44" s="132">
        <v>563.09999999999991</v>
      </c>
      <c r="E44" s="133"/>
      <c r="F44" s="133">
        <v>5.177026542489128</v>
      </c>
      <c r="G44" s="133"/>
      <c r="H44" s="134" t="s">
        <v>44</v>
      </c>
      <c r="I44" s="135" t="s">
        <v>44</v>
      </c>
      <c r="J44" s="136">
        <v>79073</v>
      </c>
      <c r="K44" s="86"/>
      <c r="L44" s="137" t="s">
        <v>44</v>
      </c>
      <c r="M44" s="138" t="s">
        <v>44</v>
      </c>
      <c r="N44" s="139">
        <v>79073</v>
      </c>
      <c r="O44" s="140"/>
      <c r="P44" s="134" t="s">
        <v>44</v>
      </c>
      <c r="Q44" s="135" t="s">
        <v>44</v>
      </c>
      <c r="R44" s="139">
        <v>0</v>
      </c>
      <c r="S44" s="140"/>
      <c r="T44" s="134" t="s">
        <v>44</v>
      </c>
      <c r="U44" s="135" t="s">
        <v>44</v>
      </c>
      <c r="V44" s="141">
        <v>140</v>
      </c>
      <c r="W44" s="141"/>
      <c r="X44" s="132">
        <v>552.40000000000009</v>
      </c>
      <c r="Y44" s="133"/>
      <c r="Z44" s="133">
        <v>5.0323861928231111</v>
      </c>
      <c r="AA44" s="133"/>
      <c r="AB44" s="134" t="s">
        <v>44</v>
      </c>
      <c r="AC44" s="135" t="s">
        <v>44</v>
      </c>
      <c r="AD44" s="136">
        <v>78609</v>
      </c>
      <c r="AE44" s="86"/>
      <c r="AF44" s="137" t="s">
        <v>44</v>
      </c>
      <c r="AG44" s="138" t="s">
        <v>44</v>
      </c>
      <c r="AH44" s="139">
        <v>78609</v>
      </c>
      <c r="AI44" s="140"/>
      <c r="AJ44" s="134" t="s">
        <v>44</v>
      </c>
      <c r="AK44" s="135" t="s">
        <v>44</v>
      </c>
      <c r="AL44" s="139">
        <v>0</v>
      </c>
      <c r="AM44" s="140"/>
      <c r="AN44" s="134" t="s">
        <v>44</v>
      </c>
      <c r="AO44" s="135" t="s">
        <v>44</v>
      </c>
      <c r="AP44" s="141">
        <v>142</v>
      </c>
      <c r="AQ44" s="141"/>
      <c r="AR44" s="132">
        <v>575.09999999999991</v>
      </c>
      <c r="AS44" s="133"/>
      <c r="AT44" s="133">
        <v>5.1848646309469064</v>
      </c>
      <c r="AU44" s="133"/>
      <c r="AV44" s="134" t="s">
        <v>44</v>
      </c>
      <c r="AW44" s="135" t="s">
        <v>44</v>
      </c>
      <c r="AX44" s="136">
        <v>80643</v>
      </c>
      <c r="AY44" s="86"/>
      <c r="AZ44" s="137" t="s">
        <v>44</v>
      </c>
      <c r="BA44" s="138" t="s">
        <v>44</v>
      </c>
      <c r="BB44" s="139">
        <v>80643</v>
      </c>
      <c r="BC44" s="140"/>
      <c r="BD44" s="134" t="s">
        <v>44</v>
      </c>
      <c r="BE44" s="135" t="s">
        <v>44</v>
      </c>
      <c r="BF44" s="139">
        <v>0</v>
      </c>
      <c r="BG44" s="140"/>
      <c r="BH44" s="134" t="s">
        <v>44</v>
      </c>
      <c r="BI44" s="135" t="s">
        <v>44</v>
      </c>
      <c r="BJ44" s="141">
        <v>140</v>
      </c>
      <c r="BK44" s="141"/>
      <c r="BL44" s="132">
        <v>566.79999999999995</v>
      </c>
      <c r="BM44" s="133"/>
      <c r="BN44" s="133">
        <v>5.0802642311036221</v>
      </c>
      <c r="BO44" s="133"/>
      <c r="BP44" s="134" t="s">
        <v>44</v>
      </c>
      <c r="BQ44" s="135" t="s">
        <v>44</v>
      </c>
      <c r="BR44" s="136">
        <v>79901</v>
      </c>
      <c r="BS44" s="86"/>
      <c r="BT44" s="137" t="s">
        <v>44</v>
      </c>
      <c r="BU44" s="138" t="s">
        <v>44</v>
      </c>
      <c r="BV44" s="139">
        <v>79901</v>
      </c>
      <c r="BW44" s="140"/>
      <c r="BX44" s="134" t="s">
        <v>44</v>
      </c>
      <c r="BY44" s="135" t="s">
        <v>44</v>
      </c>
      <c r="BZ44" s="139">
        <v>0</v>
      </c>
      <c r="CA44" s="140"/>
      <c r="CB44" s="134" t="s">
        <v>44</v>
      </c>
      <c r="CC44" s="135" t="s">
        <v>44</v>
      </c>
      <c r="CD44" s="141">
        <v>141</v>
      </c>
      <c r="CE44" s="141"/>
      <c r="CF44" s="142">
        <v>2257.4</v>
      </c>
      <c r="CG44" s="141"/>
      <c r="CH44" s="133">
        <v>5.118519089577485</v>
      </c>
      <c r="CI44" s="143"/>
      <c r="CJ44" s="137" t="s">
        <v>44</v>
      </c>
      <c r="CK44" s="138" t="s">
        <v>44</v>
      </c>
      <c r="CL44" s="139">
        <v>318226</v>
      </c>
      <c r="CM44" s="144"/>
      <c r="CN44" s="145" t="s">
        <v>44</v>
      </c>
      <c r="CO44" s="138" t="s">
        <v>44</v>
      </c>
      <c r="CP44" s="139">
        <v>318226</v>
      </c>
      <c r="CQ44" s="140"/>
      <c r="CR44" s="137" t="s">
        <v>44</v>
      </c>
      <c r="CS44" s="138" t="s">
        <v>44</v>
      </c>
      <c r="CT44" s="139">
        <v>0</v>
      </c>
      <c r="CU44" s="140"/>
      <c r="CV44" s="137" t="s">
        <v>44</v>
      </c>
      <c r="CW44" s="138" t="s">
        <v>44</v>
      </c>
      <c r="CX44" s="139">
        <v>140.9701426419775</v>
      </c>
      <c r="CY44" s="175"/>
      <c r="CZ44" s="147">
        <f t="shared" ref="CZ44:DA61" si="33">D44+X44</f>
        <v>1115.5</v>
      </c>
      <c r="DA44" s="148">
        <f t="shared" si="33"/>
        <v>0</v>
      </c>
      <c r="DB44" s="177" t="e">
        <f>(CZ44/#REF!)*100</f>
        <v>#REF!</v>
      </c>
      <c r="DC44" s="150" t="e">
        <f>(DA44/#REF!)*100</f>
        <v>#REF!</v>
      </c>
      <c r="DD44" s="139">
        <f t="shared" si="30"/>
        <v>157682</v>
      </c>
      <c r="DE44" s="141">
        <f t="shared" si="30"/>
        <v>0</v>
      </c>
      <c r="DF44" s="141" t="e">
        <f t="shared" si="30"/>
        <v>#VALUE!</v>
      </c>
      <c r="DG44" s="151" t="e">
        <f t="shared" si="27"/>
        <v>#VALUE!</v>
      </c>
      <c r="DH44" s="139">
        <f t="shared" si="27"/>
        <v>157682</v>
      </c>
      <c r="DI44" s="140">
        <f t="shared" si="27"/>
        <v>0</v>
      </c>
      <c r="DJ44" s="140" t="e">
        <f t="shared" si="27"/>
        <v>#VALUE!</v>
      </c>
      <c r="DK44" s="140" t="e">
        <f t="shared" si="27"/>
        <v>#VALUE!</v>
      </c>
      <c r="DL44" s="139">
        <f t="shared" si="27"/>
        <v>0</v>
      </c>
      <c r="DM44" s="140">
        <f t="shared" si="27"/>
        <v>0</v>
      </c>
      <c r="DN44" s="140" t="e">
        <f t="shared" si="27"/>
        <v>#VALUE!</v>
      </c>
      <c r="DO44" s="152" t="e">
        <f t="shared" si="27"/>
        <v>#VALUE!</v>
      </c>
      <c r="DP44" s="139">
        <f t="shared" si="28"/>
        <v>141</v>
      </c>
      <c r="DQ44" s="153" t="e">
        <f t="shared" si="28"/>
        <v>#DIV/0!</v>
      </c>
      <c r="DR44" s="154">
        <f t="shared" si="18"/>
        <v>1115.5</v>
      </c>
      <c r="DS44" s="84">
        <f t="shared" si="2"/>
        <v>100</v>
      </c>
      <c r="DT44" s="79" t="e">
        <f t="shared" si="3"/>
        <v>#VALUE!</v>
      </c>
      <c r="DU44" s="84" t="e">
        <f t="shared" si="4"/>
        <v>#VALUE!</v>
      </c>
      <c r="DV44" s="79">
        <f t="shared" si="5"/>
        <v>157682</v>
      </c>
      <c r="DW44" s="85">
        <f t="shared" si="6"/>
        <v>100</v>
      </c>
      <c r="DX44" s="86" t="e">
        <f t="shared" si="7"/>
        <v>#VALUE!</v>
      </c>
      <c r="DY44" s="84" t="e">
        <f t="shared" si="8"/>
        <v>#VALUE!</v>
      </c>
      <c r="DZ44" s="79">
        <f t="shared" si="9"/>
        <v>157682</v>
      </c>
      <c r="EA44" s="85">
        <f t="shared" si="10"/>
        <v>100</v>
      </c>
      <c r="EB44" s="86" t="e">
        <f t="shared" si="11"/>
        <v>#VALUE!</v>
      </c>
      <c r="EC44" s="84" t="e">
        <f t="shared" si="12"/>
        <v>#VALUE!</v>
      </c>
      <c r="ED44" s="79">
        <f t="shared" si="13"/>
        <v>0</v>
      </c>
      <c r="EE44" s="87">
        <v>0</v>
      </c>
      <c r="EF44" s="86" t="e">
        <f t="shared" si="14"/>
        <v>#VALUE!</v>
      </c>
      <c r="EG44" s="87" t="e">
        <f t="shared" si="15"/>
        <v>#VALUE!</v>
      </c>
      <c r="EH44" s="155" t="e">
        <f t="shared" si="19"/>
        <v>#DIV/0!</v>
      </c>
      <c r="EI44" s="156" t="e">
        <f t="shared" si="20"/>
        <v>#DIV/0!</v>
      </c>
    </row>
    <row r="45" spans="1:139" s="5" customFormat="1" ht="15.75" customHeight="1" x14ac:dyDescent="0.25">
      <c r="A45" s="1070"/>
      <c r="B45" s="178"/>
      <c r="C45" s="91" t="s">
        <v>45</v>
      </c>
      <c r="D45" s="92">
        <v>360.9</v>
      </c>
      <c r="E45" s="93"/>
      <c r="F45" s="93">
        <v>16.716072255673922</v>
      </c>
      <c r="G45" s="93"/>
      <c r="H45" s="158" t="s">
        <v>44</v>
      </c>
      <c r="I45" s="159" t="s">
        <v>44</v>
      </c>
      <c r="J45" s="96">
        <v>52165</v>
      </c>
      <c r="K45" s="97"/>
      <c r="L45" s="98" t="s">
        <v>44</v>
      </c>
      <c r="M45" s="99" t="s">
        <v>44</v>
      </c>
      <c r="N45" s="100">
        <v>52165</v>
      </c>
      <c r="O45" s="97"/>
      <c r="P45" s="158" t="s">
        <v>44</v>
      </c>
      <c r="Q45" s="159" t="s">
        <v>44</v>
      </c>
      <c r="R45" s="100">
        <v>0</v>
      </c>
      <c r="S45" s="97"/>
      <c r="T45" s="158" t="s">
        <v>44</v>
      </c>
      <c r="U45" s="159" t="s">
        <v>44</v>
      </c>
      <c r="V45" s="102">
        <v>145</v>
      </c>
      <c r="W45" s="102"/>
      <c r="X45" s="92">
        <v>352.7</v>
      </c>
      <c r="Y45" s="93"/>
      <c r="Z45" s="93">
        <v>16.149267399267398</v>
      </c>
      <c r="AA45" s="93"/>
      <c r="AB45" s="158" t="s">
        <v>44</v>
      </c>
      <c r="AC45" s="159" t="s">
        <v>44</v>
      </c>
      <c r="AD45" s="96">
        <v>52253</v>
      </c>
      <c r="AE45" s="97"/>
      <c r="AF45" s="98" t="s">
        <v>44</v>
      </c>
      <c r="AG45" s="99" t="s">
        <v>44</v>
      </c>
      <c r="AH45" s="100">
        <v>52253</v>
      </c>
      <c r="AI45" s="97"/>
      <c r="AJ45" s="158" t="s">
        <v>44</v>
      </c>
      <c r="AK45" s="159" t="s">
        <v>44</v>
      </c>
      <c r="AL45" s="100">
        <v>0</v>
      </c>
      <c r="AM45" s="97"/>
      <c r="AN45" s="158" t="s">
        <v>44</v>
      </c>
      <c r="AO45" s="159" t="s">
        <v>44</v>
      </c>
      <c r="AP45" s="102">
        <v>148</v>
      </c>
      <c r="AQ45" s="102"/>
      <c r="AR45" s="92">
        <v>373.4</v>
      </c>
      <c r="AS45" s="93"/>
      <c r="AT45" s="93">
        <v>16.911231884057969</v>
      </c>
      <c r="AU45" s="93"/>
      <c r="AV45" s="158" t="s">
        <v>44</v>
      </c>
      <c r="AW45" s="159" t="s">
        <v>44</v>
      </c>
      <c r="AX45" s="96">
        <v>54156</v>
      </c>
      <c r="AY45" s="97"/>
      <c r="AZ45" s="98" t="s">
        <v>44</v>
      </c>
      <c r="BA45" s="99" t="s">
        <v>44</v>
      </c>
      <c r="BB45" s="100">
        <v>54156</v>
      </c>
      <c r="BC45" s="97"/>
      <c r="BD45" s="158" t="s">
        <v>44</v>
      </c>
      <c r="BE45" s="159" t="s">
        <v>44</v>
      </c>
      <c r="BF45" s="100">
        <v>0</v>
      </c>
      <c r="BG45" s="97"/>
      <c r="BH45" s="158" t="s">
        <v>44</v>
      </c>
      <c r="BI45" s="159" t="s">
        <v>44</v>
      </c>
      <c r="BJ45" s="102">
        <v>145</v>
      </c>
      <c r="BK45" s="102"/>
      <c r="BL45" s="92">
        <v>365.1</v>
      </c>
      <c r="BM45" s="93"/>
      <c r="BN45" s="93">
        <v>16.527840651878677</v>
      </c>
      <c r="BO45" s="93"/>
      <c r="BP45" s="158" t="s">
        <v>44</v>
      </c>
      <c r="BQ45" s="159" t="s">
        <v>44</v>
      </c>
      <c r="BR45" s="96">
        <v>53594</v>
      </c>
      <c r="BS45" s="97"/>
      <c r="BT45" s="98" t="s">
        <v>44</v>
      </c>
      <c r="BU45" s="99" t="s">
        <v>44</v>
      </c>
      <c r="BV45" s="100">
        <v>53594</v>
      </c>
      <c r="BW45" s="97"/>
      <c r="BX45" s="158" t="s">
        <v>44</v>
      </c>
      <c r="BY45" s="159" t="s">
        <v>44</v>
      </c>
      <c r="BZ45" s="100">
        <v>0</v>
      </c>
      <c r="CA45" s="97"/>
      <c r="CB45" s="158" t="s">
        <v>44</v>
      </c>
      <c r="CC45" s="159" t="s">
        <v>44</v>
      </c>
      <c r="CD45" s="102">
        <v>147</v>
      </c>
      <c r="CE45" s="102"/>
      <c r="CF45" s="103">
        <v>1452.1</v>
      </c>
      <c r="CG45" s="102"/>
      <c r="CH45" s="93">
        <v>16.576484018264839</v>
      </c>
      <c r="CI45" s="179"/>
      <c r="CJ45" s="98" t="s">
        <v>44</v>
      </c>
      <c r="CK45" s="99" t="s">
        <v>44</v>
      </c>
      <c r="CL45" s="100">
        <v>212168</v>
      </c>
      <c r="CM45" s="107"/>
      <c r="CN45" s="108" t="s">
        <v>44</v>
      </c>
      <c r="CO45" s="99" t="s">
        <v>44</v>
      </c>
      <c r="CP45" s="100">
        <v>212168</v>
      </c>
      <c r="CQ45" s="97"/>
      <c r="CR45" s="98" t="s">
        <v>44</v>
      </c>
      <c r="CS45" s="99" t="s">
        <v>44</v>
      </c>
      <c r="CT45" s="100">
        <v>0</v>
      </c>
      <c r="CU45" s="97"/>
      <c r="CV45" s="98" t="s">
        <v>44</v>
      </c>
      <c r="CW45" s="99" t="s">
        <v>44</v>
      </c>
      <c r="CX45" s="100">
        <v>146.11114936987812</v>
      </c>
      <c r="CY45" s="174"/>
      <c r="CZ45" s="110">
        <f t="shared" si="33"/>
        <v>713.59999999999991</v>
      </c>
      <c r="DA45" s="111">
        <f t="shared" si="33"/>
        <v>0</v>
      </c>
      <c r="DB45" s="176">
        <f>(CZ45/4343)*100</f>
        <v>16.431038452682476</v>
      </c>
      <c r="DC45" s="113">
        <f>(DA45/4343)*100</f>
        <v>0</v>
      </c>
      <c r="DD45" s="100">
        <f t="shared" si="30"/>
        <v>104418</v>
      </c>
      <c r="DE45" s="102">
        <f t="shared" si="30"/>
        <v>0</v>
      </c>
      <c r="DF45" s="102" t="e">
        <f t="shared" si="30"/>
        <v>#VALUE!</v>
      </c>
      <c r="DG45" s="114" t="e">
        <f t="shared" si="27"/>
        <v>#VALUE!</v>
      </c>
      <c r="DH45" s="100">
        <f t="shared" si="27"/>
        <v>104418</v>
      </c>
      <c r="DI45" s="97">
        <f t="shared" si="27"/>
        <v>0</v>
      </c>
      <c r="DJ45" s="97" t="e">
        <f t="shared" si="27"/>
        <v>#VALUE!</v>
      </c>
      <c r="DK45" s="97" t="e">
        <f t="shared" si="27"/>
        <v>#VALUE!</v>
      </c>
      <c r="DL45" s="100">
        <f t="shared" si="27"/>
        <v>0</v>
      </c>
      <c r="DM45" s="97">
        <f t="shared" si="27"/>
        <v>0</v>
      </c>
      <c r="DN45" s="97" t="e">
        <f t="shared" si="27"/>
        <v>#VALUE!</v>
      </c>
      <c r="DO45" s="115" t="e">
        <f t="shared" si="27"/>
        <v>#VALUE!</v>
      </c>
      <c r="DP45" s="100">
        <f t="shared" si="28"/>
        <v>146</v>
      </c>
      <c r="DQ45" s="116" t="e">
        <f t="shared" si="28"/>
        <v>#DIV/0!</v>
      </c>
      <c r="DR45" s="117">
        <f t="shared" si="18"/>
        <v>713.59999999999991</v>
      </c>
      <c r="DS45" s="118">
        <f t="shared" si="2"/>
        <v>100</v>
      </c>
      <c r="DT45" s="104" t="e">
        <f t="shared" si="3"/>
        <v>#VALUE!</v>
      </c>
      <c r="DU45" s="118" t="e">
        <f t="shared" si="4"/>
        <v>#VALUE!</v>
      </c>
      <c r="DV45" s="104">
        <f t="shared" si="5"/>
        <v>104418</v>
      </c>
      <c r="DW45" s="119">
        <f t="shared" si="6"/>
        <v>100</v>
      </c>
      <c r="DX45" s="120" t="e">
        <f t="shared" si="7"/>
        <v>#VALUE!</v>
      </c>
      <c r="DY45" s="118" t="e">
        <f t="shared" si="8"/>
        <v>#VALUE!</v>
      </c>
      <c r="DZ45" s="104">
        <f t="shared" si="9"/>
        <v>104418</v>
      </c>
      <c r="EA45" s="119">
        <f t="shared" si="10"/>
        <v>100</v>
      </c>
      <c r="EB45" s="120" t="e">
        <f t="shared" si="11"/>
        <v>#VALUE!</v>
      </c>
      <c r="EC45" s="118" t="e">
        <f t="shared" si="12"/>
        <v>#VALUE!</v>
      </c>
      <c r="ED45" s="104">
        <f t="shared" si="13"/>
        <v>0</v>
      </c>
      <c r="EE45" s="121">
        <v>0</v>
      </c>
      <c r="EF45" s="120" t="e">
        <f t="shared" si="14"/>
        <v>#VALUE!</v>
      </c>
      <c r="EG45" s="121" t="e">
        <f t="shared" si="15"/>
        <v>#VALUE!</v>
      </c>
      <c r="EH45" s="122" t="e">
        <f t="shared" si="19"/>
        <v>#DIV/0!</v>
      </c>
      <c r="EI45" s="123" t="e">
        <f t="shared" si="20"/>
        <v>#DIV/0!</v>
      </c>
    </row>
    <row r="46" spans="1:139" s="5" customFormat="1" ht="15.75" customHeight="1" x14ac:dyDescent="0.25">
      <c r="A46" s="1070"/>
      <c r="B46" s="178"/>
      <c r="C46" s="180" t="s">
        <v>46</v>
      </c>
      <c r="D46" s="92">
        <v>53.1</v>
      </c>
      <c r="E46" s="93"/>
      <c r="F46" s="93">
        <v>2.4594719777674849</v>
      </c>
      <c r="G46" s="93"/>
      <c r="H46" s="158" t="s">
        <v>44</v>
      </c>
      <c r="I46" s="159" t="s">
        <v>44</v>
      </c>
      <c r="J46" s="96">
        <v>9432</v>
      </c>
      <c r="K46" s="97"/>
      <c r="L46" s="98" t="s">
        <v>44</v>
      </c>
      <c r="M46" s="99" t="s">
        <v>44</v>
      </c>
      <c r="N46" s="100">
        <v>9432</v>
      </c>
      <c r="O46" s="97"/>
      <c r="P46" s="158" t="s">
        <v>44</v>
      </c>
      <c r="Q46" s="159" t="s">
        <v>44</v>
      </c>
      <c r="R46" s="100">
        <v>0</v>
      </c>
      <c r="S46" s="97"/>
      <c r="T46" s="158" t="s">
        <v>44</v>
      </c>
      <c r="U46" s="159" t="s">
        <v>44</v>
      </c>
      <c r="V46" s="102">
        <v>178</v>
      </c>
      <c r="W46" s="102"/>
      <c r="X46" s="92">
        <v>53.7</v>
      </c>
      <c r="Y46" s="93"/>
      <c r="Z46" s="93">
        <v>2.4587912087912089</v>
      </c>
      <c r="AA46" s="93"/>
      <c r="AB46" s="158" t="s">
        <v>44</v>
      </c>
      <c r="AC46" s="159" t="s">
        <v>44</v>
      </c>
      <c r="AD46" s="96">
        <v>9369</v>
      </c>
      <c r="AE46" s="97"/>
      <c r="AF46" s="98" t="s">
        <v>44</v>
      </c>
      <c r="AG46" s="99" t="s">
        <v>44</v>
      </c>
      <c r="AH46" s="100">
        <v>9369</v>
      </c>
      <c r="AI46" s="97"/>
      <c r="AJ46" s="158" t="s">
        <v>44</v>
      </c>
      <c r="AK46" s="159" t="s">
        <v>44</v>
      </c>
      <c r="AL46" s="100">
        <v>0</v>
      </c>
      <c r="AM46" s="97"/>
      <c r="AN46" s="158" t="s">
        <v>44</v>
      </c>
      <c r="AO46" s="159" t="s">
        <v>44</v>
      </c>
      <c r="AP46" s="102">
        <v>174</v>
      </c>
      <c r="AQ46" s="102"/>
      <c r="AR46" s="92">
        <v>55</v>
      </c>
      <c r="AS46" s="93"/>
      <c r="AT46" s="93">
        <v>2.4909420289855073</v>
      </c>
      <c r="AU46" s="93"/>
      <c r="AV46" s="158" t="s">
        <v>44</v>
      </c>
      <c r="AW46" s="159" t="s">
        <v>44</v>
      </c>
      <c r="AX46" s="96">
        <v>9604</v>
      </c>
      <c r="AY46" s="97"/>
      <c r="AZ46" s="98" t="s">
        <v>44</v>
      </c>
      <c r="BA46" s="99" t="s">
        <v>44</v>
      </c>
      <c r="BB46" s="100">
        <v>9604</v>
      </c>
      <c r="BC46" s="97"/>
      <c r="BD46" s="158" t="s">
        <v>44</v>
      </c>
      <c r="BE46" s="159" t="s">
        <v>44</v>
      </c>
      <c r="BF46" s="100">
        <v>0</v>
      </c>
      <c r="BG46" s="97"/>
      <c r="BH46" s="158" t="s">
        <v>44</v>
      </c>
      <c r="BI46" s="159" t="s">
        <v>44</v>
      </c>
      <c r="BJ46" s="102">
        <v>175</v>
      </c>
      <c r="BK46" s="102"/>
      <c r="BL46" s="92">
        <v>53.9</v>
      </c>
      <c r="BM46" s="93"/>
      <c r="BN46" s="93">
        <v>2.440018107741059</v>
      </c>
      <c r="BO46" s="93"/>
      <c r="BP46" s="158" t="s">
        <v>44</v>
      </c>
      <c r="BQ46" s="159" t="s">
        <v>44</v>
      </c>
      <c r="BR46" s="96">
        <v>9451</v>
      </c>
      <c r="BS46" s="97"/>
      <c r="BT46" s="98" t="s">
        <v>44</v>
      </c>
      <c r="BU46" s="99" t="s">
        <v>44</v>
      </c>
      <c r="BV46" s="100">
        <v>9451</v>
      </c>
      <c r="BW46" s="97"/>
      <c r="BX46" s="158" t="s">
        <v>44</v>
      </c>
      <c r="BY46" s="159" t="s">
        <v>44</v>
      </c>
      <c r="BZ46" s="100">
        <v>0</v>
      </c>
      <c r="CA46" s="97"/>
      <c r="CB46" s="158" t="s">
        <v>44</v>
      </c>
      <c r="CC46" s="159" t="s">
        <v>44</v>
      </c>
      <c r="CD46" s="102">
        <v>175</v>
      </c>
      <c r="CE46" s="102"/>
      <c r="CF46" s="103">
        <v>215.70000000000002</v>
      </c>
      <c r="CG46" s="102"/>
      <c r="CH46" s="93">
        <v>2.4623287671232879</v>
      </c>
      <c r="CI46" s="179"/>
      <c r="CJ46" s="98" t="s">
        <v>44</v>
      </c>
      <c r="CK46" s="99" t="s">
        <v>44</v>
      </c>
      <c r="CL46" s="100">
        <v>37856</v>
      </c>
      <c r="CM46" s="107"/>
      <c r="CN46" s="108" t="s">
        <v>44</v>
      </c>
      <c r="CO46" s="99" t="s">
        <v>44</v>
      </c>
      <c r="CP46" s="100">
        <v>37856</v>
      </c>
      <c r="CQ46" s="97"/>
      <c r="CR46" s="98" t="s">
        <v>44</v>
      </c>
      <c r="CS46" s="99" t="s">
        <v>44</v>
      </c>
      <c r="CT46" s="100">
        <v>0</v>
      </c>
      <c r="CU46" s="97"/>
      <c r="CV46" s="98" t="s">
        <v>44</v>
      </c>
      <c r="CW46" s="99" t="s">
        <v>44</v>
      </c>
      <c r="CX46" s="100">
        <v>175.50301344459896</v>
      </c>
      <c r="CY46" s="181"/>
      <c r="CZ46" s="110">
        <f t="shared" si="33"/>
        <v>106.80000000000001</v>
      </c>
      <c r="DA46" s="111">
        <f t="shared" si="33"/>
        <v>0</v>
      </c>
      <c r="DB46" s="176">
        <f t="shared" ref="DB46:DC48" si="34">(CZ46/4343)*100</f>
        <v>2.4591296338936219</v>
      </c>
      <c r="DC46" s="113">
        <f t="shared" si="34"/>
        <v>0</v>
      </c>
      <c r="DD46" s="100">
        <f t="shared" si="30"/>
        <v>18801</v>
      </c>
      <c r="DE46" s="102">
        <f t="shared" si="30"/>
        <v>0</v>
      </c>
      <c r="DF46" s="102" t="e">
        <f t="shared" si="30"/>
        <v>#VALUE!</v>
      </c>
      <c r="DG46" s="114" t="e">
        <f t="shared" si="27"/>
        <v>#VALUE!</v>
      </c>
      <c r="DH46" s="100">
        <f t="shared" si="27"/>
        <v>18801</v>
      </c>
      <c r="DI46" s="97">
        <f t="shared" si="27"/>
        <v>0</v>
      </c>
      <c r="DJ46" s="97" t="e">
        <f t="shared" si="27"/>
        <v>#VALUE!</v>
      </c>
      <c r="DK46" s="97" t="e">
        <f t="shared" si="27"/>
        <v>#VALUE!</v>
      </c>
      <c r="DL46" s="100">
        <f t="shared" si="27"/>
        <v>0</v>
      </c>
      <c r="DM46" s="97">
        <f t="shared" si="27"/>
        <v>0</v>
      </c>
      <c r="DN46" s="97" t="e">
        <f t="shared" si="27"/>
        <v>#VALUE!</v>
      </c>
      <c r="DO46" s="115" t="e">
        <f t="shared" si="27"/>
        <v>#VALUE!</v>
      </c>
      <c r="DP46" s="100">
        <f t="shared" si="28"/>
        <v>176</v>
      </c>
      <c r="DQ46" s="116" t="e">
        <f t="shared" si="28"/>
        <v>#DIV/0!</v>
      </c>
      <c r="DR46" s="117">
        <f t="shared" si="18"/>
        <v>106.80000000000001</v>
      </c>
      <c r="DS46" s="118">
        <f t="shared" si="2"/>
        <v>100</v>
      </c>
      <c r="DT46" s="104" t="e">
        <f t="shared" si="3"/>
        <v>#VALUE!</v>
      </c>
      <c r="DU46" s="118" t="e">
        <f t="shared" si="4"/>
        <v>#VALUE!</v>
      </c>
      <c r="DV46" s="104">
        <f t="shared" si="5"/>
        <v>18801</v>
      </c>
      <c r="DW46" s="119">
        <f t="shared" si="6"/>
        <v>100</v>
      </c>
      <c r="DX46" s="120" t="e">
        <f t="shared" si="7"/>
        <v>#VALUE!</v>
      </c>
      <c r="DY46" s="118" t="e">
        <f t="shared" si="8"/>
        <v>#VALUE!</v>
      </c>
      <c r="DZ46" s="104">
        <f t="shared" si="9"/>
        <v>18801</v>
      </c>
      <c r="EA46" s="119">
        <f t="shared" si="10"/>
        <v>100</v>
      </c>
      <c r="EB46" s="120" t="e">
        <f t="shared" si="11"/>
        <v>#VALUE!</v>
      </c>
      <c r="EC46" s="118" t="e">
        <f t="shared" si="12"/>
        <v>#VALUE!</v>
      </c>
      <c r="ED46" s="104">
        <f t="shared" si="13"/>
        <v>0</v>
      </c>
      <c r="EE46" s="121">
        <v>0</v>
      </c>
      <c r="EF46" s="120" t="e">
        <f t="shared" si="14"/>
        <v>#VALUE!</v>
      </c>
      <c r="EG46" s="121" t="e">
        <f t="shared" si="15"/>
        <v>#VALUE!</v>
      </c>
      <c r="EH46" s="122" t="e">
        <f t="shared" si="19"/>
        <v>#DIV/0!</v>
      </c>
      <c r="EI46" s="123" t="e">
        <f t="shared" si="20"/>
        <v>#DIV/0!</v>
      </c>
    </row>
    <row r="47" spans="1:139" s="124" customFormat="1" ht="15.75" customHeight="1" x14ac:dyDescent="0.25">
      <c r="A47" s="1070"/>
      <c r="B47" s="90"/>
      <c r="C47" s="91" t="s">
        <v>48</v>
      </c>
      <c r="D47" s="182">
        <v>138.30000000000001</v>
      </c>
      <c r="E47" s="183"/>
      <c r="F47" s="93">
        <v>6.4057433997220938</v>
      </c>
      <c r="G47" s="93"/>
      <c r="H47" s="158" t="s">
        <v>44</v>
      </c>
      <c r="I47" s="159" t="s">
        <v>44</v>
      </c>
      <c r="J47" s="96">
        <v>15929</v>
      </c>
      <c r="K47" s="97"/>
      <c r="L47" s="98" t="s">
        <v>44</v>
      </c>
      <c r="M47" s="99" t="s">
        <v>44</v>
      </c>
      <c r="N47" s="184">
        <v>15929</v>
      </c>
      <c r="O47" s="101"/>
      <c r="P47" s="158" t="s">
        <v>44</v>
      </c>
      <c r="Q47" s="159" t="s">
        <v>44</v>
      </c>
      <c r="R47" s="184">
        <v>0</v>
      </c>
      <c r="S47" s="101"/>
      <c r="T47" s="158" t="s">
        <v>44</v>
      </c>
      <c r="U47" s="159" t="s">
        <v>44</v>
      </c>
      <c r="V47" s="102">
        <v>115</v>
      </c>
      <c r="W47" s="102"/>
      <c r="X47" s="182">
        <v>135.80000000000001</v>
      </c>
      <c r="Y47" s="183"/>
      <c r="Z47" s="93">
        <v>6.217948717948719</v>
      </c>
      <c r="AA47" s="93"/>
      <c r="AB47" s="158" t="s">
        <v>44</v>
      </c>
      <c r="AC47" s="159" t="s">
        <v>44</v>
      </c>
      <c r="AD47" s="96">
        <v>15549</v>
      </c>
      <c r="AE47" s="97"/>
      <c r="AF47" s="98" t="s">
        <v>44</v>
      </c>
      <c r="AG47" s="99" t="s">
        <v>44</v>
      </c>
      <c r="AH47" s="184">
        <v>15549</v>
      </c>
      <c r="AI47" s="101"/>
      <c r="AJ47" s="158" t="s">
        <v>44</v>
      </c>
      <c r="AK47" s="159" t="s">
        <v>44</v>
      </c>
      <c r="AL47" s="184">
        <v>0</v>
      </c>
      <c r="AM47" s="101"/>
      <c r="AN47" s="158" t="s">
        <v>44</v>
      </c>
      <c r="AO47" s="159" t="s">
        <v>44</v>
      </c>
      <c r="AP47" s="102">
        <v>114</v>
      </c>
      <c r="AQ47" s="102"/>
      <c r="AR47" s="182">
        <v>136.19999999999999</v>
      </c>
      <c r="AS47" s="183"/>
      <c r="AT47" s="93">
        <v>6.1684782608695654</v>
      </c>
      <c r="AU47" s="93"/>
      <c r="AV47" s="158" t="s">
        <v>44</v>
      </c>
      <c r="AW47" s="159" t="s">
        <v>44</v>
      </c>
      <c r="AX47" s="96">
        <v>15409</v>
      </c>
      <c r="AY47" s="97"/>
      <c r="AZ47" s="98" t="s">
        <v>44</v>
      </c>
      <c r="BA47" s="99" t="s">
        <v>44</v>
      </c>
      <c r="BB47" s="184">
        <v>15409</v>
      </c>
      <c r="BC47" s="101"/>
      <c r="BD47" s="158" t="s">
        <v>44</v>
      </c>
      <c r="BE47" s="159" t="s">
        <v>44</v>
      </c>
      <c r="BF47" s="184">
        <v>0</v>
      </c>
      <c r="BG47" s="101"/>
      <c r="BH47" s="158" t="s">
        <v>44</v>
      </c>
      <c r="BI47" s="159" t="s">
        <v>44</v>
      </c>
      <c r="BJ47" s="102">
        <v>113</v>
      </c>
      <c r="BK47" s="102"/>
      <c r="BL47" s="182">
        <v>139</v>
      </c>
      <c r="BM47" s="183"/>
      <c r="BN47" s="93">
        <v>6.2924400181077411</v>
      </c>
      <c r="BO47" s="93"/>
      <c r="BP47" s="158" t="s">
        <v>44</v>
      </c>
      <c r="BQ47" s="159" t="s">
        <v>44</v>
      </c>
      <c r="BR47" s="96">
        <v>15553</v>
      </c>
      <c r="BS47" s="97"/>
      <c r="BT47" s="98" t="s">
        <v>44</v>
      </c>
      <c r="BU47" s="99" t="s">
        <v>44</v>
      </c>
      <c r="BV47" s="184">
        <v>15553</v>
      </c>
      <c r="BW47" s="101"/>
      <c r="BX47" s="158" t="s">
        <v>44</v>
      </c>
      <c r="BY47" s="159" t="s">
        <v>44</v>
      </c>
      <c r="BZ47" s="184">
        <v>0</v>
      </c>
      <c r="CA47" s="101"/>
      <c r="CB47" s="158" t="s">
        <v>44</v>
      </c>
      <c r="CC47" s="159" t="s">
        <v>44</v>
      </c>
      <c r="CD47" s="102">
        <v>112</v>
      </c>
      <c r="CE47" s="102"/>
      <c r="CF47" s="103">
        <v>549.29999999999995</v>
      </c>
      <c r="CG47" s="102"/>
      <c r="CH47" s="93">
        <v>6.2705479452054789</v>
      </c>
      <c r="CI47" s="179"/>
      <c r="CJ47" s="98" t="s">
        <v>44</v>
      </c>
      <c r="CK47" s="99" t="s">
        <v>44</v>
      </c>
      <c r="CL47" s="100">
        <v>62440</v>
      </c>
      <c r="CM47" s="107"/>
      <c r="CN47" s="108" t="s">
        <v>44</v>
      </c>
      <c r="CO47" s="99" t="s">
        <v>44</v>
      </c>
      <c r="CP47" s="100">
        <v>62440</v>
      </c>
      <c r="CQ47" s="97"/>
      <c r="CR47" s="98" t="s">
        <v>44</v>
      </c>
      <c r="CS47" s="99" t="s">
        <v>44</v>
      </c>
      <c r="CT47" s="100">
        <v>0</v>
      </c>
      <c r="CU47" s="97"/>
      <c r="CV47" s="98" t="s">
        <v>44</v>
      </c>
      <c r="CW47" s="99" t="s">
        <v>44</v>
      </c>
      <c r="CX47" s="100">
        <v>113.67194611323504</v>
      </c>
      <c r="CY47" s="174"/>
      <c r="CZ47" s="110">
        <f t="shared" si="33"/>
        <v>274.10000000000002</v>
      </c>
      <c r="DA47" s="111">
        <f t="shared" si="33"/>
        <v>0</v>
      </c>
      <c r="DB47" s="176">
        <f t="shared" si="34"/>
        <v>6.3113055491595684</v>
      </c>
      <c r="DC47" s="113">
        <f t="shared" si="34"/>
        <v>0</v>
      </c>
      <c r="DD47" s="100">
        <f t="shared" si="30"/>
        <v>31478</v>
      </c>
      <c r="DE47" s="102">
        <f t="shared" si="30"/>
        <v>0</v>
      </c>
      <c r="DF47" s="102" t="e">
        <f t="shared" si="30"/>
        <v>#VALUE!</v>
      </c>
      <c r="DG47" s="114" t="e">
        <f t="shared" si="27"/>
        <v>#VALUE!</v>
      </c>
      <c r="DH47" s="100">
        <f t="shared" si="27"/>
        <v>31478</v>
      </c>
      <c r="DI47" s="97">
        <f t="shared" si="27"/>
        <v>0</v>
      </c>
      <c r="DJ47" s="97" t="e">
        <f t="shared" si="27"/>
        <v>#VALUE!</v>
      </c>
      <c r="DK47" s="97" t="e">
        <f t="shared" si="27"/>
        <v>#VALUE!</v>
      </c>
      <c r="DL47" s="100">
        <f t="shared" si="27"/>
        <v>0</v>
      </c>
      <c r="DM47" s="97">
        <f t="shared" si="27"/>
        <v>0</v>
      </c>
      <c r="DN47" s="97" t="e">
        <f t="shared" si="27"/>
        <v>#VALUE!</v>
      </c>
      <c r="DO47" s="115" t="e">
        <f t="shared" si="27"/>
        <v>#VALUE!</v>
      </c>
      <c r="DP47" s="100">
        <f t="shared" si="28"/>
        <v>115</v>
      </c>
      <c r="DQ47" s="116" t="e">
        <f t="shared" si="28"/>
        <v>#DIV/0!</v>
      </c>
      <c r="DR47" s="117">
        <f t="shared" si="18"/>
        <v>274.10000000000002</v>
      </c>
      <c r="DS47" s="118">
        <f t="shared" si="2"/>
        <v>100</v>
      </c>
      <c r="DT47" s="104" t="e">
        <f t="shared" si="3"/>
        <v>#VALUE!</v>
      </c>
      <c r="DU47" s="118" t="e">
        <f t="shared" si="4"/>
        <v>#VALUE!</v>
      </c>
      <c r="DV47" s="104">
        <f t="shared" si="5"/>
        <v>31478</v>
      </c>
      <c r="DW47" s="119">
        <f t="shared" si="6"/>
        <v>100</v>
      </c>
      <c r="DX47" s="120" t="e">
        <f t="shared" si="7"/>
        <v>#VALUE!</v>
      </c>
      <c r="DY47" s="118" t="e">
        <f t="shared" si="8"/>
        <v>#VALUE!</v>
      </c>
      <c r="DZ47" s="104">
        <f t="shared" si="9"/>
        <v>31478</v>
      </c>
      <c r="EA47" s="119">
        <f t="shared" si="10"/>
        <v>100</v>
      </c>
      <c r="EB47" s="120" t="e">
        <f t="shared" si="11"/>
        <v>#VALUE!</v>
      </c>
      <c r="EC47" s="118" t="e">
        <f t="shared" si="12"/>
        <v>#VALUE!</v>
      </c>
      <c r="ED47" s="104">
        <f t="shared" si="13"/>
        <v>0</v>
      </c>
      <c r="EE47" s="121">
        <v>0</v>
      </c>
      <c r="EF47" s="120" t="e">
        <f t="shared" si="14"/>
        <v>#VALUE!</v>
      </c>
      <c r="EG47" s="121" t="e">
        <f t="shared" si="15"/>
        <v>#VALUE!</v>
      </c>
      <c r="EH47" s="122" t="e">
        <f t="shared" si="19"/>
        <v>#DIV/0!</v>
      </c>
      <c r="EI47" s="123" t="e">
        <f t="shared" si="20"/>
        <v>#DIV/0!</v>
      </c>
    </row>
    <row r="48" spans="1:139" s="124" customFormat="1" ht="15.75" customHeight="1" x14ac:dyDescent="0.25">
      <c r="A48" s="1070"/>
      <c r="B48" s="90"/>
      <c r="C48" s="185" t="s">
        <v>49</v>
      </c>
      <c r="D48" s="92">
        <v>10.8</v>
      </c>
      <c r="E48" s="183"/>
      <c r="F48" s="93">
        <v>0.50023158869847151</v>
      </c>
      <c r="G48" s="93"/>
      <c r="H48" s="158" t="s">
        <v>44</v>
      </c>
      <c r="I48" s="159" t="s">
        <v>44</v>
      </c>
      <c r="J48" s="96">
        <v>1547</v>
      </c>
      <c r="K48" s="97"/>
      <c r="L48" s="98" t="s">
        <v>44</v>
      </c>
      <c r="M48" s="99" t="s">
        <v>44</v>
      </c>
      <c r="N48" s="184">
        <v>1547</v>
      </c>
      <c r="O48" s="101"/>
      <c r="P48" s="158" t="s">
        <v>44</v>
      </c>
      <c r="Q48" s="159" t="s">
        <v>44</v>
      </c>
      <c r="R48" s="184">
        <v>0</v>
      </c>
      <c r="S48" s="101"/>
      <c r="T48" s="158" t="s">
        <v>44</v>
      </c>
      <c r="U48" s="159" t="s">
        <v>44</v>
      </c>
      <c r="V48" s="102">
        <v>143</v>
      </c>
      <c r="W48" s="102"/>
      <c r="X48" s="92">
        <v>10.199999999999999</v>
      </c>
      <c r="Y48" s="183"/>
      <c r="Z48" s="93">
        <v>0.46703296703296704</v>
      </c>
      <c r="AA48" s="93"/>
      <c r="AB48" s="158" t="s">
        <v>44</v>
      </c>
      <c r="AC48" s="159" t="s">
        <v>44</v>
      </c>
      <c r="AD48" s="96">
        <v>1438</v>
      </c>
      <c r="AE48" s="97"/>
      <c r="AF48" s="98" t="s">
        <v>44</v>
      </c>
      <c r="AG48" s="99" t="s">
        <v>44</v>
      </c>
      <c r="AH48" s="184">
        <v>1438</v>
      </c>
      <c r="AI48" s="101"/>
      <c r="AJ48" s="158" t="s">
        <v>44</v>
      </c>
      <c r="AK48" s="159" t="s">
        <v>44</v>
      </c>
      <c r="AL48" s="184">
        <v>0</v>
      </c>
      <c r="AM48" s="101"/>
      <c r="AN48" s="158" t="s">
        <v>44</v>
      </c>
      <c r="AO48" s="159" t="s">
        <v>44</v>
      </c>
      <c r="AP48" s="102">
        <v>141</v>
      </c>
      <c r="AQ48" s="102"/>
      <c r="AR48" s="92">
        <v>10.5</v>
      </c>
      <c r="AS48" s="183"/>
      <c r="AT48" s="93">
        <v>0.47554347826086962</v>
      </c>
      <c r="AU48" s="93"/>
      <c r="AV48" s="158" t="s">
        <v>44</v>
      </c>
      <c r="AW48" s="159" t="s">
        <v>44</v>
      </c>
      <c r="AX48" s="96">
        <v>1474</v>
      </c>
      <c r="AY48" s="97"/>
      <c r="AZ48" s="98" t="s">
        <v>44</v>
      </c>
      <c r="BA48" s="99" t="s">
        <v>44</v>
      </c>
      <c r="BB48" s="184">
        <v>1474</v>
      </c>
      <c r="BC48" s="101"/>
      <c r="BD48" s="158" t="s">
        <v>44</v>
      </c>
      <c r="BE48" s="159" t="s">
        <v>44</v>
      </c>
      <c r="BF48" s="184">
        <v>0</v>
      </c>
      <c r="BG48" s="101"/>
      <c r="BH48" s="158" t="s">
        <v>44</v>
      </c>
      <c r="BI48" s="159" t="s">
        <v>44</v>
      </c>
      <c r="BJ48" s="102">
        <v>140</v>
      </c>
      <c r="BK48" s="102"/>
      <c r="BL48" s="92">
        <v>8.8000000000000007</v>
      </c>
      <c r="BM48" s="183"/>
      <c r="BN48" s="93">
        <v>0.39837030330466278</v>
      </c>
      <c r="BO48" s="93"/>
      <c r="BP48" s="158" t="s">
        <v>44</v>
      </c>
      <c r="BQ48" s="159" t="s">
        <v>44</v>
      </c>
      <c r="BR48" s="96">
        <v>1303</v>
      </c>
      <c r="BS48" s="97"/>
      <c r="BT48" s="98" t="s">
        <v>44</v>
      </c>
      <c r="BU48" s="99" t="s">
        <v>44</v>
      </c>
      <c r="BV48" s="184">
        <v>1303</v>
      </c>
      <c r="BW48" s="101"/>
      <c r="BX48" s="158" t="s">
        <v>44</v>
      </c>
      <c r="BY48" s="159" t="s">
        <v>44</v>
      </c>
      <c r="BZ48" s="184">
        <v>0</v>
      </c>
      <c r="CA48" s="101"/>
      <c r="CB48" s="158" t="s">
        <v>44</v>
      </c>
      <c r="CC48" s="159" t="s">
        <v>44</v>
      </c>
      <c r="CD48" s="102">
        <v>148</v>
      </c>
      <c r="CE48" s="102"/>
      <c r="CF48" s="103">
        <v>40.299999999999997</v>
      </c>
      <c r="CG48" s="102"/>
      <c r="CH48" s="93">
        <v>0.46004566210045655</v>
      </c>
      <c r="CI48" s="179"/>
      <c r="CJ48" s="98" t="s">
        <v>44</v>
      </c>
      <c r="CK48" s="99" t="s">
        <v>44</v>
      </c>
      <c r="CL48" s="100">
        <v>5762</v>
      </c>
      <c r="CM48" s="107"/>
      <c r="CN48" s="108" t="s">
        <v>44</v>
      </c>
      <c r="CO48" s="99" t="s">
        <v>44</v>
      </c>
      <c r="CP48" s="100">
        <v>5762</v>
      </c>
      <c r="CQ48" s="97"/>
      <c r="CR48" s="98" t="s">
        <v>44</v>
      </c>
      <c r="CS48" s="99" t="s">
        <v>44</v>
      </c>
      <c r="CT48" s="100">
        <v>0</v>
      </c>
      <c r="CU48" s="97"/>
      <c r="CV48" s="98" t="s">
        <v>44</v>
      </c>
      <c r="CW48" s="99" t="s">
        <v>44</v>
      </c>
      <c r="CX48" s="100">
        <v>142.97766749379653</v>
      </c>
      <c r="CY48" s="174"/>
      <c r="CZ48" s="110">
        <f t="shared" si="33"/>
        <v>21</v>
      </c>
      <c r="DA48" s="111">
        <f t="shared" si="33"/>
        <v>0</v>
      </c>
      <c r="DB48" s="176">
        <f t="shared" si="34"/>
        <v>0.48353672576559981</v>
      </c>
      <c r="DC48" s="113">
        <f t="shared" si="34"/>
        <v>0</v>
      </c>
      <c r="DD48" s="100">
        <f t="shared" si="30"/>
        <v>2985</v>
      </c>
      <c r="DE48" s="102">
        <f t="shared" si="30"/>
        <v>0</v>
      </c>
      <c r="DF48" s="102" t="e">
        <f t="shared" si="30"/>
        <v>#VALUE!</v>
      </c>
      <c r="DG48" s="114" t="e">
        <f t="shared" si="27"/>
        <v>#VALUE!</v>
      </c>
      <c r="DH48" s="100">
        <f t="shared" si="27"/>
        <v>2985</v>
      </c>
      <c r="DI48" s="97">
        <f t="shared" si="27"/>
        <v>0</v>
      </c>
      <c r="DJ48" s="97" t="e">
        <f t="shared" si="27"/>
        <v>#VALUE!</v>
      </c>
      <c r="DK48" s="97" t="e">
        <f t="shared" si="27"/>
        <v>#VALUE!</v>
      </c>
      <c r="DL48" s="100">
        <f t="shared" si="27"/>
        <v>0</v>
      </c>
      <c r="DM48" s="97">
        <f t="shared" si="27"/>
        <v>0</v>
      </c>
      <c r="DN48" s="97" t="e">
        <f t="shared" si="27"/>
        <v>#VALUE!</v>
      </c>
      <c r="DO48" s="115" t="e">
        <f t="shared" si="27"/>
        <v>#VALUE!</v>
      </c>
      <c r="DP48" s="100">
        <f t="shared" si="28"/>
        <v>142</v>
      </c>
      <c r="DQ48" s="116" t="e">
        <f t="shared" si="28"/>
        <v>#DIV/0!</v>
      </c>
      <c r="DR48" s="117">
        <f t="shared" si="18"/>
        <v>21</v>
      </c>
      <c r="DS48" s="118">
        <f t="shared" si="2"/>
        <v>100</v>
      </c>
      <c r="DT48" s="104" t="e">
        <f t="shared" si="3"/>
        <v>#VALUE!</v>
      </c>
      <c r="DU48" s="118" t="e">
        <f t="shared" si="4"/>
        <v>#VALUE!</v>
      </c>
      <c r="DV48" s="104">
        <f t="shared" si="5"/>
        <v>2985</v>
      </c>
      <c r="DW48" s="119">
        <f t="shared" si="6"/>
        <v>100</v>
      </c>
      <c r="DX48" s="120" t="e">
        <f t="shared" si="7"/>
        <v>#VALUE!</v>
      </c>
      <c r="DY48" s="118" t="e">
        <f t="shared" si="8"/>
        <v>#VALUE!</v>
      </c>
      <c r="DZ48" s="104">
        <f t="shared" si="9"/>
        <v>2985</v>
      </c>
      <c r="EA48" s="119">
        <f t="shared" si="10"/>
        <v>100</v>
      </c>
      <c r="EB48" s="120" t="e">
        <f t="shared" si="11"/>
        <v>#VALUE!</v>
      </c>
      <c r="EC48" s="118" t="e">
        <f t="shared" si="12"/>
        <v>#VALUE!</v>
      </c>
      <c r="ED48" s="104">
        <f t="shared" si="13"/>
        <v>0</v>
      </c>
      <c r="EE48" s="121">
        <v>0</v>
      </c>
      <c r="EF48" s="120" t="e">
        <f t="shared" si="14"/>
        <v>#VALUE!</v>
      </c>
      <c r="EG48" s="121" t="e">
        <f t="shared" si="15"/>
        <v>#VALUE!</v>
      </c>
      <c r="EH48" s="122" t="e">
        <f t="shared" si="19"/>
        <v>#DIV/0!</v>
      </c>
      <c r="EI48" s="123" t="e">
        <f t="shared" si="20"/>
        <v>#DIV/0!</v>
      </c>
    </row>
    <row r="49" spans="1:139" s="157" customFormat="1" ht="15.75" customHeight="1" x14ac:dyDescent="0.25">
      <c r="A49" s="1070"/>
      <c r="B49" s="164" t="s">
        <v>57</v>
      </c>
      <c r="C49" s="165"/>
      <c r="D49" s="132">
        <v>1565.6000000000001</v>
      </c>
      <c r="E49" s="133"/>
      <c r="F49" s="133">
        <v>14.393807058996591</v>
      </c>
      <c r="G49" s="133"/>
      <c r="H49" s="134" t="s">
        <v>44</v>
      </c>
      <c r="I49" s="135" t="s">
        <v>44</v>
      </c>
      <c r="J49" s="136">
        <v>107830</v>
      </c>
      <c r="K49" s="86"/>
      <c r="L49" s="137" t="s">
        <v>44</v>
      </c>
      <c r="M49" s="138" t="s">
        <v>44</v>
      </c>
      <c r="N49" s="139">
        <v>107830</v>
      </c>
      <c r="O49" s="140"/>
      <c r="P49" s="134" t="s">
        <v>44</v>
      </c>
      <c r="Q49" s="135" t="s">
        <v>44</v>
      </c>
      <c r="R49" s="139">
        <v>0</v>
      </c>
      <c r="S49" s="140"/>
      <c r="T49" s="134" t="s">
        <v>44</v>
      </c>
      <c r="U49" s="135" t="s">
        <v>44</v>
      </c>
      <c r="V49" s="141">
        <v>69</v>
      </c>
      <c r="W49" s="141"/>
      <c r="X49" s="132">
        <v>1518.7</v>
      </c>
      <c r="Y49" s="133"/>
      <c r="Z49" s="133">
        <v>13.83541801419344</v>
      </c>
      <c r="AA49" s="133"/>
      <c r="AB49" s="134" t="s">
        <v>44</v>
      </c>
      <c r="AC49" s="135" t="s">
        <v>44</v>
      </c>
      <c r="AD49" s="136">
        <v>104819</v>
      </c>
      <c r="AE49" s="86"/>
      <c r="AF49" s="137" t="s">
        <v>44</v>
      </c>
      <c r="AG49" s="138" t="s">
        <v>44</v>
      </c>
      <c r="AH49" s="139">
        <v>104819</v>
      </c>
      <c r="AI49" s="140"/>
      <c r="AJ49" s="134" t="s">
        <v>44</v>
      </c>
      <c r="AK49" s="135" t="s">
        <v>44</v>
      </c>
      <c r="AL49" s="139">
        <v>0</v>
      </c>
      <c r="AM49" s="140"/>
      <c r="AN49" s="134" t="s">
        <v>44</v>
      </c>
      <c r="AO49" s="135" t="s">
        <v>44</v>
      </c>
      <c r="AP49" s="141">
        <v>69</v>
      </c>
      <c r="AQ49" s="141"/>
      <c r="AR49" s="132">
        <v>1568</v>
      </c>
      <c r="AS49" s="133"/>
      <c r="AT49" s="133">
        <v>14.136441908059036</v>
      </c>
      <c r="AU49" s="133"/>
      <c r="AV49" s="134" t="s">
        <v>44</v>
      </c>
      <c r="AW49" s="135" t="s">
        <v>44</v>
      </c>
      <c r="AX49" s="136">
        <v>99098</v>
      </c>
      <c r="AY49" s="86"/>
      <c r="AZ49" s="137" t="s">
        <v>44</v>
      </c>
      <c r="BA49" s="138" t="s">
        <v>44</v>
      </c>
      <c r="BB49" s="139">
        <v>99098</v>
      </c>
      <c r="BC49" s="140"/>
      <c r="BD49" s="134" t="s">
        <v>44</v>
      </c>
      <c r="BE49" s="135" t="s">
        <v>44</v>
      </c>
      <c r="BF49" s="139">
        <v>0</v>
      </c>
      <c r="BG49" s="140"/>
      <c r="BH49" s="134" t="s">
        <v>44</v>
      </c>
      <c r="BI49" s="135" t="s">
        <v>44</v>
      </c>
      <c r="BJ49" s="141">
        <v>63</v>
      </c>
      <c r="BK49" s="141"/>
      <c r="BL49" s="132">
        <v>1521.1</v>
      </c>
      <c r="BM49" s="133"/>
      <c r="BN49" s="133">
        <v>13.63371545859513</v>
      </c>
      <c r="BO49" s="133"/>
      <c r="BP49" s="134" t="s">
        <v>44</v>
      </c>
      <c r="BQ49" s="135" t="s">
        <v>44</v>
      </c>
      <c r="BR49" s="136">
        <v>110264</v>
      </c>
      <c r="BS49" s="86"/>
      <c r="BT49" s="137" t="s">
        <v>44</v>
      </c>
      <c r="BU49" s="138" t="s">
        <v>44</v>
      </c>
      <c r="BV49" s="139">
        <v>110264</v>
      </c>
      <c r="BW49" s="140"/>
      <c r="BX49" s="134" t="s">
        <v>44</v>
      </c>
      <c r="BY49" s="135" t="s">
        <v>44</v>
      </c>
      <c r="BZ49" s="139">
        <v>0</v>
      </c>
      <c r="CA49" s="140"/>
      <c r="CB49" s="134" t="s">
        <v>44</v>
      </c>
      <c r="CC49" s="135" t="s">
        <v>44</v>
      </c>
      <c r="CD49" s="141">
        <v>72</v>
      </c>
      <c r="CE49" s="141"/>
      <c r="CF49" s="142">
        <v>6173.4</v>
      </c>
      <c r="CG49" s="141"/>
      <c r="CH49" s="133">
        <v>13.997814187825657</v>
      </c>
      <c r="CI49" s="143"/>
      <c r="CJ49" s="137" t="s">
        <v>44</v>
      </c>
      <c r="CK49" s="138" t="s">
        <v>44</v>
      </c>
      <c r="CL49" s="139">
        <v>422011</v>
      </c>
      <c r="CM49" s="144"/>
      <c r="CN49" s="145" t="s">
        <v>44</v>
      </c>
      <c r="CO49" s="138" t="s">
        <v>44</v>
      </c>
      <c r="CP49" s="139">
        <v>422011</v>
      </c>
      <c r="CQ49" s="140"/>
      <c r="CR49" s="137" t="s">
        <v>44</v>
      </c>
      <c r="CS49" s="138" t="s">
        <v>44</v>
      </c>
      <c r="CT49" s="139">
        <v>0</v>
      </c>
      <c r="CU49" s="140"/>
      <c r="CV49" s="137" t="s">
        <v>44</v>
      </c>
      <c r="CW49" s="138" t="s">
        <v>44</v>
      </c>
      <c r="CX49" s="139">
        <v>68.359574950594492</v>
      </c>
      <c r="CY49" s="175"/>
      <c r="CZ49" s="147">
        <f t="shared" si="33"/>
        <v>3084.3</v>
      </c>
      <c r="DA49" s="148">
        <f t="shared" si="33"/>
        <v>0</v>
      </c>
      <c r="DB49" s="177" t="e">
        <f>(CZ49/#REF!)*100</f>
        <v>#REF!</v>
      </c>
      <c r="DC49" s="150" t="e">
        <f>(DA49/#REF!)*100</f>
        <v>#REF!</v>
      </c>
      <c r="DD49" s="139">
        <f t="shared" si="30"/>
        <v>212649</v>
      </c>
      <c r="DE49" s="141">
        <f t="shared" si="30"/>
        <v>0</v>
      </c>
      <c r="DF49" s="141" t="e">
        <f t="shared" si="30"/>
        <v>#VALUE!</v>
      </c>
      <c r="DG49" s="151" t="e">
        <f t="shared" si="27"/>
        <v>#VALUE!</v>
      </c>
      <c r="DH49" s="139">
        <f t="shared" si="27"/>
        <v>212649</v>
      </c>
      <c r="DI49" s="140">
        <f t="shared" si="27"/>
        <v>0</v>
      </c>
      <c r="DJ49" s="140" t="e">
        <f t="shared" si="27"/>
        <v>#VALUE!</v>
      </c>
      <c r="DK49" s="140" t="e">
        <f t="shared" si="27"/>
        <v>#VALUE!</v>
      </c>
      <c r="DL49" s="139">
        <f t="shared" si="27"/>
        <v>0</v>
      </c>
      <c r="DM49" s="140">
        <f t="shared" si="27"/>
        <v>0</v>
      </c>
      <c r="DN49" s="140" t="e">
        <f t="shared" si="27"/>
        <v>#VALUE!</v>
      </c>
      <c r="DO49" s="152" t="e">
        <f t="shared" si="27"/>
        <v>#VALUE!</v>
      </c>
      <c r="DP49" s="139">
        <f t="shared" si="28"/>
        <v>69</v>
      </c>
      <c r="DQ49" s="153" t="e">
        <f t="shared" si="28"/>
        <v>#DIV/0!</v>
      </c>
      <c r="DR49" s="154">
        <f t="shared" si="18"/>
        <v>3084.3</v>
      </c>
      <c r="DS49" s="84">
        <f t="shared" si="2"/>
        <v>100</v>
      </c>
      <c r="DT49" s="79" t="e">
        <f t="shared" si="3"/>
        <v>#VALUE!</v>
      </c>
      <c r="DU49" s="84" t="e">
        <f t="shared" si="4"/>
        <v>#VALUE!</v>
      </c>
      <c r="DV49" s="79">
        <f t="shared" si="5"/>
        <v>212649</v>
      </c>
      <c r="DW49" s="85">
        <f t="shared" si="6"/>
        <v>100</v>
      </c>
      <c r="DX49" s="86" t="e">
        <f t="shared" si="7"/>
        <v>#VALUE!</v>
      </c>
      <c r="DY49" s="84" t="e">
        <f t="shared" si="8"/>
        <v>#VALUE!</v>
      </c>
      <c r="DZ49" s="79">
        <f t="shared" si="9"/>
        <v>212649</v>
      </c>
      <c r="EA49" s="85">
        <f t="shared" si="10"/>
        <v>100</v>
      </c>
      <c r="EB49" s="86" t="e">
        <f t="shared" si="11"/>
        <v>#VALUE!</v>
      </c>
      <c r="EC49" s="84" t="e">
        <f t="shared" si="12"/>
        <v>#VALUE!</v>
      </c>
      <c r="ED49" s="79">
        <f t="shared" si="13"/>
        <v>0</v>
      </c>
      <c r="EE49" s="87">
        <v>0</v>
      </c>
      <c r="EF49" s="86" t="e">
        <f t="shared" si="14"/>
        <v>#VALUE!</v>
      </c>
      <c r="EG49" s="87" t="e">
        <f t="shared" si="15"/>
        <v>#VALUE!</v>
      </c>
      <c r="EH49" s="155" t="e">
        <f t="shared" si="19"/>
        <v>#DIV/0!</v>
      </c>
      <c r="EI49" s="156" t="e">
        <f t="shared" si="20"/>
        <v>#DIV/0!</v>
      </c>
    </row>
    <row r="50" spans="1:139" s="124" customFormat="1" ht="15.75" customHeight="1" x14ac:dyDescent="0.25">
      <c r="A50" s="1070"/>
      <c r="B50" s="90"/>
      <c r="C50" s="91" t="s">
        <v>45</v>
      </c>
      <c r="D50" s="92">
        <v>171.1</v>
      </c>
      <c r="E50" s="93"/>
      <c r="F50" s="93">
        <v>7.9249652616952284</v>
      </c>
      <c r="G50" s="93"/>
      <c r="H50" s="158" t="s">
        <v>44</v>
      </c>
      <c r="I50" s="159" t="s">
        <v>44</v>
      </c>
      <c r="J50" s="96">
        <v>19131</v>
      </c>
      <c r="K50" s="97"/>
      <c r="L50" s="98" t="s">
        <v>44</v>
      </c>
      <c r="M50" s="99" t="s">
        <v>44</v>
      </c>
      <c r="N50" s="100">
        <v>19131</v>
      </c>
      <c r="O50" s="101"/>
      <c r="P50" s="158" t="s">
        <v>44</v>
      </c>
      <c r="Q50" s="159" t="s">
        <v>44</v>
      </c>
      <c r="R50" s="100">
        <v>0</v>
      </c>
      <c r="S50" s="97"/>
      <c r="T50" s="158" t="s">
        <v>44</v>
      </c>
      <c r="U50" s="159" t="s">
        <v>44</v>
      </c>
      <c r="V50" s="102">
        <v>112</v>
      </c>
      <c r="W50" s="102"/>
      <c r="X50" s="92">
        <v>178.9</v>
      </c>
      <c r="Y50" s="93"/>
      <c r="Z50" s="93">
        <v>8.1913919413919416</v>
      </c>
      <c r="AA50" s="93"/>
      <c r="AB50" s="158" t="s">
        <v>44</v>
      </c>
      <c r="AC50" s="159" t="s">
        <v>44</v>
      </c>
      <c r="AD50" s="96">
        <v>19564</v>
      </c>
      <c r="AE50" s="97"/>
      <c r="AF50" s="98" t="s">
        <v>44</v>
      </c>
      <c r="AG50" s="99" t="s">
        <v>44</v>
      </c>
      <c r="AH50" s="100">
        <v>19564</v>
      </c>
      <c r="AI50" s="101"/>
      <c r="AJ50" s="158" t="s">
        <v>44</v>
      </c>
      <c r="AK50" s="159" t="s">
        <v>44</v>
      </c>
      <c r="AL50" s="100">
        <v>0</v>
      </c>
      <c r="AM50" s="97"/>
      <c r="AN50" s="158" t="s">
        <v>44</v>
      </c>
      <c r="AO50" s="159" t="s">
        <v>44</v>
      </c>
      <c r="AP50" s="102">
        <v>109</v>
      </c>
      <c r="AQ50" s="102"/>
      <c r="AR50" s="92">
        <v>210.8</v>
      </c>
      <c r="AS50" s="93"/>
      <c r="AT50" s="93">
        <v>9.5471014492753614</v>
      </c>
      <c r="AU50" s="93"/>
      <c r="AV50" s="158" t="s">
        <v>44</v>
      </c>
      <c r="AW50" s="159" t="s">
        <v>44</v>
      </c>
      <c r="AX50" s="96">
        <v>20087</v>
      </c>
      <c r="AY50" s="97"/>
      <c r="AZ50" s="98" t="s">
        <v>44</v>
      </c>
      <c r="BA50" s="99" t="s">
        <v>44</v>
      </c>
      <c r="BB50" s="100">
        <v>20087</v>
      </c>
      <c r="BC50" s="101"/>
      <c r="BD50" s="158" t="s">
        <v>44</v>
      </c>
      <c r="BE50" s="159" t="s">
        <v>44</v>
      </c>
      <c r="BF50" s="100">
        <v>0</v>
      </c>
      <c r="BG50" s="97"/>
      <c r="BH50" s="158" t="s">
        <v>44</v>
      </c>
      <c r="BI50" s="159" t="s">
        <v>44</v>
      </c>
      <c r="BJ50" s="102">
        <v>95</v>
      </c>
      <c r="BK50" s="102"/>
      <c r="BL50" s="92">
        <v>174.5</v>
      </c>
      <c r="BM50" s="93"/>
      <c r="BN50" s="93">
        <v>7.8995020371208691</v>
      </c>
      <c r="BO50" s="93"/>
      <c r="BP50" s="158" t="s">
        <v>44</v>
      </c>
      <c r="BQ50" s="159" t="s">
        <v>44</v>
      </c>
      <c r="BR50" s="96">
        <v>19562</v>
      </c>
      <c r="BS50" s="97"/>
      <c r="BT50" s="98" t="s">
        <v>44</v>
      </c>
      <c r="BU50" s="99" t="s">
        <v>44</v>
      </c>
      <c r="BV50" s="100">
        <v>19562</v>
      </c>
      <c r="BW50" s="101"/>
      <c r="BX50" s="158" t="s">
        <v>44</v>
      </c>
      <c r="BY50" s="159" t="s">
        <v>44</v>
      </c>
      <c r="BZ50" s="100">
        <v>0</v>
      </c>
      <c r="CA50" s="97"/>
      <c r="CB50" s="158" t="s">
        <v>44</v>
      </c>
      <c r="CC50" s="159" t="s">
        <v>44</v>
      </c>
      <c r="CD50" s="102">
        <v>112</v>
      </c>
      <c r="CE50" s="102"/>
      <c r="CF50" s="103">
        <v>735.3</v>
      </c>
      <c r="CG50" s="102"/>
      <c r="CH50" s="93">
        <v>8.3938356164383556</v>
      </c>
      <c r="CI50" s="179"/>
      <c r="CJ50" s="98" t="s">
        <v>44</v>
      </c>
      <c r="CK50" s="99" t="s">
        <v>44</v>
      </c>
      <c r="CL50" s="100">
        <v>78344</v>
      </c>
      <c r="CM50" s="107"/>
      <c r="CN50" s="108" t="s">
        <v>44</v>
      </c>
      <c r="CO50" s="99" t="s">
        <v>44</v>
      </c>
      <c r="CP50" s="100">
        <v>78344</v>
      </c>
      <c r="CQ50" s="97"/>
      <c r="CR50" s="98" t="s">
        <v>44</v>
      </c>
      <c r="CS50" s="99" t="s">
        <v>44</v>
      </c>
      <c r="CT50" s="100">
        <v>0</v>
      </c>
      <c r="CU50" s="97"/>
      <c r="CV50" s="98" t="s">
        <v>44</v>
      </c>
      <c r="CW50" s="99" t="s">
        <v>44</v>
      </c>
      <c r="CX50" s="100">
        <v>106.54698762409902</v>
      </c>
      <c r="CY50" s="174"/>
      <c r="CZ50" s="110">
        <f t="shared" si="33"/>
        <v>350</v>
      </c>
      <c r="DA50" s="111">
        <f t="shared" si="33"/>
        <v>0</v>
      </c>
      <c r="DB50" s="176">
        <f>(CZ50/4343)*100</f>
        <v>8.0589454294266627</v>
      </c>
      <c r="DC50" s="113">
        <f>(DA50/4343)*100</f>
        <v>0</v>
      </c>
      <c r="DD50" s="100">
        <f t="shared" si="30"/>
        <v>38695</v>
      </c>
      <c r="DE50" s="102">
        <f t="shared" si="30"/>
        <v>0</v>
      </c>
      <c r="DF50" s="102" t="e">
        <f t="shared" si="30"/>
        <v>#VALUE!</v>
      </c>
      <c r="DG50" s="114" t="e">
        <f t="shared" si="27"/>
        <v>#VALUE!</v>
      </c>
      <c r="DH50" s="100">
        <f t="shared" si="27"/>
        <v>38695</v>
      </c>
      <c r="DI50" s="97">
        <f t="shared" si="27"/>
        <v>0</v>
      </c>
      <c r="DJ50" s="97" t="e">
        <f t="shared" si="27"/>
        <v>#VALUE!</v>
      </c>
      <c r="DK50" s="97" t="e">
        <f t="shared" si="27"/>
        <v>#VALUE!</v>
      </c>
      <c r="DL50" s="100">
        <f t="shared" si="27"/>
        <v>0</v>
      </c>
      <c r="DM50" s="97">
        <f t="shared" si="27"/>
        <v>0</v>
      </c>
      <c r="DN50" s="97" t="e">
        <f t="shared" si="27"/>
        <v>#VALUE!</v>
      </c>
      <c r="DO50" s="115" t="e">
        <f t="shared" si="27"/>
        <v>#VALUE!</v>
      </c>
      <c r="DP50" s="100">
        <f t="shared" si="28"/>
        <v>111</v>
      </c>
      <c r="DQ50" s="116" t="e">
        <f t="shared" si="28"/>
        <v>#DIV/0!</v>
      </c>
      <c r="DR50" s="117">
        <f t="shared" si="18"/>
        <v>350</v>
      </c>
      <c r="DS50" s="118">
        <f t="shared" si="2"/>
        <v>100</v>
      </c>
      <c r="DT50" s="104" t="e">
        <f t="shared" si="3"/>
        <v>#VALUE!</v>
      </c>
      <c r="DU50" s="118" t="e">
        <f t="shared" si="4"/>
        <v>#VALUE!</v>
      </c>
      <c r="DV50" s="104">
        <f t="shared" si="5"/>
        <v>38695</v>
      </c>
      <c r="DW50" s="119">
        <f t="shared" si="6"/>
        <v>100</v>
      </c>
      <c r="DX50" s="120" t="e">
        <f t="shared" si="7"/>
        <v>#VALUE!</v>
      </c>
      <c r="DY50" s="118" t="e">
        <f t="shared" si="8"/>
        <v>#VALUE!</v>
      </c>
      <c r="DZ50" s="104">
        <f t="shared" si="9"/>
        <v>38695</v>
      </c>
      <c r="EA50" s="119">
        <f t="shared" si="10"/>
        <v>100</v>
      </c>
      <c r="EB50" s="120" t="e">
        <f t="shared" si="11"/>
        <v>#VALUE!</v>
      </c>
      <c r="EC50" s="118" t="e">
        <f t="shared" si="12"/>
        <v>#VALUE!</v>
      </c>
      <c r="ED50" s="104">
        <f t="shared" si="13"/>
        <v>0</v>
      </c>
      <c r="EE50" s="121">
        <v>0</v>
      </c>
      <c r="EF50" s="120" t="e">
        <f t="shared" si="14"/>
        <v>#VALUE!</v>
      </c>
      <c r="EG50" s="121" t="e">
        <f t="shared" si="15"/>
        <v>#VALUE!</v>
      </c>
      <c r="EH50" s="122" t="e">
        <f t="shared" si="19"/>
        <v>#DIV/0!</v>
      </c>
      <c r="EI50" s="123" t="e">
        <f t="shared" si="20"/>
        <v>#DIV/0!</v>
      </c>
    </row>
    <row r="51" spans="1:139" ht="15.75" customHeight="1" x14ac:dyDescent="0.25">
      <c r="A51" s="1070"/>
      <c r="B51" s="160"/>
      <c r="C51" s="91" t="s">
        <v>46</v>
      </c>
      <c r="D51" s="92">
        <v>595.6</v>
      </c>
      <c r="E51" s="93"/>
      <c r="F51" s="93">
        <v>27.586845761926821</v>
      </c>
      <c r="G51" s="93"/>
      <c r="H51" s="158" t="s">
        <v>44</v>
      </c>
      <c r="I51" s="159" t="s">
        <v>44</v>
      </c>
      <c r="J51" s="96">
        <v>38051</v>
      </c>
      <c r="K51" s="97"/>
      <c r="L51" s="98" t="s">
        <v>44</v>
      </c>
      <c r="M51" s="99" t="s">
        <v>44</v>
      </c>
      <c r="N51" s="100">
        <v>38051</v>
      </c>
      <c r="O51" s="126"/>
      <c r="P51" s="158" t="s">
        <v>44</v>
      </c>
      <c r="Q51" s="159" t="s">
        <v>44</v>
      </c>
      <c r="R51" s="100">
        <v>0</v>
      </c>
      <c r="S51" s="97"/>
      <c r="T51" s="158" t="s">
        <v>44</v>
      </c>
      <c r="U51" s="159" t="s">
        <v>44</v>
      </c>
      <c r="V51" s="102">
        <v>64</v>
      </c>
      <c r="W51" s="102"/>
      <c r="X51" s="92">
        <v>601.6</v>
      </c>
      <c r="Y51" s="93"/>
      <c r="Z51" s="93">
        <v>27.545787545787547</v>
      </c>
      <c r="AA51" s="93"/>
      <c r="AB51" s="158" t="s">
        <v>44</v>
      </c>
      <c r="AC51" s="159" t="s">
        <v>44</v>
      </c>
      <c r="AD51" s="96">
        <v>39199</v>
      </c>
      <c r="AE51" s="97"/>
      <c r="AF51" s="98" t="s">
        <v>44</v>
      </c>
      <c r="AG51" s="99" t="s">
        <v>44</v>
      </c>
      <c r="AH51" s="100">
        <v>39199</v>
      </c>
      <c r="AI51" s="126"/>
      <c r="AJ51" s="158" t="s">
        <v>44</v>
      </c>
      <c r="AK51" s="159" t="s">
        <v>44</v>
      </c>
      <c r="AL51" s="100">
        <v>0</v>
      </c>
      <c r="AM51" s="97"/>
      <c r="AN51" s="158" t="s">
        <v>44</v>
      </c>
      <c r="AO51" s="159" t="s">
        <v>44</v>
      </c>
      <c r="AP51" s="102">
        <v>65</v>
      </c>
      <c r="AQ51" s="102"/>
      <c r="AR51" s="92">
        <v>613.1</v>
      </c>
      <c r="AS51" s="93"/>
      <c r="AT51" s="93">
        <v>27.767210144927539</v>
      </c>
      <c r="AU51" s="93"/>
      <c r="AV51" s="158" t="s">
        <v>44</v>
      </c>
      <c r="AW51" s="159" t="s">
        <v>44</v>
      </c>
      <c r="AX51" s="96">
        <v>40405</v>
      </c>
      <c r="AY51" s="97"/>
      <c r="AZ51" s="98" t="s">
        <v>44</v>
      </c>
      <c r="BA51" s="99" t="s">
        <v>44</v>
      </c>
      <c r="BB51" s="100">
        <v>40405</v>
      </c>
      <c r="BC51" s="126"/>
      <c r="BD51" s="158" t="s">
        <v>44</v>
      </c>
      <c r="BE51" s="159" t="s">
        <v>44</v>
      </c>
      <c r="BF51" s="100">
        <v>0</v>
      </c>
      <c r="BG51" s="97"/>
      <c r="BH51" s="158" t="s">
        <v>44</v>
      </c>
      <c r="BI51" s="159" t="s">
        <v>44</v>
      </c>
      <c r="BJ51" s="102">
        <v>66</v>
      </c>
      <c r="BK51" s="102"/>
      <c r="BL51" s="92">
        <v>613.79999999999995</v>
      </c>
      <c r="BM51" s="93"/>
      <c r="BN51" s="93">
        <v>27.786328655500224</v>
      </c>
      <c r="BO51" s="93"/>
      <c r="BP51" s="158" t="s">
        <v>44</v>
      </c>
      <c r="BQ51" s="159" t="s">
        <v>44</v>
      </c>
      <c r="BR51" s="96">
        <v>39071</v>
      </c>
      <c r="BS51" s="97"/>
      <c r="BT51" s="98" t="s">
        <v>44</v>
      </c>
      <c r="BU51" s="99" t="s">
        <v>44</v>
      </c>
      <c r="BV51" s="100">
        <v>39071</v>
      </c>
      <c r="BW51" s="126"/>
      <c r="BX51" s="158" t="s">
        <v>44</v>
      </c>
      <c r="BY51" s="159" t="s">
        <v>44</v>
      </c>
      <c r="BZ51" s="100">
        <v>0</v>
      </c>
      <c r="CA51" s="97"/>
      <c r="CB51" s="158" t="s">
        <v>44</v>
      </c>
      <c r="CC51" s="159" t="s">
        <v>44</v>
      </c>
      <c r="CD51" s="102">
        <v>64</v>
      </c>
      <c r="CE51" s="102"/>
      <c r="CF51" s="103">
        <v>2424.1000000000004</v>
      </c>
      <c r="CG51" s="102"/>
      <c r="CH51" s="93">
        <v>27.672374429223751</v>
      </c>
      <c r="CI51" s="179"/>
      <c r="CJ51" s="98" t="s">
        <v>44</v>
      </c>
      <c r="CK51" s="99" t="s">
        <v>44</v>
      </c>
      <c r="CL51" s="100">
        <v>156726</v>
      </c>
      <c r="CM51" s="107"/>
      <c r="CN51" s="108" t="s">
        <v>44</v>
      </c>
      <c r="CO51" s="99" t="s">
        <v>44</v>
      </c>
      <c r="CP51" s="100">
        <v>156726</v>
      </c>
      <c r="CQ51" s="97"/>
      <c r="CR51" s="98" t="s">
        <v>44</v>
      </c>
      <c r="CS51" s="99" t="s">
        <v>44</v>
      </c>
      <c r="CT51" s="100">
        <v>0</v>
      </c>
      <c r="CU51" s="97"/>
      <c r="CV51" s="98" t="s">
        <v>44</v>
      </c>
      <c r="CW51" s="99" t="s">
        <v>44</v>
      </c>
      <c r="CX51" s="100">
        <v>64.653273379811054</v>
      </c>
      <c r="CY51" s="174"/>
      <c r="CZ51" s="110">
        <f t="shared" si="33"/>
        <v>1197.2</v>
      </c>
      <c r="DA51" s="111">
        <f t="shared" si="33"/>
        <v>0</v>
      </c>
      <c r="DB51" s="176">
        <f t="shared" ref="DB51:DC54" si="35">(CZ51/4343)*100</f>
        <v>27.566198480313147</v>
      </c>
      <c r="DC51" s="113">
        <f t="shared" si="35"/>
        <v>0</v>
      </c>
      <c r="DD51" s="100">
        <f t="shared" si="30"/>
        <v>77250</v>
      </c>
      <c r="DE51" s="102">
        <f t="shared" si="30"/>
        <v>0</v>
      </c>
      <c r="DF51" s="102" t="e">
        <f t="shared" si="30"/>
        <v>#VALUE!</v>
      </c>
      <c r="DG51" s="114" t="e">
        <f t="shared" si="27"/>
        <v>#VALUE!</v>
      </c>
      <c r="DH51" s="100">
        <f t="shared" si="27"/>
        <v>77250</v>
      </c>
      <c r="DI51" s="97">
        <f t="shared" si="27"/>
        <v>0</v>
      </c>
      <c r="DJ51" s="97" t="e">
        <f t="shared" si="27"/>
        <v>#VALUE!</v>
      </c>
      <c r="DK51" s="97" t="e">
        <f t="shared" si="27"/>
        <v>#VALUE!</v>
      </c>
      <c r="DL51" s="100">
        <f t="shared" si="27"/>
        <v>0</v>
      </c>
      <c r="DM51" s="97">
        <f t="shared" si="27"/>
        <v>0</v>
      </c>
      <c r="DN51" s="97" t="e">
        <f t="shared" si="27"/>
        <v>#VALUE!</v>
      </c>
      <c r="DO51" s="115" t="e">
        <f t="shared" si="27"/>
        <v>#VALUE!</v>
      </c>
      <c r="DP51" s="100">
        <f t="shared" si="28"/>
        <v>65</v>
      </c>
      <c r="DQ51" s="116" t="e">
        <f t="shared" si="28"/>
        <v>#DIV/0!</v>
      </c>
      <c r="DR51" s="117">
        <f t="shared" si="18"/>
        <v>1197.2</v>
      </c>
      <c r="DS51" s="118">
        <f t="shared" si="2"/>
        <v>100</v>
      </c>
      <c r="DT51" s="104" t="e">
        <f t="shared" si="3"/>
        <v>#VALUE!</v>
      </c>
      <c r="DU51" s="118" t="e">
        <f t="shared" si="4"/>
        <v>#VALUE!</v>
      </c>
      <c r="DV51" s="104">
        <f t="shared" si="5"/>
        <v>77250</v>
      </c>
      <c r="DW51" s="119">
        <f t="shared" si="6"/>
        <v>100</v>
      </c>
      <c r="DX51" s="120" t="e">
        <f t="shared" si="7"/>
        <v>#VALUE!</v>
      </c>
      <c r="DY51" s="118" t="e">
        <f t="shared" si="8"/>
        <v>#VALUE!</v>
      </c>
      <c r="DZ51" s="104">
        <f t="shared" si="9"/>
        <v>77250</v>
      </c>
      <c r="EA51" s="119">
        <f t="shared" si="10"/>
        <v>100</v>
      </c>
      <c r="EB51" s="120" t="e">
        <f t="shared" si="11"/>
        <v>#VALUE!</v>
      </c>
      <c r="EC51" s="118" t="e">
        <f t="shared" si="12"/>
        <v>#VALUE!</v>
      </c>
      <c r="ED51" s="104">
        <f t="shared" si="13"/>
        <v>0</v>
      </c>
      <c r="EE51" s="121">
        <v>0</v>
      </c>
      <c r="EF51" s="120" t="e">
        <f t="shared" si="14"/>
        <v>#VALUE!</v>
      </c>
      <c r="EG51" s="121" t="e">
        <f t="shared" si="15"/>
        <v>#VALUE!</v>
      </c>
      <c r="EH51" s="122" t="e">
        <f t="shared" si="19"/>
        <v>#DIV/0!</v>
      </c>
      <c r="EI51" s="123" t="e">
        <f t="shared" si="20"/>
        <v>#DIV/0!</v>
      </c>
    </row>
    <row r="52" spans="1:139" s="5" customFormat="1" ht="15.75" customHeight="1" x14ac:dyDescent="0.25">
      <c r="A52" s="1070"/>
      <c r="B52" s="178"/>
      <c r="C52" s="180" t="s">
        <v>47</v>
      </c>
      <c r="D52" s="92">
        <v>216</v>
      </c>
      <c r="E52" s="93"/>
      <c r="F52" s="93">
        <v>10.004631773969431</v>
      </c>
      <c r="G52" s="93"/>
      <c r="H52" s="158" t="s">
        <v>44</v>
      </c>
      <c r="I52" s="159" t="s">
        <v>44</v>
      </c>
      <c r="J52" s="96">
        <v>32562</v>
      </c>
      <c r="K52" s="97"/>
      <c r="L52" s="98" t="s">
        <v>44</v>
      </c>
      <c r="M52" s="99" t="s">
        <v>44</v>
      </c>
      <c r="N52" s="100">
        <v>32562</v>
      </c>
      <c r="O52" s="97"/>
      <c r="P52" s="158" t="s">
        <v>44</v>
      </c>
      <c r="Q52" s="159" t="s">
        <v>44</v>
      </c>
      <c r="R52" s="100">
        <v>0</v>
      </c>
      <c r="S52" s="97"/>
      <c r="T52" s="158" t="s">
        <v>44</v>
      </c>
      <c r="U52" s="159" t="s">
        <v>44</v>
      </c>
      <c r="V52" s="102">
        <v>151</v>
      </c>
      <c r="W52" s="102"/>
      <c r="X52" s="92">
        <v>190.1</v>
      </c>
      <c r="Y52" s="93"/>
      <c r="Z52" s="93">
        <v>8.7042124542124544</v>
      </c>
      <c r="AA52" s="93"/>
      <c r="AB52" s="158" t="s">
        <v>44</v>
      </c>
      <c r="AC52" s="159" t="s">
        <v>44</v>
      </c>
      <c r="AD52" s="96">
        <v>28187</v>
      </c>
      <c r="AE52" s="97"/>
      <c r="AF52" s="98" t="s">
        <v>44</v>
      </c>
      <c r="AG52" s="99" t="s">
        <v>44</v>
      </c>
      <c r="AH52" s="100">
        <v>28187</v>
      </c>
      <c r="AI52" s="97"/>
      <c r="AJ52" s="158" t="s">
        <v>44</v>
      </c>
      <c r="AK52" s="159" t="s">
        <v>44</v>
      </c>
      <c r="AL52" s="100">
        <v>0</v>
      </c>
      <c r="AM52" s="97"/>
      <c r="AN52" s="158" t="s">
        <v>44</v>
      </c>
      <c r="AO52" s="159" t="s">
        <v>44</v>
      </c>
      <c r="AP52" s="102">
        <v>148</v>
      </c>
      <c r="AQ52" s="102"/>
      <c r="AR52" s="92">
        <v>167.3</v>
      </c>
      <c r="AS52" s="93"/>
      <c r="AT52" s="93">
        <v>7.5769927536231894</v>
      </c>
      <c r="AU52" s="93"/>
      <c r="AV52" s="158" t="s">
        <v>44</v>
      </c>
      <c r="AW52" s="159" t="s">
        <v>44</v>
      </c>
      <c r="AX52" s="96">
        <v>20741</v>
      </c>
      <c r="AY52" s="97"/>
      <c r="AZ52" s="98" t="s">
        <v>44</v>
      </c>
      <c r="BA52" s="99" t="s">
        <v>44</v>
      </c>
      <c r="BB52" s="100">
        <v>20741</v>
      </c>
      <c r="BC52" s="97"/>
      <c r="BD52" s="158" t="s">
        <v>44</v>
      </c>
      <c r="BE52" s="159" t="s">
        <v>44</v>
      </c>
      <c r="BF52" s="100">
        <v>0</v>
      </c>
      <c r="BG52" s="97"/>
      <c r="BH52" s="158" t="s">
        <v>44</v>
      </c>
      <c r="BI52" s="159" t="s">
        <v>44</v>
      </c>
      <c r="BJ52" s="102">
        <v>124</v>
      </c>
      <c r="BK52" s="102"/>
      <c r="BL52" s="92">
        <v>211.8</v>
      </c>
      <c r="BM52" s="93"/>
      <c r="BN52" s="93">
        <v>9.5880488909008612</v>
      </c>
      <c r="BO52" s="93"/>
      <c r="BP52" s="158" t="s">
        <v>44</v>
      </c>
      <c r="BQ52" s="159" t="s">
        <v>44</v>
      </c>
      <c r="BR52" s="96">
        <v>33313</v>
      </c>
      <c r="BS52" s="97"/>
      <c r="BT52" s="98" t="s">
        <v>44</v>
      </c>
      <c r="BU52" s="99" t="s">
        <v>44</v>
      </c>
      <c r="BV52" s="100">
        <v>33313</v>
      </c>
      <c r="BW52" s="97"/>
      <c r="BX52" s="158" t="s">
        <v>44</v>
      </c>
      <c r="BY52" s="159" t="s">
        <v>44</v>
      </c>
      <c r="BZ52" s="100">
        <v>0</v>
      </c>
      <c r="CA52" s="97"/>
      <c r="CB52" s="158" t="s">
        <v>44</v>
      </c>
      <c r="CC52" s="159" t="s">
        <v>44</v>
      </c>
      <c r="CD52" s="102">
        <v>157</v>
      </c>
      <c r="CE52" s="102"/>
      <c r="CF52" s="103">
        <v>785.2</v>
      </c>
      <c r="CG52" s="102"/>
      <c r="CH52" s="93">
        <v>8.9634703196347036</v>
      </c>
      <c r="CI52" s="179"/>
      <c r="CJ52" s="98" t="s">
        <v>44</v>
      </c>
      <c r="CK52" s="99" t="s">
        <v>44</v>
      </c>
      <c r="CL52" s="100">
        <v>114803</v>
      </c>
      <c r="CM52" s="107"/>
      <c r="CN52" s="108" t="s">
        <v>44</v>
      </c>
      <c r="CO52" s="99" t="s">
        <v>44</v>
      </c>
      <c r="CP52" s="100">
        <v>114803</v>
      </c>
      <c r="CQ52" s="97"/>
      <c r="CR52" s="98" t="s">
        <v>44</v>
      </c>
      <c r="CS52" s="99" t="s">
        <v>44</v>
      </c>
      <c r="CT52" s="100">
        <v>0</v>
      </c>
      <c r="CU52" s="97"/>
      <c r="CV52" s="98" t="s">
        <v>44</v>
      </c>
      <c r="CW52" s="99" t="s">
        <v>44</v>
      </c>
      <c r="CX52" s="100">
        <v>146.20860927152316</v>
      </c>
      <c r="CY52" s="174"/>
      <c r="CZ52" s="110">
        <f t="shared" si="33"/>
        <v>406.1</v>
      </c>
      <c r="DA52" s="111">
        <f t="shared" si="33"/>
        <v>0</v>
      </c>
      <c r="DB52" s="176">
        <f t="shared" si="35"/>
        <v>9.3506792539719097</v>
      </c>
      <c r="DC52" s="113">
        <f t="shared" si="35"/>
        <v>0</v>
      </c>
      <c r="DD52" s="100">
        <f t="shared" si="30"/>
        <v>60749</v>
      </c>
      <c r="DE52" s="102">
        <f t="shared" si="30"/>
        <v>0</v>
      </c>
      <c r="DF52" s="102" t="e">
        <f t="shared" si="30"/>
        <v>#VALUE!</v>
      </c>
      <c r="DG52" s="114" t="e">
        <f t="shared" si="27"/>
        <v>#VALUE!</v>
      </c>
      <c r="DH52" s="100">
        <f t="shared" si="27"/>
        <v>60749</v>
      </c>
      <c r="DI52" s="97">
        <f t="shared" si="27"/>
        <v>0</v>
      </c>
      <c r="DJ52" s="97" t="e">
        <f t="shared" si="27"/>
        <v>#VALUE!</v>
      </c>
      <c r="DK52" s="97" t="e">
        <f t="shared" si="27"/>
        <v>#VALUE!</v>
      </c>
      <c r="DL52" s="100">
        <f t="shared" si="27"/>
        <v>0</v>
      </c>
      <c r="DM52" s="97">
        <f t="shared" si="27"/>
        <v>0</v>
      </c>
      <c r="DN52" s="97" t="e">
        <f t="shared" si="27"/>
        <v>#VALUE!</v>
      </c>
      <c r="DO52" s="115" t="e">
        <f t="shared" si="27"/>
        <v>#VALUE!</v>
      </c>
      <c r="DP52" s="100">
        <f t="shared" si="28"/>
        <v>150</v>
      </c>
      <c r="DQ52" s="116" t="e">
        <f t="shared" si="28"/>
        <v>#DIV/0!</v>
      </c>
      <c r="DR52" s="117">
        <f t="shared" si="18"/>
        <v>406.1</v>
      </c>
      <c r="DS52" s="118">
        <f t="shared" si="2"/>
        <v>100</v>
      </c>
      <c r="DT52" s="104" t="e">
        <f t="shared" si="3"/>
        <v>#VALUE!</v>
      </c>
      <c r="DU52" s="118" t="e">
        <f t="shared" si="4"/>
        <v>#VALUE!</v>
      </c>
      <c r="DV52" s="104">
        <f t="shared" si="5"/>
        <v>60749</v>
      </c>
      <c r="DW52" s="119">
        <f t="shared" si="6"/>
        <v>100</v>
      </c>
      <c r="DX52" s="120" t="e">
        <f t="shared" si="7"/>
        <v>#VALUE!</v>
      </c>
      <c r="DY52" s="118" t="e">
        <f t="shared" si="8"/>
        <v>#VALUE!</v>
      </c>
      <c r="DZ52" s="104">
        <f t="shared" si="9"/>
        <v>60749</v>
      </c>
      <c r="EA52" s="119">
        <f t="shared" si="10"/>
        <v>100</v>
      </c>
      <c r="EB52" s="120" t="e">
        <f t="shared" si="11"/>
        <v>#VALUE!</v>
      </c>
      <c r="EC52" s="118" t="e">
        <f t="shared" si="12"/>
        <v>#VALUE!</v>
      </c>
      <c r="ED52" s="104">
        <f t="shared" si="13"/>
        <v>0</v>
      </c>
      <c r="EE52" s="121">
        <v>0</v>
      </c>
      <c r="EF52" s="120" t="e">
        <f t="shared" si="14"/>
        <v>#VALUE!</v>
      </c>
      <c r="EG52" s="121" t="e">
        <f t="shared" si="15"/>
        <v>#VALUE!</v>
      </c>
      <c r="EH52" s="122" t="e">
        <f t="shared" si="19"/>
        <v>#DIV/0!</v>
      </c>
      <c r="EI52" s="123" t="e">
        <f t="shared" si="20"/>
        <v>#DIV/0!</v>
      </c>
    </row>
    <row r="53" spans="1:139" s="5" customFormat="1" ht="15.75" customHeight="1" x14ac:dyDescent="0.25">
      <c r="A53" s="1070"/>
      <c r="B53" s="178"/>
      <c r="C53" s="180" t="s">
        <v>48</v>
      </c>
      <c r="D53" s="92">
        <v>134.4</v>
      </c>
      <c r="E53" s="93"/>
      <c r="F53" s="93">
        <v>6.225104214914313</v>
      </c>
      <c r="G53" s="93"/>
      <c r="H53" s="158" t="s">
        <v>44</v>
      </c>
      <c r="I53" s="159" t="s">
        <v>44</v>
      </c>
      <c r="J53" s="96">
        <v>5896</v>
      </c>
      <c r="K53" s="97"/>
      <c r="L53" s="98" t="s">
        <v>44</v>
      </c>
      <c r="M53" s="99" t="s">
        <v>44</v>
      </c>
      <c r="N53" s="100">
        <v>5896</v>
      </c>
      <c r="O53" s="97"/>
      <c r="P53" s="158" t="s">
        <v>44</v>
      </c>
      <c r="Q53" s="159" t="s">
        <v>44</v>
      </c>
      <c r="R53" s="100">
        <v>0</v>
      </c>
      <c r="S53" s="97"/>
      <c r="T53" s="158" t="s">
        <v>44</v>
      </c>
      <c r="U53" s="159" t="s">
        <v>44</v>
      </c>
      <c r="V53" s="102">
        <v>44</v>
      </c>
      <c r="W53" s="102"/>
      <c r="X53" s="92">
        <v>133.80000000000001</v>
      </c>
      <c r="Y53" s="93"/>
      <c r="Z53" s="93">
        <v>6.1263736263736268</v>
      </c>
      <c r="AA53" s="93"/>
      <c r="AB53" s="158" t="s">
        <v>44</v>
      </c>
      <c r="AC53" s="159" t="s">
        <v>44</v>
      </c>
      <c r="AD53" s="96">
        <v>5840</v>
      </c>
      <c r="AE53" s="97"/>
      <c r="AF53" s="98" t="s">
        <v>44</v>
      </c>
      <c r="AG53" s="99" t="s">
        <v>44</v>
      </c>
      <c r="AH53" s="100">
        <v>5840</v>
      </c>
      <c r="AI53" s="97"/>
      <c r="AJ53" s="158" t="s">
        <v>44</v>
      </c>
      <c r="AK53" s="159" t="s">
        <v>44</v>
      </c>
      <c r="AL53" s="100">
        <v>0</v>
      </c>
      <c r="AM53" s="97"/>
      <c r="AN53" s="158" t="s">
        <v>44</v>
      </c>
      <c r="AO53" s="159" t="s">
        <v>44</v>
      </c>
      <c r="AP53" s="102">
        <v>44</v>
      </c>
      <c r="AQ53" s="102"/>
      <c r="AR53" s="92">
        <v>135.30000000000001</v>
      </c>
      <c r="AS53" s="93"/>
      <c r="AT53" s="93">
        <v>6.1277173913043486</v>
      </c>
      <c r="AU53" s="93"/>
      <c r="AV53" s="158" t="s">
        <v>44</v>
      </c>
      <c r="AW53" s="159" t="s">
        <v>44</v>
      </c>
      <c r="AX53" s="96">
        <v>5901</v>
      </c>
      <c r="AY53" s="97"/>
      <c r="AZ53" s="98" t="s">
        <v>44</v>
      </c>
      <c r="BA53" s="99" t="s">
        <v>44</v>
      </c>
      <c r="BB53" s="100">
        <v>5901</v>
      </c>
      <c r="BC53" s="97"/>
      <c r="BD53" s="158" t="s">
        <v>44</v>
      </c>
      <c r="BE53" s="159" t="s">
        <v>44</v>
      </c>
      <c r="BF53" s="100">
        <v>0</v>
      </c>
      <c r="BG53" s="97"/>
      <c r="BH53" s="158" t="s">
        <v>44</v>
      </c>
      <c r="BI53" s="159" t="s">
        <v>44</v>
      </c>
      <c r="BJ53" s="102">
        <v>44</v>
      </c>
      <c r="BK53" s="102"/>
      <c r="BL53" s="92">
        <v>134.4</v>
      </c>
      <c r="BM53" s="93"/>
      <c r="BN53" s="93">
        <v>6.0842009959257588</v>
      </c>
      <c r="BO53" s="93"/>
      <c r="BP53" s="158" t="s">
        <v>44</v>
      </c>
      <c r="BQ53" s="159" t="s">
        <v>44</v>
      </c>
      <c r="BR53" s="96">
        <v>5976</v>
      </c>
      <c r="BS53" s="97"/>
      <c r="BT53" s="98" t="s">
        <v>44</v>
      </c>
      <c r="BU53" s="99" t="s">
        <v>44</v>
      </c>
      <c r="BV53" s="100">
        <v>5976</v>
      </c>
      <c r="BW53" s="97"/>
      <c r="BX53" s="158" t="s">
        <v>44</v>
      </c>
      <c r="BY53" s="159" t="s">
        <v>44</v>
      </c>
      <c r="BZ53" s="100">
        <v>0</v>
      </c>
      <c r="CA53" s="97"/>
      <c r="CB53" s="158" t="s">
        <v>44</v>
      </c>
      <c r="CC53" s="159" t="s">
        <v>44</v>
      </c>
      <c r="CD53" s="102">
        <v>44</v>
      </c>
      <c r="CE53" s="102"/>
      <c r="CF53" s="103">
        <v>537.90000000000009</v>
      </c>
      <c r="CG53" s="102"/>
      <c r="CH53" s="93">
        <v>6.1404109589041109</v>
      </c>
      <c r="CI53" s="179"/>
      <c r="CJ53" s="98" t="s">
        <v>44</v>
      </c>
      <c r="CK53" s="99" t="s">
        <v>44</v>
      </c>
      <c r="CL53" s="100">
        <v>23613</v>
      </c>
      <c r="CM53" s="107"/>
      <c r="CN53" s="108" t="s">
        <v>44</v>
      </c>
      <c r="CO53" s="99" t="s">
        <v>44</v>
      </c>
      <c r="CP53" s="100">
        <v>23613</v>
      </c>
      <c r="CQ53" s="97"/>
      <c r="CR53" s="98" t="s">
        <v>44</v>
      </c>
      <c r="CS53" s="99" t="s">
        <v>44</v>
      </c>
      <c r="CT53" s="100">
        <v>0</v>
      </c>
      <c r="CU53" s="97"/>
      <c r="CV53" s="98" t="s">
        <v>44</v>
      </c>
      <c r="CW53" s="99" t="s">
        <v>44</v>
      </c>
      <c r="CX53" s="100">
        <v>43.898494143892911</v>
      </c>
      <c r="CY53" s="174"/>
      <c r="CZ53" s="110">
        <f t="shared" si="33"/>
        <v>268.20000000000005</v>
      </c>
      <c r="DA53" s="111">
        <f t="shared" si="33"/>
        <v>0</v>
      </c>
      <c r="DB53" s="176">
        <f t="shared" si="35"/>
        <v>6.1754547547778049</v>
      </c>
      <c r="DC53" s="113">
        <f t="shared" si="35"/>
        <v>0</v>
      </c>
      <c r="DD53" s="100">
        <f t="shared" si="30"/>
        <v>11736</v>
      </c>
      <c r="DE53" s="102">
        <f t="shared" si="30"/>
        <v>0</v>
      </c>
      <c r="DF53" s="102" t="e">
        <f t="shared" si="30"/>
        <v>#VALUE!</v>
      </c>
      <c r="DG53" s="114" t="e">
        <f t="shared" si="27"/>
        <v>#VALUE!</v>
      </c>
      <c r="DH53" s="100">
        <f t="shared" si="27"/>
        <v>11736</v>
      </c>
      <c r="DI53" s="97">
        <f t="shared" si="27"/>
        <v>0</v>
      </c>
      <c r="DJ53" s="97" t="e">
        <f t="shared" si="27"/>
        <v>#VALUE!</v>
      </c>
      <c r="DK53" s="97" t="e">
        <f t="shared" si="27"/>
        <v>#VALUE!</v>
      </c>
      <c r="DL53" s="100">
        <f t="shared" si="27"/>
        <v>0</v>
      </c>
      <c r="DM53" s="97">
        <f t="shared" si="27"/>
        <v>0</v>
      </c>
      <c r="DN53" s="97" t="e">
        <f t="shared" si="27"/>
        <v>#VALUE!</v>
      </c>
      <c r="DO53" s="115" t="e">
        <f t="shared" si="27"/>
        <v>#VALUE!</v>
      </c>
      <c r="DP53" s="100">
        <f t="shared" si="28"/>
        <v>44</v>
      </c>
      <c r="DQ53" s="116" t="e">
        <f t="shared" si="28"/>
        <v>#DIV/0!</v>
      </c>
      <c r="DR53" s="117">
        <f t="shared" si="18"/>
        <v>268.20000000000005</v>
      </c>
      <c r="DS53" s="118">
        <f t="shared" si="2"/>
        <v>100</v>
      </c>
      <c r="DT53" s="104" t="e">
        <f t="shared" si="3"/>
        <v>#VALUE!</v>
      </c>
      <c r="DU53" s="118" t="e">
        <f t="shared" si="4"/>
        <v>#VALUE!</v>
      </c>
      <c r="DV53" s="104">
        <f t="shared" si="5"/>
        <v>11736</v>
      </c>
      <c r="DW53" s="119">
        <f t="shared" si="6"/>
        <v>100</v>
      </c>
      <c r="DX53" s="120" t="e">
        <f t="shared" si="7"/>
        <v>#VALUE!</v>
      </c>
      <c r="DY53" s="118" t="e">
        <f t="shared" si="8"/>
        <v>#VALUE!</v>
      </c>
      <c r="DZ53" s="104">
        <f t="shared" si="9"/>
        <v>11736</v>
      </c>
      <c r="EA53" s="119">
        <f t="shared" si="10"/>
        <v>100</v>
      </c>
      <c r="EB53" s="120" t="e">
        <f t="shared" si="11"/>
        <v>#VALUE!</v>
      </c>
      <c r="EC53" s="118" t="e">
        <f t="shared" si="12"/>
        <v>#VALUE!</v>
      </c>
      <c r="ED53" s="104">
        <f t="shared" si="13"/>
        <v>0</v>
      </c>
      <c r="EE53" s="121">
        <v>0</v>
      </c>
      <c r="EF53" s="120" t="e">
        <f t="shared" si="14"/>
        <v>#VALUE!</v>
      </c>
      <c r="EG53" s="121" t="e">
        <f t="shared" si="15"/>
        <v>#VALUE!</v>
      </c>
      <c r="EH53" s="122" t="e">
        <f t="shared" si="19"/>
        <v>#DIV/0!</v>
      </c>
      <c r="EI53" s="123" t="e">
        <f t="shared" si="20"/>
        <v>#DIV/0!</v>
      </c>
    </row>
    <row r="54" spans="1:139" ht="15.75" customHeight="1" x14ac:dyDescent="0.25">
      <c r="A54" s="1070"/>
      <c r="B54" s="169"/>
      <c r="C54" s="91" t="s">
        <v>49</v>
      </c>
      <c r="D54" s="92">
        <v>448.5</v>
      </c>
      <c r="E54" s="93"/>
      <c r="F54" s="93">
        <v>20.773506252894858</v>
      </c>
      <c r="G54" s="93"/>
      <c r="H54" s="158" t="s">
        <v>44</v>
      </c>
      <c r="I54" s="159" t="s">
        <v>44</v>
      </c>
      <c r="J54" s="96">
        <v>12190</v>
      </c>
      <c r="K54" s="97"/>
      <c r="L54" s="98" t="s">
        <v>44</v>
      </c>
      <c r="M54" s="99" t="s">
        <v>44</v>
      </c>
      <c r="N54" s="100">
        <v>12190</v>
      </c>
      <c r="O54" s="126"/>
      <c r="P54" s="158" t="s">
        <v>44</v>
      </c>
      <c r="Q54" s="159" t="s">
        <v>44</v>
      </c>
      <c r="R54" s="100">
        <v>0</v>
      </c>
      <c r="S54" s="97"/>
      <c r="T54" s="158" t="s">
        <v>44</v>
      </c>
      <c r="U54" s="159" t="s">
        <v>44</v>
      </c>
      <c r="V54" s="102">
        <v>27</v>
      </c>
      <c r="W54" s="102"/>
      <c r="X54" s="92">
        <v>414.3</v>
      </c>
      <c r="Y54" s="93"/>
      <c r="Z54" s="93">
        <v>18.969780219780219</v>
      </c>
      <c r="AA54" s="93"/>
      <c r="AB54" s="158" t="s">
        <v>44</v>
      </c>
      <c r="AC54" s="159" t="s">
        <v>44</v>
      </c>
      <c r="AD54" s="96">
        <v>12029</v>
      </c>
      <c r="AE54" s="97"/>
      <c r="AF54" s="98" t="s">
        <v>44</v>
      </c>
      <c r="AG54" s="99" t="s">
        <v>44</v>
      </c>
      <c r="AH54" s="100">
        <v>12029</v>
      </c>
      <c r="AI54" s="126"/>
      <c r="AJ54" s="158" t="s">
        <v>44</v>
      </c>
      <c r="AK54" s="159" t="s">
        <v>44</v>
      </c>
      <c r="AL54" s="100">
        <v>0</v>
      </c>
      <c r="AM54" s="97"/>
      <c r="AN54" s="158" t="s">
        <v>44</v>
      </c>
      <c r="AO54" s="159" t="s">
        <v>44</v>
      </c>
      <c r="AP54" s="102">
        <v>29</v>
      </c>
      <c r="AQ54" s="102"/>
      <c r="AR54" s="92">
        <v>441.5</v>
      </c>
      <c r="AS54" s="93"/>
      <c r="AT54" s="93">
        <v>19.995471014492754</v>
      </c>
      <c r="AU54" s="93"/>
      <c r="AV54" s="158" t="s">
        <v>44</v>
      </c>
      <c r="AW54" s="159" t="s">
        <v>44</v>
      </c>
      <c r="AX54" s="96">
        <v>11964</v>
      </c>
      <c r="AY54" s="97"/>
      <c r="AZ54" s="98" t="s">
        <v>44</v>
      </c>
      <c r="BA54" s="99" t="s">
        <v>44</v>
      </c>
      <c r="BB54" s="100">
        <v>11964</v>
      </c>
      <c r="BC54" s="126"/>
      <c r="BD54" s="158" t="s">
        <v>44</v>
      </c>
      <c r="BE54" s="159" t="s">
        <v>44</v>
      </c>
      <c r="BF54" s="100">
        <v>0</v>
      </c>
      <c r="BG54" s="97"/>
      <c r="BH54" s="158" t="s">
        <v>44</v>
      </c>
      <c r="BI54" s="159" t="s">
        <v>44</v>
      </c>
      <c r="BJ54" s="102">
        <v>27</v>
      </c>
      <c r="BK54" s="102"/>
      <c r="BL54" s="92">
        <v>386.6</v>
      </c>
      <c r="BM54" s="93"/>
      <c r="BN54" s="93">
        <v>17.501131733816209</v>
      </c>
      <c r="BO54" s="93"/>
      <c r="BP54" s="158" t="s">
        <v>44</v>
      </c>
      <c r="BQ54" s="159" t="s">
        <v>44</v>
      </c>
      <c r="BR54" s="96">
        <v>12342</v>
      </c>
      <c r="BS54" s="97"/>
      <c r="BT54" s="98" t="s">
        <v>44</v>
      </c>
      <c r="BU54" s="99" t="s">
        <v>44</v>
      </c>
      <c r="BV54" s="100">
        <v>12342</v>
      </c>
      <c r="BW54" s="126"/>
      <c r="BX54" s="158" t="s">
        <v>44</v>
      </c>
      <c r="BY54" s="159" t="s">
        <v>44</v>
      </c>
      <c r="BZ54" s="100">
        <v>0</v>
      </c>
      <c r="CA54" s="97"/>
      <c r="CB54" s="158" t="s">
        <v>44</v>
      </c>
      <c r="CC54" s="159" t="s">
        <v>44</v>
      </c>
      <c r="CD54" s="102">
        <v>32</v>
      </c>
      <c r="CE54" s="102"/>
      <c r="CF54" s="103">
        <v>1690.9</v>
      </c>
      <c r="CG54" s="102"/>
      <c r="CH54" s="93">
        <v>19.302511415525114</v>
      </c>
      <c r="CI54" s="179"/>
      <c r="CJ54" s="98" t="s">
        <v>44</v>
      </c>
      <c r="CK54" s="99" t="s">
        <v>44</v>
      </c>
      <c r="CL54" s="100">
        <v>48525</v>
      </c>
      <c r="CM54" s="107"/>
      <c r="CN54" s="108" t="s">
        <v>44</v>
      </c>
      <c r="CO54" s="99" t="s">
        <v>44</v>
      </c>
      <c r="CP54" s="100">
        <v>48525</v>
      </c>
      <c r="CQ54" s="97"/>
      <c r="CR54" s="98" t="s">
        <v>44</v>
      </c>
      <c r="CS54" s="99" t="s">
        <v>44</v>
      </c>
      <c r="CT54" s="100">
        <v>0</v>
      </c>
      <c r="CU54" s="97"/>
      <c r="CV54" s="98" t="s">
        <v>44</v>
      </c>
      <c r="CW54" s="99" t="s">
        <v>44</v>
      </c>
      <c r="CX54" s="100">
        <v>28.697734934058783</v>
      </c>
      <c r="CY54" s="174"/>
      <c r="CZ54" s="110">
        <f t="shared" si="33"/>
        <v>862.8</v>
      </c>
      <c r="DA54" s="111">
        <f t="shared" si="33"/>
        <v>0</v>
      </c>
      <c r="DB54" s="176">
        <f t="shared" si="35"/>
        <v>19.866451761455213</v>
      </c>
      <c r="DC54" s="113">
        <f t="shared" si="35"/>
        <v>0</v>
      </c>
      <c r="DD54" s="100">
        <f t="shared" si="30"/>
        <v>24219</v>
      </c>
      <c r="DE54" s="102">
        <f t="shared" si="30"/>
        <v>0</v>
      </c>
      <c r="DF54" s="102" t="e">
        <f t="shared" si="30"/>
        <v>#VALUE!</v>
      </c>
      <c r="DG54" s="114" t="e">
        <f t="shared" si="27"/>
        <v>#VALUE!</v>
      </c>
      <c r="DH54" s="100">
        <f t="shared" si="27"/>
        <v>24219</v>
      </c>
      <c r="DI54" s="97">
        <f t="shared" si="27"/>
        <v>0</v>
      </c>
      <c r="DJ54" s="97" t="e">
        <f t="shared" si="27"/>
        <v>#VALUE!</v>
      </c>
      <c r="DK54" s="97" t="e">
        <f t="shared" si="27"/>
        <v>#VALUE!</v>
      </c>
      <c r="DL54" s="100">
        <f t="shared" si="27"/>
        <v>0</v>
      </c>
      <c r="DM54" s="97">
        <f t="shared" si="27"/>
        <v>0</v>
      </c>
      <c r="DN54" s="97" t="e">
        <f t="shared" si="27"/>
        <v>#VALUE!</v>
      </c>
      <c r="DO54" s="115" t="e">
        <f t="shared" si="27"/>
        <v>#VALUE!</v>
      </c>
      <c r="DP54" s="100">
        <f t="shared" si="28"/>
        <v>28</v>
      </c>
      <c r="DQ54" s="116" t="e">
        <f t="shared" si="28"/>
        <v>#DIV/0!</v>
      </c>
      <c r="DR54" s="117">
        <f t="shared" si="18"/>
        <v>862.8</v>
      </c>
      <c r="DS54" s="118">
        <f t="shared" si="2"/>
        <v>100</v>
      </c>
      <c r="DT54" s="104" t="e">
        <f t="shared" si="3"/>
        <v>#VALUE!</v>
      </c>
      <c r="DU54" s="118" t="e">
        <f t="shared" si="4"/>
        <v>#VALUE!</v>
      </c>
      <c r="DV54" s="104">
        <f t="shared" si="5"/>
        <v>24219</v>
      </c>
      <c r="DW54" s="119">
        <f t="shared" si="6"/>
        <v>100</v>
      </c>
      <c r="DX54" s="120" t="e">
        <f t="shared" si="7"/>
        <v>#VALUE!</v>
      </c>
      <c r="DY54" s="118" t="e">
        <f t="shared" si="8"/>
        <v>#VALUE!</v>
      </c>
      <c r="DZ54" s="104">
        <f t="shared" si="9"/>
        <v>24219</v>
      </c>
      <c r="EA54" s="119">
        <f t="shared" si="10"/>
        <v>100</v>
      </c>
      <c r="EB54" s="120" t="e">
        <f t="shared" si="11"/>
        <v>#VALUE!</v>
      </c>
      <c r="EC54" s="118" t="e">
        <f t="shared" si="12"/>
        <v>#VALUE!</v>
      </c>
      <c r="ED54" s="104">
        <f t="shared" si="13"/>
        <v>0</v>
      </c>
      <c r="EE54" s="121">
        <v>0</v>
      </c>
      <c r="EF54" s="120" t="e">
        <f t="shared" si="14"/>
        <v>#VALUE!</v>
      </c>
      <c r="EG54" s="121" t="e">
        <f t="shared" si="15"/>
        <v>#VALUE!</v>
      </c>
      <c r="EH54" s="122" t="e">
        <f t="shared" si="19"/>
        <v>#DIV/0!</v>
      </c>
      <c r="EI54" s="123" t="e">
        <f t="shared" si="20"/>
        <v>#DIV/0!</v>
      </c>
    </row>
    <row r="55" spans="1:139" s="157" customFormat="1" ht="15.75" customHeight="1" x14ac:dyDescent="0.25">
      <c r="A55" s="1070"/>
      <c r="B55" s="164" t="s">
        <v>58</v>
      </c>
      <c r="C55" s="165"/>
      <c r="D55" s="132">
        <v>4305.8999999999996</v>
      </c>
      <c r="E55" s="133"/>
      <c r="F55" s="133">
        <v>39.587566310253841</v>
      </c>
      <c r="G55" s="133"/>
      <c r="H55" s="134" t="s">
        <v>44</v>
      </c>
      <c r="I55" s="135" t="s">
        <v>44</v>
      </c>
      <c r="J55" s="136">
        <v>74982</v>
      </c>
      <c r="K55" s="86"/>
      <c r="L55" s="137" t="s">
        <v>44</v>
      </c>
      <c r="M55" s="138" t="s">
        <v>44</v>
      </c>
      <c r="N55" s="139">
        <v>74982</v>
      </c>
      <c r="O55" s="140"/>
      <c r="P55" s="134" t="s">
        <v>44</v>
      </c>
      <c r="Q55" s="135" t="s">
        <v>44</v>
      </c>
      <c r="R55" s="139">
        <v>0</v>
      </c>
      <c r="S55" s="140"/>
      <c r="T55" s="134" t="s">
        <v>44</v>
      </c>
      <c r="U55" s="135" t="s">
        <v>44</v>
      </c>
      <c r="V55" s="141">
        <v>17</v>
      </c>
      <c r="W55" s="141"/>
      <c r="X55" s="132">
        <v>4330</v>
      </c>
      <c r="Y55" s="133"/>
      <c r="Z55" s="133">
        <v>39.446473958950151</v>
      </c>
      <c r="AA55" s="133"/>
      <c r="AB55" s="134" t="s">
        <v>44</v>
      </c>
      <c r="AC55" s="135" t="s">
        <v>44</v>
      </c>
      <c r="AD55" s="136">
        <v>77017</v>
      </c>
      <c r="AE55" s="86"/>
      <c r="AF55" s="137" t="s">
        <v>44</v>
      </c>
      <c r="AG55" s="138" t="s">
        <v>44</v>
      </c>
      <c r="AH55" s="139">
        <v>77017</v>
      </c>
      <c r="AI55" s="140"/>
      <c r="AJ55" s="134" t="s">
        <v>44</v>
      </c>
      <c r="AK55" s="135" t="s">
        <v>44</v>
      </c>
      <c r="AL55" s="139">
        <v>0</v>
      </c>
      <c r="AM55" s="140"/>
      <c r="AN55" s="134" t="s">
        <v>44</v>
      </c>
      <c r="AO55" s="135" t="s">
        <v>44</v>
      </c>
      <c r="AP55" s="141">
        <v>18</v>
      </c>
      <c r="AQ55" s="141"/>
      <c r="AR55" s="132">
        <v>4069</v>
      </c>
      <c r="AS55" s="133"/>
      <c r="AT55" s="133">
        <v>36.684427374931253</v>
      </c>
      <c r="AU55" s="133"/>
      <c r="AV55" s="134" t="s">
        <v>44</v>
      </c>
      <c r="AW55" s="135" t="s">
        <v>44</v>
      </c>
      <c r="AX55" s="136">
        <v>71298</v>
      </c>
      <c r="AY55" s="86"/>
      <c r="AZ55" s="137" t="s">
        <v>44</v>
      </c>
      <c r="BA55" s="138" t="s">
        <v>44</v>
      </c>
      <c r="BB55" s="139">
        <v>71298</v>
      </c>
      <c r="BC55" s="140"/>
      <c r="BD55" s="134" t="s">
        <v>44</v>
      </c>
      <c r="BE55" s="135" t="s">
        <v>44</v>
      </c>
      <c r="BF55" s="139">
        <v>0</v>
      </c>
      <c r="BG55" s="140"/>
      <c r="BH55" s="134" t="s">
        <v>44</v>
      </c>
      <c r="BI55" s="135" t="s">
        <v>44</v>
      </c>
      <c r="BJ55" s="141">
        <v>18</v>
      </c>
      <c r="BK55" s="141"/>
      <c r="BL55" s="132">
        <v>4392.1000000000004</v>
      </c>
      <c r="BM55" s="133"/>
      <c r="BN55" s="133">
        <v>39.366669953123186</v>
      </c>
      <c r="BO55" s="133"/>
      <c r="BP55" s="134" t="s">
        <v>44</v>
      </c>
      <c r="BQ55" s="135" t="s">
        <v>44</v>
      </c>
      <c r="BR55" s="136">
        <v>79799</v>
      </c>
      <c r="BS55" s="86"/>
      <c r="BT55" s="137" t="s">
        <v>44</v>
      </c>
      <c r="BU55" s="138" t="s">
        <v>44</v>
      </c>
      <c r="BV55" s="139">
        <v>79799</v>
      </c>
      <c r="BW55" s="140"/>
      <c r="BX55" s="134" t="s">
        <v>44</v>
      </c>
      <c r="BY55" s="135" t="s">
        <v>44</v>
      </c>
      <c r="BZ55" s="139">
        <v>0</v>
      </c>
      <c r="CA55" s="140"/>
      <c r="CB55" s="134" t="s">
        <v>44</v>
      </c>
      <c r="CC55" s="135" t="s">
        <v>44</v>
      </c>
      <c r="CD55" s="141">
        <v>18</v>
      </c>
      <c r="CE55" s="141"/>
      <c r="CF55" s="142">
        <v>17097</v>
      </c>
      <c r="CG55" s="141"/>
      <c r="CH55" s="133">
        <v>38.766421934307722</v>
      </c>
      <c r="CI55" s="143"/>
      <c r="CJ55" s="137" t="s">
        <v>44</v>
      </c>
      <c r="CK55" s="138" t="s">
        <v>44</v>
      </c>
      <c r="CL55" s="139">
        <v>303096</v>
      </c>
      <c r="CM55" s="144"/>
      <c r="CN55" s="145" t="s">
        <v>44</v>
      </c>
      <c r="CO55" s="138" t="s">
        <v>44</v>
      </c>
      <c r="CP55" s="139">
        <v>303096</v>
      </c>
      <c r="CQ55" s="140"/>
      <c r="CR55" s="137" t="s">
        <v>44</v>
      </c>
      <c r="CS55" s="138" t="s">
        <v>44</v>
      </c>
      <c r="CT55" s="139">
        <v>0</v>
      </c>
      <c r="CU55" s="140"/>
      <c r="CV55" s="137" t="s">
        <v>44</v>
      </c>
      <c r="CW55" s="138" t="s">
        <v>44</v>
      </c>
      <c r="CX55" s="139">
        <v>17.728022460080716</v>
      </c>
      <c r="CY55" s="175"/>
      <c r="CZ55" s="147">
        <f t="shared" si="33"/>
        <v>8635.9</v>
      </c>
      <c r="DA55" s="148">
        <f t="shared" si="33"/>
        <v>0</v>
      </c>
      <c r="DB55" s="177" t="e">
        <f>(CZ55/#REF!)*100</f>
        <v>#REF!</v>
      </c>
      <c r="DC55" s="150" t="e">
        <f>(DA55/#REF!)*100</f>
        <v>#REF!</v>
      </c>
      <c r="DD55" s="139">
        <f t="shared" si="30"/>
        <v>151999</v>
      </c>
      <c r="DE55" s="141">
        <f t="shared" si="30"/>
        <v>0</v>
      </c>
      <c r="DF55" s="141" t="e">
        <f t="shared" si="30"/>
        <v>#VALUE!</v>
      </c>
      <c r="DG55" s="151" t="e">
        <f t="shared" si="27"/>
        <v>#VALUE!</v>
      </c>
      <c r="DH55" s="139">
        <f t="shared" si="27"/>
        <v>151999</v>
      </c>
      <c r="DI55" s="140">
        <f t="shared" si="27"/>
        <v>0</v>
      </c>
      <c r="DJ55" s="140" t="e">
        <f t="shared" si="27"/>
        <v>#VALUE!</v>
      </c>
      <c r="DK55" s="140" t="e">
        <f t="shared" si="27"/>
        <v>#VALUE!</v>
      </c>
      <c r="DL55" s="139">
        <f t="shared" si="27"/>
        <v>0</v>
      </c>
      <c r="DM55" s="140">
        <f t="shared" si="27"/>
        <v>0</v>
      </c>
      <c r="DN55" s="140" t="e">
        <f t="shared" si="27"/>
        <v>#VALUE!</v>
      </c>
      <c r="DO55" s="152" t="e">
        <f t="shared" si="27"/>
        <v>#VALUE!</v>
      </c>
      <c r="DP55" s="139">
        <f t="shared" si="28"/>
        <v>18</v>
      </c>
      <c r="DQ55" s="153" t="e">
        <f t="shared" si="28"/>
        <v>#DIV/0!</v>
      </c>
      <c r="DR55" s="154">
        <f t="shared" si="18"/>
        <v>8635.9</v>
      </c>
      <c r="DS55" s="84">
        <f t="shared" si="2"/>
        <v>100</v>
      </c>
      <c r="DT55" s="79" t="e">
        <f t="shared" si="3"/>
        <v>#VALUE!</v>
      </c>
      <c r="DU55" s="84" t="e">
        <f t="shared" si="4"/>
        <v>#VALUE!</v>
      </c>
      <c r="DV55" s="79">
        <f t="shared" si="5"/>
        <v>151999</v>
      </c>
      <c r="DW55" s="85">
        <f t="shared" si="6"/>
        <v>100</v>
      </c>
      <c r="DX55" s="86" t="e">
        <f t="shared" si="7"/>
        <v>#VALUE!</v>
      </c>
      <c r="DY55" s="84" t="e">
        <f t="shared" si="8"/>
        <v>#VALUE!</v>
      </c>
      <c r="DZ55" s="79">
        <f t="shared" si="9"/>
        <v>151999</v>
      </c>
      <c r="EA55" s="85">
        <f t="shared" si="10"/>
        <v>100</v>
      </c>
      <c r="EB55" s="86" t="e">
        <f t="shared" si="11"/>
        <v>#VALUE!</v>
      </c>
      <c r="EC55" s="84" t="e">
        <f t="shared" si="12"/>
        <v>#VALUE!</v>
      </c>
      <c r="ED55" s="79">
        <f t="shared" si="13"/>
        <v>0</v>
      </c>
      <c r="EE55" s="87">
        <v>0</v>
      </c>
      <c r="EF55" s="86" t="e">
        <f t="shared" si="14"/>
        <v>#VALUE!</v>
      </c>
      <c r="EG55" s="87" t="e">
        <f t="shared" si="15"/>
        <v>#VALUE!</v>
      </c>
      <c r="EH55" s="155" t="e">
        <f t="shared" si="19"/>
        <v>#DIV/0!</v>
      </c>
      <c r="EI55" s="156" t="e">
        <f t="shared" si="20"/>
        <v>#DIV/0!</v>
      </c>
    </row>
    <row r="56" spans="1:139" s="124" customFormat="1" ht="15.75" customHeight="1" x14ac:dyDescent="0.25">
      <c r="A56" s="1070"/>
      <c r="B56" s="90"/>
      <c r="C56" s="91" t="s">
        <v>45</v>
      </c>
      <c r="D56" s="92">
        <v>226.9</v>
      </c>
      <c r="E56" s="93"/>
      <c r="F56" s="93">
        <v>10.509495136637332</v>
      </c>
      <c r="G56" s="93"/>
      <c r="H56" s="186" t="s">
        <v>44</v>
      </c>
      <c r="I56" s="187" t="s">
        <v>44</v>
      </c>
      <c r="J56" s="122">
        <v>5217</v>
      </c>
      <c r="K56" s="101"/>
      <c r="L56" s="188" t="s">
        <v>44</v>
      </c>
      <c r="M56" s="189" t="s">
        <v>44</v>
      </c>
      <c r="N56" s="184">
        <v>5217</v>
      </c>
      <c r="O56" s="101"/>
      <c r="P56" s="186" t="s">
        <v>44</v>
      </c>
      <c r="Q56" s="187" t="s">
        <v>44</v>
      </c>
      <c r="R56" s="184">
        <v>0</v>
      </c>
      <c r="S56" s="101"/>
      <c r="T56" s="186" t="s">
        <v>44</v>
      </c>
      <c r="U56" s="187" t="s">
        <v>44</v>
      </c>
      <c r="V56" s="102">
        <v>23</v>
      </c>
      <c r="W56" s="102"/>
      <c r="X56" s="92">
        <v>239.8</v>
      </c>
      <c r="Y56" s="93"/>
      <c r="Z56" s="93">
        <v>10.97985347985348</v>
      </c>
      <c r="AA56" s="93"/>
      <c r="AB56" s="186" t="s">
        <v>44</v>
      </c>
      <c r="AC56" s="187" t="s">
        <v>44</v>
      </c>
      <c r="AD56" s="122">
        <v>5665</v>
      </c>
      <c r="AE56" s="101"/>
      <c r="AF56" s="188" t="s">
        <v>44</v>
      </c>
      <c r="AG56" s="189" t="s">
        <v>44</v>
      </c>
      <c r="AH56" s="184">
        <v>5665</v>
      </c>
      <c r="AI56" s="101"/>
      <c r="AJ56" s="186" t="s">
        <v>44</v>
      </c>
      <c r="AK56" s="187" t="s">
        <v>44</v>
      </c>
      <c r="AL56" s="184">
        <v>0</v>
      </c>
      <c r="AM56" s="101"/>
      <c r="AN56" s="186" t="s">
        <v>44</v>
      </c>
      <c r="AO56" s="187" t="s">
        <v>44</v>
      </c>
      <c r="AP56" s="102">
        <v>24</v>
      </c>
      <c r="AQ56" s="102"/>
      <c r="AR56" s="92">
        <v>230.3</v>
      </c>
      <c r="AS56" s="93"/>
      <c r="AT56" s="93">
        <v>10.430253623188406</v>
      </c>
      <c r="AU56" s="93"/>
      <c r="AV56" s="186" t="s">
        <v>44</v>
      </c>
      <c r="AW56" s="187" t="s">
        <v>44</v>
      </c>
      <c r="AX56" s="122">
        <v>5537</v>
      </c>
      <c r="AY56" s="101"/>
      <c r="AZ56" s="188" t="s">
        <v>44</v>
      </c>
      <c r="BA56" s="189" t="s">
        <v>44</v>
      </c>
      <c r="BB56" s="184">
        <v>5537</v>
      </c>
      <c r="BC56" s="101"/>
      <c r="BD56" s="186" t="s">
        <v>44</v>
      </c>
      <c r="BE56" s="187" t="s">
        <v>44</v>
      </c>
      <c r="BF56" s="184">
        <v>0</v>
      </c>
      <c r="BG56" s="101"/>
      <c r="BH56" s="186" t="s">
        <v>44</v>
      </c>
      <c r="BI56" s="187" t="s">
        <v>44</v>
      </c>
      <c r="BJ56" s="102">
        <v>24</v>
      </c>
      <c r="BK56" s="102"/>
      <c r="BL56" s="92">
        <v>227.9</v>
      </c>
      <c r="BM56" s="93"/>
      <c r="BN56" s="93">
        <v>10.3168854685378</v>
      </c>
      <c r="BO56" s="93"/>
      <c r="BP56" s="186" t="s">
        <v>44</v>
      </c>
      <c r="BQ56" s="187" t="s">
        <v>44</v>
      </c>
      <c r="BR56" s="122">
        <v>5494</v>
      </c>
      <c r="BS56" s="101"/>
      <c r="BT56" s="188" t="s">
        <v>44</v>
      </c>
      <c r="BU56" s="189" t="s">
        <v>44</v>
      </c>
      <c r="BV56" s="184">
        <v>5494</v>
      </c>
      <c r="BW56" s="101"/>
      <c r="BX56" s="186" t="s">
        <v>44</v>
      </c>
      <c r="BY56" s="187" t="s">
        <v>44</v>
      </c>
      <c r="BZ56" s="184">
        <v>0</v>
      </c>
      <c r="CA56" s="101"/>
      <c r="CB56" s="186" t="s">
        <v>44</v>
      </c>
      <c r="CC56" s="187" t="s">
        <v>44</v>
      </c>
      <c r="CD56" s="102">
        <v>24</v>
      </c>
      <c r="CE56" s="102"/>
      <c r="CF56" s="103">
        <v>924.9</v>
      </c>
      <c r="CG56" s="102"/>
      <c r="CH56" s="93">
        <v>10.558219178082192</v>
      </c>
      <c r="CI56" s="179"/>
      <c r="CJ56" s="188" t="s">
        <v>44</v>
      </c>
      <c r="CK56" s="189" t="s">
        <v>44</v>
      </c>
      <c r="CL56" s="100">
        <v>21913</v>
      </c>
      <c r="CM56" s="107"/>
      <c r="CN56" s="190" t="s">
        <v>44</v>
      </c>
      <c r="CO56" s="189" t="s">
        <v>44</v>
      </c>
      <c r="CP56" s="100">
        <v>21913</v>
      </c>
      <c r="CQ56" s="97"/>
      <c r="CR56" s="188" t="s">
        <v>44</v>
      </c>
      <c r="CS56" s="189" t="s">
        <v>44</v>
      </c>
      <c r="CT56" s="100">
        <v>0</v>
      </c>
      <c r="CU56" s="97"/>
      <c r="CV56" s="188" t="s">
        <v>44</v>
      </c>
      <c r="CW56" s="189" t="s">
        <v>44</v>
      </c>
      <c r="CX56" s="100">
        <v>23.69229105849281</v>
      </c>
      <c r="CY56" s="174"/>
      <c r="CZ56" s="110">
        <f t="shared" si="33"/>
        <v>466.70000000000005</v>
      </c>
      <c r="DA56" s="111">
        <f t="shared" si="33"/>
        <v>0</v>
      </c>
      <c r="DB56" s="176">
        <f>(CZ56/4343)*100</f>
        <v>10.746028091181211</v>
      </c>
      <c r="DC56" s="113">
        <f>(DA56/4343)*100</f>
        <v>0</v>
      </c>
      <c r="DD56" s="100">
        <f t="shared" si="30"/>
        <v>10882</v>
      </c>
      <c r="DE56" s="102">
        <f t="shared" si="30"/>
        <v>0</v>
      </c>
      <c r="DF56" s="102" t="e">
        <f t="shared" si="30"/>
        <v>#VALUE!</v>
      </c>
      <c r="DG56" s="114" t="e">
        <f t="shared" si="27"/>
        <v>#VALUE!</v>
      </c>
      <c r="DH56" s="100">
        <f t="shared" si="27"/>
        <v>10882</v>
      </c>
      <c r="DI56" s="97">
        <f t="shared" si="27"/>
        <v>0</v>
      </c>
      <c r="DJ56" s="97" t="e">
        <f t="shared" si="27"/>
        <v>#VALUE!</v>
      </c>
      <c r="DK56" s="97" t="e">
        <f t="shared" si="27"/>
        <v>#VALUE!</v>
      </c>
      <c r="DL56" s="100">
        <f t="shared" si="27"/>
        <v>0</v>
      </c>
      <c r="DM56" s="97">
        <f t="shared" si="27"/>
        <v>0</v>
      </c>
      <c r="DN56" s="97" t="e">
        <f t="shared" si="27"/>
        <v>#VALUE!</v>
      </c>
      <c r="DO56" s="115" t="e">
        <f t="shared" si="27"/>
        <v>#VALUE!</v>
      </c>
      <c r="DP56" s="100">
        <f t="shared" si="28"/>
        <v>23</v>
      </c>
      <c r="DQ56" s="116" t="e">
        <f t="shared" si="28"/>
        <v>#DIV/0!</v>
      </c>
      <c r="DR56" s="117">
        <f t="shared" si="18"/>
        <v>466.70000000000005</v>
      </c>
      <c r="DS56" s="118">
        <f t="shared" si="2"/>
        <v>100</v>
      </c>
      <c r="DT56" s="104" t="e">
        <f t="shared" si="3"/>
        <v>#VALUE!</v>
      </c>
      <c r="DU56" s="118" t="e">
        <f t="shared" si="4"/>
        <v>#VALUE!</v>
      </c>
      <c r="DV56" s="104">
        <f t="shared" si="5"/>
        <v>10882</v>
      </c>
      <c r="DW56" s="119">
        <f t="shared" si="6"/>
        <v>100</v>
      </c>
      <c r="DX56" s="120" t="e">
        <f t="shared" si="7"/>
        <v>#VALUE!</v>
      </c>
      <c r="DY56" s="118" t="e">
        <f t="shared" si="8"/>
        <v>#VALUE!</v>
      </c>
      <c r="DZ56" s="104">
        <f t="shared" si="9"/>
        <v>10882</v>
      </c>
      <c r="EA56" s="119">
        <f t="shared" si="10"/>
        <v>100</v>
      </c>
      <c r="EB56" s="120" t="e">
        <f t="shared" si="11"/>
        <v>#VALUE!</v>
      </c>
      <c r="EC56" s="118" t="e">
        <f t="shared" si="12"/>
        <v>#VALUE!</v>
      </c>
      <c r="ED56" s="104">
        <f t="shared" si="13"/>
        <v>0</v>
      </c>
      <c r="EE56" s="121">
        <v>0</v>
      </c>
      <c r="EF56" s="120" t="e">
        <f t="shared" si="14"/>
        <v>#VALUE!</v>
      </c>
      <c r="EG56" s="121" t="e">
        <f t="shared" si="15"/>
        <v>#VALUE!</v>
      </c>
      <c r="EH56" s="122" t="e">
        <f t="shared" si="19"/>
        <v>#DIV/0!</v>
      </c>
      <c r="EI56" s="123" t="e">
        <f t="shared" si="20"/>
        <v>#DIV/0!</v>
      </c>
    </row>
    <row r="57" spans="1:139" s="5" customFormat="1" ht="15.75" customHeight="1" x14ac:dyDescent="0.25">
      <c r="A57" s="1070"/>
      <c r="B57" s="178"/>
      <c r="C57" s="180" t="s">
        <v>46</v>
      </c>
      <c r="D57" s="92">
        <v>1204.8</v>
      </c>
      <c r="E57" s="93"/>
      <c r="F57" s="93">
        <v>55.803612783696153</v>
      </c>
      <c r="G57" s="93"/>
      <c r="H57" s="186" t="s">
        <v>44</v>
      </c>
      <c r="I57" s="187" t="s">
        <v>44</v>
      </c>
      <c r="J57" s="122">
        <v>19048</v>
      </c>
      <c r="K57" s="101"/>
      <c r="L57" s="188" t="s">
        <v>44</v>
      </c>
      <c r="M57" s="189" t="s">
        <v>44</v>
      </c>
      <c r="N57" s="100">
        <v>19048</v>
      </c>
      <c r="O57" s="97"/>
      <c r="P57" s="186" t="s">
        <v>44</v>
      </c>
      <c r="Q57" s="187" t="s">
        <v>44</v>
      </c>
      <c r="R57" s="100">
        <v>0</v>
      </c>
      <c r="S57" s="97"/>
      <c r="T57" s="186" t="s">
        <v>44</v>
      </c>
      <c r="U57" s="187" t="s">
        <v>44</v>
      </c>
      <c r="V57" s="102">
        <v>16</v>
      </c>
      <c r="W57" s="102"/>
      <c r="X57" s="92">
        <v>1212.2</v>
      </c>
      <c r="Y57" s="93"/>
      <c r="Z57" s="93">
        <v>55.503663003663007</v>
      </c>
      <c r="AA57" s="93"/>
      <c r="AB57" s="186" t="s">
        <v>44</v>
      </c>
      <c r="AC57" s="187" t="s">
        <v>44</v>
      </c>
      <c r="AD57" s="122">
        <v>19896</v>
      </c>
      <c r="AE57" s="101"/>
      <c r="AF57" s="188" t="s">
        <v>44</v>
      </c>
      <c r="AG57" s="189" t="s">
        <v>44</v>
      </c>
      <c r="AH57" s="100">
        <v>19896</v>
      </c>
      <c r="AI57" s="97"/>
      <c r="AJ57" s="186" t="s">
        <v>44</v>
      </c>
      <c r="AK57" s="187" t="s">
        <v>44</v>
      </c>
      <c r="AL57" s="100">
        <v>0</v>
      </c>
      <c r="AM57" s="97"/>
      <c r="AN57" s="186" t="s">
        <v>44</v>
      </c>
      <c r="AO57" s="187" t="s">
        <v>44</v>
      </c>
      <c r="AP57" s="102">
        <v>16</v>
      </c>
      <c r="AQ57" s="102"/>
      <c r="AR57" s="92">
        <v>1231.3</v>
      </c>
      <c r="AS57" s="93"/>
      <c r="AT57" s="93">
        <v>55.765398550724633</v>
      </c>
      <c r="AU57" s="93"/>
      <c r="AV57" s="186" t="s">
        <v>44</v>
      </c>
      <c r="AW57" s="187" t="s">
        <v>44</v>
      </c>
      <c r="AX57" s="122">
        <v>19964</v>
      </c>
      <c r="AY57" s="101"/>
      <c r="AZ57" s="188" t="s">
        <v>44</v>
      </c>
      <c r="BA57" s="189" t="s">
        <v>44</v>
      </c>
      <c r="BB57" s="100">
        <v>19964</v>
      </c>
      <c r="BC57" s="97"/>
      <c r="BD57" s="186" t="s">
        <v>44</v>
      </c>
      <c r="BE57" s="187" t="s">
        <v>44</v>
      </c>
      <c r="BF57" s="100">
        <v>0</v>
      </c>
      <c r="BG57" s="97"/>
      <c r="BH57" s="186" t="s">
        <v>44</v>
      </c>
      <c r="BI57" s="187" t="s">
        <v>44</v>
      </c>
      <c r="BJ57" s="102">
        <v>16</v>
      </c>
      <c r="BK57" s="102"/>
      <c r="BL57" s="92">
        <v>1232.5</v>
      </c>
      <c r="BM57" s="93"/>
      <c r="BN57" s="93">
        <v>55.794477138976916</v>
      </c>
      <c r="BO57" s="93"/>
      <c r="BP57" s="186" t="s">
        <v>44</v>
      </c>
      <c r="BQ57" s="187" t="s">
        <v>44</v>
      </c>
      <c r="BR57" s="122">
        <v>20077</v>
      </c>
      <c r="BS57" s="101"/>
      <c r="BT57" s="188" t="s">
        <v>44</v>
      </c>
      <c r="BU57" s="189" t="s">
        <v>44</v>
      </c>
      <c r="BV57" s="100">
        <v>20077</v>
      </c>
      <c r="BW57" s="97"/>
      <c r="BX57" s="186" t="s">
        <v>44</v>
      </c>
      <c r="BY57" s="187" t="s">
        <v>44</v>
      </c>
      <c r="BZ57" s="100">
        <v>0</v>
      </c>
      <c r="CA57" s="97"/>
      <c r="CB57" s="186" t="s">
        <v>44</v>
      </c>
      <c r="CC57" s="187" t="s">
        <v>44</v>
      </c>
      <c r="CD57" s="102">
        <v>16</v>
      </c>
      <c r="CE57" s="102"/>
      <c r="CF57" s="103">
        <v>4880.8</v>
      </c>
      <c r="CG57" s="102"/>
      <c r="CH57" s="93">
        <v>55.716894977168948</v>
      </c>
      <c r="CI57" s="179"/>
      <c r="CJ57" s="188" t="s">
        <v>44</v>
      </c>
      <c r="CK57" s="189" t="s">
        <v>44</v>
      </c>
      <c r="CL57" s="100">
        <v>78985</v>
      </c>
      <c r="CM57" s="107"/>
      <c r="CN57" s="190" t="s">
        <v>44</v>
      </c>
      <c r="CO57" s="189" t="s">
        <v>44</v>
      </c>
      <c r="CP57" s="100">
        <v>78985</v>
      </c>
      <c r="CQ57" s="97"/>
      <c r="CR57" s="188" t="s">
        <v>44</v>
      </c>
      <c r="CS57" s="189" t="s">
        <v>44</v>
      </c>
      <c r="CT57" s="100">
        <v>0</v>
      </c>
      <c r="CU57" s="97"/>
      <c r="CV57" s="188" t="s">
        <v>44</v>
      </c>
      <c r="CW57" s="189" t="s">
        <v>44</v>
      </c>
      <c r="CX57" s="100">
        <v>16.182797901983282</v>
      </c>
      <c r="CY57" s="174"/>
      <c r="CZ57" s="110">
        <f t="shared" si="33"/>
        <v>2417</v>
      </c>
      <c r="DA57" s="111">
        <f t="shared" si="33"/>
        <v>0</v>
      </c>
      <c r="DB57" s="176">
        <f t="shared" ref="DB57:DC60" si="36">(CZ57/4343)*100</f>
        <v>55.652774579783561</v>
      </c>
      <c r="DC57" s="113">
        <f t="shared" si="36"/>
        <v>0</v>
      </c>
      <c r="DD57" s="100">
        <f t="shared" si="30"/>
        <v>38944</v>
      </c>
      <c r="DE57" s="102">
        <f t="shared" si="30"/>
        <v>0</v>
      </c>
      <c r="DF57" s="102" t="e">
        <f t="shared" si="30"/>
        <v>#VALUE!</v>
      </c>
      <c r="DG57" s="114" t="e">
        <f t="shared" si="27"/>
        <v>#VALUE!</v>
      </c>
      <c r="DH57" s="100">
        <f t="shared" si="27"/>
        <v>38944</v>
      </c>
      <c r="DI57" s="97">
        <f t="shared" si="27"/>
        <v>0</v>
      </c>
      <c r="DJ57" s="97" t="e">
        <f t="shared" si="27"/>
        <v>#VALUE!</v>
      </c>
      <c r="DK57" s="97" t="e">
        <f t="shared" si="27"/>
        <v>#VALUE!</v>
      </c>
      <c r="DL57" s="100">
        <f t="shared" si="27"/>
        <v>0</v>
      </c>
      <c r="DM57" s="97">
        <f t="shared" si="27"/>
        <v>0</v>
      </c>
      <c r="DN57" s="97" t="e">
        <f t="shared" si="27"/>
        <v>#VALUE!</v>
      </c>
      <c r="DO57" s="115" t="e">
        <f t="shared" si="27"/>
        <v>#VALUE!</v>
      </c>
      <c r="DP57" s="100">
        <f t="shared" si="28"/>
        <v>16</v>
      </c>
      <c r="DQ57" s="116" t="e">
        <f t="shared" si="28"/>
        <v>#DIV/0!</v>
      </c>
      <c r="DR57" s="117">
        <f t="shared" si="18"/>
        <v>2417</v>
      </c>
      <c r="DS57" s="118">
        <f t="shared" si="2"/>
        <v>100</v>
      </c>
      <c r="DT57" s="104" t="e">
        <f t="shared" si="3"/>
        <v>#VALUE!</v>
      </c>
      <c r="DU57" s="118" t="e">
        <f t="shared" si="4"/>
        <v>#VALUE!</v>
      </c>
      <c r="DV57" s="104">
        <f t="shared" si="5"/>
        <v>38944</v>
      </c>
      <c r="DW57" s="119">
        <f t="shared" si="6"/>
        <v>100</v>
      </c>
      <c r="DX57" s="120" t="e">
        <f t="shared" si="7"/>
        <v>#VALUE!</v>
      </c>
      <c r="DY57" s="118" t="e">
        <f t="shared" si="8"/>
        <v>#VALUE!</v>
      </c>
      <c r="DZ57" s="104">
        <f t="shared" si="9"/>
        <v>38944</v>
      </c>
      <c r="EA57" s="119">
        <f t="shared" si="10"/>
        <v>100</v>
      </c>
      <c r="EB57" s="120" t="e">
        <f t="shared" si="11"/>
        <v>#VALUE!</v>
      </c>
      <c r="EC57" s="118" t="e">
        <f t="shared" si="12"/>
        <v>#VALUE!</v>
      </c>
      <c r="ED57" s="104">
        <f t="shared" si="13"/>
        <v>0</v>
      </c>
      <c r="EE57" s="121">
        <v>0</v>
      </c>
      <c r="EF57" s="120" t="e">
        <f t="shared" si="14"/>
        <v>#VALUE!</v>
      </c>
      <c r="EG57" s="121" t="e">
        <f t="shared" si="15"/>
        <v>#VALUE!</v>
      </c>
      <c r="EH57" s="122" t="e">
        <f t="shared" si="19"/>
        <v>#DIV/0!</v>
      </c>
      <c r="EI57" s="123" t="e">
        <f t="shared" si="20"/>
        <v>#DIV/0!</v>
      </c>
    </row>
    <row r="58" spans="1:139" ht="15.75" customHeight="1" x14ac:dyDescent="0.25">
      <c r="A58" s="1070"/>
      <c r="B58" s="169"/>
      <c r="C58" s="91" t="s">
        <v>47</v>
      </c>
      <c r="D58" s="92">
        <v>988.2</v>
      </c>
      <c r="E58" s="93"/>
      <c r="F58" s="93">
        <v>45.771190365910144</v>
      </c>
      <c r="G58" s="93"/>
      <c r="H58" s="186" t="s">
        <v>44</v>
      </c>
      <c r="I58" s="187" t="s">
        <v>44</v>
      </c>
      <c r="J58" s="122">
        <v>24791</v>
      </c>
      <c r="K58" s="101"/>
      <c r="L58" s="188" t="s">
        <v>44</v>
      </c>
      <c r="M58" s="189" t="s">
        <v>44</v>
      </c>
      <c r="N58" s="100">
        <v>24791</v>
      </c>
      <c r="O58" s="126"/>
      <c r="P58" s="186" t="s">
        <v>44</v>
      </c>
      <c r="Q58" s="187" t="s">
        <v>44</v>
      </c>
      <c r="R58" s="100">
        <v>0</v>
      </c>
      <c r="S58" s="97"/>
      <c r="T58" s="186" t="s">
        <v>44</v>
      </c>
      <c r="U58" s="187" t="s">
        <v>44</v>
      </c>
      <c r="V58" s="102">
        <v>25</v>
      </c>
      <c r="W58" s="102"/>
      <c r="X58" s="92">
        <v>890.6</v>
      </c>
      <c r="Y58" s="93"/>
      <c r="Z58" s="93">
        <v>40.778388278388277</v>
      </c>
      <c r="AA58" s="93"/>
      <c r="AB58" s="186" t="s">
        <v>44</v>
      </c>
      <c r="AC58" s="187" t="s">
        <v>44</v>
      </c>
      <c r="AD58" s="122">
        <v>24697</v>
      </c>
      <c r="AE58" s="101"/>
      <c r="AF58" s="188" t="s">
        <v>44</v>
      </c>
      <c r="AG58" s="189" t="s">
        <v>44</v>
      </c>
      <c r="AH58" s="100">
        <v>24697</v>
      </c>
      <c r="AI58" s="126"/>
      <c r="AJ58" s="186" t="s">
        <v>44</v>
      </c>
      <c r="AK58" s="187" t="s">
        <v>44</v>
      </c>
      <c r="AL58" s="100">
        <v>0</v>
      </c>
      <c r="AM58" s="97"/>
      <c r="AN58" s="186" t="s">
        <v>44</v>
      </c>
      <c r="AO58" s="187" t="s">
        <v>44</v>
      </c>
      <c r="AP58" s="102">
        <v>28</v>
      </c>
      <c r="AQ58" s="102"/>
      <c r="AR58" s="92">
        <v>650.20000000000005</v>
      </c>
      <c r="AS58" s="93"/>
      <c r="AT58" s="93">
        <v>29.447463768115945</v>
      </c>
      <c r="AU58" s="93"/>
      <c r="AV58" s="186" t="s">
        <v>44</v>
      </c>
      <c r="AW58" s="187" t="s">
        <v>44</v>
      </c>
      <c r="AX58" s="122">
        <v>19261</v>
      </c>
      <c r="AY58" s="101"/>
      <c r="AZ58" s="188" t="s">
        <v>44</v>
      </c>
      <c r="BA58" s="189" t="s">
        <v>44</v>
      </c>
      <c r="BB58" s="100">
        <v>19261</v>
      </c>
      <c r="BC58" s="126"/>
      <c r="BD58" s="186" t="s">
        <v>44</v>
      </c>
      <c r="BE58" s="187" t="s">
        <v>44</v>
      </c>
      <c r="BF58" s="100">
        <v>0</v>
      </c>
      <c r="BG58" s="97"/>
      <c r="BH58" s="186" t="s">
        <v>44</v>
      </c>
      <c r="BI58" s="187" t="s">
        <v>44</v>
      </c>
      <c r="BJ58" s="102">
        <v>30</v>
      </c>
      <c r="BK58" s="102"/>
      <c r="BL58" s="92">
        <v>1029.8</v>
      </c>
      <c r="BM58" s="93"/>
      <c r="BN58" s="93">
        <v>46.618379357175186</v>
      </c>
      <c r="BO58" s="93"/>
      <c r="BP58" s="186" t="s">
        <v>44</v>
      </c>
      <c r="BQ58" s="187" t="s">
        <v>44</v>
      </c>
      <c r="BR58" s="122">
        <v>26905</v>
      </c>
      <c r="BS58" s="101"/>
      <c r="BT58" s="188" t="s">
        <v>44</v>
      </c>
      <c r="BU58" s="189" t="s">
        <v>44</v>
      </c>
      <c r="BV58" s="100">
        <v>26905</v>
      </c>
      <c r="BW58" s="126"/>
      <c r="BX58" s="186" t="s">
        <v>44</v>
      </c>
      <c r="BY58" s="187" t="s">
        <v>44</v>
      </c>
      <c r="BZ58" s="100">
        <v>0</v>
      </c>
      <c r="CA58" s="97"/>
      <c r="CB58" s="186" t="s">
        <v>44</v>
      </c>
      <c r="CC58" s="187" t="s">
        <v>44</v>
      </c>
      <c r="CD58" s="102">
        <v>26</v>
      </c>
      <c r="CE58" s="102"/>
      <c r="CF58" s="103">
        <v>3558.8</v>
      </c>
      <c r="CG58" s="102"/>
      <c r="CH58" s="93">
        <v>40.625570776255707</v>
      </c>
      <c r="CI58" s="127"/>
      <c r="CJ58" s="188" t="s">
        <v>44</v>
      </c>
      <c r="CK58" s="189" t="s">
        <v>44</v>
      </c>
      <c r="CL58" s="100">
        <v>95654</v>
      </c>
      <c r="CM58" s="107"/>
      <c r="CN58" s="190" t="s">
        <v>44</v>
      </c>
      <c r="CO58" s="189" t="s">
        <v>44</v>
      </c>
      <c r="CP58" s="100">
        <v>95654</v>
      </c>
      <c r="CQ58" s="97"/>
      <c r="CR58" s="188" t="s">
        <v>44</v>
      </c>
      <c r="CS58" s="189" t="s">
        <v>44</v>
      </c>
      <c r="CT58" s="100">
        <v>0</v>
      </c>
      <c r="CU58" s="97"/>
      <c r="CV58" s="188" t="s">
        <v>44</v>
      </c>
      <c r="CW58" s="189" t="s">
        <v>44</v>
      </c>
      <c r="CX58" s="100">
        <v>26.878161177925143</v>
      </c>
      <c r="CY58" s="174"/>
      <c r="CZ58" s="110">
        <f t="shared" si="33"/>
        <v>1878.8000000000002</v>
      </c>
      <c r="DA58" s="111">
        <f t="shared" si="33"/>
        <v>0</v>
      </c>
      <c r="DB58" s="176">
        <f t="shared" si="36"/>
        <v>43.260419065162338</v>
      </c>
      <c r="DC58" s="113">
        <f t="shared" si="36"/>
        <v>0</v>
      </c>
      <c r="DD58" s="100">
        <f t="shared" si="30"/>
        <v>49488</v>
      </c>
      <c r="DE58" s="102">
        <f t="shared" si="30"/>
        <v>0</v>
      </c>
      <c r="DF58" s="102" t="e">
        <f t="shared" si="30"/>
        <v>#VALUE!</v>
      </c>
      <c r="DG58" s="114" t="e">
        <f t="shared" si="27"/>
        <v>#VALUE!</v>
      </c>
      <c r="DH58" s="100">
        <f t="shared" si="27"/>
        <v>49488</v>
      </c>
      <c r="DI58" s="97">
        <f t="shared" si="27"/>
        <v>0</v>
      </c>
      <c r="DJ58" s="97" t="e">
        <f t="shared" si="27"/>
        <v>#VALUE!</v>
      </c>
      <c r="DK58" s="97" t="e">
        <f t="shared" si="27"/>
        <v>#VALUE!</v>
      </c>
      <c r="DL58" s="100">
        <f t="shared" si="27"/>
        <v>0</v>
      </c>
      <c r="DM58" s="97">
        <f t="shared" si="27"/>
        <v>0</v>
      </c>
      <c r="DN58" s="97" t="e">
        <f t="shared" si="27"/>
        <v>#VALUE!</v>
      </c>
      <c r="DO58" s="115" t="e">
        <f t="shared" si="27"/>
        <v>#VALUE!</v>
      </c>
      <c r="DP58" s="100">
        <f t="shared" si="28"/>
        <v>26</v>
      </c>
      <c r="DQ58" s="116" t="e">
        <f t="shared" si="28"/>
        <v>#DIV/0!</v>
      </c>
      <c r="DR58" s="117">
        <f t="shared" si="18"/>
        <v>1878.8000000000002</v>
      </c>
      <c r="DS58" s="118">
        <f t="shared" si="2"/>
        <v>100</v>
      </c>
      <c r="DT58" s="104" t="e">
        <f t="shared" si="3"/>
        <v>#VALUE!</v>
      </c>
      <c r="DU58" s="118" t="e">
        <f t="shared" si="4"/>
        <v>#VALUE!</v>
      </c>
      <c r="DV58" s="104">
        <f t="shared" si="5"/>
        <v>49488</v>
      </c>
      <c r="DW58" s="119">
        <f t="shared" si="6"/>
        <v>100</v>
      </c>
      <c r="DX58" s="120" t="e">
        <f t="shared" si="7"/>
        <v>#VALUE!</v>
      </c>
      <c r="DY58" s="118" t="e">
        <f t="shared" si="8"/>
        <v>#VALUE!</v>
      </c>
      <c r="DZ58" s="104">
        <f t="shared" si="9"/>
        <v>49488</v>
      </c>
      <c r="EA58" s="119">
        <f t="shared" si="10"/>
        <v>100</v>
      </c>
      <c r="EB58" s="120" t="e">
        <f t="shared" si="11"/>
        <v>#VALUE!</v>
      </c>
      <c r="EC58" s="118" t="e">
        <f t="shared" si="12"/>
        <v>#VALUE!</v>
      </c>
      <c r="ED58" s="104">
        <f t="shared" si="13"/>
        <v>0</v>
      </c>
      <c r="EE58" s="121">
        <v>0</v>
      </c>
      <c r="EF58" s="120" t="e">
        <f t="shared" si="14"/>
        <v>#VALUE!</v>
      </c>
      <c r="EG58" s="121" t="e">
        <f t="shared" si="15"/>
        <v>#VALUE!</v>
      </c>
      <c r="EH58" s="122" t="e">
        <f t="shared" si="19"/>
        <v>#DIV/0!</v>
      </c>
      <c r="EI58" s="123" t="e">
        <f t="shared" si="20"/>
        <v>#DIV/0!</v>
      </c>
    </row>
    <row r="59" spans="1:139" ht="15.75" customHeight="1" x14ac:dyDescent="0.25">
      <c r="A59" s="1070"/>
      <c r="B59" s="169"/>
      <c r="C59" s="91" t="s">
        <v>48</v>
      </c>
      <c r="D59" s="92">
        <v>805</v>
      </c>
      <c r="E59" s="93"/>
      <c r="F59" s="93">
        <v>37.285780453913844</v>
      </c>
      <c r="G59" s="93"/>
      <c r="H59" s="186" t="s">
        <v>44</v>
      </c>
      <c r="I59" s="187" t="s">
        <v>44</v>
      </c>
      <c r="J59" s="122">
        <v>16659</v>
      </c>
      <c r="K59" s="101"/>
      <c r="L59" s="188" t="s">
        <v>44</v>
      </c>
      <c r="M59" s="189" t="s">
        <v>44</v>
      </c>
      <c r="N59" s="100">
        <v>16659</v>
      </c>
      <c r="O59" s="126"/>
      <c r="P59" s="186" t="s">
        <v>44</v>
      </c>
      <c r="Q59" s="187" t="s">
        <v>44</v>
      </c>
      <c r="R59" s="100">
        <v>0</v>
      </c>
      <c r="S59" s="97"/>
      <c r="T59" s="186" t="s">
        <v>44</v>
      </c>
      <c r="U59" s="187" t="s">
        <v>44</v>
      </c>
      <c r="V59" s="102">
        <v>21</v>
      </c>
      <c r="W59" s="102"/>
      <c r="X59" s="92">
        <v>816.8</v>
      </c>
      <c r="Y59" s="93"/>
      <c r="Z59" s="93">
        <v>37.399267399267401</v>
      </c>
      <c r="AA59" s="93"/>
      <c r="AB59" s="186" t="s">
        <v>44</v>
      </c>
      <c r="AC59" s="187" t="s">
        <v>44</v>
      </c>
      <c r="AD59" s="122">
        <v>17516</v>
      </c>
      <c r="AE59" s="101"/>
      <c r="AF59" s="188" t="s">
        <v>44</v>
      </c>
      <c r="AG59" s="189" t="s">
        <v>44</v>
      </c>
      <c r="AH59" s="100">
        <v>17516</v>
      </c>
      <c r="AI59" s="126"/>
      <c r="AJ59" s="186" t="s">
        <v>44</v>
      </c>
      <c r="AK59" s="187" t="s">
        <v>44</v>
      </c>
      <c r="AL59" s="100">
        <v>0</v>
      </c>
      <c r="AM59" s="97"/>
      <c r="AN59" s="186" t="s">
        <v>44</v>
      </c>
      <c r="AO59" s="187" t="s">
        <v>44</v>
      </c>
      <c r="AP59" s="102">
        <v>21</v>
      </c>
      <c r="AQ59" s="102"/>
      <c r="AR59" s="92">
        <v>824.5</v>
      </c>
      <c r="AS59" s="93"/>
      <c r="AT59" s="93">
        <v>37.341485507246375</v>
      </c>
      <c r="AU59" s="93"/>
      <c r="AV59" s="186" t="s">
        <v>44</v>
      </c>
      <c r="AW59" s="187" t="s">
        <v>44</v>
      </c>
      <c r="AX59" s="122">
        <v>17393</v>
      </c>
      <c r="AY59" s="101"/>
      <c r="AZ59" s="188" t="s">
        <v>44</v>
      </c>
      <c r="BA59" s="189" t="s">
        <v>44</v>
      </c>
      <c r="BB59" s="100">
        <v>17393</v>
      </c>
      <c r="BC59" s="126"/>
      <c r="BD59" s="186" t="s">
        <v>44</v>
      </c>
      <c r="BE59" s="187" t="s">
        <v>44</v>
      </c>
      <c r="BF59" s="100">
        <v>0</v>
      </c>
      <c r="BG59" s="97"/>
      <c r="BH59" s="186" t="s">
        <v>44</v>
      </c>
      <c r="BI59" s="187" t="s">
        <v>44</v>
      </c>
      <c r="BJ59" s="102">
        <v>21</v>
      </c>
      <c r="BK59" s="102"/>
      <c r="BL59" s="92">
        <v>830.8</v>
      </c>
      <c r="BM59" s="93"/>
      <c r="BN59" s="93">
        <v>37.609778180172022</v>
      </c>
      <c r="BO59" s="93"/>
      <c r="BP59" s="186" t="s">
        <v>44</v>
      </c>
      <c r="BQ59" s="187" t="s">
        <v>44</v>
      </c>
      <c r="BR59" s="122">
        <v>17788</v>
      </c>
      <c r="BS59" s="101"/>
      <c r="BT59" s="188" t="s">
        <v>44</v>
      </c>
      <c r="BU59" s="189" t="s">
        <v>44</v>
      </c>
      <c r="BV59" s="100">
        <v>17788</v>
      </c>
      <c r="BW59" s="126"/>
      <c r="BX59" s="186" t="s">
        <v>44</v>
      </c>
      <c r="BY59" s="187" t="s">
        <v>44</v>
      </c>
      <c r="BZ59" s="100">
        <v>0</v>
      </c>
      <c r="CA59" s="97"/>
      <c r="CB59" s="186" t="s">
        <v>44</v>
      </c>
      <c r="CC59" s="187" t="s">
        <v>44</v>
      </c>
      <c r="CD59" s="102">
        <v>21</v>
      </c>
      <c r="CE59" s="102"/>
      <c r="CF59" s="103">
        <v>3277.1000000000004</v>
      </c>
      <c r="CG59" s="102"/>
      <c r="CH59" s="93">
        <v>37.409817351598178</v>
      </c>
      <c r="CI59" s="179"/>
      <c r="CJ59" s="188" t="s">
        <v>44</v>
      </c>
      <c r="CK59" s="189" t="s">
        <v>44</v>
      </c>
      <c r="CL59" s="100">
        <v>69356</v>
      </c>
      <c r="CM59" s="107"/>
      <c r="CN59" s="190" t="s">
        <v>44</v>
      </c>
      <c r="CO59" s="189" t="s">
        <v>44</v>
      </c>
      <c r="CP59" s="100">
        <v>69356</v>
      </c>
      <c r="CQ59" s="97"/>
      <c r="CR59" s="188" t="s">
        <v>44</v>
      </c>
      <c r="CS59" s="189" t="s">
        <v>44</v>
      </c>
      <c r="CT59" s="100">
        <v>0</v>
      </c>
      <c r="CU59" s="97"/>
      <c r="CV59" s="188" t="s">
        <v>44</v>
      </c>
      <c r="CW59" s="189" t="s">
        <v>44</v>
      </c>
      <c r="CX59" s="100">
        <v>21.163833877513653</v>
      </c>
      <c r="CY59" s="174"/>
      <c r="CZ59" s="110">
        <f t="shared" si="33"/>
        <v>1621.8</v>
      </c>
      <c r="DA59" s="111">
        <f t="shared" si="33"/>
        <v>0</v>
      </c>
      <c r="DB59" s="176">
        <f t="shared" si="36"/>
        <v>37.342850564126181</v>
      </c>
      <c r="DC59" s="113">
        <f t="shared" si="36"/>
        <v>0</v>
      </c>
      <c r="DD59" s="100">
        <f t="shared" si="30"/>
        <v>34175</v>
      </c>
      <c r="DE59" s="102">
        <f t="shared" si="30"/>
        <v>0</v>
      </c>
      <c r="DF59" s="102" t="e">
        <f t="shared" si="30"/>
        <v>#VALUE!</v>
      </c>
      <c r="DG59" s="114" t="e">
        <f t="shared" si="27"/>
        <v>#VALUE!</v>
      </c>
      <c r="DH59" s="100">
        <f t="shared" si="27"/>
        <v>34175</v>
      </c>
      <c r="DI59" s="97">
        <f t="shared" si="27"/>
        <v>0</v>
      </c>
      <c r="DJ59" s="97" t="e">
        <f t="shared" si="27"/>
        <v>#VALUE!</v>
      </c>
      <c r="DK59" s="97" t="e">
        <f t="shared" si="27"/>
        <v>#VALUE!</v>
      </c>
      <c r="DL59" s="100">
        <f t="shared" si="27"/>
        <v>0</v>
      </c>
      <c r="DM59" s="97">
        <f t="shared" si="27"/>
        <v>0</v>
      </c>
      <c r="DN59" s="97" t="e">
        <f t="shared" si="27"/>
        <v>#VALUE!</v>
      </c>
      <c r="DO59" s="115" t="e">
        <f t="shared" si="27"/>
        <v>#VALUE!</v>
      </c>
      <c r="DP59" s="100">
        <f t="shared" si="28"/>
        <v>21</v>
      </c>
      <c r="DQ59" s="116" t="e">
        <f t="shared" si="28"/>
        <v>#DIV/0!</v>
      </c>
      <c r="DR59" s="117">
        <f t="shared" si="18"/>
        <v>1621.8</v>
      </c>
      <c r="DS59" s="118">
        <f t="shared" si="2"/>
        <v>100</v>
      </c>
      <c r="DT59" s="104" t="e">
        <f t="shared" si="3"/>
        <v>#VALUE!</v>
      </c>
      <c r="DU59" s="118" t="e">
        <f t="shared" si="4"/>
        <v>#VALUE!</v>
      </c>
      <c r="DV59" s="104">
        <f t="shared" si="5"/>
        <v>34175</v>
      </c>
      <c r="DW59" s="119">
        <f t="shared" si="6"/>
        <v>100</v>
      </c>
      <c r="DX59" s="120" t="e">
        <f t="shared" si="7"/>
        <v>#VALUE!</v>
      </c>
      <c r="DY59" s="118" t="e">
        <f t="shared" si="8"/>
        <v>#VALUE!</v>
      </c>
      <c r="DZ59" s="104">
        <f t="shared" si="9"/>
        <v>34175</v>
      </c>
      <c r="EA59" s="119">
        <f t="shared" si="10"/>
        <v>100</v>
      </c>
      <c r="EB59" s="120" t="e">
        <f t="shared" si="11"/>
        <v>#VALUE!</v>
      </c>
      <c r="EC59" s="118" t="e">
        <f t="shared" si="12"/>
        <v>#VALUE!</v>
      </c>
      <c r="ED59" s="104">
        <f t="shared" si="13"/>
        <v>0</v>
      </c>
      <c r="EE59" s="121">
        <v>0</v>
      </c>
      <c r="EF59" s="120" t="e">
        <f t="shared" si="14"/>
        <v>#VALUE!</v>
      </c>
      <c r="EG59" s="121" t="e">
        <f t="shared" si="15"/>
        <v>#VALUE!</v>
      </c>
      <c r="EH59" s="122" t="e">
        <f t="shared" si="19"/>
        <v>#DIV/0!</v>
      </c>
      <c r="EI59" s="123" t="e">
        <f t="shared" si="20"/>
        <v>#DIV/0!</v>
      </c>
    </row>
    <row r="60" spans="1:139" ht="15.75" customHeight="1" x14ac:dyDescent="0.25">
      <c r="A60" s="1070"/>
      <c r="B60" s="173"/>
      <c r="C60" s="91" t="s">
        <v>49</v>
      </c>
      <c r="D60" s="92">
        <v>1081</v>
      </c>
      <c r="E60" s="93"/>
      <c r="F60" s="93">
        <v>50.069476609541454</v>
      </c>
      <c r="G60" s="93"/>
      <c r="H60" s="186" t="s">
        <v>44</v>
      </c>
      <c r="I60" s="187" t="s">
        <v>44</v>
      </c>
      <c r="J60" s="122">
        <v>9267</v>
      </c>
      <c r="K60" s="101"/>
      <c r="L60" s="188" t="s">
        <v>44</v>
      </c>
      <c r="M60" s="189" t="s">
        <v>44</v>
      </c>
      <c r="N60" s="100">
        <v>9267</v>
      </c>
      <c r="O60" s="126"/>
      <c r="P60" s="186" t="s">
        <v>44</v>
      </c>
      <c r="Q60" s="187" t="s">
        <v>44</v>
      </c>
      <c r="R60" s="100">
        <v>0</v>
      </c>
      <c r="S60" s="97"/>
      <c r="T60" s="186" t="s">
        <v>44</v>
      </c>
      <c r="U60" s="187" t="s">
        <v>44</v>
      </c>
      <c r="V60" s="102">
        <v>9</v>
      </c>
      <c r="W60" s="102"/>
      <c r="X60" s="92">
        <v>1170.5999999999999</v>
      </c>
      <c r="Y60" s="93"/>
      <c r="Z60" s="93">
        <v>53.598901098901095</v>
      </c>
      <c r="AA60" s="93"/>
      <c r="AB60" s="186" t="s">
        <v>44</v>
      </c>
      <c r="AC60" s="187" t="s">
        <v>44</v>
      </c>
      <c r="AD60" s="122">
        <v>9243</v>
      </c>
      <c r="AE60" s="101"/>
      <c r="AF60" s="188" t="s">
        <v>44</v>
      </c>
      <c r="AG60" s="189" t="s">
        <v>44</v>
      </c>
      <c r="AH60" s="100">
        <v>9243</v>
      </c>
      <c r="AI60" s="126"/>
      <c r="AJ60" s="186" t="s">
        <v>44</v>
      </c>
      <c r="AK60" s="187" t="s">
        <v>44</v>
      </c>
      <c r="AL60" s="100">
        <v>0</v>
      </c>
      <c r="AM60" s="97"/>
      <c r="AN60" s="186" t="s">
        <v>44</v>
      </c>
      <c r="AO60" s="187" t="s">
        <v>44</v>
      </c>
      <c r="AP60" s="102">
        <v>8</v>
      </c>
      <c r="AQ60" s="102"/>
      <c r="AR60" s="92">
        <v>1132.7</v>
      </c>
      <c r="AS60" s="93"/>
      <c r="AT60" s="93">
        <v>51.299818840579711</v>
      </c>
      <c r="AU60" s="93"/>
      <c r="AV60" s="186" t="s">
        <v>44</v>
      </c>
      <c r="AW60" s="187" t="s">
        <v>44</v>
      </c>
      <c r="AX60" s="122">
        <v>9143</v>
      </c>
      <c r="AY60" s="101"/>
      <c r="AZ60" s="188" t="s">
        <v>44</v>
      </c>
      <c r="BA60" s="189" t="s">
        <v>44</v>
      </c>
      <c r="BB60" s="100">
        <v>9143</v>
      </c>
      <c r="BC60" s="126"/>
      <c r="BD60" s="186" t="s">
        <v>44</v>
      </c>
      <c r="BE60" s="187" t="s">
        <v>44</v>
      </c>
      <c r="BF60" s="100">
        <v>0</v>
      </c>
      <c r="BG60" s="97"/>
      <c r="BH60" s="186" t="s">
        <v>44</v>
      </c>
      <c r="BI60" s="187" t="s">
        <v>44</v>
      </c>
      <c r="BJ60" s="102">
        <v>8</v>
      </c>
      <c r="BK60" s="102"/>
      <c r="BL60" s="92">
        <v>1071.0999999999999</v>
      </c>
      <c r="BM60" s="93"/>
      <c r="BN60" s="93">
        <v>48.488003621548209</v>
      </c>
      <c r="BO60" s="93"/>
      <c r="BP60" s="186" t="s">
        <v>44</v>
      </c>
      <c r="BQ60" s="187" t="s">
        <v>44</v>
      </c>
      <c r="BR60" s="122">
        <v>9535</v>
      </c>
      <c r="BS60" s="101"/>
      <c r="BT60" s="188" t="s">
        <v>44</v>
      </c>
      <c r="BU60" s="189" t="s">
        <v>44</v>
      </c>
      <c r="BV60" s="100">
        <v>9535</v>
      </c>
      <c r="BW60" s="126"/>
      <c r="BX60" s="186" t="s">
        <v>44</v>
      </c>
      <c r="BY60" s="187" t="s">
        <v>44</v>
      </c>
      <c r="BZ60" s="100">
        <v>0</v>
      </c>
      <c r="CA60" s="97"/>
      <c r="CB60" s="186" t="s">
        <v>44</v>
      </c>
      <c r="CC60" s="187" t="s">
        <v>44</v>
      </c>
      <c r="CD60" s="102">
        <v>9</v>
      </c>
      <c r="CE60" s="102"/>
      <c r="CF60" s="103">
        <v>4455.3999999999996</v>
      </c>
      <c r="CG60" s="102"/>
      <c r="CH60" s="93">
        <v>50.860730593607308</v>
      </c>
      <c r="CI60" s="127"/>
      <c r="CJ60" s="188" t="s">
        <v>44</v>
      </c>
      <c r="CK60" s="189" t="s">
        <v>44</v>
      </c>
      <c r="CL60" s="100">
        <v>37188</v>
      </c>
      <c r="CM60" s="107"/>
      <c r="CN60" s="190" t="s">
        <v>44</v>
      </c>
      <c r="CO60" s="189" t="s">
        <v>44</v>
      </c>
      <c r="CP60" s="100">
        <v>37188</v>
      </c>
      <c r="CQ60" s="97"/>
      <c r="CR60" s="188" t="s">
        <v>44</v>
      </c>
      <c r="CS60" s="189" t="s">
        <v>44</v>
      </c>
      <c r="CT60" s="100">
        <v>0</v>
      </c>
      <c r="CU60" s="97"/>
      <c r="CV60" s="188" t="s">
        <v>44</v>
      </c>
      <c r="CW60" s="189" t="s">
        <v>44</v>
      </c>
      <c r="CX60" s="100">
        <v>8.3467253220810704</v>
      </c>
      <c r="CY60" s="174"/>
      <c r="CZ60" s="110">
        <f t="shared" si="33"/>
        <v>2251.6</v>
      </c>
      <c r="DA60" s="111">
        <f t="shared" si="33"/>
        <v>0</v>
      </c>
      <c r="DB60" s="176">
        <f t="shared" si="36"/>
        <v>51.844347225420215</v>
      </c>
      <c r="DC60" s="113">
        <f t="shared" si="36"/>
        <v>0</v>
      </c>
      <c r="DD60" s="100">
        <f t="shared" si="30"/>
        <v>18510</v>
      </c>
      <c r="DE60" s="102">
        <f t="shared" si="30"/>
        <v>0</v>
      </c>
      <c r="DF60" s="102" t="e">
        <f t="shared" si="30"/>
        <v>#VALUE!</v>
      </c>
      <c r="DG60" s="114" t="e">
        <f t="shared" si="27"/>
        <v>#VALUE!</v>
      </c>
      <c r="DH60" s="100">
        <f t="shared" si="27"/>
        <v>18510</v>
      </c>
      <c r="DI60" s="97">
        <f t="shared" si="27"/>
        <v>0</v>
      </c>
      <c r="DJ60" s="97" t="e">
        <f t="shared" si="27"/>
        <v>#VALUE!</v>
      </c>
      <c r="DK60" s="97" t="e">
        <f t="shared" si="27"/>
        <v>#VALUE!</v>
      </c>
      <c r="DL60" s="100">
        <f t="shared" si="27"/>
        <v>0</v>
      </c>
      <c r="DM60" s="97">
        <f t="shared" si="27"/>
        <v>0</v>
      </c>
      <c r="DN60" s="97" t="e">
        <f t="shared" si="27"/>
        <v>#VALUE!</v>
      </c>
      <c r="DO60" s="115" t="e">
        <f t="shared" si="27"/>
        <v>#VALUE!</v>
      </c>
      <c r="DP60" s="100">
        <f t="shared" si="28"/>
        <v>8</v>
      </c>
      <c r="DQ60" s="116" t="e">
        <f t="shared" si="28"/>
        <v>#DIV/0!</v>
      </c>
      <c r="DR60" s="117">
        <f t="shared" si="18"/>
        <v>2251.6</v>
      </c>
      <c r="DS60" s="118">
        <f t="shared" si="2"/>
        <v>100</v>
      </c>
      <c r="DT60" s="104" t="e">
        <f t="shared" si="3"/>
        <v>#VALUE!</v>
      </c>
      <c r="DU60" s="118" t="e">
        <f t="shared" si="4"/>
        <v>#VALUE!</v>
      </c>
      <c r="DV60" s="104">
        <f t="shared" si="5"/>
        <v>18510</v>
      </c>
      <c r="DW60" s="119">
        <f t="shared" si="6"/>
        <v>100</v>
      </c>
      <c r="DX60" s="120" t="e">
        <f t="shared" si="7"/>
        <v>#VALUE!</v>
      </c>
      <c r="DY60" s="118" t="e">
        <f t="shared" si="8"/>
        <v>#VALUE!</v>
      </c>
      <c r="DZ60" s="104">
        <f t="shared" si="9"/>
        <v>18510</v>
      </c>
      <c r="EA60" s="119">
        <f t="shared" si="10"/>
        <v>100</v>
      </c>
      <c r="EB60" s="120" t="e">
        <f t="shared" si="11"/>
        <v>#VALUE!</v>
      </c>
      <c r="EC60" s="118" t="e">
        <f t="shared" si="12"/>
        <v>#VALUE!</v>
      </c>
      <c r="ED60" s="104">
        <f t="shared" si="13"/>
        <v>0</v>
      </c>
      <c r="EE60" s="121">
        <v>0</v>
      </c>
      <c r="EF60" s="120" t="e">
        <f t="shared" si="14"/>
        <v>#VALUE!</v>
      </c>
      <c r="EG60" s="121" t="e">
        <f t="shared" si="15"/>
        <v>#VALUE!</v>
      </c>
      <c r="EH60" s="122" t="e">
        <f t="shared" si="19"/>
        <v>#DIV/0!</v>
      </c>
      <c r="EI60" s="123" t="e">
        <f t="shared" si="20"/>
        <v>#DIV/0!</v>
      </c>
    </row>
    <row r="61" spans="1:139" s="227" customFormat="1" ht="15.75" customHeight="1" thickBot="1" x14ac:dyDescent="0.35">
      <c r="A61" s="1071"/>
      <c r="B61" s="191" t="s">
        <v>59</v>
      </c>
      <c r="C61" s="192"/>
      <c r="D61" s="193">
        <v>10108.400000000001</v>
      </c>
      <c r="E61" s="194"/>
      <c r="F61" s="194">
        <v>92.934567753679829</v>
      </c>
      <c r="G61" s="195"/>
      <c r="H61" s="196" t="s">
        <v>44</v>
      </c>
      <c r="I61" s="197" t="s">
        <v>44</v>
      </c>
      <c r="J61" s="198">
        <v>1123223</v>
      </c>
      <c r="K61" s="199"/>
      <c r="L61" s="200" t="s">
        <v>44</v>
      </c>
      <c r="M61" s="201" t="s">
        <v>44</v>
      </c>
      <c r="N61" s="202">
        <v>1104592</v>
      </c>
      <c r="O61" s="203"/>
      <c r="P61" s="196" t="s">
        <v>44</v>
      </c>
      <c r="Q61" s="197" t="s">
        <v>44</v>
      </c>
      <c r="R61" s="202">
        <v>18631</v>
      </c>
      <c r="S61" s="203"/>
      <c r="T61" s="196" t="s">
        <v>44</v>
      </c>
      <c r="U61" s="204" t="s">
        <v>44</v>
      </c>
      <c r="V61" s="202">
        <v>111</v>
      </c>
      <c r="W61" s="205"/>
      <c r="X61" s="193">
        <v>10014.100000000002</v>
      </c>
      <c r="Y61" s="194"/>
      <c r="Z61" s="194">
        <v>91.228853319243143</v>
      </c>
      <c r="AA61" s="195"/>
      <c r="AB61" s="196" t="s">
        <v>44</v>
      </c>
      <c r="AC61" s="197" t="s">
        <v>44</v>
      </c>
      <c r="AD61" s="198">
        <v>1105625</v>
      </c>
      <c r="AE61" s="199"/>
      <c r="AF61" s="200" t="s">
        <v>44</v>
      </c>
      <c r="AG61" s="201" t="s">
        <v>44</v>
      </c>
      <c r="AH61" s="202">
        <v>1090542</v>
      </c>
      <c r="AI61" s="203"/>
      <c r="AJ61" s="196" t="s">
        <v>44</v>
      </c>
      <c r="AK61" s="197" t="s">
        <v>44</v>
      </c>
      <c r="AL61" s="202">
        <v>15083</v>
      </c>
      <c r="AM61" s="203"/>
      <c r="AN61" s="196" t="s">
        <v>44</v>
      </c>
      <c r="AO61" s="204" t="s">
        <v>44</v>
      </c>
      <c r="AP61" s="202">
        <v>110</v>
      </c>
      <c r="AQ61" s="205"/>
      <c r="AR61" s="193">
        <v>9756.7000000000007</v>
      </c>
      <c r="AS61" s="194"/>
      <c r="AT61" s="194">
        <v>87.962386967066067</v>
      </c>
      <c r="AU61" s="195"/>
      <c r="AV61" s="196" t="s">
        <v>44</v>
      </c>
      <c r="AW61" s="197" t="s">
        <v>44</v>
      </c>
      <c r="AX61" s="198">
        <v>1035855</v>
      </c>
      <c r="AY61" s="199"/>
      <c r="AZ61" s="200" t="s">
        <v>44</v>
      </c>
      <c r="BA61" s="201" t="s">
        <v>44</v>
      </c>
      <c r="BB61" s="202">
        <v>1021337</v>
      </c>
      <c r="BC61" s="203"/>
      <c r="BD61" s="196" t="s">
        <v>44</v>
      </c>
      <c r="BE61" s="197" t="s">
        <v>44</v>
      </c>
      <c r="BF61" s="202">
        <v>14518</v>
      </c>
      <c r="BG61" s="203"/>
      <c r="BH61" s="196" t="s">
        <v>44</v>
      </c>
      <c r="BI61" s="204" t="s">
        <v>44</v>
      </c>
      <c r="BJ61" s="202">
        <v>106</v>
      </c>
      <c r="BK61" s="205"/>
      <c r="BL61" s="193">
        <v>10331.400000000001</v>
      </c>
      <c r="BM61" s="194"/>
      <c r="BN61" s="194">
        <v>92.600991314791756</v>
      </c>
      <c r="BO61" s="195"/>
      <c r="BP61" s="196" t="s">
        <v>44</v>
      </c>
      <c r="BQ61" s="197" t="s">
        <v>44</v>
      </c>
      <c r="BR61" s="198">
        <v>1140080</v>
      </c>
      <c r="BS61" s="199"/>
      <c r="BT61" s="200" t="s">
        <v>44</v>
      </c>
      <c r="BU61" s="201" t="s">
        <v>44</v>
      </c>
      <c r="BV61" s="202">
        <v>1123184</v>
      </c>
      <c r="BW61" s="203"/>
      <c r="BX61" s="196" t="s">
        <v>44</v>
      </c>
      <c r="BY61" s="197" t="s">
        <v>44</v>
      </c>
      <c r="BZ61" s="202">
        <v>16896</v>
      </c>
      <c r="CA61" s="203"/>
      <c r="CB61" s="196" t="s">
        <v>44</v>
      </c>
      <c r="CC61" s="204" t="s">
        <v>44</v>
      </c>
      <c r="CD61" s="202">
        <v>110</v>
      </c>
      <c r="CE61" s="205"/>
      <c r="CF61" s="206">
        <v>40210.6</v>
      </c>
      <c r="CG61" s="199"/>
      <c r="CH61" s="194">
        <v>91.1751234621088</v>
      </c>
      <c r="CI61" s="207"/>
      <c r="CJ61" s="200" t="s">
        <v>44</v>
      </c>
      <c r="CK61" s="201" t="s">
        <v>44</v>
      </c>
      <c r="CL61" s="208">
        <v>4404783</v>
      </c>
      <c r="CM61" s="209"/>
      <c r="CN61" s="210" t="s">
        <v>44</v>
      </c>
      <c r="CO61" s="201" t="s">
        <v>44</v>
      </c>
      <c r="CP61" s="208">
        <v>4339655</v>
      </c>
      <c r="CQ61" s="199"/>
      <c r="CR61" s="200" t="s">
        <v>44</v>
      </c>
      <c r="CS61" s="201" t="s">
        <v>44</v>
      </c>
      <c r="CT61" s="208">
        <v>65128</v>
      </c>
      <c r="CU61" s="199"/>
      <c r="CV61" s="200" t="s">
        <v>44</v>
      </c>
      <c r="CW61" s="201" t="s">
        <v>44</v>
      </c>
      <c r="CX61" s="208">
        <v>109.54283198957489</v>
      </c>
      <c r="CY61" s="211"/>
      <c r="CZ61" s="212">
        <f t="shared" si="33"/>
        <v>20122.500000000004</v>
      </c>
      <c r="DA61" s="213">
        <f t="shared" si="33"/>
        <v>0</v>
      </c>
      <c r="DB61" s="214" t="e">
        <f>(CZ61/#REF!)*100</f>
        <v>#REF!</v>
      </c>
      <c r="DC61" s="215" t="e">
        <f>(DA61/#REF!)*100</f>
        <v>#REF!</v>
      </c>
      <c r="DD61" s="216">
        <f t="shared" si="30"/>
        <v>2228848</v>
      </c>
      <c r="DE61" s="205">
        <f t="shared" si="30"/>
        <v>0</v>
      </c>
      <c r="DF61" s="205" t="e">
        <f t="shared" si="30"/>
        <v>#VALUE!</v>
      </c>
      <c r="DG61" s="217" t="e">
        <f t="shared" si="27"/>
        <v>#VALUE!</v>
      </c>
      <c r="DH61" s="202">
        <f t="shared" si="27"/>
        <v>2195134</v>
      </c>
      <c r="DI61" s="203">
        <f t="shared" si="27"/>
        <v>0</v>
      </c>
      <c r="DJ61" s="203" t="e">
        <f t="shared" ref="DJ61:DO61" si="37">P61+AJ61</f>
        <v>#VALUE!</v>
      </c>
      <c r="DK61" s="203" t="e">
        <f t="shared" si="37"/>
        <v>#VALUE!</v>
      </c>
      <c r="DL61" s="202">
        <f t="shared" si="37"/>
        <v>33714</v>
      </c>
      <c r="DM61" s="203">
        <f t="shared" si="37"/>
        <v>0</v>
      </c>
      <c r="DN61" s="203" t="e">
        <f t="shared" si="37"/>
        <v>#VALUE!</v>
      </c>
      <c r="DO61" s="218" t="e">
        <f t="shared" si="37"/>
        <v>#VALUE!</v>
      </c>
      <c r="DP61" s="202">
        <f t="shared" si="28"/>
        <v>111</v>
      </c>
      <c r="DQ61" s="219" t="e">
        <f t="shared" si="28"/>
        <v>#DIV/0!</v>
      </c>
      <c r="DR61" s="220">
        <f t="shared" si="18"/>
        <v>20122.500000000004</v>
      </c>
      <c r="DS61" s="221">
        <f t="shared" si="2"/>
        <v>100</v>
      </c>
      <c r="DT61" s="222" t="e">
        <f t="shared" si="3"/>
        <v>#VALUE!</v>
      </c>
      <c r="DU61" s="221" t="e">
        <f t="shared" si="4"/>
        <v>#VALUE!</v>
      </c>
      <c r="DV61" s="222">
        <f t="shared" si="5"/>
        <v>2228848</v>
      </c>
      <c r="DW61" s="223">
        <f t="shared" si="6"/>
        <v>100</v>
      </c>
      <c r="DX61" s="203" t="e">
        <f t="shared" si="7"/>
        <v>#VALUE!</v>
      </c>
      <c r="DY61" s="221" t="e">
        <f t="shared" si="8"/>
        <v>#VALUE!</v>
      </c>
      <c r="DZ61" s="222">
        <f t="shared" si="9"/>
        <v>2195134</v>
      </c>
      <c r="EA61" s="223">
        <f t="shared" si="10"/>
        <v>100</v>
      </c>
      <c r="EB61" s="203" t="e">
        <f t="shared" si="11"/>
        <v>#VALUE!</v>
      </c>
      <c r="EC61" s="221" t="e">
        <f t="shared" si="12"/>
        <v>#VALUE!</v>
      </c>
      <c r="ED61" s="222">
        <f t="shared" si="13"/>
        <v>33714</v>
      </c>
      <c r="EE61" s="224">
        <f t="shared" si="31"/>
        <v>100</v>
      </c>
      <c r="EF61" s="203" t="e">
        <f t="shared" si="14"/>
        <v>#VALUE!</v>
      </c>
      <c r="EG61" s="221" t="e">
        <f t="shared" si="15"/>
        <v>#VALUE!</v>
      </c>
      <c r="EH61" s="225" t="e">
        <f t="shared" si="19"/>
        <v>#DIV/0!</v>
      </c>
      <c r="EI61" s="226" t="e">
        <f t="shared" si="20"/>
        <v>#DIV/0!</v>
      </c>
    </row>
    <row r="62" spans="1:139" s="251" customFormat="1" ht="17.25" customHeight="1" x14ac:dyDescent="0.3">
      <c r="A62" s="1069" t="s">
        <v>60</v>
      </c>
      <c r="B62" s="228" t="s">
        <v>61</v>
      </c>
      <c r="C62" s="229"/>
      <c r="D62" s="230" t="s">
        <v>44</v>
      </c>
      <c r="E62" s="231"/>
      <c r="F62" s="231" t="s">
        <v>44</v>
      </c>
      <c r="G62" s="231"/>
      <c r="H62" s="232" t="s">
        <v>44</v>
      </c>
      <c r="I62" s="233" t="s">
        <v>44</v>
      </c>
      <c r="J62" s="232" t="s">
        <v>44</v>
      </c>
      <c r="K62" s="234"/>
      <c r="L62" s="235" t="s">
        <v>44</v>
      </c>
      <c r="M62" s="236" t="s">
        <v>44</v>
      </c>
      <c r="N62" s="237" t="s">
        <v>44</v>
      </c>
      <c r="O62" s="235"/>
      <c r="P62" s="232" t="s">
        <v>44</v>
      </c>
      <c r="Q62" s="233" t="s">
        <v>44</v>
      </c>
      <c r="R62" s="235" t="s">
        <v>44</v>
      </c>
      <c r="S62" s="235"/>
      <c r="T62" s="232" t="s">
        <v>44</v>
      </c>
      <c r="U62" s="233" t="s">
        <v>44</v>
      </c>
      <c r="V62" s="237" t="s">
        <v>44</v>
      </c>
      <c r="W62" s="238"/>
      <c r="X62" s="230" t="s">
        <v>44</v>
      </c>
      <c r="Y62" s="231"/>
      <c r="Z62" s="231" t="s">
        <v>44</v>
      </c>
      <c r="AA62" s="231"/>
      <c r="AB62" s="232" t="s">
        <v>44</v>
      </c>
      <c r="AC62" s="233" t="s">
        <v>44</v>
      </c>
      <c r="AD62" s="232" t="s">
        <v>44</v>
      </c>
      <c r="AE62" s="234"/>
      <c r="AF62" s="235" t="s">
        <v>44</v>
      </c>
      <c r="AG62" s="236" t="s">
        <v>44</v>
      </c>
      <c r="AH62" s="237" t="s">
        <v>44</v>
      </c>
      <c r="AI62" s="235"/>
      <c r="AJ62" s="232" t="s">
        <v>44</v>
      </c>
      <c r="AK62" s="233" t="s">
        <v>44</v>
      </c>
      <c r="AL62" s="235" t="s">
        <v>44</v>
      </c>
      <c r="AM62" s="235"/>
      <c r="AN62" s="232" t="s">
        <v>44</v>
      </c>
      <c r="AO62" s="233" t="s">
        <v>44</v>
      </c>
      <c r="AP62" s="237" t="s">
        <v>44</v>
      </c>
      <c r="AQ62" s="238"/>
      <c r="AR62" s="230" t="s">
        <v>44</v>
      </c>
      <c r="AS62" s="231"/>
      <c r="AT62" s="231" t="s">
        <v>44</v>
      </c>
      <c r="AU62" s="231"/>
      <c r="AV62" s="232" t="s">
        <v>44</v>
      </c>
      <c r="AW62" s="233" t="s">
        <v>44</v>
      </c>
      <c r="AX62" s="232" t="s">
        <v>44</v>
      </c>
      <c r="AY62" s="234"/>
      <c r="AZ62" s="235" t="s">
        <v>44</v>
      </c>
      <c r="BA62" s="236" t="s">
        <v>44</v>
      </c>
      <c r="BB62" s="237" t="s">
        <v>44</v>
      </c>
      <c r="BC62" s="235"/>
      <c r="BD62" s="232" t="s">
        <v>44</v>
      </c>
      <c r="BE62" s="233" t="s">
        <v>44</v>
      </c>
      <c r="BF62" s="235" t="s">
        <v>44</v>
      </c>
      <c r="BG62" s="235"/>
      <c r="BH62" s="232" t="s">
        <v>44</v>
      </c>
      <c r="BI62" s="233" t="s">
        <v>44</v>
      </c>
      <c r="BJ62" s="237" t="s">
        <v>44</v>
      </c>
      <c r="BK62" s="238"/>
      <c r="BL62" s="230" t="s">
        <v>44</v>
      </c>
      <c r="BM62" s="231"/>
      <c r="BN62" s="231" t="s">
        <v>44</v>
      </c>
      <c r="BO62" s="231"/>
      <c r="BP62" s="232" t="s">
        <v>44</v>
      </c>
      <c r="BQ62" s="233" t="s">
        <v>44</v>
      </c>
      <c r="BR62" s="232" t="s">
        <v>44</v>
      </c>
      <c r="BS62" s="234"/>
      <c r="BT62" s="235" t="s">
        <v>44</v>
      </c>
      <c r="BU62" s="236" t="s">
        <v>44</v>
      </c>
      <c r="BV62" s="237" t="s">
        <v>44</v>
      </c>
      <c r="BW62" s="235"/>
      <c r="BX62" s="232" t="s">
        <v>44</v>
      </c>
      <c r="BY62" s="233" t="s">
        <v>44</v>
      </c>
      <c r="BZ62" s="235" t="s">
        <v>44</v>
      </c>
      <c r="CA62" s="235"/>
      <c r="CB62" s="232" t="s">
        <v>44</v>
      </c>
      <c r="CC62" s="233" t="s">
        <v>44</v>
      </c>
      <c r="CD62" s="237" t="s">
        <v>44</v>
      </c>
      <c r="CE62" s="238"/>
      <c r="CF62" s="230" t="s">
        <v>44</v>
      </c>
      <c r="CG62" s="239"/>
      <c r="CH62" s="231" t="s">
        <v>44</v>
      </c>
      <c r="CI62" s="231"/>
      <c r="CJ62" s="235" t="s">
        <v>44</v>
      </c>
      <c r="CK62" s="236" t="s">
        <v>44</v>
      </c>
      <c r="CL62" s="232" t="s">
        <v>44</v>
      </c>
      <c r="CM62" s="240"/>
      <c r="CN62" s="234" t="s">
        <v>44</v>
      </c>
      <c r="CO62" s="236" t="s">
        <v>44</v>
      </c>
      <c r="CP62" s="237" t="s">
        <v>44</v>
      </c>
      <c r="CQ62" s="235"/>
      <c r="CR62" s="235" t="s">
        <v>44</v>
      </c>
      <c r="CS62" s="236" t="s">
        <v>44</v>
      </c>
      <c r="CT62" s="235" t="s">
        <v>44</v>
      </c>
      <c r="CU62" s="235"/>
      <c r="CV62" s="235" t="s">
        <v>44</v>
      </c>
      <c r="CW62" s="236" t="s">
        <v>44</v>
      </c>
      <c r="CX62" s="232" t="s">
        <v>44</v>
      </c>
      <c r="CY62" s="241"/>
      <c r="CZ62" s="242" t="s">
        <v>44</v>
      </c>
      <c r="DA62" s="240" t="s">
        <v>44</v>
      </c>
      <c r="DB62" s="234" t="s">
        <v>44</v>
      </c>
      <c r="DC62" s="240" t="s">
        <v>44</v>
      </c>
      <c r="DD62" s="237" t="s">
        <v>44</v>
      </c>
      <c r="DE62" s="234" t="s">
        <v>44</v>
      </c>
      <c r="DF62" s="234" t="s">
        <v>44</v>
      </c>
      <c r="DG62" s="234" t="s">
        <v>44</v>
      </c>
      <c r="DH62" s="243" t="s">
        <v>44</v>
      </c>
      <c r="DI62" s="243" t="s">
        <v>44</v>
      </c>
      <c r="DJ62" s="243" t="s">
        <v>44</v>
      </c>
      <c r="DK62" s="243" t="s">
        <v>44</v>
      </c>
      <c r="DL62" s="243" t="s">
        <v>44</v>
      </c>
      <c r="DM62" s="243" t="s">
        <v>44</v>
      </c>
      <c r="DN62" s="243" t="s">
        <v>44</v>
      </c>
      <c r="DO62" s="244" t="s">
        <v>44</v>
      </c>
      <c r="DP62" s="245" t="s">
        <v>44</v>
      </c>
      <c r="DQ62" s="246" t="s">
        <v>44</v>
      </c>
      <c r="DR62" s="247" t="s">
        <v>44</v>
      </c>
      <c r="DS62" s="231" t="s">
        <v>44</v>
      </c>
      <c r="DT62" s="231" t="s">
        <v>44</v>
      </c>
      <c r="DU62" s="231" t="s">
        <v>44</v>
      </c>
      <c r="DV62" s="231" t="s">
        <v>44</v>
      </c>
      <c r="DW62" s="231" t="s">
        <v>44</v>
      </c>
      <c r="DX62" s="231" t="s">
        <v>44</v>
      </c>
      <c r="DY62" s="231" t="s">
        <v>44</v>
      </c>
      <c r="DZ62" s="231" t="s">
        <v>44</v>
      </c>
      <c r="EA62" s="231" t="s">
        <v>44</v>
      </c>
      <c r="EB62" s="231" t="s">
        <v>44</v>
      </c>
      <c r="EC62" s="231" t="s">
        <v>44</v>
      </c>
      <c r="ED62" s="231" t="s">
        <v>44</v>
      </c>
      <c r="EE62" s="248" t="s">
        <v>44</v>
      </c>
      <c r="EF62" s="231" t="s">
        <v>44</v>
      </c>
      <c r="EG62" s="249" t="s">
        <v>44</v>
      </c>
      <c r="EH62" s="249" t="s">
        <v>44</v>
      </c>
      <c r="EI62" s="250" t="s">
        <v>44</v>
      </c>
    </row>
    <row r="63" spans="1:139" s="283" customFormat="1" ht="15.75" customHeight="1" thickBot="1" x14ac:dyDescent="0.35">
      <c r="A63" s="1070"/>
      <c r="B63" s="252" t="s">
        <v>62</v>
      </c>
      <c r="C63" s="253" t="s">
        <v>63</v>
      </c>
      <c r="D63" s="254">
        <v>70</v>
      </c>
      <c r="E63" s="255"/>
      <c r="F63" s="255">
        <v>3.2422417786012043</v>
      </c>
      <c r="G63" s="255"/>
      <c r="H63" s="256" t="s">
        <v>44</v>
      </c>
      <c r="I63" s="257" t="s">
        <v>44</v>
      </c>
      <c r="J63" s="258">
        <v>87.540528022232522</v>
      </c>
      <c r="K63" s="259"/>
      <c r="L63" s="260" t="s">
        <v>44</v>
      </c>
      <c r="M63" s="261" t="s">
        <v>44</v>
      </c>
      <c r="N63" s="262">
        <v>87.540528022232522</v>
      </c>
      <c r="O63" s="263"/>
      <c r="P63" s="256" t="s">
        <v>44</v>
      </c>
      <c r="Q63" s="257" t="s">
        <v>44</v>
      </c>
      <c r="R63" s="264">
        <v>0</v>
      </c>
      <c r="S63" s="265"/>
      <c r="T63" s="256" t="s">
        <v>44</v>
      </c>
      <c r="U63" s="257" t="s">
        <v>44</v>
      </c>
      <c r="V63" s="266">
        <v>1</v>
      </c>
      <c r="W63" s="266"/>
      <c r="X63" s="254">
        <v>45</v>
      </c>
      <c r="Y63" s="255"/>
      <c r="Z63" s="255">
        <v>2.0604395604395602</v>
      </c>
      <c r="AA63" s="255"/>
      <c r="AB63" s="256" t="s">
        <v>44</v>
      </c>
      <c r="AC63" s="257" t="s">
        <v>44</v>
      </c>
      <c r="AD63" s="258">
        <v>56.276053728578049</v>
      </c>
      <c r="AE63" s="259"/>
      <c r="AF63" s="260" t="s">
        <v>44</v>
      </c>
      <c r="AG63" s="261" t="s">
        <v>44</v>
      </c>
      <c r="AH63" s="262">
        <v>56.276053728578049</v>
      </c>
      <c r="AI63" s="263"/>
      <c r="AJ63" s="256" t="s">
        <v>44</v>
      </c>
      <c r="AK63" s="257" t="s">
        <v>44</v>
      </c>
      <c r="AL63" s="264">
        <v>0</v>
      </c>
      <c r="AM63" s="265"/>
      <c r="AN63" s="256" t="s">
        <v>44</v>
      </c>
      <c r="AO63" s="257" t="s">
        <v>44</v>
      </c>
      <c r="AP63" s="266">
        <v>1</v>
      </c>
      <c r="AQ63" s="266"/>
      <c r="AR63" s="254">
        <v>40</v>
      </c>
      <c r="AS63" s="255"/>
      <c r="AT63" s="255">
        <v>1.8115942028985508</v>
      </c>
      <c r="AU63" s="255"/>
      <c r="AV63" s="256" t="s">
        <v>44</v>
      </c>
      <c r="AW63" s="257" t="s">
        <v>44</v>
      </c>
      <c r="AX63" s="258">
        <v>50.023158869847151</v>
      </c>
      <c r="AY63" s="259"/>
      <c r="AZ63" s="260" t="s">
        <v>44</v>
      </c>
      <c r="BA63" s="261" t="s">
        <v>44</v>
      </c>
      <c r="BB63" s="262">
        <v>50.023158869847151</v>
      </c>
      <c r="BC63" s="263"/>
      <c r="BD63" s="256" t="s">
        <v>44</v>
      </c>
      <c r="BE63" s="257" t="s">
        <v>44</v>
      </c>
      <c r="BF63" s="264">
        <v>0</v>
      </c>
      <c r="BG63" s="265"/>
      <c r="BH63" s="256" t="s">
        <v>44</v>
      </c>
      <c r="BI63" s="257" t="s">
        <v>44</v>
      </c>
      <c r="BJ63" s="266">
        <v>1</v>
      </c>
      <c r="BK63" s="266"/>
      <c r="BL63" s="254">
        <v>100</v>
      </c>
      <c r="BM63" s="255"/>
      <c r="BN63" s="255">
        <v>4.5269352648257124</v>
      </c>
      <c r="BO63" s="255"/>
      <c r="BP63" s="256" t="s">
        <v>44</v>
      </c>
      <c r="BQ63" s="257" t="s">
        <v>44</v>
      </c>
      <c r="BR63" s="258">
        <v>125.05789717461788</v>
      </c>
      <c r="BS63" s="259"/>
      <c r="BT63" s="260" t="s">
        <v>44</v>
      </c>
      <c r="BU63" s="261" t="s">
        <v>44</v>
      </c>
      <c r="BV63" s="262">
        <v>125.05789717461788</v>
      </c>
      <c r="BW63" s="263"/>
      <c r="BX63" s="256" t="s">
        <v>44</v>
      </c>
      <c r="BY63" s="257" t="s">
        <v>44</v>
      </c>
      <c r="BZ63" s="264">
        <v>0</v>
      </c>
      <c r="CA63" s="265"/>
      <c r="CB63" s="256" t="s">
        <v>44</v>
      </c>
      <c r="CC63" s="257" t="s">
        <v>44</v>
      </c>
      <c r="CD63" s="266">
        <v>1</v>
      </c>
      <c r="CE63" s="266"/>
      <c r="CF63" s="267">
        <v>255</v>
      </c>
      <c r="CG63" s="266"/>
      <c r="CH63" s="255">
        <v>2.9109589041095889</v>
      </c>
      <c r="CI63" s="268"/>
      <c r="CJ63" s="260" t="s">
        <v>44</v>
      </c>
      <c r="CK63" s="261" t="s">
        <v>44</v>
      </c>
      <c r="CL63" s="269">
        <v>318.89763779527561</v>
      </c>
      <c r="CM63" s="270"/>
      <c r="CN63" s="260" t="s">
        <v>44</v>
      </c>
      <c r="CO63" s="261" t="s">
        <v>44</v>
      </c>
      <c r="CP63" s="269">
        <v>318.89763779527561</v>
      </c>
      <c r="CQ63" s="271"/>
      <c r="CR63" s="260" t="s">
        <v>44</v>
      </c>
      <c r="CS63" s="261" t="s">
        <v>44</v>
      </c>
      <c r="CT63" s="269">
        <v>0</v>
      </c>
      <c r="CU63" s="271"/>
      <c r="CV63" s="260" t="s">
        <v>44</v>
      </c>
      <c r="CW63" s="261" t="s">
        <v>44</v>
      </c>
      <c r="CX63" s="269">
        <v>1.2505789717461788</v>
      </c>
      <c r="CY63" s="272"/>
      <c r="CZ63" s="273">
        <f>D63+X63</f>
        <v>115</v>
      </c>
      <c r="DA63" s="274">
        <f>E63+Y63</f>
        <v>0</v>
      </c>
      <c r="DB63" s="275">
        <f>(CZ63/4343)*100</f>
        <v>2.6479392125259036</v>
      </c>
      <c r="DC63" s="276">
        <f>(DA63/4343)*100</f>
        <v>0</v>
      </c>
      <c r="DD63" s="269">
        <f t="shared" ref="DD63:DO64" si="38">J63+AD63</f>
        <v>143.81658175081057</v>
      </c>
      <c r="DE63" s="277">
        <f t="shared" si="38"/>
        <v>0</v>
      </c>
      <c r="DF63" s="277" t="e">
        <f t="shared" si="38"/>
        <v>#VALUE!</v>
      </c>
      <c r="DG63" s="278" t="e">
        <f t="shared" si="38"/>
        <v>#VALUE!</v>
      </c>
      <c r="DH63" s="269">
        <f t="shared" si="38"/>
        <v>143.81658175081057</v>
      </c>
      <c r="DI63" s="271">
        <f t="shared" si="38"/>
        <v>0</v>
      </c>
      <c r="DJ63" s="271" t="e">
        <f t="shared" si="38"/>
        <v>#VALUE!</v>
      </c>
      <c r="DK63" s="271" t="e">
        <f t="shared" si="38"/>
        <v>#VALUE!</v>
      </c>
      <c r="DL63" s="269">
        <f t="shared" si="38"/>
        <v>0</v>
      </c>
      <c r="DM63" s="271">
        <f t="shared" si="38"/>
        <v>0</v>
      </c>
      <c r="DN63" s="271" t="e">
        <f t="shared" si="38"/>
        <v>#VALUE!</v>
      </c>
      <c r="DO63" s="270" t="e">
        <f t="shared" si="38"/>
        <v>#VALUE!</v>
      </c>
      <c r="DP63" s="100">
        <f t="shared" si="22"/>
        <v>1.2505789717461788</v>
      </c>
      <c r="DQ63" s="116" t="e">
        <f t="shared" si="22"/>
        <v>#DIV/0!</v>
      </c>
      <c r="DR63" s="279">
        <f t="shared" si="18"/>
        <v>115</v>
      </c>
      <c r="DS63" s="280">
        <f>ABS((DR63/CZ63)*100)</f>
        <v>100</v>
      </c>
      <c r="DT63" s="277" t="e">
        <f>(DD63+DF63)-(DE63+DG63)</f>
        <v>#VALUE!</v>
      </c>
      <c r="DU63" s="280" t="e">
        <f>ABS((DT63/(DD63+DF63)*100))</f>
        <v>#VALUE!</v>
      </c>
      <c r="DV63" s="277">
        <f>DD63-DE63</f>
        <v>143.81658175081057</v>
      </c>
      <c r="DW63" s="275">
        <f>ABS((DV63/DD63)*100)</f>
        <v>100</v>
      </c>
      <c r="DX63" s="271" t="e">
        <f>DF63-DG63</f>
        <v>#VALUE!</v>
      </c>
      <c r="DY63" s="280">
        <v>0</v>
      </c>
      <c r="DZ63" s="277">
        <f>DH63-DI63</f>
        <v>143.81658175081057</v>
      </c>
      <c r="EA63" s="275">
        <f>ABS((DZ63/DH63)*100)</f>
        <v>100</v>
      </c>
      <c r="EB63" s="271" t="e">
        <f>DJ63-DK63</f>
        <v>#VALUE!</v>
      </c>
      <c r="EC63" s="280">
        <v>0</v>
      </c>
      <c r="ED63" s="277">
        <f>DL63-DM63</f>
        <v>0</v>
      </c>
      <c r="EE63" s="276">
        <v>0</v>
      </c>
      <c r="EF63" s="271" t="e">
        <f>DN63-DO63</f>
        <v>#VALUE!</v>
      </c>
      <c r="EG63" s="280">
        <v>0</v>
      </c>
      <c r="EH63" s="281" t="e">
        <f>DP63-DQ63</f>
        <v>#DIV/0!</v>
      </c>
      <c r="EI63" s="282" t="e">
        <f t="shared" si="20"/>
        <v>#DIV/0!</v>
      </c>
    </row>
    <row r="64" spans="1:139" s="317" customFormat="1" ht="15.75" customHeight="1" thickBot="1" x14ac:dyDescent="0.35">
      <c r="A64" s="1071"/>
      <c r="B64" s="284" t="s">
        <v>64</v>
      </c>
      <c r="C64" s="285"/>
      <c r="D64" s="286">
        <v>10178.400000000001</v>
      </c>
      <c r="E64" s="287"/>
      <c r="F64" s="288">
        <v>93.578133475530734</v>
      </c>
      <c r="G64" s="288"/>
      <c r="H64" s="289" t="s">
        <v>44</v>
      </c>
      <c r="I64" s="290" t="s">
        <v>44</v>
      </c>
      <c r="J64" s="291">
        <v>1123310.5405280222</v>
      </c>
      <c r="K64" s="292"/>
      <c r="L64" s="293" t="s">
        <v>44</v>
      </c>
      <c r="M64" s="290" t="s">
        <v>44</v>
      </c>
      <c r="N64" s="291">
        <v>1104679.5405280222</v>
      </c>
      <c r="O64" s="294"/>
      <c r="P64" s="289" t="s">
        <v>44</v>
      </c>
      <c r="Q64" s="290" t="s">
        <v>44</v>
      </c>
      <c r="R64" s="291">
        <v>18631</v>
      </c>
      <c r="S64" s="294"/>
      <c r="T64" s="289" t="s">
        <v>44</v>
      </c>
      <c r="U64" s="290" t="s">
        <v>44</v>
      </c>
      <c r="V64" s="295">
        <v>110</v>
      </c>
      <c r="W64" s="296"/>
      <c r="X64" s="286">
        <v>10059.100000000002</v>
      </c>
      <c r="Y64" s="287"/>
      <c r="Z64" s="288">
        <v>91.638805127130624</v>
      </c>
      <c r="AA64" s="288"/>
      <c r="AB64" s="289" t="s">
        <v>44</v>
      </c>
      <c r="AC64" s="290" t="s">
        <v>44</v>
      </c>
      <c r="AD64" s="291">
        <v>1105681.2760537285</v>
      </c>
      <c r="AE64" s="292"/>
      <c r="AF64" s="293" t="s">
        <v>44</v>
      </c>
      <c r="AG64" s="290" t="s">
        <v>44</v>
      </c>
      <c r="AH64" s="291">
        <v>1090598.2760537285</v>
      </c>
      <c r="AI64" s="294"/>
      <c r="AJ64" s="289" t="s">
        <v>44</v>
      </c>
      <c r="AK64" s="290" t="s">
        <v>44</v>
      </c>
      <c r="AL64" s="291">
        <v>15083</v>
      </c>
      <c r="AM64" s="294"/>
      <c r="AN64" s="289" t="s">
        <v>44</v>
      </c>
      <c r="AO64" s="290" t="s">
        <v>44</v>
      </c>
      <c r="AP64" s="295">
        <v>110</v>
      </c>
      <c r="AQ64" s="296"/>
      <c r="AR64" s="286">
        <v>9796.7000000000007</v>
      </c>
      <c r="AS64" s="287"/>
      <c r="AT64" s="288">
        <v>88.32301048512879</v>
      </c>
      <c r="AU64" s="288"/>
      <c r="AV64" s="289" t="s">
        <v>44</v>
      </c>
      <c r="AW64" s="290" t="s">
        <v>44</v>
      </c>
      <c r="AX64" s="291">
        <v>1035905.0231588698</v>
      </c>
      <c r="AY64" s="292"/>
      <c r="AZ64" s="293" t="s">
        <v>44</v>
      </c>
      <c r="BA64" s="290" t="s">
        <v>44</v>
      </c>
      <c r="BB64" s="291">
        <v>1021387.0231588698</v>
      </c>
      <c r="BC64" s="294"/>
      <c r="BD64" s="289" t="s">
        <v>44</v>
      </c>
      <c r="BE64" s="290" t="s">
        <v>44</v>
      </c>
      <c r="BF64" s="291">
        <v>14518</v>
      </c>
      <c r="BG64" s="294"/>
      <c r="BH64" s="289" t="s">
        <v>44</v>
      </c>
      <c r="BI64" s="290" t="s">
        <v>44</v>
      </c>
      <c r="BJ64" s="295">
        <v>106</v>
      </c>
      <c r="BK64" s="296"/>
      <c r="BL64" s="286">
        <v>10431.400000000001</v>
      </c>
      <c r="BM64" s="287"/>
      <c r="BN64" s="288">
        <v>93.497297636440251</v>
      </c>
      <c r="BO64" s="288"/>
      <c r="BP64" s="289" t="s">
        <v>44</v>
      </c>
      <c r="BQ64" s="290" t="s">
        <v>44</v>
      </c>
      <c r="BR64" s="291">
        <v>1140205.0578971747</v>
      </c>
      <c r="BS64" s="292"/>
      <c r="BT64" s="293" t="s">
        <v>44</v>
      </c>
      <c r="BU64" s="290" t="s">
        <v>44</v>
      </c>
      <c r="BV64" s="291">
        <v>1123309.0578971747</v>
      </c>
      <c r="BW64" s="294"/>
      <c r="BX64" s="289" t="s">
        <v>44</v>
      </c>
      <c r="BY64" s="290" t="s">
        <v>44</v>
      </c>
      <c r="BZ64" s="291">
        <v>16896</v>
      </c>
      <c r="CA64" s="294"/>
      <c r="CB64" s="289" t="s">
        <v>44</v>
      </c>
      <c r="CC64" s="290" t="s">
        <v>44</v>
      </c>
      <c r="CD64" s="295">
        <v>109</v>
      </c>
      <c r="CE64" s="296"/>
      <c r="CF64" s="297">
        <v>40465.599999999999</v>
      </c>
      <c r="CG64" s="292"/>
      <c r="CH64" s="287">
        <v>91.753320665901768</v>
      </c>
      <c r="CI64" s="298"/>
      <c r="CJ64" s="293" t="s">
        <v>44</v>
      </c>
      <c r="CK64" s="290" t="s">
        <v>44</v>
      </c>
      <c r="CL64" s="299">
        <v>4405101.8976377957</v>
      </c>
      <c r="CM64" s="294"/>
      <c r="CN64" s="293" t="s">
        <v>44</v>
      </c>
      <c r="CO64" s="290" t="s">
        <v>44</v>
      </c>
      <c r="CP64" s="291">
        <v>4339973.8976377957</v>
      </c>
      <c r="CQ64" s="292"/>
      <c r="CR64" s="293" t="s">
        <v>44</v>
      </c>
      <c r="CS64" s="290" t="s">
        <v>44</v>
      </c>
      <c r="CT64" s="299">
        <v>65128</v>
      </c>
      <c r="CU64" s="292"/>
      <c r="CV64" s="293" t="s">
        <v>44</v>
      </c>
      <c r="CW64" s="290" t="s">
        <v>44</v>
      </c>
      <c r="CX64" s="299">
        <v>108.86041224244286</v>
      </c>
      <c r="CY64" s="300"/>
      <c r="CZ64" s="301">
        <f>D64+X64</f>
        <v>20237.500000000004</v>
      </c>
      <c r="DA64" s="302">
        <f>E64+Y64</f>
        <v>0</v>
      </c>
      <c r="DB64" s="288" t="e">
        <f>(CZ64/#REF!)*100</f>
        <v>#REF!</v>
      </c>
      <c r="DC64" s="303" t="e">
        <f>(DA64/#REF!)*100</f>
        <v>#REF!</v>
      </c>
      <c r="DD64" s="304">
        <f t="shared" si="38"/>
        <v>2228991.8165817508</v>
      </c>
      <c r="DE64" s="305">
        <f t="shared" si="38"/>
        <v>0</v>
      </c>
      <c r="DF64" s="305" t="e">
        <f t="shared" si="38"/>
        <v>#VALUE!</v>
      </c>
      <c r="DG64" s="306" t="e">
        <f t="shared" si="38"/>
        <v>#VALUE!</v>
      </c>
      <c r="DH64" s="291">
        <f t="shared" si="38"/>
        <v>2195277.8165817508</v>
      </c>
      <c r="DI64" s="307">
        <f t="shared" si="38"/>
        <v>0</v>
      </c>
      <c r="DJ64" s="307" t="e">
        <f t="shared" si="38"/>
        <v>#VALUE!</v>
      </c>
      <c r="DK64" s="307" t="e">
        <f t="shared" si="38"/>
        <v>#VALUE!</v>
      </c>
      <c r="DL64" s="291">
        <f t="shared" si="38"/>
        <v>33714</v>
      </c>
      <c r="DM64" s="307">
        <f t="shared" si="38"/>
        <v>0</v>
      </c>
      <c r="DN64" s="307" t="e">
        <f t="shared" si="38"/>
        <v>#VALUE!</v>
      </c>
      <c r="DO64" s="308" t="e">
        <f t="shared" si="38"/>
        <v>#VALUE!</v>
      </c>
      <c r="DP64" s="291">
        <f>DD64/CZ64</f>
        <v>110.14165863282275</v>
      </c>
      <c r="DQ64" s="309" t="e">
        <f>DE64/DA64</f>
        <v>#DIV/0!</v>
      </c>
      <c r="DR64" s="310">
        <f t="shared" si="18"/>
        <v>20237.500000000004</v>
      </c>
      <c r="DS64" s="311">
        <f>ABS((DR64/CZ64)*100)</f>
        <v>100</v>
      </c>
      <c r="DT64" s="312" t="e">
        <f>(DD64+DF64)-(DE64+DG64)</f>
        <v>#VALUE!</v>
      </c>
      <c r="DU64" s="311" t="e">
        <f>ABS((DT64/(DD64+DF64)*100))</f>
        <v>#VALUE!</v>
      </c>
      <c r="DV64" s="312">
        <f>DD64-DE64</f>
        <v>2228991.8165817508</v>
      </c>
      <c r="DW64" s="313">
        <f>ABS((DV64/DD64)*100)</f>
        <v>100</v>
      </c>
      <c r="DX64" s="307" t="e">
        <f>DF64-DG64</f>
        <v>#VALUE!</v>
      </c>
      <c r="DY64" s="311" t="e">
        <f>ABS((DX64/DF64)*100)</f>
        <v>#VALUE!</v>
      </c>
      <c r="DZ64" s="312">
        <f>DH64-DI64</f>
        <v>2195277.8165817508</v>
      </c>
      <c r="EA64" s="313">
        <f>ABS((DZ64/DH64)*100)</f>
        <v>100</v>
      </c>
      <c r="EB64" s="307" t="e">
        <f>DJ64-DK64</f>
        <v>#VALUE!</v>
      </c>
      <c r="EC64" s="311" t="e">
        <f>ABS((EB64/DJ64)*100)</f>
        <v>#VALUE!</v>
      </c>
      <c r="ED64" s="312">
        <f>DL64-DM64</f>
        <v>33714</v>
      </c>
      <c r="EE64" s="314">
        <f>ABS((ED64/DL64)*100)</f>
        <v>100</v>
      </c>
      <c r="EF64" s="307" t="e">
        <f>DN64-DO64</f>
        <v>#VALUE!</v>
      </c>
      <c r="EG64" s="311" t="e">
        <f>ABS((EF64/DN64)*100)</f>
        <v>#VALUE!</v>
      </c>
      <c r="EH64" s="315" t="e">
        <f t="shared" si="19"/>
        <v>#DIV/0!</v>
      </c>
      <c r="EI64" s="316" t="e">
        <f t="shared" si="20"/>
        <v>#DIV/0!</v>
      </c>
    </row>
    <row r="65" spans="1:139" s="345" customFormat="1" ht="15.75" customHeight="1" x14ac:dyDescent="0.3">
      <c r="A65" s="318" t="s">
        <v>65</v>
      </c>
      <c r="B65" s="319" t="s">
        <v>66</v>
      </c>
      <c r="C65" s="320"/>
      <c r="D65" s="321">
        <v>547.70000000000005</v>
      </c>
      <c r="E65" s="322"/>
      <c r="F65" s="322">
        <v>5.0354420836819322</v>
      </c>
      <c r="G65" s="323"/>
      <c r="H65" s="324" t="s">
        <v>44</v>
      </c>
      <c r="I65" s="325" t="s">
        <v>44</v>
      </c>
      <c r="J65" s="326">
        <v>43962</v>
      </c>
      <c r="K65" s="327"/>
      <c r="L65" s="328" t="s">
        <v>44</v>
      </c>
      <c r="M65" s="329" t="s">
        <v>44</v>
      </c>
      <c r="N65" s="330">
        <v>43781</v>
      </c>
      <c r="O65" s="328"/>
      <c r="P65" s="324" t="s">
        <v>44</v>
      </c>
      <c r="Q65" s="325" t="s">
        <v>44</v>
      </c>
      <c r="R65" s="331">
        <v>181</v>
      </c>
      <c r="S65" s="328"/>
      <c r="T65" s="324" t="s">
        <v>44</v>
      </c>
      <c r="U65" s="325" t="s">
        <v>44</v>
      </c>
      <c r="V65" s="331">
        <v>80</v>
      </c>
      <c r="W65" s="328"/>
      <c r="X65" s="332">
        <v>765.09999999999991</v>
      </c>
      <c r="Y65" s="333"/>
      <c r="Z65" s="333">
        <v>6.9700917381045624</v>
      </c>
      <c r="AA65" s="323"/>
      <c r="AB65" s="324" t="s">
        <v>44</v>
      </c>
      <c r="AC65" s="325" t="s">
        <v>44</v>
      </c>
      <c r="AD65" s="326">
        <v>53605</v>
      </c>
      <c r="AE65" s="327"/>
      <c r="AF65" s="328" t="s">
        <v>44</v>
      </c>
      <c r="AG65" s="329" t="s">
        <v>44</v>
      </c>
      <c r="AH65" s="330">
        <v>53515</v>
      </c>
      <c r="AI65" s="328"/>
      <c r="AJ65" s="324" t="s">
        <v>44</v>
      </c>
      <c r="AK65" s="325" t="s">
        <v>44</v>
      </c>
      <c r="AL65" s="331">
        <v>90</v>
      </c>
      <c r="AM65" s="328"/>
      <c r="AN65" s="324" t="s">
        <v>44</v>
      </c>
      <c r="AO65" s="325" t="s">
        <v>44</v>
      </c>
      <c r="AP65" s="331">
        <v>70</v>
      </c>
      <c r="AQ65" s="328"/>
      <c r="AR65" s="321">
        <v>1142.1000000000001</v>
      </c>
      <c r="AS65" s="322"/>
      <c r="AT65" s="322">
        <v>10.296702999486113</v>
      </c>
      <c r="AU65" s="323"/>
      <c r="AV65" s="324" t="s">
        <v>44</v>
      </c>
      <c r="AW65" s="325" t="s">
        <v>44</v>
      </c>
      <c r="AX65" s="326">
        <v>73131</v>
      </c>
      <c r="AY65" s="327"/>
      <c r="AZ65" s="328" t="s">
        <v>44</v>
      </c>
      <c r="BA65" s="329" t="s">
        <v>44</v>
      </c>
      <c r="BB65" s="330">
        <v>72765</v>
      </c>
      <c r="BC65" s="328"/>
      <c r="BD65" s="324" t="s">
        <v>44</v>
      </c>
      <c r="BE65" s="325" t="s">
        <v>44</v>
      </c>
      <c r="BF65" s="331">
        <v>366</v>
      </c>
      <c r="BG65" s="328"/>
      <c r="BH65" s="324" t="s">
        <v>44</v>
      </c>
      <c r="BI65" s="325" t="s">
        <v>44</v>
      </c>
      <c r="BJ65" s="331">
        <v>64</v>
      </c>
      <c r="BK65" s="328"/>
      <c r="BL65" s="332">
        <v>571.5</v>
      </c>
      <c r="BM65" s="333"/>
      <c r="BN65" s="333">
        <v>5.1223906282211011</v>
      </c>
      <c r="BO65" s="323"/>
      <c r="BP65" s="324" t="s">
        <v>44</v>
      </c>
      <c r="BQ65" s="325" t="s">
        <v>44</v>
      </c>
      <c r="BR65" s="326">
        <v>46640</v>
      </c>
      <c r="BS65" s="327"/>
      <c r="BT65" s="328" t="s">
        <v>44</v>
      </c>
      <c r="BU65" s="329" t="s">
        <v>44</v>
      </c>
      <c r="BV65" s="330">
        <v>46182</v>
      </c>
      <c r="BW65" s="328"/>
      <c r="BX65" s="324" t="s">
        <v>44</v>
      </c>
      <c r="BY65" s="325" t="s">
        <v>44</v>
      </c>
      <c r="BZ65" s="331">
        <v>458</v>
      </c>
      <c r="CA65" s="328"/>
      <c r="CB65" s="324" t="s">
        <v>44</v>
      </c>
      <c r="CC65" s="325" t="s">
        <v>44</v>
      </c>
      <c r="CD65" s="331">
        <v>82</v>
      </c>
      <c r="CE65" s="328"/>
      <c r="CF65" s="321">
        <v>3026.3999999999996</v>
      </c>
      <c r="CG65" s="334"/>
      <c r="CH65" s="322">
        <v>6.8621804610159014</v>
      </c>
      <c r="CI65" s="335"/>
      <c r="CJ65" s="328" t="s">
        <v>44</v>
      </c>
      <c r="CK65" s="329" t="s">
        <v>44</v>
      </c>
      <c r="CL65" s="326">
        <v>217338</v>
      </c>
      <c r="CM65" s="336"/>
      <c r="CN65" s="327" t="s">
        <v>44</v>
      </c>
      <c r="CO65" s="329" t="s">
        <v>44</v>
      </c>
      <c r="CP65" s="330">
        <v>216243</v>
      </c>
      <c r="CQ65" s="328"/>
      <c r="CR65" s="328" t="s">
        <v>44</v>
      </c>
      <c r="CS65" s="329" t="s">
        <v>44</v>
      </c>
      <c r="CT65" s="331">
        <v>1095</v>
      </c>
      <c r="CU65" s="328"/>
      <c r="CV65" s="328" t="s">
        <v>44</v>
      </c>
      <c r="CW65" s="329" t="s">
        <v>44</v>
      </c>
      <c r="CX65" s="330">
        <v>72</v>
      </c>
      <c r="CY65" s="337"/>
      <c r="CZ65" s="336" t="s">
        <v>44</v>
      </c>
      <c r="DA65" s="338">
        <f t="shared" ref="DA65:DA87" si="39">E65+Y65</f>
        <v>0</v>
      </c>
      <c r="DB65" s="239" t="s">
        <v>44</v>
      </c>
      <c r="DC65" s="339" t="e">
        <f>(DA65/#REF!)*100</f>
        <v>#REF!</v>
      </c>
      <c r="DD65" s="340" t="s">
        <v>44</v>
      </c>
      <c r="DE65" s="327" t="s">
        <v>44</v>
      </c>
      <c r="DF65" s="327" t="s">
        <v>44</v>
      </c>
      <c r="DG65" s="327" t="s">
        <v>44</v>
      </c>
      <c r="DH65" s="341" t="s">
        <v>44</v>
      </c>
      <c r="DI65" s="341" t="s">
        <v>44</v>
      </c>
      <c r="DJ65" s="341" t="s">
        <v>44</v>
      </c>
      <c r="DK65" s="341" t="s">
        <v>44</v>
      </c>
      <c r="DL65" s="341" t="s">
        <v>44</v>
      </c>
      <c r="DM65" s="341" t="s">
        <v>44</v>
      </c>
      <c r="DN65" s="341" t="s">
        <v>44</v>
      </c>
      <c r="DO65" s="342" t="s">
        <v>44</v>
      </c>
      <c r="DP65" s="340" t="s">
        <v>44</v>
      </c>
      <c r="DQ65" s="343" t="s">
        <v>44</v>
      </c>
      <c r="DR65" s="344" t="s">
        <v>44</v>
      </c>
      <c r="DS65" s="243" t="s">
        <v>44</v>
      </c>
      <c r="DT65" s="243" t="s">
        <v>44</v>
      </c>
      <c r="DU65" s="243" t="s">
        <v>44</v>
      </c>
      <c r="DV65" s="243" t="s">
        <v>44</v>
      </c>
      <c r="DW65" s="243" t="s">
        <v>44</v>
      </c>
      <c r="DX65" s="243" t="s">
        <v>44</v>
      </c>
      <c r="DY65" s="243" t="s">
        <v>44</v>
      </c>
      <c r="DZ65" s="243" t="s">
        <v>44</v>
      </c>
      <c r="EA65" s="243" t="s">
        <v>44</v>
      </c>
      <c r="EB65" s="243" t="s">
        <v>44</v>
      </c>
      <c r="EC65" s="243" t="s">
        <v>44</v>
      </c>
      <c r="ED65" s="243" t="s">
        <v>44</v>
      </c>
      <c r="EE65" s="244" t="s">
        <v>44</v>
      </c>
      <c r="EF65" s="243" t="s">
        <v>44</v>
      </c>
      <c r="EG65" s="243" t="s">
        <v>44</v>
      </c>
      <c r="EH65" s="243" t="s">
        <v>44</v>
      </c>
      <c r="EI65" s="246" t="s">
        <v>44</v>
      </c>
    </row>
    <row r="66" spans="1:139" s="743" customFormat="1" ht="15.75" customHeight="1" outlineLevel="1" x14ac:dyDescent="0.3">
      <c r="A66" s="721"/>
      <c r="B66" s="722"/>
      <c r="C66" s="723" t="s">
        <v>45</v>
      </c>
      <c r="D66" s="724">
        <v>204.1</v>
      </c>
      <c r="E66" s="725"/>
      <c r="F66" s="725">
        <v>9.4534506716072251</v>
      </c>
      <c r="G66" s="726"/>
      <c r="H66" s="727" t="s">
        <v>44</v>
      </c>
      <c r="I66" s="728" t="s">
        <v>44</v>
      </c>
      <c r="J66" s="729">
        <v>29597</v>
      </c>
      <c r="K66" s="730"/>
      <c r="L66" s="731" t="s">
        <v>44</v>
      </c>
      <c r="M66" s="728" t="s">
        <v>44</v>
      </c>
      <c r="N66" s="729">
        <v>29416</v>
      </c>
      <c r="O66" s="732"/>
      <c r="P66" s="727" t="s">
        <v>44</v>
      </c>
      <c r="Q66" s="728" t="s">
        <v>44</v>
      </c>
      <c r="R66" s="729">
        <v>181</v>
      </c>
      <c r="S66" s="732"/>
      <c r="T66" s="727" t="s">
        <v>44</v>
      </c>
      <c r="U66" s="728" t="s">
        <v>44</v>
      </c>
      <c r="V66" s="729">
        <v>145</v>
      </c>
      <c r="W66" s="733"/>
      <c r="X66" s="734">
        <v>234.29999999999998</v>
      </c>
      <c r="Y66" s="725"/>
      <c r="Z66" s="725">
        <v>10.728021978021978</v>
      </c>
      <c r="AA66" s="735"/>
      <c r="AB66" s="727" t="s">
        <v>44</v>
      </c>
      <c r="AC66" s="728" t="s">
        <v>44</v>
      </c>
      <c r="AD66" s="729">
        <v>34231</v>
      </c>
      <c r="AE66" s="733"/>
      <c r="AF66" s="731" t="s">
        <v>44</v>
      </c>
      <c r="AG66" s="728" t="s">
        <v>44</v>
      </c>
      <c r="AH66" s="736">
        <v>34141</v>
      </c>
      <c r="AI66" s="728"/>
      <c r="AJ66" s="727" t="s">
        <v>44</v>
      </c>
      <c r="AK66" s="728" t="s">
        <v>44</v>
      </c>
      <c r="AL66" s="736">
        <v>90</v>
      </c>
      <c r="AM66" s="728"/>
      <c r="AN66" s="727" t="s">
        <v>44</v>
      </c>
      <c r="AO66" s="728" t="s">
        <v>44</v>
      </c>
      <c r="AP66" s="736">
        <v>146</v>
      </c>
      <c r="AQ66" s="733"/>
      <c r="AR66" s="734">
        <v>277.5</v>
      </c>
      <c r="AS66" s="725"/>
      <c r="AT66" s="725">
        <v>12.567934782608695</v>
      </c>
      <c r="AU66" s="735"/>
      <c r="AV66" s="727" t="s">
        <v>44</v>
      </c>
      <c r="AW66" s="728" t="s">
        <v>44</v>
      </c>
      <c r="AX66" s="729">
        <v>44308</v>
      </c>
      <c r="AY66" s="733"/>
      <c r="AZ66" s="731" t="s">
        <v>44</v>
      </c>
      <c r="BA66" s="728" t="s">
        <v>44</v>
      </c>
      <c r="BB66" s="736">
        <v>43942</v>
      </c>
      <c r="BC66" s="728"/>
      <c r="BD66" s="727" t="s">
        <v>44</v>
      </c>
      <c r="BE66" s="728" t="s">
        <v>44</v>
      </c>
      <c r="BF66" s="736">
        <v>366</v>
      </c>
      <c r="BG66" s="728"/>
      <c r="BH66" s="727" t="s">
        <v>44</v>
      </c>
      <c r="BI66" s="728" t="s">
        <v>44</v>
      </c>
      <c r="BJ66" s="736">
        <v>160</v>
      </c>
      <c r="BK66" s="733"/>
      <c r="BL66" s="734">
        <v>198.7</v>
      </c>
      <c r="BM66" s="725"/>
      <c r="BN66" s="725">
        <v>8.9950203712086907</v>
      </c>
      <c r="BO66" s="735"/>
      <c r="BP66" s="727" t="s">
        <v>44</v>
      </c>
      <c r="BQ66" s="728" t="s">
        <v>44</v>
      </c>
      <c r="BR66" s="729">
        <v>30461</v>
      </c>
      <c r="BS66" s="731"/>
      <c r="BT66" s="731" t="s">
        <v>44</v>
      </c>
      <c r="BU66" s="728" t="s">
        <v>44</v>
      </c>
      <c r="BV66" s="736">
        <v>30003</v>
      </c>
      <c r="BW66" s="728"/>
      <c r="BX66" s="731" t="s">
        <v>44</v>
      </c>
      <c r="BY66" s="728" t="s">
        <v>44</v>
      </c>
      <c r="BZ66" s="736">
        <v>458</v>
      </c>
      <c r="CA66" s="728"/>
      <c r="CB66" s="731" t="s">
        <v>44</v>
      </c>
      <c r="CC66" s="728" t="s">
        <v>44</v>
      </c>
      <c r="CD66" s="736">
        <v>153</v>
      </c>
      <c r="CE66" s="733"/>
      <c r="CF66" s="734">
        <v>914.59999999999991</v>
      </c>
      <c r="CG66" s="737"/>
      <c r="CH66" s="725">
        <v>10.440639269406391</v>
      </c>
      <c r="CI66" s="738"/>
      <c r="CJ66" s="727" t="s">
        <v>44</v>
      </c>
      <c r="CK66" s="728" t="s">
        <v>44</v>
      </c>
      <c r="CL66" s="729">
        <v>138597</v>
      </c>
      <c r="CM66" s="731"/>
      <c r="CN66" s="731" t="s">
        <v>44</v>
      </c>
      <c r="CO66" s="728" t="s">
        <v>44</v>
      </c>
      <c r="CP66" s="736">
        <v>137502</v>
      </c>
      <c r="CQ66" s="731"/>
      <c r="CR66" s="731" t="s">
        <v>44</v>
      </c>
      <c r="CS66" s="728" t="s">
        <v>44</v>
      </c>
      <c r="CT66" s="729">
        <v>1095</v>
      </c>
      <c r="CU66" s="731"/>
      <c r="CV66" s="731" t="s">
        <v>44</v>
      </c>
      <c r="CW66" s="728" t="s">
        <v>44</v>
      </c>
      <c r="CX66" s="736">
        <v>152</v>
      </c>
      <c r="CY66" s="739"/>
      <c r="CZ66" s="740"/>
      <c r="DA66" s="741"/>
      <c r="DB66" s="737"/>
      <c r="DC66" s="742"/>
      <c r="DD66" s="731"/>
      <c r="DE66" s="731"/>
      <c r="DF66" s="731"/>
      <c r="DG66" s="731"/>
      <c r="DH66" s="731"/>
      <c r="DI66" s="731"/>
      <c r="DJ66" s="731"/>
      <c r="DK66" s="731"/>
      <c r="DL66" s="731"/>
      <c r="DM66" s="731"/>
      <c r="DN66" s="731"/>
      <c r="DO66" s="731"/>
      <c r="DP66" s="731"/>
      <c r="DQ66" s="731"/>
      <c r="DR66" s="737"/>
      <c r="DS66" s="731"/>
      <c r="DT66" s="731"/>
      <c r="DU66" s="731"/>
      <c r="DV66" s="731"/>
      <c r="DW66" s="731"/>
      <c r="DX66" s="731"/>
      <c r="DY66" s="731"/>
      <c r="DZ66" s="731"/>
      <c r="EA66" s="731"/>
      <c r="EB66" s="731"/>
      <c r="EC66" s="731"/>
      <c r="ED66" s="731"/>
      <c r="EE66" s="731"/>
      <c r="EF66" s="731"/>
      <c r="EG66" s="731"/>
      <c r="EH66" s="731"/>
      <c r="EI66" s="731"/>
    </row>
    <row r="67" spans="1:139" s="761" customFormat="1" ht="15.75" customHeight="1" outlineLevel="1" x14ac:dyDescent="0.3">
      <c r="A67" s="744"/>
      <c r="B67" s="745"/>
      <c r="C67" s="746" t="s">
        <v>51</v>
      </c>
      <c r="D67" s="747">
        <v>0</v>
      </c>
      <c r="E67" s="748"/>
      <c r="F67" s="749">
        <v>0</v>
      </c>
      <c r="G67" s="750"/>
      <c r="H67" s="522" t="s">
        <v>44</v>
      </c>
      <c r="I67" s="95" t="s">
        <v>44</v>
      </c>
      <c r="J67" s="751">
        <v>0</v>
      </c>
      <c r="K67" s="752"/>
      <c r="L67" s="168" t="s">
        <v>44</v>
      </c>
      <c r="M67" s="95" t="s">
        <v>44</v>
      </c>
      <c r="N67" s="753">
        <v>0</v>
      </c>
      <c r="O67" s="754"/>
      <c r="P67" s="522" t="s">
        <v>44</v>
      </c>
      <c r="Q67" s="95" t="s">
        <v>44</v>
      </c>
      <c r="R67" s="753">
        <v>0</v>
      </c>
      <c r="S67" s="754"/>
      <c r="T67" s="522" t="s">
        <v>44</v>
      </c>
      <c r="U67" s="95" t="s">
        <v>44</v>
      </c>
      <c r="V67" s="753">
        <v>0</v>
      </c>
      <c r="W67" s="755"/>
      <c r="X67" s="756">
        <v>1.8</v>
      </c>
      <c r="Y67" s="748"/>
      <c r="Z67" s="748">
        <v>8.2417582417582416E-2</v>
      </c>
      <c r="AA67" s="757"/>
      <c r="AB67" s="522" t="s">
        <v>44</v>
      </c>
      <c r="AC67" s="95" t="s">
        <v>44</v>
      </c>
      <c r="AD67" s="751">
        <v>252</v>
      </c>
      <c r="AE67" s="755"/>
      <c r="AF67" s="168" t="s">
        <v>44</v>
      </c>
      <c r="AG67" s="95" t="s">
        <v>44</v>
      </c>
      <c r="AH67" s="758">
        <v>252</v>
      </c>
      <c r="AI67" s="95"/>
      <c r="AJ67" s="522" t="s">
        <v>44</v>
      </c>
      <c r="AK67" s="95" t="s">
        <v>44</v>
      </c>
      <c r="AL67" s="758">
        <v>0</v>
      </c>
      <c r="AM67" s="95"/>
      <c r="AN67" s="522" t="s">
        <v>44</v>
      </c>
      <c r="AO67" s="95" t="s">
        <v>44</v>
      </c>
      <c r="AP67" s="758">
        <v>140</v>
      </c>
      <c r="AQ67" s="755"/>
      <c r="AR67" s="756">
        <v>1.8</v>
      </c>
      <c r="AS67" s="748"/>
      <c r="AT67" s="748">
        <v>8.1521739130434784E-2</v>
      </c>
      <c r="AU67" s="757"/>
      <c r="AV67" s="522" t="s">
        <v>44</v>
      </c>
      <c r="AW67" s="95" t="s">
        <v>44</v>
      </c>
      <c r="AX67" s="753">
        <v>255</v>
      </c>
      <c r="AY67" s="755"/>
      <c r="AZ67" s="168" t="s">
        <v>44</v>
      </c>
      <c r="BA67" s="95" t="s">
        <v>44</v>
      </c>
      <c r="BB67" s="758">
        <v>255</v>
      </c>
      <c r="BC67" s="95"/>
      <c r="BD67" s="522" t="s">
        <v>44</v>
      </c>
      <c r="BE67" s="95" t="s">
        <v>44</v>
      </c>
      <c r="BF67" s="758">
        <v>0</v>
      </c>
      <c r="BG67" s="95"/>
      <c r="BH67" s="522" t="s">
        <v>44</v>
      </c>
      <c r="BI67" s="95" t="s">
        <v>44</v>
      </c>
      <c r="BJ67" s="758">
        <v>142</v>
      </c>
      <c r="BK67" s="755"/>
      <c r="BL67" s="756">
        <v>0</v>
      </c>
      <c r="BM67" s="748"/>
      <c r="BN67" s="748">
        <v>0</v>
      </c>
      <c r="BO67" s="757"/>
      <c r="BP67" s="522" t="s">
        <v>44</v>
      </c>
      <c r="BQ67" s="95" t="s">
        <v>44</v>
      </c>
      <c r="BR67" s="751">
        <v>0</v>
      </c>
      <c r="BS67" s="168"/>
      <c r="BT67" s="168" t="s">
        <v>44</v>
      </c>
      <c r="BU67" s="95" t="s">
        <v>44</v>
      </c>
      <c r="BV67" s="758">
        <v>0</v>
      </c>
      <c r="BW67" s="95"/>
      <c r="BX67" s="168" t="s">
        <v>44</v>
      </c>
      <c r="BY67" s="95" t="s">
        <v>44</v>
      </c>
      <c r="BZ67" s="758">
        <v>0</v>
      </c>
      <c r="CA67" s="95"/>
      <c r="CB67" s="168" t="s">
        <v>44</v>
      </c>
      <c r="CC67" s="95" t="s">
        <v>44</v>
      </c>
      <c r="CD67" s="758">
        <v>0</v>
      </c>
      <c r="CE67" s="755"/>
      <c r="CF67" s="756">
        <v>3.6</v>
      </c>
      <c r="CG67" s="452"/>
      <c r="CH67" s="748">
        <v>4.1095890410958909E-2</v>
      </c>
      <c r="CI67" s="759"/>
      <c r="CJ67" s="522" t="s">
        <v>44</v>
      </c>
      <c r="CK67" s="95" t="s">
        <v>44</v>
      </c>
      <c r="CL67" s="753">
        <v>507</v>
      </c>
      <c r="CM67" s="168"/>
      <c r="CN67" s="168" t="s">
        <v>44</v>
      </c>
      <c r="CO67" s="95" t="s">
        <v>44</v>
      </c>
      <c r="CP67" s="758">
        <v>507</v>
      </c>
      <c r="CQ67" s="168"/>
      <c r="CR67" s="168" t="s">
        <v>44</v>
      </c>
      <c r="CS67" s="95" t="s">
        <v>44</v>
      </c>
      <c r="CT67" s="753">
        <v>0</v>
      </c>
      <c r="CU67" s="168"/>
      <c r="CV67" s="168" t="s">
        <v>44</v>
      </c>
      <c r="CW67" s="95" t="s">
        <v>44</v>
      </c>
      <c r="CX67" s="758">
        <v>141</v>
      </c>
      <c r="CY67" s="760"/>
      <c r="CZ67" s="166"/>
      <c r="DA67" s="105"/>
      <c r="DB67" s="452"/>
      <c r="DC67" s="119"/>
      <c r="DD67" s="168"/>
      <c r="DE67" s="168"/>
      <c r="DF67" s="168"/>
      <c r="DG67" s="168"/>
      <c r="DH67" s="168"/>
      <c r="DI67" s="168"/>
      <c r="DJ67" s="168"/>
      <c r="DK67" s="168"/>
      <c r="DL67" s="168"/>
      <c r="DM67" s="168"/>
      <c r="DN67" s="168"/>
      <c r="DO67" s="168"/>
      <c r="DP67" s="168"/>
      <c r="DQ67" s="168"/>
      <c r="DR67" s="452"/>
      <c r="DS67" s="168"/>
      <c r="DT67" s="168"/>
      <c r="DU67" s="168"/>
      <c r="DV67" s="168"/>
      <c r="DW67" s="168"/>
      <c r="DX67" s="168"/>
      <c r="DY67" s="168"/>
      <c r="DZ67" s="168"/>
      <c r="EA67" s="168"/>
      <c r="EB67" s="168"/>
      <c r="EC67" s="168"/>
      <c r="ED67" s="168"/>
      <c r="EE67" s="168"/>
      <c r="EF67" s="168"/>
      <c r="EG67" s="168"/>
      <c r="EH67" s="168"/>
      <c r="EI67" s="168"/>
    </row>
    <row r="68" spans="1:139" s="774" customFormat="1" ht="15.75" customHeight="1" outlineLevel="1" x14ac:dyDescent="0.3">
      <c r="A68" s="762"/>
      <c r="B68" s="763"/>
      <c r="C68" s="764" t="s">
        <v>47</v>
      </c>
      <c r="D68" s="765">
        <v>293.60000000000002</v>
      </c>
      <c r="E68" s="749"/>
      <c r="F68" s="749">
        <v>13.598888374247336</v>
      </c>
      <c r="G68" s="766"/>
      <c r="H68" s="536" t="s">
        <v>44</v>
      </c>
      <c r="I68" s="159" t="s">
        <v>44</v>
      </c>
      <c r="J68" s="751">
        <v>10975</v>
      </c>
      <c r="K68" s="767"/>
      <c r="L68" s="108" t="s">
        <v>44</v>
      </c>
      <c r="M68" s="159" t="s">
        <v>44</v>
      </c>
      <c r="N68" s="751">
        <v>10975</v>
      </c>
      <c r="O68" s="768"/>
      <c r="P68" s="536" t="s">
        <v>44</v>
      </c>
      <c r="Q68" s="159" t="s">
        <v>44</v>
      </c>
      <c r="R68" s="751">
        <v>0</v>
      </c>
      <c r="S68" s="768"/>
      <c r="T68" s="536" t="s">
        <v>44</v>
      </c>
      <c r="U68" s="159" t="s">
        <v>44</v>
      </c>
      <c r="V68" s="751">
        <v>37</v>
      </c>
      <c r="W68" s="163"/>
      <c r="X68" s="769">
        <v>446.7</v>
      </c>
      <c r="Y68" s="749"/>
      <c r="Z68" s="749">
        <v>20.453296703296704</v>
      </c>
      <c r="AA68" s="770"/>
      <c r="AB68" s="536" t="s">
        <v>44</v>
      </c>
      <c r="AC68" s="159" t="s">
        <v>44</v>
      </c>
      <c r="AD68" s="751">
        <v>13424</v>
      </c>
      <c r="AE68" s="163"/>
      <c r="AF68" s="108" t="s">
        <v>44</v>
      </c>
      <c r="AG68" s="159" t="s">
        <v>44</v>
      </c>
      <c r="AH68" s="771">
        <v>13424</v>
      </c>
      <c r="AI68" s="159"/>
      <c r="AJ68" s="536" t="s">
        <v>44</v>
      </c>
      <c r="AK68" s="159" t="s">
        <v>44</v>
      </c>
      <c r="AL68" s="771">
        <v>0</v>
      </c>
      <c r="AM68" s="159"/>
      <c r="AN68" s="536" t="s">
        <v>44</v>
      </c>
      <c r="AO68" s="159" t="s">
        <v>44</v>
      </c>
      <c r="AP68" s="771">
        <v>30</v>
      </c>
      <c r="AQ68" s="163"/>
      <c r="AR68" s="769">
        <v>782.9</v>
      </c>
      <c r="AS68" s="749"/>
      <c r="AT68" s="749">
        <v>35.457427536231883</v>
      </c>
      <c r="AU68" s="770"/>
      <c r="AV68" s="536" t="s">
        <v>44</v>
      </c>
      <c r="AW68" s="159" t="s">
        <v>44</v>
      </c>
      <c r="AX68" s="753">
        <v>22622</v>
      </c>
      <c r="AY68" s="163"/>
      <c r="AZ68" s="108" t="s">
        <v>44</v>
      </c>
      <c r="BA68" s="159" t="s">
        <v>44</v>
      </c>
      <c r="BB68" s="771">
        <v>22622</v>
      </c>
      <c r="BC68" s="159"/>
      <c r="BD68" s="536" t="s">
        <v>44</v>
      </c>
      <c r="BE68" s="159" t="s">
        <v>44</v>
      </c>
      <c r="BF68" s="771">
        <v>0</v>
      </c>
      <c r="BG68" s="159"/>
      <c r="BH68" s="536" t="s">
        <v>44</v>
      </c>
      <c r="BI68" s="159" t="s">
        <v>44</v>
      </c>
      <c r="BJ68" s="771">
        <v>29</v>
      </c>
      <c r="BK68" s="163"/>
      <c r="BL68" s="769">
        <v>300.3</v>
      </c>
      <c r="BM68" s="749"/>
      <c r="BN68" s="749">
        <v>13.594386600271616</v>
      </c>
      <c r="BO68" s="770"/>
      <c r="BP68" s="536" t="s">
        <v>44</v>
      </c>
      <c r="BQ68" s="159" t="s">
        <v>44</v>
      </c>
      <c r="BR68" s="751">
        <v>10994</v>
      </c>
      <c r="BS68" s="108"/>
      <c r="BT68" s="108" t="s">
        <v>44</v>
      </c>
      <c r="BU68" s="159" t="s">
        <v>44</v>
      </c>
      <c r="BV68" s="771">
        <v>10994</v>
      </c>
      <c r="BW68" s="159"/>
      <c r="BX68" s="108" t="s">
        <v>44</v>
      </c>
      <c r="BY68" s="159" t="s">
        <v>44</v>
      </c>
      <c r="BZ68" s="771">
        <v>0</v>
      </c>
      <c r="CA68" s="159"/>
      <c r="CB68" s="108" t="s">
        <v>44</v>
      </c>
      <c r="CC68" s="159" t="s">
        <v>44</v>
      </c>
      <c r="CD68" s="771">
        <v>37</v>
      </c>
      <c r="CE68" s="163"/>
      <c r="CF68" s="769">
        <v>1823.4999999999998</v>
      </c>
      <c r="CG68" s="772"/>
      <c r="CH68" s="749">
        <v>20.816210045662096</v>
      </c>
      <c r="CI68" s="773"/>
      <c r="CJ68" s="536" t="s">
        <v>44</v>
      </c>
      <c r="CK68" s="159" t="s">
        <v>44</v>
      </c>
      <c r="CL68" s="751">
        <v>58015</v>
      </c>
      <c r="CM68" s="108"/>
      <c r="CN68" s="108" t="s">
        <v>44</v>
      </c>
      <c r="CO68" s="159" t="s">
        <v>44</v>
      </c>
      <c r="CP68" s="771">
        <v>58015</v>
      </c>
      <c r="CQ68" s="108"/>
      <c r="CR68" s="108" t="s">
        <v>44</v>
      </c>
      <c r="CS68" s="159" t="s">
        <v>44</v>
      </c>
      <c r="CT68" s="751">
        <v>0</v>
      </c>
      <c r="CU68" s="108"/>
      <c r="CV68" s="108" t="s">
        <v>44</v>
      </c>
      <c r="CW68" s="159" t="s">
        <v>44</v>
      </c>
      <c r="CX68" s="771">
        <v>32</v>
      </c>
      <c r="CY68" s="539"/>
      <c r="CZ68" s="98"/>
      <c r="DA68" s="93"/>
      <c r="DB68" s="772"/>
      <c r="DC68" s="176"/>
      <c r="DD68" s="108"/>
      <c r="DE68" s="108"/>
      <c r="DF68" s="108"/>
      <c r="DG68" s="108"/>
      <c r="DH68" s="108"/>
      <c r="DI68" s="108"/>
      <c r="DJ68" s="108"/>
      <c r="DK68" s="108"/>
      <c r="DL68" s="108"/>
      <c r="DM68" s="108"/>
      <c r="DN68" s="108"/>
      <c r="DO68" s="108"/>
      <c r="DP68" s="108"/>
      <c r="DQ68" s="108"/>
      <c r="DR68" s="772"/>
      <c r="DS68" s="108"/>
      <c r="DT68" s="108"/>
      <c r="DU68" s="108"/>
      <c r="DV68" s="108"/>
      <c r="DW68" s="108"/>
      <c r="DX68" s="108"/>
      <c r="DY68" s="108"/>
      <c r="DZ68" s="108"/>
      <c r="EA68" s="108"/>
      <c r="EB68" s="108"/>
      <c r="EC68" s="108"/>
      <c r="ED68" s="108"/>
      <c r="EE68" s="108"/>
      <c r="EF68" s="108"/>
      <c r="EG68" s="108"/>
      <c r="EH68" s="108"/>
      <c r="EI68" s="108"/>
    </row>
    <row r="69" spans="1:139" s="790" customFormat="1" ht="15.75" customHeight="1" outlineLevel="1" x14ac:dyDescent="0.3">
      <c r="A69" s="775"/>
      <c r="B69" s="776"/>
      <c r="C69" s="777" t="s">
        <v>48</v>
      </c>
      <c r="D69" s="778">
        <v>50</v>
      </c>
      <c r="E69" s="779"/>
      <c r="F69" s="779">
        <v>2.3158869847151458</v>
      </c>
      <c r="G69" s="780"/>
      <c r="H69" s="562" t="s">
        <v>44</v>
      </c>
      <c r="I69" s="384" t="s">
        <v>44</v>
      </c>
      <c r="J69" s="781">
        <v>3390</v>
      </c>
      <c r="K69" s="782"/>
      <c r="L69" s="563" t="s">
        <v>44</v>
      </c>
      <c r="M69" s="384" t="s">
        <v>44</v>
      </c>
      <c r="N69" s="781">
        <v>3390</v>
      </c>
      <c r="O69" s="783"/>
      <c r="P69" s="562" t="s">
        <v>44</v>
      </c>
      <c r="Q69" s="384" t="s">
        <v>44</v>
      </c>
      <c r="R69" s="781">
        <v>0</v>
      </c>
      <c r="S69" s="783"/>
      <c r="T69" s="562" t="s">
        <v>44</v>
      </c>
      <c r="U69" s="384" t="s">
        <v>44</v>
      </c>
      <c r="V69" s="781">
        <v>68</v>
      </c>
      <c r="W69" s="784"/>
      <c r="X69" s="785">
        <v>82.3</v>
      </c>
      <c r="Y69" s="779"/>
      <c r="Z69" s="779">
        <v>3.7683150183150182</v>
      </c>
      <c r="AA69" s="786"/>
      <c r="AB69" s="562" t="s">
        <v>44</v>
      </c>
      <c r="AC69" s="384" t="s">
        <v>44</v>
      </c>
      <c r="AD69" s="781">
        <v>5698</v>
      </c>
      <c r="AE69" s="784"/>
      <c r="AF69" s="563" t="s">
        <v>44</v>
      </c>
      <c r="AG69" s="384" t="s">
        <v>44</v>
      </c>
      <c r="AH69" s="787">
        <v>5698</v>
      </c>
      <c r="AI69" s="384"/>
      <c r="AJ69" s="562" t="s">
        <v>44</v>
      </c>
      <c r="AK69" s="384" t="s">
        <v>44</v>
      </c>
      <c r="AL69" s="787">
        <v>0</v>
      </c>
      <c r="AM69" s="384"/>
      <c r="AN69" s="562" t="s">
        <v>44</v>
      </c>
      <c r="AO69" s="384" t="s">
        <v>44</v>
      </c>
      <c r="AP69" s="787">
        <v>69</v>
      </c>
      <c r="AQ69" s="784"/>
      <c r="AR69" s="785">
        <v>79.900000000000006</v>
      </c>
      <c r="AS69" s="779"/>
      <c r="AT69" s="779">
        <v>3.6186594202898554</v>
      </c>
      <c r="AU69" s="786"/>
      <c r="AV69" s="562" t="s">
        <v>44</v>
      </c>
      <c r="AW69" s="384" t="s">
        <v>44</v>
      </c>
      <c r="AX69" s="781">
        <v>5946</v>
      </c>
      <c r="AY69" s="784"/>
      <c r="AZ69" s="563" t="s">
        <v>44</v>
      </c>
      <c r="BA69" s="384" t="s">
        <v>44</v>
      </c>
      <c r="BB69" s="787">
        <v>5946</v>
      </c>
      <c r="BC69" s="384"/>
      <c r="BD69" s="562" t="s">
        <v>44</v>
      </c>
      <c r="BE69" s="384" t="s">
        <v>44</v>
      </c>
      <c r="BF69" s="787">
        <v>0</v>
      </c>
      <c r="BG69" s="384"/>
      <c r="BH69" s="562" t="s">
        <v>44</v>
      </c>
      <c r="BI69" s="384" t="s">
        <v>44</v>
      </c>
      <c r="BJ69" s="787">
        <v>74</v>
      </c>
      <c r="BK69" s="784"/>
      <c r="BL69" s="785">
        <v>72.5</v>
      </c>
      <c r="BM69" s="779"/>
      <c r="BN69" s="779">
        <v>3.2820280669986421</v>
      </c>
      <c r="BO69" s="786"/>
      <c r="BP69" s="562" t="s">
        <v>44</v>
      </c>
      <c r="BQ69" s="384" t="s">
        <v>44</v>
      </c>
      <c r="BR69" s="781">
        <v>5185</v>
      </c>
      <c r="BS69" s="563"/>
      <c r="BT69" s="563" t="s">
        <v>44</v>
      </c>
      <c r="BU69" s="384" t="s">
        <v>44</v>
      </c>
      <c r="BV69" s="787">
        <v>5185</v>
      </c>
      <c r="BW69" s="384"/>
      <c r="BX69" s="563" t="s">
        <v>44</v>
      </c>
      <c r="BY69" s="384" t="s">
        <v>44</v>
      </c>
      <c r="BZ69" s="787">
        <v>0</v>
      </c>
      <c r="CA69" s="384"/>
      <c r="CB69" s="563" t="s">
        <v>44</v>
      </c>
      <c r="CC69" s="384" t="s">
        <v>44</v>
      </c>
      <c r="CD69" s="787">
        <v>72</v>
      </c>
      <c r="CE69" s="784"/>
      <c r="CF69" s="785">
        <v>284.70000000000005</v>
      </c>
      <c r="CG69" s="560"/>
      <c r="CH69" s="779">
        <v>3.2500000000000009</v>
      </c>
      <c r="CI69" s="788"/>
      <c r="CJ69" s="562" t="s">
        <v>44</v>
      </c>
      <c r="CK69" s="384" t="s">
        <v>44</v>
      </c>
      <c r="CL69" s="781">
        <v>20219</v>
      </c>
      <c r="CM69" s="563"/>
      <c r="CN69" s="563" t="s">
        <v>44</v>
      </c>
      <c r="CO69" s="384" t="s">
        <v>44</v>
      </c>
      <c r="CP69" s="787">
        <v>20219</v>
      </c>
      <c r="CQ69" s="563"/>
      <c r="CR69" s="563" t="s">
        <v>44</v>
      </c>
      <c r="CS69" s="384" t="s">
        <v>44</v>
      </c>
      <c r="CT69" s="781">
        <v>0</v>
      </c>
      <c r="CU69" s="563"/>
      <c r="CV69" s="563" t="s">
        <v>44</v>
      </c>
      <c r="CW69" s="384" t="s">
        <v>44</v>
      </c>
      <c r="CX69" s="787">
        <v>71</v>
      </c>
      <c r="CY69" s="564"/>
      <c r="CZ69" s="789"/>
      <c r="DA69" s="382"/>
      <c r="DB69" s="560"/>
      <c r="DC69" s="407"/>
      <c r="DD69" s="563"/>
      <c r="DE69" s="563"/>
      <c r="DF69" s="563"/>
      <c r="DG69" s="563"/>
      <c r="DH69" s="563"/>
      <c r="DI69" s="563"/>
      <c r="DJ69" s="563"/>
      <c r="DK69" s="563"/>
      <c r="DL69" s="563"/>
      <c r="DM69" s="563"/>
      <c r="DN69" s="563"/>
      <c r="DO69" s="563"/>
      <c r="DP69" s="563"/>
      <c r="DQ69" s="563"/>
      <c r="DR69" s="560"/>
      <c r="DS69" s="563"/>
      <c r="DT69" s="563"/>
      <c r="DU69" s="563"/>
      <c r="DV69" s="563"/>
      <c r="DW69" s="563"/>
      <c r="DX69" s="563"/>
      <c r="DY69" s="563"/>
      <c r="DZ69" s="563"/>
      <c r="EA69" s="563"/>
      <c r="EB69" s="563"/>
      <c r="EC69" s="563"/>
      <c r="ED69" s="563"/>
      <c r="EE69" s="563"/>
      <c r="EF69" s="563"/>
      <c r="EG69" s="563"/>
      <c r="EH69" s="563"/>
      <c r="EI69" s="563"/>
    </row>
    <row r="70" spans="1:139" s="373" customFormat="1" ht="15.75" customHeight="1" x14ac:dyDescent="0.3">
      <c r="A70" s="346" t="s">
        <v>67</v>
      </c>
      <c r="B70" s="347" t="s">
        <v>68</v>
      </c>
      <c r="C70" s="348"/>
      <c r="D70" s="349">
        <v>100.70000000000002</v>
      </c>
      <c r="E70" s="350"/>
      <c r="F70" s="350">
        <v>0.9258152598626449</v>
      </c>
      <c r="G70" s="350"/>
      <c r="H70" s="351" t="s">
        <v>44</v>
      </c>
      <c r="I70" s="352" t="s">
        <v>44</v>
      </c>
      <c r="J70" s="353">
        <v>7581</v>
      </c>
      <c r="K70" s="354"/>
      <c r="L70" s="355" t="s">
        <v>44</v>
      </c>
      <c r="M70" s="356" t="s">
        <v>44</v>
      </c>
      <c r="N70" s="357">
        <v>7581</v>
      </c>
      <c r="O70" s="354"/>
      <c r="P70" s="351" t="s">
        <v>44</v>
      </c>
      <c r="Q70" s="352" t="s">
        <v>44</v>
      </c>
      <c r="R70" s="357">
        <v>0</v>
      </c>
      <c r="S70" s="354"/>
      <c r="T70" s="351" t="s">
        <v>44</v>
      </c>
      <c r="U70" s="352" t="s">
        <v>44</v>
      </c>
      <c r="V70" s="358">
        <v>75</v>
      </c>
      <c r="W70" s="358"/>
      <c r="X70" s="349">
        <v>102.5</v>
      </c>
      <c r="Y70" s="350"/>
      <c r="Z70" s="350">
        <v>0.93377911796591018</v>
      </c>
      <c r="AA70" s="350"/>
      <c r="AB70" s="351" t="s">
        <v>44</v>
      </c>
      <c r="AC70" s="352" t="s">
        <v>44</v>
      </c>
      <c r="AD70" s="353">
        <v>7757</v>
      </c>
      <c r="AE70" s="354"/>
      <c r="AF70" s="355" t="s">
        <v>44</v>
      </c>
      <c r="AG70" s="356" t="s">
        <v>44</v>
      </c>
      <c r="AH70" s="357">
        <v>7757</v>
      </c>
      <c r="AI70" s="354"/>
      <c r="AJ70" s="351" t="s">
        <v>44</v>
      </c>
      <c r="AK70" s="352" t="s">
        <v>44</v>
      </c>
      <c r="AL70" s="357">
        <v>0</v>
      </c>
      <c r="AM70" s="354"/>
      <c r="AN70" s="351" t="s">
        <v>44</v>
      </c>
      <c r="AO70" s="352" t="s">
        <v>44</v>
      </c>
      <c r="AP70" s="358">
        <v>76</v>
      </c>
      <c r="AQ70" s="358"/>
      <c r="AR70" s="349">
        <v>102.5</v>
      </c>
      <c r="AS70" s="350"/>
      <c r="AT70" s="350">
        <v>0.92409776503574681</v>
      </c>
      <c r="AU70" s="350"/>
      <c r="AV70" s="351" t="s">
        <v>44</v>
      </c>
      <c r="AW70" s="352" t="s">
        <v>44</v>
      </c>
      <c r="AX70" s="353">
        <v>7826</v>
      </c>
      <c r="AY70" s="354"/>
      <c r="AZ70" s="355" t="s">
        <v>44</v>
      </c>
      <c r="BA70" s="356" t="s">
        <v>44</v>
      </c>
      <c r="BB70" s="357">
        <v>7826</v>
      </c>
      <c r="BC70" s="354"/>
      <c r="BD70" s="351" t="s">
        <v>44</v>
      </c>
      <c r="BE70" s="352" t="s">
        <v>44</v>
      </c>
      <c r="BF70" s="357">
        <v>0</v>
      </c>
      <c r="BG70" s="354"/>
      <c r="BH70" s="351" t="s">
        <v>44</v>
      </c>
      <c r="BI70" s="352" t="s">
        <v>44</v>
      </c>
      <c r="BJ70" s="358">
        <v>76</v>
      </c>
      <c r="BK70" s="358"/>
      <c r="BL70" s="349">
        <v>103</v>
      </c>
      <c r="BM70" s="350"/>
      <c r="BN70" s="350">
        <v>0.9231955112979412</v>
      </c>
      <c r="BO70" s="350"/>
      <c r="BP70" s="351" t="s">
        <v>44</v>
      </c>
      <c r="BQ70" s="352" t="s">
        <v>44</v>
      </c>
      <c r="BR70" s="353">
        <v>7776</v>
      </c>
      <c r="BS70" s="354"/>
      <c r="BT70" s="355" t="s">
        <v>44</v>
      </c>
      <c r="BU70" s="356" t="s">
        <v>44</v>
      </c>
      <c r="BV70" s="357">
        <v>7776</v>
      </c>
      <c r="BW70" s="354"/>
      <c r="BX70" s="351" t="s">
        <v>44</v>
      </c>
      <c r="BY70" s="352" t="s">
        <v>44</v>
      </c>
      <c r="BZ70" s="357">
        <v>0</v>
      </c>
      <c r="CA70" s="354"/>
      <c r="CB70" s="351" t="s">
        <v>44</v>
      </c>
      <c r="CC70" s="352" t="s">
        <v>44</v>
      </c>
      <c r="CD70" s="358">
        <v>75</v>
      </c>
      <c r="CE70" s="358"/>
      <c r="CF70" s="349">
        <v>408.70000000000005</v>
      </c>
      <c r="CG70" s="354"/>
      <c r="CH70" s="359">
        <v>0.92670273407916992</v>
      </c>
      <c r="CI70" s="360"/>
      <c r="CJ70" s="361" t="s">
        <v>44</v>
      </c>
      <c r="CK70" s="356" t="s">
        <v>44</v>
      </c>
      <c r="CL70" s="357">
        <v>30940</v>
      </c>
      <c r="CM70" s="362"/>
      <c r="CN70" s="363" t="s">
        <v>44</v>
      </c>
      <c r="CO70" s="356" t="s">
        <v>44</v>
      </c>
      <c r="CP70" s="358">
        <v>30940</v>
      </c>
      <c r="CQ70" s="354"/>
      <c r="CR70" s="355" t="s">
        <v>44</v>
      </c>
      <c r="CS70" s="356" t="s">
        <v>44</v>
      </c>
      <c r="CT70" s="357">
        <v>0</v>
      </c>
      <c r="CU70" s="354"/>
      <c r="CV70" s="355" t="s">
        <v>44</v>
      </c>
      <c r="CW70" s="356" t="s">
        <v>44</v>
      </c>
      <c r="CX70" s="357">
        <v>75.703449963298254</v>
      </c>
      <c r="CY70" s="364"/>
      <c r="CZ70" s="365">
        <f t="shared" ref="CZ70:CZ87" si="40">D70+X70</f>
        <v>203.20000000000002</v>
      </c>
      <c r="DA70" s="366">
        <f t="shared" si="39"/>
        <v>0</v>
      </c>
      <c r="DB70" s="359" t="e">
        <f>(CZ70/#REF!)*100</f>
        <v>#REF!</v>
      </c>
      <c r="DC70" s="367" t="e">
        <f>(DA70/#REF!)*100</f>
        <v>#REF!</v>
      </c>
      <c r="DD70" s="357">
        <f t="shared" ref="DD70:DO91" si="41">J70+AD70</f>
        <v>15338</v>
      </c>
      <c r="DE70" s="358">
        <f t="shared" si="41"/>
        <v>0</v>
      </c>
      <c r="DF70" s="358" t="e">
        <f t="shared" si="41"/>
        <v>#VALUE!</v>
      </c>
      <c r="DG70" s="368" t="e">
        <f t="shared" si="41"/>
        <v>#VALUE!</v>
      </c>
      <c r="DH70" s="357">
        <f t="shared" si="41"/>
        <v>15338</v>
      </c>
      <c r="DI70" s="354">
        <f t="shared" si="41"/>
        <v>0</v>
      </c>
      <c r="DJ70" s="354" t="e">
        <f t="shared" si="41"/>
        <v>#VALUE!</v>
      </c>
      <c r="DK70" s="354" t="e">
        <f t="shared" si="41"/>
        <v>#VALUE!</v>
      </c>
      <c r="DL70" s="357">
        <f t="shared" si="41"/>
        <v>0</v>
      </c>
      <c r="DM70" s="354">
        <f t="shared" si="41"/>
        <v>0</v>
      </c>
      <c r="DN70" s="354" t="e">
        <f t="shared" si="41"/>
        <v>#VALUE!</v>
      </c>
      <c r="DO70" s="362" t="e">
        <f t="shared" si="41"/>
        <v>#VALUE!</v>
      </c>
      <c r="DP70" s="357">
        <f>ROUND((DD70/CZ70),0)</f>
        <v>75</v>
      </c>
      <c r="DQ70" s="369" t="e">
        <f>ROUND((DE70/DA70),0)</f>
        <v>#DIV/0!</v>
      </c>
      <c r="DR70" s="370">
        <f t="shared" si="18"/>
        <v>203.20000000000002</v>
      </c>
      <c r="DS70" s="371">
        <f t="shared" ref="DS70:DS87" si="42">ABS((DR70/CZ70)*100)</f>
        <v>100</v>
      </c>
      <c r="DT70" s="358" t="e">
        <f t="shared" ref="DT70:DT97" si="43">(DD70+DF70)-(DE70+DG70)</f>
        <v>#VALUE!</v>
      </c>
      <c r="DU70" s="371" t="e">
        <f t="shared" ref="DU70:DU80" si="44">ABS((DT70/(DD70+DF70)*100))</f>
        <v>#VALUE!</v>
      </c>
      <c r="DV70" s="358">
        <f t="shared" ref="DV70:DV97" si="45">DD70-DE70</f>
        <v>15338</v>
      </c>
      <c r="DW70" s="359">
        <f t="shared" ref="DW70:DW80" si="46">ABS((DV70/DD70)*100)</f>
        <v>100</v>
      </c>
      <c r="DX70" s="354" t="e">
        <f t="shared" ref="DX70:DX97" si="47">DF70-DG70</f>
        <v>#VALUE!</v>
      </c>
      <c r="DY70" s="371" t="e">
        <f t="shared" ref="DY70:DY80" si="48">ABS((DX70/DF70)*100)</f>
        <v>#VALUE!</v>
      </c>
      <c r="DZ70" s="358">
        <f t="shared" ref="DZ70:DZ97" si="49">DH70-DI70</f>
        <v>15338</v>
      </c>
      <c r="EA70" s="359">
        <f t="shared" ref="EA70:EA80" si="50">ABS((DZ70/DH70)*100)</f>
        <v>100</v>
      </c>
      <c r="EB70" s="354" t="e">
        <f t="shared" ref="EB70:EB97" si="51">DJ70-DK70</f>
        <v>#VALUE!</v>
      </c>
      <c r="EC70" s="371" t="e">
        <f t="shared" ref="EC70:EC80" si="52">ABS((EB70/DJ70)*100)</f>
        <v>#VALUE!</v>
      </c>
      <c r="ED70" s="358">
        <f t="shared" ref="ED70:ED97" si="53">DL70-DM70</f>
        <v>0</v>
      </c>
      <c r="EE70" s="367">
        <v>0</v>
      </c>
      <c r="EF70" s="354" t="e">
        <f t="shared" ref="EF70:EF97" si="54">DN70-DO70</f>
        <v>#VALUE!</v>
      </c>
      <c r="EG70" s="367" t="e">
        <f t="shared" ref="EG70:EG80" si="55">ABS((EF70/DN70)*100)</f>
        <v>#VALUE!</v>
      </c>
      <c r="EH70" s="353" t="e">
        <f>DP70-DQ70</f>
        <v>#DIV/0!</v>
      </c>
      <c r="EI70" s="372" t="e">
        <f t="shared" si="20"/>
        <v>#DIV/0!</v>
      </c>
    </row>
    <row r="71" spans="1:139" s="5" customFormat="1" ht="15.75" customHeight="1" x14ac:dyDescent="0.25">
      <c r="A71" s="374"/>
      <c r="B71" s="178"/>
      <c r="C71" s="91" t="s">
        <v>45</v>
      </c>
      <c r="D71" s="92">
        <v>24.9</v>
      </c>
      <c r="E71" s="93"/>
      <c r="F71" s="93">
        <v>1.1533117183881427</v>
      </c>
      <c r="G71" s="93"/>
      <c r="H71" s="158" t="s">
        <v>44</v>
      </c>
      <c r="I71" s="159" t="s">
        <v>44</v>
      </c>
      <c r="J71" s="122">
        <v>5042</v>
      </c>
      <c r="K71" s="101"/>
      <c r="L71" s="188" t="s">
        <v>44</v>
      </c>
      <c r="M71" s="189" t="s">
        <v>44</v>
      </c>
      <c r="N71" s="184">
        <v>5042</v>
      </c>
      <c r="O71" s="97"/>
      <c r="P71" s="158" t="s">
        <v>44</v>
      </c>
      <c r="Q71" s="159" t="s">
        <v>44</v>
      </c>
      <c r="R71" s="184">
        <v>0</v>
      </c>
      <c r="S71" s="101"/>
      <c r="T71" s="158" t="s">
        <v>44</v>
      </c>
      <c r="U71" s="159" t="s">
        <v>44</v>
      </c>
      <c r="V71" s="104">
        <v>202</v>
      </c>
      <c r="W71" s="104"/>
      <c r="X71" s="92">
        <v>25.1</v>
      </c>
      <c r="Y71" s="93"/>
      <c r="Z71" s="93">
        <v>1.1492673992673994</v>
      </c>
      <c r="AA71" s="93"/>
      <c r="AB71" s="158" t="s">
        <v>44</v>
      </c>
      <c r="AC71" s="159" t="s">
        <v>44</v>
      </c>
      <c r="AD71" s="122">
        <v>5135</v>
      </c>
      <c r="AE71" s="101"/>
      <c r="AF71" s="188" t="s">
        <v>44</v>
      </c>
      <c r="AG71" s="189" t="s">
        <v>44</v>
      </c>
      <c r="AH71" s="184">
        <v>5135</v>
      </c>
      <c r="AI71" s="97"/>
      <c r="AJ71" s="158" t="s">
        <v>44</v>
      </c>
      <c r="AK71" s="159" t="s">
        <v>44</v>
      </c>
      <c r="AL71" s="184">
        <v>0</v>
      </c>
      <c r="AM71" s="101"/>
      <c r="AN71" s="158" t="s">
        <v>44</v>
      </c>
      <c r="AO71" s="159" t="s">
        <v>44</v>
      </c>
      <c r="AP71" s="104">
        <v>205</v>
      </c>
      <c r="AQ71" s="104"/>
      <c r="AR71" s="92">
        <v>26.4</v>
      </c>
      <c r="AS71" s="93"/>
      <c r="AT71" s="93">
        <v>1.1956521739130432</v>
      </c>
      <c r="AU71" s="93"/>
      <c r="AV71" s="158" t="s">
        <v>44</v>
      </c>
      <c r="AW71" s="159" t="s">
        <v>44</v>
      </c>
      <c r="AX71" s="122">
        <v>5198</v>
      </c>
      <c r="AY71" s="101"/>
      <c r="AZ71" s="188" t="s">
        <v>44</v>
      </c>
      <c r="BA71" s="189" t="s">
        <v>44</v>
      </c>
      <c r="BB71" s="184">
        <v>5198</v>
      </c>
      <c r="BC71" s="97"/>
      <c r="BD71" s="158" t="s">
        <v>44</v>
      </c>
      <c r="BE71" s="159" t="s">
        <v>44</v>
      </c>
      <c r="BF71" s="184">
        <v>0</v>
      </c>
      <c r="BG71" s="101"/>
      <c r="BH71" s="158" t="s">
        <v>44</v>
      </c>
      <c r="BI71" s="159" t="s">
        <v>44</v>
      </c>
      <c r="BJ71" s="104">
        <v>197</v>
      </c>
      <c r="BK71" s="104"/>
      <c r="BL71" s="92">
        <v>25.9</v>
      </c>
      <c r="BM71" s="93"/>
      <c r="BN71" s="93">
        <v>1.1724762335898598</v>
      </c>
      <c r="BO71" s="93"/>
      <c r="BP71" s="158" t="s">
        <v>44</v>
      </c>
      <c r="BQ71" s="159" t="s">
        <v>44</v>
      </c>
      <c r="BR71" s="122">
        <v>5124</v>
      </c>
      <c r="BS71" s="101"/>
      <c r="BT71" s="188" t="s">
        <v>44</v>
      </c>
      <c r="BU71" s="189" t="s">
        <v>44</v>
      </c>
      <c r="BV71" s="184">
        <v>5124</v>
      </c>
      <c r="BW71" s="97"/>
      <c r="BX71" s="158" t="s">
        <v>44</v>
      </c>
      <c r="BY71" s="159" t="s">
        <v>44</v>
      </c>
      <c r="BZ71" s="184">
        <v>0</v>
      </c>
      <c r="CA71" s="101"/>
      <c r="CB71" s="158" t="s">
        <v>44</v>
      </c>
      <c r="CC71" s="159" t="s">
        <v>44</v>
      </c>
      <c r="CD71" s="104">
        <v>198</v>
      </c>
      <c r="CE71" s="104"/>
      <c r="CF71" s="375">
        <v>102.30000000000001</v>
      </c>
      <c r="CG71" s="97"/>
      <c r="CH71" s="93">
        <v>1.1678082191780823</v>
      </c>
      <c r="CI71" s="179"/>
      <c r="CJ71" s="188" t="s">
        <v>44</v>
      </c>
      <c r="CK71" s="189" t="s">
        <v>44</v>
      </c>
      <c r="CL71" s="100">
        <v>20499</v>
      </c>
      <c r="CM71" s="107"/>
      <c r="CN71" s="190" t="s">
        <v>44</v>
      </c>
      <c r="CO71" s="189" t="s">
        <v>44</v>
      </c>
      <c r="CP71" s="102">
        <v>20499</v>
      </c>
      <c r="CQ71" s="97"/>
      <c r="CR71" s="188" t="s">
        <v>44</v>
      </c>
      <c r="CS71" s="189" t="s">
        <v>44</v>
      </c>
      <c r="CT71" s="100">
        <v>0</v>
      </c>
      <c r="CU71" s="97"/>
      <c r="CV71" s="188" t="s">
        <v>44</v>
      </c>
      <c r="CW71" s="189" t="s">
        <v>44</v>
      </c>
      <c r="CX71" s="100">
        <v>200.38123167155422</v>
      </c>
      <c r="CY71" s="174"/>
      <c r="CZ71" s="110">
        <f t="shared" si="40"/>
        <v>50</v>
      </c>
      <c r="DA71" s="111">
        <f t="shared" si="39"/>
        <v>0</v>
      </c>
      <c r="DB71" s="176">
        <f>(CZ71/4343)*100</f>
        <v>1.1512779184895234</v>
      </c>
      <c r="DC71" s="113">
        <f>(DA71/4343)*100</f>
        <v>0</v>
      </c>
      <c r="DD71" s="100">
        <f t="shared" si="41"/>
        <v>10177</v>
      </c>
      <c r="DE71" s="102">
        <f t="shared" si="41"/>
        <v>0</v>
      </c>
      <c r="DF71" s="102" t="e">
        <f t="shared" si="41"/>
        <v>#VALUE!</v>
      </c>
      <c r="DG71" s="114" t="e">
        <f t="shared" si="41"/>
        <v>#VALUE!</v>
      </c>
      <c r="DH71" s="100">
        <f t="shared" si="41"/>
        <v>10177</v>
      </c>
      <c r="DI71" s="97">
        <f t="shared" si="41"/>
        <v>0</v>
      </c>
      <c r="DJ71" s="97" t="e">
        <f t="shared" si="41"/>
        <v>#VALUE!</v>
      </c>
      <c r="DK71" s="97" t="e">
        <f t="shared" si="41"/>
        <v>#VALUE!</v>
      </c>
      <c r="DL71" s="100">
        <f t="shared" si="41"/>
        <v>0</v>
      </c>
      <c r="DM71" s="97">
        <f t="shared" si="41"/>
        <v>0</v>
      </c>
      <c r="DN71" s="97" t="e">
        <f t="shared" si="41"/>
        <v>#VALUE!</v>
      </c>
      <c r="DO71" s="115" t="e">
        <f t="shared" si="41"/>
        <v>#VALUE!</v>
      </c>
      <c r="DP71" s="376">
        <f t="shared" ref="DP71:DQ87" si="56">ROUND((DD71/CZ71),0)</f>
        <v>204</v>
      </c>
      <c r="DQ71" s="377" t="e">
        <f t="shared" si="56"/>
        <v>#DIV/0!</v>
      </c>
      <c r="DR71" s="117">
        <f t="shared" si="18"/>
        <v>50</v>
      </c>
      <c r="DS71" s="118">
        <f t="shared" si="42"/>
        <v>100</v>
      </c>
      <c r="DT71" s="104" t="e">
        <f t="shared" si="43"/>
        <v>#VALUE!</v>
      </c>
      <c r="DU71" s="118" t="e">
        <f t="shared" si="44"/>
        <v>#VALUE!</v>
      </c>
      <c r="DV71" s="104">
        <f t="shared" si="45"/>
        <v>10177</v>
      </c>
      <c r="DW71" s="119">
        <f t="shared" si="46"/>
        <v>100</v>
      </c>
      <c r="DX71" s="120" t="e">
        <f t="shared" si="47"/>
        <v>#VALUE!</v>
      </c>
      <c r="DY71" s="118" t="e">
        <f t="shared" si="48"/>
        <v>#VALUE!</v>
      </c>
      <c r="DZ71" s="104">
        <f t="shared" si="49"/>
        <v>10177</v>
      </c>
      <c r="EA71" s="119">
        <f t="shared" si="50"/>
        <v>100</v>
      </c>
      <c r="EB71" s="120" t="e">
        <f t="shared" si="51"/>
        <v>#VALUE!</v>
      </c>
      <c r="EC71" s="118" t="e">
        <f t="shared" si="52"/>
        <v>#VALUE!</v>
      </c>
      <c r="ED71" s="104">
        <f t="shared" si="53"/>
        <v>0</v>
      </c>
      <c r="EE71" s="121">
        <v>0</v>
      </c>
      <c r="EF71" s="120" t="e">
        <f t="shared" si="54"/>
        <v>#VALUE!</v>
      </c>
      <c r="EG71" s="121" t="e">
        <f t="shared" si="55"/>
        <v>#VALUE!</v>
      </c>
      <c r="EH71" s="122" t="e">
        <f t="shared" si="19"/>
        <v>#DIV/0!</v>
      </c>
      <c r="EI71" s="123" t="e">
        <f t="shared" si="20"/>
        <v>#DIV/0!</v>
      </c>
    </row>
    <row r="72" spans="1:139" s="124" customFormat="1" ht="15.75" customHeight="1" x14ac:dyDescent="0.25">
      <c r="A72" s="374"/>
      <c r="B72" s="90"/>
      <c r="C72" s="91" t="s">
        <v>46</v>
      </c>
      <c r="D72" s="92">
        <v>31</v>
      </c>
      <c r="E72" s="93"/>
      <c r="F72" s="93">
        <v>1.4358499305233905</v>
      </c>
      <c r="G72" s="93"/>
      <c r="H72" s="158" t="s">
        <v>44</v>
      </c>
      <c r="I72" s="159" t="s">
        <v>44</v>
      </c>
      <c r="J72" s="122">
        <v>374</v>
      </c>
      <c r="K72" s="101"/>
      <c r="L72" s="188" t="s">
        <v>44</v>
      </c>
      <c r="M72" s="189" t="s">
        <v>44</v>
      </c>
      <c r="N72" s="100">
        <v>374</v>
      </c>
      <c r="O72" s="101"/>
      <c r="P72" s="158" t="s">
        <v>44</v>
      </c>
      <c r="Q72" s="159" t="s">
        <v>44</v>
      </c>
      <c r="R72" s="100">
        <v>0</v>
      </c>
      <c r="S72" s="97"/>
      <c r="T72" s="158" t="s">
        <v>44</v>
      </c>
      <c r="U72" s="159" t="s">
        <v>44</v>
      </c>
      <c r="V72" s="104">
        <v>12</v>
      </c>
      <c r="W72" s="104"/>
      <c r="X72" s="92">
        <v>31</v>
      </c>
      <c r="Y72" s="93"/>
      <c r="Z72" s="93">
        <v>1.4194139194139195</v>
      </c>
      <c r="AA72" s="93"/>
      <c r="AB72" s="158" t="s">
        <v>44</v>
      </c>
      <c r="AC72" s="159" t="s">
        <v>44</v>
      </c>
      <c r="AD72" s="122">
        <v>400</v>
      </c>
      <c r="AE72" s="101"/>
      <c r="AF72" s="188" t="s">
        <v>44</v>
      </c>
      <c r="AG72" s="189" t="s">
        <v>44</v>
      </c>
      <c r="AH72" s="100">
        <v>400</v>
      </c>
      <c r="AI72" s="101"/>
      <c r="AJ72" s="158" t="s">
        <v>44</v>
      </c>
      <c r="AK72" s="159" t="s">
        <v>44</v>
      </c>
      <c r="AL72" s="100">
        <v>0</v>
      </c>
      <c r="AM72" s="97"/>
      <c r="AN72" s="158" t="s">
        <v>44</v>
      </c>
      <c r="AO72" s="159" t="s">
        <v>44</v>
      </c>
      <c r="AP72" s="104">
        <v>13</v>
      </c>
      <c r="AQ72" s="104"/>
      <c r="AR72" s="92">
        <v>31.4</v>
      </c>
      <c r="AS72" s="93"/>
      <c r="AT72" s="93">
        <v>1.4221014492753623</v>
      </c>
      <c r="AU72" s="93"/>
      <c r="AV72" s="158" t="s">
        <v>44</v>
      </c>
      <c r="AW72" s="159" t="s">
        <v>44</v>
      </c>
      <c r="AX72" s="122">
        <v>400</v>
      </c>
      <c r="AY72" s="101"/>
      <c r="AZ72" s="188" t="s">
        <v>44</v>
      </c>
      <c r="BA72" s="189" t="s">
        <v>44</v>
      </c>
      <c r="BB72" s="100">
        <v>400</v>
      </c>
      <c r="BC72" s="101"/>
      <c r="BD72" s="158" t="s">
        <v>44</v>
      </c>
      <c r="BE72" s="159" t="s">
        <v>44</v>
      </c>
      <c r="BF72" s="100">
        <v>0</v>
      </c>
      <c r="BG72" s="97"/>
      <c r="BH72" s="158" t="s">
        <v>44</v>
      </c>
      <c r="BI72" s="159" t="s">
        <v>44</v>
      </c>
      <c r="BJ72" s="104">
        <v>13</v>
      </c>
      <c r="BK72" s="104"/>
      <c r="BL72" s="92">
        <v>31.2</v>
      </c>
      <c r="BM72" s="93"/>
      <c r="BN72" s="93">
        <v>1.4124038026256225</v>
      </c>
      <c r="BO72" s="93"/>
      <c r="BP72" s="158" t="s">
        <v>44</v>
      </c>
      <c r="BQ72" s="159" t="s">
        <v>44</v>
      </c>
      <c r="BR72" s="122">
        <v>404</v>
      </c>
      <c r="BS72" s="101"/>
      <c r="BT72" s="188" t="s">
        <v>44</v>
      </c>
      <c r="BU72" s="189" t="s">
        <v>44</v>
      </c>
      <c r="BV72" s="100">
        <v>404</v>
      </c>
      <c r="BW72" s="101"/>
      <c r="BX72" s="158" t="s">
        <v>44</v>
      </c>
      <c r="BY72" s="159" t="s">
        <v>44</v>
      </c>
      <c r="BZ72" s="100">
        <v>0</v>
      </c>
      <c r="CA72" s="97"/>
      <c r="CB72" s="158" t="s">
        <v>44</v>
      </c>
      <c r="CC72" s="159" t="s">
        <v>44</v>
      </c>
      <c r="CD72" s="104">
        <v>13</v>
      </c>
      <c r="CE72" s="104"/>
      <c r="CF72" s="375">
        <v>124.60000000000001</v>
      </c>
      <c r="CG72" s="97"/>
      <c r="CH72" s="93">
        <v>1.4223744292237444</v>
      </c>
      <c r="CI72" s="179"/>
      <c r="CJ72" s="188" t="s">
        <v>44</v>
      </c>
      <c r="CK72" s="189" t="s">
        <v>44</v>
      </c>
      <c r="CL72" s="100">
        <v>1578</v>
      </c>
      <c r="CM72" s="107"/>
      <c r="CN72" s="190" t="s">
        <v>44</v>
      </c>
      <c r="CO72" s="189" t="s">
        <v>44</v>
      </c>
      <c r="CP72" s="102">
        <v>1578</v>
      </c>
      <c r="CQ72" s="97"/>
      <c r="CR72" s="188" t="s">
        <v>44</v>
      </c>
      <c r="CS72" s="189" t="s">
        <v>44</v>
      </c>
      <c r="CT72" s="100">
        <v>0</v>
      </c>
      <c r="CU72" s="97"/>
      <c r="CV72" s="188" t="s">
        <v>44</v>
      </c>
      <c r="CW72" s="189" t="s">
        <v>44</v>
      </c>
      <c r="CX72" s="100">
        <v>12.664526484751203</v>
      </c>
      <c r="CY72" s="174"/>
      <c r="CZ72" s="110">
        <f t="shared" si="40"/>
        <v>62</v>
      </c>
      <c r="DA72" s="111">
        <f t="shared" si="39"/>
        <v>0</v>
      </c>
      <c r="DB72" s="176">
        <f t="shared" ref="DB72:DC75" si="57">(CZ72/4343)*100</f>
        <v>1.4275846189270089</v>
      </c>
      <c r="DC72" s="113">
        <f t="shared" si="57"/>
        <v>0</v>
      </c>
      <c r="DD72" s="100">
        <f t="shared" si="41"/>
        <v>774</v>
      </c>
      <c r="DE72" s="102">
        <f t="shared" si="41"/>
        <v>0</v>
      </c>
      <c r="DF72" s="102" t="e">
        <f t="shared" si="41"/>
        <v>#VALUE!</v>
      </c>
      <c r="DG72" s="114" t="e">
        <f t="shared" si="41"/>
        <v>#VALUE!</v>
      </c>
      <c r="DH72" s="100">
        <f t="shared" si="41"/>
        <v>774</v>
      </c>
      <c r="DI72" s="97">
        <f t="shared" si="41"/>
        <v>0</v>
      </c>
      <c r="DJ72" s="97" t="e">
        <f t="shared" si="41"/>
        <v>#VALUE!</v>
      </c>
      <c r="DK72" s="97" t="e">
        <f t="shared" si="41"/>
        <v>#VALUE!</v>
      </c>
      <c r="DL72" s="100">
        <f t="shared" si="41"/>
        <v>0</v>
      </c>
      <c r="DM72" s="97">
        <f t="shared" si="41"/>
        <v>0</v>
      </c>
      <c r="DN72" s="97" t="e">
        <f t="shared" si="41"/>
        <v>#VALUE!</v>
      </c>
      <c r="DO72" s="115" t="e">
        <f t="shared" si="41"/>
        <v>#VALUE!</v>
      </c>
      <c r="DP72" s="376">
        <f t="shared" si="56"/>
        <v>12</v>
      </c>
      <c r="DQ72" s="377" t="e">
        <f t="shared" si="56"/>
        <v>#DIV/0!</v>
      </c>
      <c r="DR72" s="117">
        <f t="shared" si="18"/>
        <v>62</v>
      </c>
      <c r="DS72" s="118">
        <f t="shared" si="42"/>
        <v>100</v>
      </c>
      <c r="DT72" s="104" t="e">
        <f t="shared" si="43"/>
        <v>#VALUE!</v>
      </c>
      <c r="DU72" s="118" t="e">
        <f t="shared" si="44"/>
        <v>#VALUE!</v>
      </c>
      <c r="DV72" s="104">
        <f t="shared" si="45"/>
        <v>774</v>
      </c>
      <c r="DW72" s="119">
        <f t="shared" si="46"/>
        <v>100</v>
      </c>
      <c r="DX72" s="120" t="e">
        <f t="shared" si="47"/>
        <v>#VALUE!</v>
      </c>
      <c r="DY72" s="118" t="e">
        <f t="shared" si="48"/>
        <v>#VALUE!</v>
      </c>
      <c r="DZ72" s="104">
        <f t="shared" si="49"/>
        <v>774</v>
      </c>
      <c r="EA72" s="119">
        <f t="shared" si="50"/>
        <v>100</v>
      </c>
      <c r="EB72" s="120" t="e">
        <f t="shared" si="51"/>
        <v>#VALUE!</v>
      </c>
      <c r="EC72" s="118" t="e">
        <f t="shared" si="52"/>
        <v>#VALUE!</v>
      </c>
      <c r="ED72" s="104">
        <f t="shared" si="53"/>
        <v>0</v>
      </c>
      <c r="EE72" s="121">
        <v>0</v>
      </c>
      <c r="EF72" s="120" t="e">
        <f t="shared" si="54"/>
        <v>#VALUE!</v>
      </c>
      <c r="EG72" s="121" t="e">
        <f t="shared" si="55"/>
        <v>#VALUE!</v>
      </c>
      <c r="EH72" s="122" t="e">
        <f t="shared" si="19"/>
        <v>#DIV/0!</v>
      </c>
      <c r="EI72" s="123" t="e">
        <f t="shared" si="20"/>
        <v>#DIV/0!</v>
      </c>
    </row>
    <row r="73" spans="1:139" s="124" customFormat="1" ht="15.75" customHeight="1" x14ac:dyDescent="0.25">
      <c r="A73" s="374"/>
      <c r="B73" s="90"/>
      <c r="C73" s="91" t="s">
        <v>47</v>
      </c>
      <c r="D73" s="92">
        <v>17</v>
      </c>
      <c r="E73" s="93"/>
      <c r="F73" s="93">
        <v>0.78740157480314954</v>
      </c>
      <c r="G73" s="93"/>
      <c r="H73" s="158" t="s">
        <v>44</v>
      </c>
      <c r="I73" s="159" t="s">
        <v>44</v>
      </c>
      <c r="J73" s="122">
        <v>982</v>
      </c>
      <c r="K73" s="101"/>
      <c r="L73" s="188" t="s">
        <v>44</v>
      </c>
      <c r="M73" s="189" t="s">
        <v>44</v>
      </c>
      <c r="N73" s="100">
        <v>982</v>
      </c>
      <c r="O73" s="101"/>
      <c r="P73" s="158" t="s">
        <v>44</v>
      </c>
      <c r="Q73" s="159" t="s">
        <v>44</v>
      </c>
      <c r="R73" s="100">
        <v>0</v>
      </c>
      <c r="S73" s="97"/>
      <c r="T73" s="158" t="s">
        <v>44</v>
      </c>
      <c r="U73" s="159" t="s">
        <v>44</v>
      </c>
      <c r="V73" s="104">
        <v>58</v>
      </c>
      <c r="W73" s="104"/>
      <c r="X73" s="92">
        <v>18.2</v>
      </c>
      <c r="Y73" s="93"/>
      <c r="Z73" s="93">
        <v>0.83333333333333337</v>
      </c>
      <c r="AA73" s="93"/>
      <c r="AB73" s="158" t="s">
        <v>44</v>
      </c>
      <c r="AC73" s="159" t="s">
        <v>44</v>
      </c>
      <c r="AD73" s="122">
        <v>1024</v>
      </c>
      <c r="AE73" s="101"/>
      <c r="AF73" s="188" t="s">
        <v>44</v>
      </c>
      <c r="AG73" s="189" t="s">
        <v>44</v>
      </c>
      <c r="AH73" s="100">
        <v>1024</v>
      </c>
      <c r="AI73" s="101"/>
      <c r="AJ73" s="158" t="s">
        <v>44</v>
      </c>
      <c r="AK73" s="159" t="s">
        <v>44</v>
      </c>
      <c r="AL73" s="100">
        <v>0</v>
      </c>
      <c r="AM73" s="97"/>
      <c r="AN73" s="158" t="s">
        <v>44</v>
      </c>
      <c r="AO73" s="159" t="s">
        <v>44</v>
      </c>
      <c r="AP73" s="104">
        <v>56</v>
      </c>
      <c r="AQ73" s="104"/>
      <c r="AR73" s="92">
        <v>16.200000000000003</v>
      </c>
      <c r="AS73" s="93"/>
      <c r="AT73" s="93">
        <v>0.73369565217391319</v>
      </c>
      <c r="AU73" s="93"/>
      <c r="AV73" s="158" t="s">
        <v>44</v>
      </c>
      <c r="AW73" s="159" t="s">
        <v>44</v>
      </c>
      <c r="AX73" s="122">
        <v>1035</v>
      </c>
      <c r="AY73" s="101"/>
      <c r="AZ73" s="188" t="s">
        <v>44</v>
      </c>
      <c r="BA73" s="189" t="s">
        <v>44</v>
      </c>
      <c r="BB73" s="100">
        <v>1035</v>
      </c>
      <c r="BC73" s="101"/>
      <c r="BD73" s="158" t="s">
        <v>44</v>
      </c>
      <c r="BE73" s="159" t="s">
        <v>44</v>
      </c>
      <c r="BF73" s="100">
        <v>0</v>
      </c>
      <c r="BG73" s="97"/>
      <c r="BH73" s="158" t="s">
        <v>44</v>
      </c>
      <c r="BI73" s="159" t="s">
        <v>44</v>
      </c>
      <c r="BJ73" s="104">
        <v>64</v>
      </c>
      <c r="BK73" s="104"/>
      <c r="BL73" s="92">
        <v>17.400000000000002</v>
      </c>
      <c r="BM73" s="93"/>
      <c r="BN73" s="93">
        <v>0.78768673607967421</v>
      </c>
      <c r="BO73" s="93"/>
      <c r="BP73" s="158" t="s">
        <v>44</v>
      </c>
      <c r="BQ73" s="159" t="s">
        <v>44</v>
      </c>
      <c r="BR73" s="122">
        <v>1040</v>
      </c>
      <c r="BS73" s="101"/>
      <c r="BT73" s="188" t="s">
        <v>44</v>
      </c>
      <c r="BU73" s="189" t="s">
        <v>44</v>
      </c>
      <c r="BV73" s="100">
        <v>1040</v>
      </c>
      <c r="BW73" s="101"/>
      <c r="BX73" s="158" t="s">
        <v>44</v>
      </c>
      <c r="BY73" s="159" t="s">
        <v>44</v>
      </c>
      <c r="BZ73" s="100">
        <v>0</v>
      </c>
      <c r="CA73" s="97"/>
      <c r="CB73" s="158" t="s">
        <v>44</v>
      </c>
      <c r="CC73" s="159" t="s">
        <v>44</v>
      </c>
      <c r="CD73" s="104">
        <v>60</v>
      </c>
      <c r="CE73" s="104"/>
      <c r="CF73" s="375">
        <v>68.800000000000011</v>
      </c>
      <c r="CG73" s="97"/>
      <c r="CH73" s="93">
        <v>0.78538812785388135</v>
      </c>
      <c r="CI73" s="179"/>
      <c r="CJ73" s="188" t="s">
        <v>44</v>
      </c>
      <c r="CK73" s="189" t="s">
        <v>44</v>
      </c>
      <c r="CL73" s="100">
        <v>4081</v>
      </c>
      <c r="CM73" s="107"/>
      <c r="CN73" s="190" t="s">
        <v>44</v>
      </c>
      <c r="CO73" s="189" t="s">
        <v>44</v>
      </c>
      <c r="CP73" s="102">
        <v>4081</v>
      </c>
      <c r="CQ73" s="97"/>
      <c r="CR73" s="188" t="s">
        <v>44</v>
      </c>
      <c r="CS73" s="189" t="s">
        <v>44</v>
      </c>
      <c r="CT73" s="100">
        <v>0</v>
      </c>
      <c r="CU73" s="97"/>
      <c r="CV73" s="188" t="s">
        <v>44</v>
      </c>
      <c r="CW73" s="189" t="s">
        <v>44</v>
      </c>
      <c r="CX73" s="100">
        <v>59.316860465116271</v>
      </c>
      <c r="CY73" s="174"/>
      <c r="CZ73" s="110">
        <f t="shared" si="40"/>
        <v>35.200000000000003</v>
      </c>
      <c r="DA73" s="111">
        <f t="shared" si="39"/>
        <v>0</v>
      </c>
      <c r="DB73" s="176">
        <f t="shared" si="57"/>
        <v>0.81049965461662454</v>
      </c>
      <c r="DC73" s="113">
        <f t="shared" si="57"/>
        <v>0</v>
      </c>
      <c r="DD73" s="100">
        <f t="shared" si="41"/>
        <v>2006</v>
      </c>
      <c r="DE73" s="102">
        <f t="shared" si="41"/>
        <v>0</v>
      </c>
      <c r="DF73" s="102" t="e">
        <f t="shared" si="41"/>
        <v>#VALUE!</v>
      </c>
      <c r="DG73" s="114" t="e">
        <f t="shared" si="41"/>
        <v>#VALUE!</v>
      </c>
      <c r="DH73" s="100">
        <f t="shared" si="41"/>
        <v>2006</v>
      </c>
      <c r="DI73" s="97">
        <f t="shared" si="41"/>
        <v>0</v>
      </c>
      <c r="DJ73" s="97" t="e">
        <f t="shared" si="41"/>
        <v>#VALUE!</v>
      </c>
      <c r="DK73" s="97" t="e">
        <f t="shared" si="41"/>
        <v>#VALUE!</v>
      </c>
      <c r="DL73" s="100">
        <f t="shared" si="41"/>
        <v>0</v>
      </c>
      <c r="DM73" s="97">
        <f t="shared" si="41"/>
        <v>0</v>
      </c>
      <c r="DN73" s="97" t="e">
        <f t="shared" si="41"/>
        <v>#VALUE!</v>
      </c>
      <c r="DO73" s="115" t="e">
        <f t="shared" si="41"/>
        <v>#VALUE!</v>
      </c>
      <c r="DP73" s="376">
        <f t="shared" si="56"/>
        <v>57</v>
      </c>
      <c r="DQ73" s="377" t="e">
        <f t="shared" si="56"/>
        <v>#DIV/0!</v>
      </c>
      <c r="DR73" s="117">
        <f t="shared" si="18"/>
        <v>35.200000000000003</v>
      </c>
      <c r="DS73" s="118">
        <f t="shared" si="42"/>
        <v>100</v>
      </c>
      <c r="DT73" s="104" t="e">
        <f t="shared" si="43"/>
        <v>#VALUE!</v>
      </c>
      <c r="DU73" s="118" t="e">
        <f t="shared" si="44"/>
        <v>#VALUE!</v>
      </c>
      <c r="DV73" s="104">
        <f t="shared" si="45"/>
        <v>2006</v>
      </c>
      <c r="DW73" s="119">
        <f t="shared" si="46"/>
        <v>100</v>
      </c>
      <c r="DX73" s="120" t="e">
        <f t="shared" si="47"/>
        <v>#VALUE!</v>
      </c>
      <c r="DY73" s="118" t="e">
        <f t="shared" si="48"/>
        <v>#VALUE!</v>
      </c>
      <c r="DZ73" s="104">
        <f t="shared" si="49"/>
        <v>2006</v>
      </c>
      <c r="EA73" s="119">
        <f t="shared" si="50"/>
        <v>100</v>
      </c>
      <c r="EB73" s="120" t="e">
        <f t="shared" si="51"/>
        <v>#VALUE!</v>
      </c>
      <c r="EC73" s="118" t="e">
        <f t="shared" si="52"/>
        <v>#VALUE!</v>
      </c>
      <c r="ED73" s="104">
        <f t="shared" si="53"/>
        <v>0</v>
      </c>
      <c r="EE73" s="121">
        <v>0</v>
      </c>
      <c r="EF73" s="120" t="e">
        <f t="shared" si="54"/>
        <v>#VALUE!</v>
      </c>
      <c r="EG73" s="121" t="e">
        <f t="shared" si="55"/>
        <v>#VALUE!</v>
      </c>
      <c r="EH73" s="122" t="e">
        <f t="shared" si="19"/>
        <v>#DIV/0!</v>
      </c>
      <c r="EI73" s="123" t="e">
        <f t="shared" si="20"/>
        <v>#DIV/0!</v>
      </c>
    </row>
    <row r="74" spans="1:139" ht="15.75" customHeight="1" x14ac:dyDescent="0.25">
      <c r="A74" s="374"/>
      <c r="B74" s="169"/>
      <c r="C74" s="91" t="s">
        <v>48</v>
      </c>
      <c r="D74" s="92">
        <v>15.4</v>
      </c>
      <c r="E74" s="93"/>
      <c r="F74" s="93">
        <v>0.71329319129226487</v>
      </c>
      <c r="G74" s="93"/>
      <c r="H74" s="158" t="s">
        <v>44</v>
      </c>
      <c r="I74" s="159" t="s">
        <v>44</v>
      </c>
      <c r="J74" s="122">
        <v>1183</v>
      </c>
      <c r="K74" s="101"/>
      <c r="L74" s="188" t="s">
        <v>44</v>
      </c>
      <c r="M74" s="189" t="s">
        <v>44</v>
      </c>
      <c r="N74" s="100">
        <v>1183</v>
      </c>
      <c r="O74" s="126"/>
      <c r="P74" s="158" t="s">
        <v>44</v>
      </c>
      <c r="Q74" s="159" t="s">
        <v>44</v>
      </c>
      <c r="R74" s="100">
        <v>0</v>
      </c>
      <c r="S74" s="97"/>
      <c r="T74" s="158" t="s">
        <v>44</v>
      </c>
      <c r="U74" s="159" t="s">
        <v>44</v>
      </c>
      <c r="V74" s="104">
        <v>77</v>
      </c>
      <c r="W74" s="104"/>
      <c r="X74" s="92">
        <v>15.5</v>
      </c>
      <c r="Y74" s="93"/>
      <c r="Z74" s="93">
        <v>0.70970695970695974</v>
      </c>
      <c r="AA74" s="93"/>
      <c r="AB74" s="158" t="s">
        <v>44</v>
      </c>
      <c r="AC74" s="159" t="s">
        <v>44</v>
      </c>
      <c r="AD74" s="122">
        <v>1198</v>
      </c>
      <c r="AE74" s="101"/>
      <c r="AF74" s="188" t="s">
        <v>44</v>
      </c>
      <c r="AG74" s="189" t="s">
        <v>44</v>
      </c>
      <c r="AH74" s="100">
        <v>1198</v>
      </c>
      <c r="AI74" s="126"/>
      <c r="AJ74" s="158" t="s">
        <v>44</v>
      </c>
      <c r="AK74" s="159" t="s">
        <v>44</v>
      </c>
      <c r="AL74" s="100">
        <v>0</v>
      </c>
      <c r="AM74" s="97"/>
      <c r="AN74" s="158" t="s">
        <v>44</v>
      </c>
      <c r="AO74" s="159" t="s">
        <v>44</v>
      </c>
      <c r="AP74" s="104">
        <v>77</v>
      </c>
      <c r="AQ74" s="104"/>
      <c r="AR74" s="92">
        <v>15.7</v>
      </c>
      <c r="AS74" s="93"/>
      <c r="AT74" s="93">
        <v>0.71105072463768115</v>
      </c>
      <c r="AU74" s="93"/>
      <c r="AV74" s="158" t="s">
        <v>44</v>
      </c>
      <c r="AW74" s="159" t="s">
        <v>44</v>
      </c>
      <c r="AX74" s="122">
        <v>1193</v>
      </c>
      <c r="AY74" s="101"/>
      <c r="AZ74" s="188" t="s">
        <v>44</v>
      </c>
      <c r="BA74" s="189" t="s">
        <v>44</v>
      </c>
      <c r="BB74" s="100">
        <v>1193</v>
      </c>
      <c r="BC74" s="126"/>
      <c r="BD74" s="158" t="s">
        <v>44</v>
      </c>
      <c r="BE74" s="159" t="s">
        <v>44</v>
      </c>
      <c r="BF74" s="100">
        <v>0</v>
      </c>
      <c r="BG74" s="97"/>
      <c r="BH74" s="158" t="s">
        <v>44</v>
      </c>
      <c r="BI74" s="159" t="s">
        <v>44</v>
      </c>
      <c r="BJ74" s="104">
        <v>76</v>
      </c>
      <c r="BK74" s="104"/>
      <c r="BL74" s="92">
        <v>15.6</v>
      </c>
      <c r="BM74" s="93"/>
      <c r="BN74" s="93">
        <v>0.70620190131281124</v>
      </c>
      <c r="BO74" s="93"/>
      <c r="BP74" s="158" t="s">
        <v>44</v>
      </c>
      <c r="BQ74" s="159" t="s">
        <v>44</v>
      </c>
      <c r="BR74" s="122">
        <v>1208</v>
      </c>
      <c r="BS74" s="101"/>
      <c r="BT74" s="188" t="s">
        <v>44</v>
      </c>
      <c r="BU74" s="189" t="s">
        <v>44</v>
      </c>
      <c r="BV74" s="100">
        <v>1208</v>
      </c>
      <c r="BW74" s="126"/>
      <c r="BX74" s="158" t="s">
        <v>44</v>
      </c>
      <c r="BY74" s="159" t="s">
        <v>44</v>
      </c>
      <c r="BZ74" s="100">
        <v>0</v>
      </c>
      <c r="CA74" s="97"/>
      <c r="CB74" s="158" t="s">
        <v>44</v>
      </c>
      <c r="CC74" s="159" t="s">
        <v>44</v>
      </c>
      <c r="CD74" s="104">
        <v>77</v>
      </c>
      <c r="CE74" s="104"/>
      <c r="CF74" s="375">
        <v>62.199999999999996</v>
      </c>
      <c r="CG74" s="97"/>
      <c r="CH74" s="93">
        <v>0.71004566210045661</v>
      </c>
      <c r="CI74" s="179"/>
      <c r="CJ74" s="188" t="s">
        <v>44</v>
      </c>
      <c r="CK74" s="189" t="s">
        <v>44</v>
      </c>
      <c r="CL74" s="100">
        <v>4782</v>
      </c>
      <c r="CM74" s="107"/>
      <c r="CN74" s="190" t="s">
        <v>44</v>
      </c>
      <c r="CO74" s="189" t="s">
        <v>44</v>
      </c>
      <c r="CP74" s="102">
        <v>4782</v>
      </c>
      <c r="CQ74" s="97"/>
      <c r="CR74" s="188" t="s">
        <v>44</v>
      </c>
      <c r="CS74" s="189" t="s">
        <v>44</v>
      </c>
      <c r="CT74" s="100">
        <v>0</v>
      </c>
      <c r="CU74" s="97"/>
      <c r="CV74" s="188" t="s">
        <v>44</v>
      </c>
      <c r="CW74" s="189" t="s">
        <v>44</v>
      </c>
      <c r="CX74" s="100">
        <v>76.881028938906752</v>
      </c>
      <c r="CY74" s="174"/>
      <c r="CZ74" s="110">
        <f t="shared" si="40"/>
        <v>30.9</v>
      </c>
      <c r="DA74" s="111">
        <f t="shared" si="39"/>
        <v>0</v>
      </c>
      <c r="DB74" s="176">
        <f t="shared" si="57"/>
        <v>0.71148975362652533</v>
      </c>
      <c r="DC74" s="113">
        <f t="shared" si="57"/>
        <v>0</v>
      </c>
      <c r="DD74" s="100">
        <f t="shared" si="41"/>
        <v>2381</v>
      </c>
      <c r="DE74" s="102">
        <f t="shared" si="41"/>
        <v>0</v>
      </c>
      <c r="DF74" s="102" t="e">
        <f t="shared" si="41"/>
        <v>#VALUE!</v>
      </c>
      <c r="DG74" s="114" t="e">
        <f t="shared" si="41"/>
        <v>#VALUE!</v>
      </c>
      <c r="DH74" s="100">
        <f t="shared" si="41"/>
        <v>2381</v>
      </c>
      <c r="DI74" s="97">
        <f t="shared" si="41"/>
        <v>0</v>
      </c>
      <c r="DJ74" s="97" t="e">
        <f t="shared" si="41"/>
        <v>#VALUE!</v>
      </c>
      <c r="DK74" s="97" t="e">
        <f t="shared" si="41"/>
        <v>#VALUE!</v>
      </c>
      <c r="DL74" s="100">
        <f t="shared" si="41"/>
        <v>0</v>
      </c>
      <c r="DM74" s="97">
        <f t="shared" si="41"/>
        <v>0</v>
      </c>
      <c r="DN74" s="97" t="e">
        <f t="shared" si="41"/>
        <v>#VALUE!</v>
      </c>
      <c r="DO74" s="115" t="e">
        <f t="shared" si="41"/>
        <v>#VALUE!</v>
      </c>
      <c r="DP74" s="376">
        <f t="shared" si="56"/>
        <v>77</v>
      </c>
      <c r="DQ74" s="377" t="e">
        <f t="shared" si="56"/>
        <v>#DIV/0!</v>
      </c>
      <c r="DR74" s="117">
        <f t="shared" si="18"/>
        <v>30.9</v>
      </c>
      <c r="DS74" s="118">
        <f t="shared" si="42"/>
        <v>100</v>
      </c>
      <c r="DT74" s="104" t="e">
        <f t="shared" si="43"/>
        <v>#VALUE!</v>
      </c>
      <c r="DU74" s="118" t="e">
        <f t="shared" si="44"/>
        <v>#VALUE!</v>
      </c>
      <c r="DV74" s="104">
        <f t="shared" si="45"/>
        <v>2381</v>
      </c>
      <c r="DW74" s="119">
        <f t="shared" si="46"/>
        <v>100</v>
      </c>
      <c r="DX74" s="120" t="e">
        <f t="shared" si="47"/>
        <v>#VALUE!</v>
      </c>
      <c r="DY74" s="118" t="e">
        <f t="shared" si="48"/>
        <v>#VALUE!</v>
      </c>
      <c r="DZ74" s="104">
        <f t="shared" si="49"/>
        <v>2381</v>
      </c>
      <c r="EA74" s="119">
        <f t="shared" si="50"/>
        <v>100</v>
      </c>
      <c r="EB74" s="120" t="e">
        <f t="shared" si="51"/>
        <v>#VALUE!</v>
      </c>
      <c r="EC74" s="118" t="e">
        <f t="shared" si="52"/>
        <v>#VALUE!</v>
      </c>
      <c r="ED74" s="104">
        <f t="shared" si="53"/>
        <v>0</v>
      </c>
      <c r="EE74" s="121">
        <v>0</v>
      </c>
      <c r="EF74" s="120" t="e">
        <f t="shared" si="54"/>
        <v>#VALUE!</v>
      </c>
      <c r="EG74" s="121" t="e">
        <f t="shared" si="55"/>
        <v>#VALUE!</v>
      </c>
      <c r="EH74" s="122" t="e">
        <f t="shared" si="19"/>
        <v>#DIV/0!</v>
      </c>
      <c r="EI74" s="123" t="e">
        <f t="shared" si="20"/>
        <v>#DIV/0!</v>
      </c>
    </row>
    <row r="75" spans="1:139" s="410" customFormat="1" ht="15.75" customHeight="1" x14ac:dyDescent="0.25">
      <c r="A75" s="378"/>
      <c r="B75" s="379"/>
      <c r="C75" s="380" t="s">
        <v>49</v>
      </c>
      <c r="D75" s="381">
        <v>12.4</v>
      </c>
      <c r="E75" s="382"/>
      <c r="F75" s="382">
        <v>0.57433997220935618</v>
      </c>
      <c r="G75" s="382"/>
      <c r="H75" s="383" t="s">
        <v>44</v>
      </c>
      <c r="I75" s="384" t="s">
        <v>44</v>
      </c>
      <c r="J75" s="385">
        <v>0</v>
      </c>
      <c r="K75" s="386"/>
      <c r="L75" s="387" t="s">
        <v>44</v>
      </c>
      <c r="M75" s="388" t="s">
        <v>44</v>
      </c>
      <c r="N75" s="389">
        <v>0</v>
      </c>
      <c r="O75" s="390"/>
      <c r="P75" s="383" t="s">
        <v>44</v>
      </c>
      <c r="Q75" s="384" t="s">
        <v>44</v>
      </c>
      <c r="R75" s="389">
        <v>0</v>
      </c>
      <c r="S75" s="391"/>
      <c r="T75" s="383" t="s">
        <v>44</v>
      </c>
      <c r="U75" s="384" t="s">
        <v>44</v>
      </c>
      <c r="V75" s="389">
        <v>0</v>
      </c>
      <c r="W75" s="392"/>
      <c r="X75" s="381">
        <v>12.7</v>
      </c>
      <c r="Y75" s="382"/>
      <c r="Z75" s="382">
        <v>0.58150183150183143</v>
      </c>
      <c r="AA75" s="382"/>
      <c r="AB75" s="383" t="s">
        <v>44</v>
      </c>
      <c r="AC75" s="384" t="s">
        <v>44</v>
      </c>
      <c r="AD75" s="385">
        <v>0</v>
      </c>
      <c r="AE75" s="386"/>
      <c r="AF75" s="387" t="s">
        <v>44</v>
      </c>
      <c r="AG75" s="388" t="s">
        <v>44</v>
      </c>
      <c r="AH75" s="389">
        <v>0</v>
      </c>
      <c r="AI75" s="390"/>
      <c r="AJ75" s="383" t="s">
        <v>44</v>
      </c>
      <c r="AK75" s="384" t="s">
        <v>44</v>
      </c>
      <c r="AL75" s="389">
        <v>0</v>
      </c>
      <c r="AM75" s="391"/>
      <c r="AN75" s="383" t="s">
        <v>44</v>
      </c>
      <c r="AO75" s="384" t="s">
        <v>44</v>
      </c>
      <c r="AP75" s="389">
        <v>0</v>
      </c>
      <c r="AQ75" s="392"/>
      <c r="AR75" s="381">
        <v>12.8</v>
      </c>
      <c r="AS75" s="382"/>
      <c r="AT75" s="382">
        <v>0.57971014492753625</v>
      </c>
      <c r="AU75" s="382"/>
      <c r="AV75" s="383" t="s">
        <v>44</v>
      </c>
      <c r="AW75" s="384" t="s">
        <v>44</v>
      </c>
      <c r="AX75" s="385">
        <v>0</v>
      </c>
      <c r="AY75" s="386"/>
      <c r="AZ75" s="387" t="s">
        <v>44</v>
      </c>
      <c r="BA75" s="388" t="s">
        <v>44</v>
      </c>
      <c r="BB75" s="389">
        <v>0</v>
      </c>
      <c r="BC75" s="390"/>
      <c r="BD75" s="383" t="s">
        <v>44</v>
      </c>
      <c r="BE75" s="384" t="s">
        <v>44</v>
      </c>
      <c r="BF75" s="389">
        <v>0</v>
      </c>
      <c r="BG75" s="391"/>
      <c r="BH75" s="383" t="s">
        <v>44</v>
      </c>
      <c r="BI75" s="384" t="s">
        <v>44</v>
      </c>
      <c r="BJ75" s="389">
        <v>0</v>
      </c>
      <c r="BK75" s="392"/>
      <c r="BL75" s="381">
        <v>12.9</v>
      </c>
      <c r="BM75" s="382"/>
      <c r="BN75" s="382">
        <v>0.58397464916251696</v>
      </c>
      <c r="BO75" s="382"/>
      <c r="BP75" s="383" t="s">
        <v>44</v>
      </c>
      <c r="BQ75" s="384" t="s">
        <v>44</v>
      </c>
      <c r="BR75" s="385">
        <v>0</v>
      </c>
      <c r="BS75" s="386"/>
      <c r="BT75" s="387" t="s">
        <v>44</v>
      </c>
      <c r="BU75" s="388" t="s">
        <v>44</v>
      </c>
      <c r="BV75" s="389">
        <v>0</v>
      </c>
      <c r="BW75" s="390"/>
      <c r="BX75" s="383" t="s">
        <v>44</v>
      </c>
      <c r="BY75" s="384" t="s">
        <v>44</v>
      </c>
      <c r="BZ75" s="389">
        <v>0</v>
      </c>
      <c r="CA75" s="391"/>
      <c r="CB75" s="383" t="s">
        <v>44</v>
      </c>
      <c r="CC75" s="384" t="s">
        <v>44</v>
      </c>
      <c r="CD75" s="389">
        <v>0</v>
      </c>
      <c r="CE75" s="392"/>
      <c r="CF75" s="393">
        <v>50.800000000000004</v>
      </c>
      <c r="CG75" s="391"/>
      <c r="CH75" s="382">
        <v>0.57990867579908678</v>
      </c>
      <c r="CI75" s="394"/>
      <c r="CJ75" s="387" t="s">
        <v>44</v>
      </c>
      <c r="CK75" s="388" t="s">
        <v>44</v>
      </c>
      <c r="CL75" s="389">
        <v>0</v>
      </c>
      <c r="CM75" s="395"/>
      <c r="CN75" s="396" t="s">
        <v>44</v>
      </c>
      <c r="CO75" s="388" t="s">
        <v>44</v>
      </c>
      <c r="CP75" s="397">
        <v>0</v>
      </c>
      <c r="CQ75" s="391"/>
      <c r="CR75" s="387" t="s">
        <v>44</v>
      </c>
      <c r="CS75" s="388" t="s">
        <v>44</v>
      </c>
      <c r="CT75" s="389">
        <v>0</v>
      </c>
      <c r="CU75" s="391"/>
      <c r="CV75" s="387" t="s">
        <v>44</v>
      </c>
      <c r="CW75" s="388" t="s">
        <v>44</v>
      </c>
      <c r="CX75" s="389">
        <v>0</v>
      </c>
      <c r="CY75" s="398"/>
      <c r="CZ75" s="399">
        <f t="shared" si="40"/>
        <v>25.1</v>
      </c>
      <c r="DA75" s="400">
        <f t="shared" si="39"/>
        <v>0</v>
      </c>
      <c r="DB75" s="176">
        <f t="shared" si="57"/>
        <v>0.57794151508174074</v>
      </c>
      <c r="DC75" s="401">
        <f t="shared" si="57"/>
        <v>0</v>
      </c>
      <c r="DD75" s="402">
        <f t="shared" si="41"/>
        <v>0</v>
      </c>
      <c r="DE75" s="402">
        <f t="shared" si="41"/>
        <v>0</v>
      </c>
      <c r="DF75" s="402" t="e">
        <f t="shared" si="41"/>
        <v>#VALUE!</v>
      </c>
      <c r="DG75" s="403" t="e">
        <f t="shared" si="41"/>
        <v>#VALUE!</v>
      </c>
      <c r="DH75" s="389">
        <f t="shared" si="41"/>
        <v>0</v>
      </c>
      <c r="DI75" s="391">
        <f t="shared" si="41"/>
        <v>0</v>
      </c>
      <c r="DJ75" s="391" t="e">
        <f t="shared" si="41"/>
        <v>#VALUE!</v>
      </c>
      <c r="DK75" s="391" t="e">
        <f t="shared" si="41"/>
        <v>#VALUE!</v>
      </c>
      <c r="DL75" s="389">
        <f t="shared" si="41"/>
        <v>0</v>
      </c>
      <c r="DM75" s="391">
        <f t="shared" si="41"/>
        <v>0</v>
      </c>
      <c r="DN75" s="391" t="e">
        <f t="shared" si="41"/>
        <v>#VALUE!</v>
      </c>
      <c r="DO75" s="404" t="e">
        <f t="shared" si="41"/>
        <v>#VALUE!</v>
      </c>
      <c r="DP75" s="389">
        <f t="shared" si="56"/>
        <v>0</v>
      </c>
      <c r="DQ75" s="392" t="e">
        <f t="shared" si="56"/>
        <v>#DIV/0!</v>
      </c>
      <c r="DR75" s="405">
        <f t="shared" si="18"/>
        <v>25.1</v>
      </c>
      <c r="DS75" s="406">
        <f t="shared" si="42"/>
        <v>100</v>
      </c>
      <c r="DT75" s="397" t="e">
        <f t="shared" si="43"/>
        <v>#VALUE!</v>
      </c>
      <c r="DU75" s="406" t="e">
        <f t="shared" si="44"/>
        <v>#VALUE!</v>
      </c>
      <c r="DV75" s="397">
        <f t="shared" si="45"/>
        <v>0</v>
      </c>
      <c r="DW75" s="407" t="e">
        <f t="shared" si="46"/>
        <v>#DIV/0!</v>
      </c>
      <c r="DX75" s="391" t="e">
        <f t="shared" si="47"/>
        <v>#VALUE!</v>
      </c>
      <c r="DY75" s="406" t="e">
        <f t="shared" si="48"/>
        <v>#VALUE!</v>
      </c>
      <c r="DZ75" s="397">
        <f t="shared" si="49"/>
        <v>0</v>
      </c>
      <c r="EA75" s="407" t="e">
        <f t="shared" si="50"/>
        <v>#DIV/0!</v>
      </c>
      <c r="EB75" s="391" t="e">
        <f t="shared" si="51"/>
        <v>#VALUE!</v>
      </c>
      <c r="EC75" s="406" t="e">
        <f t="shared" si="52"/>
        <v>#VALUE!</v>
      </c>
      <c r="ED75" s="397">
        <f t="shared" si="53"/>
        <v>0</v>
      </c>
      <c r="EE75" s="408">
        <v>0</v>
      </c>
      <c r="EF75" s="391" t="e">
        <f t="shared" si="54"/>
        <v>#VALUE!</v>
      </c>
      <c r="EG75" s="406" t="e">
        <f t="shared" si="55"/>
        <v>#VALUE!</v>
      </c>
      <c r="EH75" s="385" t="e">
        <f t="shared" si="19"/>
        <v>#DIV/0!</v>
      </c>
      <c r="EI75" s="409" t="e">
        <f t="shared" si="20"/>
        <v>#DIV/0!</v>
      </c>
    </row>
    <row r="76" spans="1:139" s="373" customFormat="1" ht="16.5" customHeight="1" x14ac:dyDescent="0.25">
      <c r="A76" s="1072" t="s">
        <v>69</v>
      </c>
      <c r="B76" s="347" t="s">
        <v>70</v>
      </c>
      <c r="C76" s="348"/>
      <c r="D76" s="349">
        <v>25.2</v>
      </c>
      <c r="E76" s="350"/>
      <c r="F76" s="350">
        <v>0.23168365986632219</v>
      </c>
      <c r="G76" s="350"/>
      <c r="H76" s="351" t="s">
        <v>44</v>
      </c>
      <c r="I76" s="352" t="s">
        <v>44</v>
      </c>
      <c r="J76" s="353">
        <v>298</v>
      </c>
      <c r="K76" s="354"/>
      <c r="L76" s="355" t="s">
        <v>44</v>
      </c>
      <c r="M76" s="356" t="s">
        <v>44</v>
      </c>
      <c r="N76" s="411">
        <v>298</v>
      </c>
      <c r="O76" s="412"/>
      <c r="P76" s="351" t="s">
        <v>44</v>
      </c>
      <c r="Q76" s="352" t="s">
        <v>44</v>
      </c>
      <c r="R76" s="411">
        <v>0</v>
      </c>
      <c r="S76" s="412"/>
      <c r="T76" s="351" t="s">
        <v>44</v>
      </c>
      <c r="U76" s="352" t="s">
        <v>44</v>
      </c>
      <c r="V76" s="358">
        <v>12</v>
      </c>
      <c r="W76" s="358"/>
      <c r="X76" s="349">
        <v>25.099999999999998</v>
      </c>
      <c r="Y76" s="350"/>
      <c r="Z76" s="350">
        <v>0.228662008399457</v>
      </c>
      <c r="AA76" s="350"/>
      <c r="AB76" s="351" t="s">
        <v>44</v>
      </c>
      <c r="AC76" s="352" t="s">
        <v>44</v>
      </c>
      <c r="AD76" s="353">
        <v>319</v>
      </c>
      <c r="AE76" s="354"/>
      <c r="AF76" s="355" t="s">
        <v>44</v>
      </c>
      <c r="AG76" s="356" t="s">
        <v>44</v>
      </c>
      <c r="AH76" s="411">
        <v>319</v>
      </c>
      <c r="AI76" s="412"/>
      <c r="AJ76" s="351" t="s">
        <v>44</v>
      </c>
      <c r="AK76" s="352" t="s">
        <v>44</v>
      </c>
      <c r="AL76" s="411">
        <v>0</v>
      </c>
      <c r="AM76" s="412"/>
      <c r="AN76" s="351" t="s">
        <v>44</v>
      </c>
      <c r="AO76" s="352" t="s">
        <v>44</v>
      </c>
      <c r="AP76" s="358">
        <v>13</v>
      </c>
      <c r="AQ76" s="358"/>
      <c r="AR76" s="349">
        <v>25.3</v>
      </c>
      <c r="AS76" s="350"/>
      <c r="AT76" s="350">
        <v>0.22809437517467704</v>
      </c>
      <c r="AU76" s="350"/>
      <c r="AV76" s="351" t="s">
        <v>44</v>
      </c>
      <c r="AW76" s="352" t="s">
        <v>44</v>
      </c>
      <c r="AX76" s="353">
        <v>320</v>
      </c>
      <c r="AY76" s="354"/>
      <c r="AZ76" s="355" t="s">
        <v>44</v>
      </c>
      <c r="BA76" s="356" t="s">
        <v>44</v>
      </c>
      <c r="BB76" s="411">
        <v>320</v>
      </c>
      <c r="BC76" s="412"/>
      <c r="BD76" s="351" t="s">
        <v>44</v>
      </c>
      <c r="BE76" s="352" t="s">
        <v>44</v>
      </c>
      <c r="BF76" s="411">
        <v>0</v>
      </c>
      <c r="BG76" s="412"/>
      <c r="BH76" s="351" t="s">
        <v>44</v>
      </c>
      <c r="BI76" s="352" t="s">
        <v>44</v>
      </c>
      <c r="BJ76" s="358">
        <v>13</v>
      </c>
      <c r="BK76" s="358"/>
      <c r="BL76" s="349">
        <v>25.5</v>
      </c>
      <c r="BM76" s="350"/>
      <c r="BN76" s="350">
        <v>0.22855811202036411</v>
      </c>
      <c r="BO76" s="350"/>
      <c r="BP76" s="351" t="s">
        <v>44</v>
      </c>
      <c r="BQ76" s="352" t="s">
        <v>44</v>
      </c>
      <c r="BR76" s="353">
        <v>325</v>
      </c>
      <c r="BS76" s="354"/>
      <c r="BT76" s="355" t="s">
        <v>44</v>
      </c>
      <c r="BU76" s="356" t="s">
        <v>44</v>
      </c>
      <c r="BV76" s="411">
        <v>325</v>
      </c>
      <c r="BW76" s="412"/>
      <c r="BX76" s="351" t="s">
        <v>44</v>
      </c>
      <c r="BY76" s="352" t="s">
        <v>44</v>
      </c>
      <c r="BZ76" s="411">
        <v>0</v>
      </c>
      <c r="CA76" s="412"/>
      <c r="CB76" s="351" t="s">
        <v>44</v>
      </c>
      <c r="CC76" s="352" t="s">
        <v>44</v>
      </c>
      <c r="CD76" s="358">
        <v>13</v>
      </c>
      <c r="CE76" s="358"/>
      <c r="CF76" s="349">
        <v>101.1</v>
      </c>
      <c r="CG76" s="354"/>
      <c r="CH76" s="359">
        <v>0.22923818550380243</v>
      </c>
      <c r="CI76" s="413"/>
      <c r="CJ76" s="355" t="s">
        <v>44</v>
      </c>
      <c r="CK76" s="356" t="s">
        <v>44</v>
      </c>
      <c r="CL76" s="357">
        <v>1262</v>
      </c>
      <c r="CM76" s="362"/>
      <c r="CN76" s="363" t="s">
        <v>44</v>
      </c>
      <c r="CO76" s="356" t="s">
        <v>44</v>
      </c>
      <c r="CP76" s="358">
        <v>1262</v>
      </c>
      <c r="CQ76" s="354"/>
      <c r="CR76" s="355" t="s">
        <v>44</v>
      </c>
      <c r="CS76" s="356" t="s">
        <v>44</v>
      </c>
      <c r="CT76" s="357">
        <v>0</v>
      </c>
      <c r="CU76" s="354"/>
      <c r="CV76" s="355" t="s">
        <v>44</v>
      </c>
      <c r="CW76" s="356" t="s">
        <v>44</v>
      </c>
      <c r="CX76" s="357">
        <v>12.482690405539071</v>
      </c>
      <c r="CY76" s="364"/>
      <c r="CZ76" s="414">
        <f t="shared" si="40"/>
        <v>50.3</v>
      </c>
      <c r="DA76" s="415">
        <f t="shared" si="39"/>
        <v>0</v>
      </c>
      <c r="DB76" s="416" t="e">
        <f>(CZ76/#REF!)*100</f>
        <v>#REF!</v>
      </c>
      <c r="DC76" s="417" t="e">
        <f>(DA76/#REF!)*100</f>
        <v>#REF!</v>
      </c>
      <c r="DD76" s="411">
        <f t="shared" si="41"/>
        <v>617</v>
      </c>
      <c r="DE76" s="418">
        <f t="shared" si="41"/>
        <v>0</v>
      </c>
      <c r="DF76" s="418" t="e">
        <f t="shared" si="41"/>
        <v>#VALUE!</v>
      </c>
      <c r="DG76" s="419" t="e">
        <f t="shared" si="41"/>
        <v>#VALUE!</v>
      </c>
      <c r="DH76" s="357">
        <f t="shared" si="41"/>
        <v>617</v>
      </c>
      <c r="DI76" s="354">
        <f t="shared" si="41"/>
        <v>0</v>
      </c>
      <c r="DJ76" s="354" t="e">
        <f t="shared" si="41"/>
        <v>#VALUE!</v>
      </c>
      <c r="DK76" s="354" t="e">
        <f t="shared" si="41"/>
        <v>#VALUE!</v>
      </c>
      <c r="DL76" s="357">
        <f t="shared" si="41"/>
        <v>0</v>
      </c>
      <c r="DM76" s="354">
        <f t="shared" si="41"/>
        <v>0</v>
      </c>
      <c r="DN76" s="354" t="e">
        <f t="shared" si="41"/>
        <v>#VALUE!</v>
      </c>
      <c r="DO76" s="362" t="e">
        <f t="shared" si="41"/>
        <v>#VALUE!</v>
      </c>
      <c r="DP76" s="357">
        <f t="shared" si="56"/>
        <v>12</v>
      </c>
      <c r="DQ76" s="369" t="e">
        <f t="shared" si="56"/>
        <v>#DIV/0!</v>
      </c>
      <c r="DR76" s="370">
        <f>CZ76-DA76</f>
        <v>50.3</v>
      </c>
      <c r="DS76" s="371">
        <f t="shared" si="42"/>
        <v>100</v>
      </c>
      <c r="DT76" s="358" t="e">
        <f t="shared" si="43"/>
        <v>#VALUE!</v>
      </c>
      <c r="DU76" s="371" t="e">
        <f t="shared" si="44"/>
        <v>#VALUE!</v>
      </c>
      <c r="DV76" s="358">
        <f t="shared" si="45"/>
        <v>617</v>
      </c>
      <c r="DW76" s="359">
        <f t="shared" si="46"/>
        <v>100</v>
      </c>
      <c r="DX76" s="354" t="e">
        <f t="shared" si="47"/>
        <v>#VALUE!</v>
      </c>
      <c r="DY76" s="371" t="e">
        <f t="shared" si="48"/>
        <v>#VALUE!</v>
      </c>
      <c r="DZ76" s="358">
        <f t="shared" si="49"/>
        <v>617</v>
      </c>
      <c r="EA76" s="359">
        <f t="shared" si="50"/>
        <v>100</v>
      </c>
      <c r="EB76" s="354" t="e">
        <f t="shared" si="51"/>
        <v>#VALUE!</v>
      </c>
      <c r="EC76" s="371" t="e">
        <f t="shared" si="52"/>
        <v>#VALUE!</v>
      </c>
      <c r="ED76" s="358">
        <f t="shared" si="53"/>
        <v>0</v>
      </c>
      <c r="EE76" s="367">
        <v>0</v>
      </c>
      <c r="EF76" s="354" t="e">
        <f t="shared" si="54"/>
        <v>#VALUE!</v>
      </c>
      <c r="EG76" s="367" t="e">
        <f t="shared" si="55"/>
        <v>#VALUE!</v>
      </c>
      <c r="EH76" s="353" t="e">
        <f t="shared" si="19"/>
        <v>#DIV/0!</v>
      </c>
      <c r="EI76" s="372" t="e">
        <f t="shared" si="20"/>
        <v>#DIV/0!</v>
      </c>
    </row>
    <row r="77" spans="1:139" s="5" customFormat="1" ht="15.75" customHeight="1" x14ac:dyDescent="0.25">
      <c r="A77" s="1070"/>
      <c r="B77" s="178"/>
      <c r="C77" s="91" t="s">
        <v>45</v>
      </c>
      <c r="D77" s="92">
        <v>7</v>
      </c>
      <c r="E77" s="93"/>
      <c r="F77" s="93">
        <v>0.32422417786012042</v>
      </c>
      <c r="G77" s="93"/>
      <c r="H77" s="158" t="s">
        <v>44</v>
      </c>
      <c r="I77" s="159" t="s">
        <v>44</v>
      </c>
      <c r="J77" s="122">
        <v>84</v>
      </c>
      <c r="K77" s="101"/>
      <c r="L77" s="188" t="s">
        <v>44</v>
      </c>
      <c r="M77" s="189" t="s">
        <v>44</v>
      </c>
      <c r="N77" s="184">
        <v>84</v>
      </c>
      <c r="O77" s="97"/>
      <c r="P77" s="158" t="s">
        <v>44</v>
      </c>
      <c r="Q77" s="159" t="s">
        <v>44</v>
      </c>
      <c r="R77" s="184">
        <v>0</v>
      </c>
      <c r="S77" s="101"/>
      <c r="T77" s="158" t="s">
        <v>44</v>
      </c>
      <c r="U77" s="159" t="s">
        <v>44</v>
      </c>
      <c r="V77" s="104">
        <v>12</v>
      </c>
      <c r="W77" s="104"/>
      <c r="X77" s="92">
        <v>6.9</v>
      </c>
      <c r="Y77" s="93"/>
      <c r="Z77" s="93">
        <v>0.31593406593406592</v>
      </c>
      <c r="AA77" s="93"/>
      <c r="AB77" s="158" t="s">
        <v>44</v>
      </c>
      <c r="AC77" s="159" t="s">
        <v>44</v>
      </c>
      <c r="AD77" s="122">
        <v>89</v>
      </c>
      <c r="AE77" s="101"/>
      <c r="AF77" s="188" t="s">
        <v>44</v>
      </c>
      <c r="AG77" s="189" t="s">
        <v>44</v>
      </c>
      <c r="AH77" s="184">
        <v>89</v>
      </c>
      <c r="AI77" s="97"/>
      <c r="AJ77" s="158" t="s">
        <v>44</v>
      </c>
      <c r="AK77" s="159" t="s">
        <v>44</v>
      </c>
      <c r="AL77" s="184">
        <v>0</v>
      </c>
      <c r="AM77" s="101"/>
      <c r="AN77" s="158" t="s">
        <v>44</v>
      </c>
      <c r="AO77" s="159" t="s">
        <v>44</v>
      </c>
      <c r="AP77" s="104">
        <v>13</v>
      </c>
      <c r="AQ77" s="104"/>
      <c r="AR77" s="92">
        <v>7</v>
      </c>
      <c r="AS77" s="93"/>
      <c r="AT77" s="93">
        <v>0.3170289855072464</v>
      </c>
      <c r="AU77" s="93"/>
      <c r="AV77" s="158" t="s">
        <v>44</v>
      </c>
      <c r="AW77" s="159" t="s">
        <v>44</v>
      </c>
      <c r="AX77" s="122">
        <v>89</v>
      </c>
      <c r="AY77" s="101"/>
      <c r="AZ77" s="188" t="s">
        <v>44</v>
      </c>
      <c r="BA77" s="189" t="s">
        <v>44</v>
      </c>
      <c r="BB77" s="184">
        <v>89</v>
      </c>
      <c r="BC77" s="97"/>
      <c r="BD77" s="158" t="s">
        <v>44</v>
      </c>
      <c r="BE77" s="159" t="s">
        <v>44</v>
      </c>
      <c r="BF77" s="184">
        <v>0</v>
      </c>
      <c r="BG77" s="101"/>
      <c r="BH77" s="158" t="s">
        <v>44</v>
      </c>
      <c r="BI77" s="159" t="s">
        <v>44</v>
      </c>
      <c r="BJ77" s="104">
        <v>13</v>
      </c>
      <c r="BK77" s="104"/>
      <c r="BL77" s="92">
        <v>7.1</v>
      </c>
      <c r="BM77" s="93"/>
      <c r="BN77" s="93">
        <v>0.32141240380262565</v>
      </c>
      <c r="BO77" s="93"/>
      <c r="BP77" s="158" t="s">
        <v>44</v>
      </c>
      <c r="BQ77" s="159" t="s">
        <v>44</v>
      </c>
      <c r="BR77" s="122">
        <v>91</v>
      </c>
      <c r="BS77" s="101"/>
      <c r="BT77" s="188" t="s">
        <v>44</v>
      </c>
      <c r="BU77" s="189" t="s">
        <v>44</v>
      </c>
      <c r="BV77" s="184">
        <v>91</v>
      </c>
      <c r="BW77" s="97"/>
      <c r="BX77" s="158" t="s">
        <v>44</v>
      </c>
      <c r="BY77" s="159" t="s">
        <v>44</v>
      </c>
      <c r="BZ77" s="184">
        <v>0</v>
      </c>
      <c r="CA77" s="101"/>
      <c r="CB77" s="158" t="s">
        <v>44</v>
      </c>
      <c r="CC77" s="159" t="s">
        <v>44</v>
      </c>
      <c r="CD77" s="104">
        <v>13</v>
      </c>
      <c r="CE77" s="104"/>
      <c r="CF77" s="375">
        <v>28</v>
      </c>
      <c r="CG77" s="97"/>
      <c r="CH77" s="93">
        <v>0.31963470319634707</v>
      </c>
      <c r="CI77" s="179"/>
      <c r="CJ77" s="188" t="s">
        <v>44</v>
      </c>
      <c r="CK77" s="189" t="s">
        <v>44</v>
      </c>
      <c r="CL77" s="100">
        <v>353</v>
      </c>
      <c r="CM77" s="107"/>
      <c r="CN77" s="190" t="s">
        <v>44</v>
      </c>
      <c r="CO77" s="189" t="s">
        <v>44</v>
      </c>
      <c r="CP77" s="102">
        <v>353</v>
      </c>
      <c r="CQ77" s="97"/>
      <c r="CR77" s="188" t="s">
        <v>44</v>
      </c>
      <c r="CS77" s="189" t="s">
        <v>44</v>
      </c>
      <c r="CT77" s="100">
        <v>0</v>
      </c>
      <c r="CU77" s="97"/>
      <c r="CV77" s="188" t="s">
        <v>44</v>
      </c>
      <c r="CW77" s="189" t="s">
        <v>44</v>
      </c>
      <c r="CX77" s="100">
        <v>12.607142857142858</v>
      </c>
      <c r="CY77" s="174"/>
      <c r="CZ77" s="110">
        <f t="shared" si="40"/>
        <v>13.9</v>
      </c>
      <c r="DA77" s="111">
        <f t="shared" si="39"/>
        <v>0</v>
      </c>
      <c r="DB77" s="176">
        <f>(CZ77/4343)*100</f>
        <v>0.32005526134008749</v>
      </c>
      <c r="DC77" s="113">
        <f>(DA77/4343)*100</f>
        <v>0</v>
      </c>
      <c r="DD77" s="100">
        <f t="shared" si="41"/>
        <v>173</v>
      </c>
      <c r="DE77" s="102">
        <f t="shared" si="41"/>
        <v>0</v>
      </c>
      <c r="DF77" s="102" t="e">
        <f t="shared" si="41"/>
        <v>#VALUE!</v>
      </c>
      <c r="DG77" s="114" t="e">
        <f t="shared" si="41"/>
        <v>#VALUE!</v>
      </c>
      <c r="DH77" s="100">
        <f t="shared" si="41"/>
        <v>173</v>
      </c>
      <c r="DI77" s="97">
        <f t="shared" si="41"/>
        <v>0</v>
      </c>
      <c r="DJ77" s="97" t="e">
        <f t="shared" si="41"/>
        <v>#VALUE!</v>
      </c>
      <c r="DK77" s="97" t="e">
        <f t="shared" si="41"/>
        <v>#VALUE!</v>
      </c>
      <c r="DL77" s="100">
        <f t="shared" si="41"/>
        <v>0</v>
      </c>
      <c r="DM77" s="97">
        <f t="shared" si="41"/>
        <v>0</v>
      </c>
      <c r="DN77" s="97" t="e">
        <f t="shared" si="41"/>
        <v>#VALUE!</v>
      </c>
      <c r="DO77" s="115" t="e">
        <f t="shared" si="41"/>
        <v>#VALUE!</v>
      </c>
      <c r="DP77" s="376">
        <f t="shared" si="56"/>
        <v>12</v>
      </c>
      <c r="DQ77" s="377" t="e">
        <f t="shared" si="56"/>
        <v>#DIV/0!</v>
      </c>
      <c r="DR77" s="117">
        <f t="shared" si="18"/>
        <v>13.9</v>
      </c>
      <c r="DS77" s="118">
        <f t="shared" si="42"/>
        <v>100</v>
      </c>
      <c r="DT77" s="104" t="e">
        <f t="shared" si="43"/>
        <v>#VALUE!</v>
      </c>
      <c r="DU77" s="118" t="e">
        <f t="shared" si="44"/>
        <v>#VALUE!</v>
      </c>
      <c r="DV77" s="104">
        <f t="shared" si="45"/>
        <v>173</v>
      </c>
      <c r="DW77" s="119">
        <f t="shared" si="46"/>
        <v>100</v>
      </c>
      <c r="DX77" s="120" t="e">
        <f t="shared" si="47"/>
        <v>#VALUE!</v>
      </c>
      <c r="DY77" s="118" t="e">
        <f t="shared" si="48"/>
        <v>#VALUE!</v>
      </c>
      <c r="DZ77" s="104">
        <f t="shared" si="49"/>
        <v>173</v>
      </c>
      <c r="EA77" s="119">
        <f t="shared" si="50"/>
        <v>100</v>
      </c>
      <c r="EB77" s="120" t="e">
        <f t="shared" si="51"/>
        <v>#VALUE!</v>
      </c>
      <c r="EC77" s="118" t="e">
        <f t="shared" si="52"/>
        <v>#VALUE!</v>
      </c>
      <c r="ED77" s="104">
        <f t="shared" si="53"/>
        <v>0</v>
      </c>
      <c r="EE77" s="121">
        <v>0</v>
      </c>
      <c r="EF77" s="120" t="e">
        <f t="shared" si="54"/>
        <v>#VALUE!</v>
      </c>
      <c r="EG77" s="121" t="e">
        <f t="shared" si="55"/>
        <v>#VALUE!</v>
      </c>
      <c r="EH77" s="122" t="e">
        <f t="shared" si="19"/>
        <v>#DIV/0!</v>
      </c>
      <c r="EI77" s="123" t="e">
        <f t="shared" si="20"/>
        <v>#DIV/0!</v>
      </c>
    </row>
    <row r="78" spans="1:139" s="124" customFormat="1" ht="15.75" customHeight="1" x14ac:dyDescent="0.25">
      <c r="A78" s="1070"/>
      <c r="B78" s="90"/>
      <c r="C78" s="91" t="s">
        <v>46</v>
      </c>
      <c r="D78" s="92">
        <v>7</v>
      </c>
      <c r="E78" s="93"/>
      <c r="F78" s="93">
        <v>0.32422417786012042</v>
      </c>
      <c r="G78" s="93"/>
      <c r="H78" s="158" t="s">
        <v>44</v>
      </c>
      <c r="I78" s="159" t="s">
        <v>44</v>
      </c>
      <c r="J78" s="122">
        <v>85</v>
      </c>
      <c r="K78" s="101"/>
      <c r="L78" s="188" t="s">
        <v>44</v>
      </c>
      <c r="M78" s="189" t="s">
        <v>44</v>
      </c>
      <c r="N78" s="100">
        <v>85</v>
      </c>
      <c r="O78" s="97"/>
      <c r="P78" s="158" t="s">
        <v>44</v>
      </c>
      <c r="Q78" s="159" t="s">
        <v>44</v>
      </c>
      <c r="R78" s="100">
        <v>0</v>
      </c>
      <c r="S78" s="101"/>
      <c r="T78" s="158" t="s">
        <v>44</v>
      </c>
      <c r="U78" s="159" t="s">
        <v>44</v>
      </c>
      <c r="V78" s="104">
        <v>12</v>
      </c>
      <c r="W78" s="104"/>
      <c r="X78" s="92">
        <v>7.1</v>
      </c>
      <c r="Y78" s="93"/>
      <c r="Z78" s="93">
        <v>0.32509157509157505</v>
      </c>
      <c r="AA78" s="93"/>
      <c r="AB78" s="158" t="s">
        <v>44</v>
      </c>
      <c r="AC78" s="159" t="s">
        <v>44</v>
      </c>
      <c r="AD78" s="122">
        <v>92</v>
      </c>
      <c r="AE78" s="101"/>
      <c r="AF78" s="188" t="s">
        <v>44</v>
      </c>
      <c r="AG78" s="189" t="s">
        <v>44</v>
      </c>
      <c r="AH78" s="100">
        <v>92</v>
      </c>
      <c r="AI78" s="97"/>
      <c r="AJ78" s="158" t="s">
        <v>44</v>
      </c>
      <c r="AK78" s="159" t="s">
        <v>44</v>
      </c>
      <c r="AL78" s="100">
        <v>0</v>
      </c>
      <c r="AM78" s="101"/>
      <c r="AN78" s="158" t="s">
        <v>44</v>
      </c>
      <c r="AO78" s="159" t="s">
        <v>44</v>
      </c>
      <c r="AP78" s="104">
        <v>13</v>
      </c>
      <c r="AQ78" s="104"/>
      <c r="AR78" s="92">
        <v>7.2</v>
      </c>
      <c r="AS78" s="93"/>
      <c r="AT78" s="93">
        <v>0.32608695652173914</v>
      </c>
      <c r="AU78" s="93"/>
      <c r="AV78" s="158" t="s">
        <v>44</v>
      </c>
      <c r="AW78" s="159" t="s">
        <v>44</v>
      </c>
      <c r="AX78" s="122">
        <v>92</v>
      </c>
      <c r="AY78" s="101"/>
      <c r="AZ78" s="188" t="s">
        <v>44</v>
      </c>
      <c r="BA78" s="189" t="s">
        <v>44</v>
      </c>
      <c r="BB78" s="100">
        <v>92</v>
      </c>
      <c r="BC78" s="97"/>
      <c r="BD78" s="158" t="s">
        <v>44</v>
      </c>
      <c r="BE78" s="159" t="s">
        <v>44</v>
      </c>
      <c r="BF78" s="100">
        <v>0</v>
      </c>
      <c r="BG78" s="101"/>
      <c r="BH78" s="158" t="s">
        <v>44</v>
      </c>
      <c r="BI78" s="159" t="s">
        <v>44</v>
      </c>
      <c r="BJ78" s="104">
        <v>13</v>
      </c>
      <c r="BK78" s="104"/>
      <c r="BL78" s="92">
        <v>7.2</v>
      </c>
      <c r="BM78" s="93"/>
      <c r="BN78" s="93">
        <v>0.32593933906745132</v>
      </c>
      <c r="BO78" s="93"/>
      <c r="BP78" s="158" t="s">
        <v>44</v>
      </c>
      <c r="BQ78" s="159" t="s">
        <v>44</v>
      </c>
      <c r="BR78" s="122">
        <v>93</v>
      </c>
      <c r="BS78" s="101"/>
      <c r="BT78" s="188" t="s">
        <v>44</v>
      </c>
      <c r="BU78" s="189" t="s">
        <v>44</v>
      </c>
      <c r="BV78" s="100">
        <v>93</v>
      </c>
      <c r="BW78" s="97"/>
      <c r="BX78" s="158" t="s">
        <v>44</v>
      </c>
      <c r="BY78" s="159" t="s">
        <v>44</v>
      </c>
      <c r="BZ78" s="100">
        <v>0</v>
      </c>
      <c r="CA78" s="101"/>
      <c r="CB78" s="158" t="s">
        <v>44</v>
      </c>
      <c r="CC78" s="159" t="s">
        <v>44</v>
      </c>
      <c r="CD78" s="104">
        <v>13</v>
      </c>
      <c r="CE78" s="104"/>
      <c r="CF78" s="375">
        <v>28.5</v>
      </c>
      <c r="CG78" s="97"/>
      <c r="CH78" s="93">
        <v>0.32534246575342468</v>
      </c>
      <c r="CI78" s="179"/>
      <c r="CJ78" s="188" t="s">
        <v>44</v>
      </c>
      <c r="CK78" s="189" t="s">
        <v>44</v>
      </c>
      <c r="CL78" s="100">
        <v>362</v>
      </c>
      <c r="CM78" s="107"/>
      <c r="CN78" s="190" t="s">
        <v>44</v>
      </c>
      <c r="CO78" s="189" t="s">
        <v>44</v>
      </c>
      <c r="CP78" s="102">
        <v>362</v>
      </c>
      <c r="CQ78" s="97"/>
      <c r="CR78" s="188" t="s">
        <v>44</v>
      </c>
      <c r="CS78" s="189" t="s">
        <v>44</v>
      </c>
      <c r="CT78" s="100">
        <v>0</v>
      </c>
      <c r="CU78" s="97"/>
      <c r="CV78" s="188" t="s">
        <v>44</v>
      </c>
      <c r="CW78" s="189" t="s">
        <v>44</v>
      </c>
      <c r="CX78" s="100">
        <v>12.701754385964913</v>
      </c>
      <c r="CY78" s="174"/>
      <c r="CZ78" s="110">
        <f t="shared" si="40"/>
        <v>14.1</v>
      </c>
      <c r="DA78" s="111">
        <f t="shared" si="39"/>
        <v>0</v>
      </c>
      <c r="DB78" s="176">
        <f t="shared" ref="DB78:DC81" si="58">(CZ78/4343)*100</f>
        <v>0.3246603730140456</v>
      </c>
      <c r="DC78" s="113">
        <f t="shared" si="58"/>
        <v>0</v>
      </c>
      <c r="DD78" s="100">
        <f t="shared" si="41"/>
        <v>177</v>
      </c>
      <c r="DE78" s="102">
        <f t="shared" si="41"/>
        <v>0</v>
      </c>
      <c r="DF78" s="102" t="e">
        <f t="shared" si="41"/>
        <v>#VALUE!</v>
      </c>
      <c r="DG78" s="114" t="e">
        <f t="shared" si="41"/>
        <v>#VALUE!</v>
      </c>
      <c r="DH78" s="100">
        <f t="shared" si="41"/>
        <v>177</v>
      </c>
      <c r="DI78" s="97">
        <f t="shared" si="41"/>
        <v>0</v>
      </c>
      <c r="DJ78" s="97" t="e">
        <f t="shared" si="41"/>
        <v>#VALUE!</v>
      </c>
      <c r="DK78" s="97" t="e">
        <f t="shared" si="41"/>
        <v>#VALUE!</v>
      </c>
      <c r="DL78" s="100">
        <f t="shared" si="41"/>
        <v>0</v>
      </c>
      <c r="DM78" s="97">
        <f t="shared" si="41"/>
        <v>0</v>
      </c>
      <c r="DN78" s="97" t="e">
        <f t="shared" si="41"/>
        <v>#VALUE!</v>
      </c>
      <c r="DO78" s="115" t="e">
        <f t="shared" si="41"/>
        <v>#VALUE!</v>
      </c>
      <c r="DP78" s="376">
        <f t="shared" si="56"/>
        <v>13</v>
      </c>
      <c r="DQ78" s="377" t="e">
        <f t="shared" si="56"/>
        <v>#DIV/0!</v>
      </c>
      <c r="DR78" s="117">
        <f t="shared" si="18"/>
        <v>14.1</v>
      </c>
      <c r="DS78" s="118">
        <f t="shared" si="42"/>
        <v>100</v>
      </c>
      <c r="DT78" s="104" t="e">
        <f t="shared" si="43"/>
        <v>#VALUE!</v>
      </c>
      <c r="DU78" s="118" t="e">
        <f t="shared" si="44"/>
        <v>#VALUE!</v>
      </c>
      <c r="DV78" s="104">
        <f t="shared" si="45"/>
        <v>177</v>
      </c>
      <c r="DW78" s="119">
        <f t="shared" si="46"/>
        <v>100</v>
      </c>
      <c r="DX78" s="120" t="e">
        <f t="shared" si="47"/>
        <v>#VALUE!</v>
      </c>
      <c r="DY78" s="118" t="e">
        <f t="shared" si="48"/>
        <v>#VALUE!</v>
      </c>
      <c r="DZ78" s="104">
        <f t="shared" si="49"/>
        <v>177</v>
      </c>
      <c r="EA78" s="119">
        <f t="shared" si="50"/>
        <v>100</v>
      </c>
      <c r="EB78" s="120" t="e">
        <f t="shared" si="51"/>
        <v>#VALUE!</v>
      </c>
      <c r="EC78" s="118" t="e">
        <f t="shared" si="52"/>
        <v>#VALUE!</v>
      </c>
      <c r="ED78" s="104">
        <f t="shared" si="53"/>
        <v>0</v>
      </c>
      <c r="EE78" s="121">
        <v>0</v>
      </c>
      <c r="EF78" s="120" t="e">
        <f t="shared" si="54"/>
        <v>#VALUE!</v>
      </c>
      <c r="EG78" s="121" t="e">
        <f t="shared" si="55"/>
        <v>#VALUE!</v>
      </c>
      <c r="EH78" s="122" t="e">
        <f t="shared" si="19"/>
        <v>#DIV/0!</v>
      </c>
      <c r="EI78" s="123" t="e">
        <f t="shared" si="20"/>
        <v>#DIV/0!</v>
      </c>
    </row>
    <row r="79" spans="1:139" s="124" customFormat="1" ht="15.75" customHeight="1" x14ac:dyDescent="0.25">
      <c r="A79" s="1070"/>
      <c r="B79" s="90"/>
      <c r="C79" s="91" t="s">
        <v>47</v>
      </c>
      <c r="D79" s="92">
        <v>6.9</v>
      </c>
      <c r="E79" s="93"/>
      <c r="F79" s="93">
        <v>0.3195924038906901</v>
      </c>
      <c r="G79" s="93"/>
      <c r="H79" s="158" t="s">
        <v>44</v>
      </c>
      <c r="I79" s="159" t="s">
        <v>44</v>
      </c>
      <c r="J79" s="122">
        <v>84</v>
      </c>
      <c r="K79" s="101"/>
      <c r="L79" s="188" t="s">
        <v>44</v>
      </c>
      <c r="M79" s="189" t="s">
        <v>44</v>
      </c>
      <c r="N79" s="100">
        <v>84</v>
      </c>
      <c r="O79" s="97"/>
      <c r="P79" s="158" t="s">
        <v>44</v>
      </c>
      <c r="Q79" s="159" t="s">
        <v>44</v>
      </c>
      <c r="R79" s="100">
        <v>0</v>
      </c>
      <c r="S79" s="97"/>
      <c r="T79" s="158" t="s">
        <v>44</v>
      </c>
      <c r="U79" s="159" t="s">
        <v>44</v>
      </c>
      <c r="V79" s="104">
        <v>12</v>
      </c>
      <c r="W79" s="104"/>
      <c r="X79" s="92">
        <v>6.9</v>
      </c>
      <c r="Y79" s="93"/>
      <c r="Z79" s="93">
        <v>0.31593406593406592</v>
      </c>
      <c r="AA79" s="93"/>
      <c r="AB79" s="158" t="s">
        <v>44</v>
      </c>
      <c r="AC79" s="159" t="s">
        <v>44</v>
      </c>
      <c r="AD79" s="122">
        <v>89</v>
      </c>
      <c r="AE79" s="101"/>
      <c r="AF79" s="188" t="s">
        <v>44</v>
      </c>
      <c r="AG79" s="189" t="s">
        <v>44</v>
      </c>
      <c r="AH79" s="100">
        <v>89</v>
      </c>
      <c r="AI79" s="97"/>
      <c r="AJ79" s="158" t="s">
        <v>44</v>
      </c>
      <c r="AK79" s="159" t="s">
        <v>44</v>
      </c>
      <c r="AL79" s="100">
        <v>0</v>
      </c>
      <c r="AM79" s="97"/>
      <c r="AN79" s="158" t="s">
        <v>44</v>
      </c>
      <c r="AO79" s="159" t="s">
        <v>44</v>
      </c>
      <c r="AP79" s="104">
        <v>13</v>
      </c>
      <c r="AQ79" s="104"/>
      <c r="AR79" s="92">
        <v>6.9</v>
      </c>
      <c r="AS79" s="93"/>
      <c r="AT79" s="93">
        <v>0.3125</v>
      </c>
      <c r="AU79" s="93"/>
      <c r="AV79" s="158" t="s">
        <v>44</v>
      </c>
      <c r="AW79" s="159" t="s">
        <v>44</v>
      </c>
      <c r="AX79" s="122">
        <v>91</v>
      </c>
      <c r="AY79" s="101"/>
      <c r="AZ79" s="188" t="s">
        <v>44</v>
      </c>
      <c r="BA79" s="189" t="s">
        <v>44</v>
      </c>
      <c r="BB79" s="100">
        <v>91</v>
      </c>
      <c r="BC79" s="97"/>
      <c r="BD79" s="158" t="s">
        <v>44</v>
      </c>
      <c r="BE79" s="159" t="s">
        <v>44</v>
      </c>
      <c r="BF79" s="100">
        <v>0</v>
      </c>
      <c r="BG79" s="97"/>
      <c r="BH79" s="158" t="s">
        <v>44</v>
      </c>
      <c r="BI79" s="159" t="s">
        <v>44</v>
      </c>
      <c r="BJ79" s="104">
        <v>13</v>
      </c>
      <c r="BK79" s="104"/>
      <c r="BL79" s="92">
        <v>7</v>
      </c>
      <c r="BM79" s="93"/>
      <c r="BN79" s="93">
        <v>0.31688546853779992</v>
      </c>
      <c r="BO79" s="93"/>
      <c r="BP79" s="158" t="s">
        <v>44</v>
      </c>
      <c r="BQ79" s="159" t="s">
        <v>44</v>
      </c>
      <c r="BR79" s="122">
        <v>92</v>
      </c>
      <c r="BS79" s="101"/>
      <c r="BT79" s="188" t="s">
        <v>44</v>
      </c>
      <c r="BU79" s="189" t="s">
        <v>44</v>
      </c>
      <c r="BV79" s="100">
        <v>92</v>
      </c>
      <c r="BW79" s="97"/>
      <c r="BX79" s="158" t="s">
        <v>44</v>
      </c>
      <c r="BY79" s="159" t="s">
        <v>44</v>
      </c>
      <c r="BZ79" s="100">
        <v>0</v>
      </c>
      <c r="CA79" s="97"/>
      <c r="CB79" s="158" t="s">
        <v>44</v>
      </c>
      <c r="CC79" s="159" t="s">
        <v>44</v>
      </c>
      <c r="CD79" s="104">
        <v>13</v>
      </c>
      <c r="CE79" s="104"/>
      <c r="CF79" s="375">
        <v>27.700000000000003</v>
      </c>
      <c r="CG79" s="97"/>
      <c r="CH79" s="93">
        <v>0.31621004566210048</v>
      </c>
      <c r="CI79" s="179"/>
      <c r="CJ79" s="188" t="s">
        <v>44</v>
      </c>
      <c r="CK79" s="189" t="s">
        <v>44</v>
      </c>
      <c r="CL79" s="100">
        <v>356</v>
      </c>
      <c r="CM79" s="107"/>
      <c r="CN79" s="190" t="s">
        <v>44</v>
      </c>
      <c r="CO79" s="189" t="s">
        <v>44</v>
      </c>
      <c r="CP79" s="102">
        <v>356</v>
      </c>
      <c r="CQ79" s="97"/>
      <c r="CR79" s="188" t="s">
        <v>44</v>
      </c>
      <c r="CS79" s="189" t="s">
        <v>44</v>
      </c>
      <c r="CT79" s="100">
        <v>0</v>
      </c>
      <c r="CU79" s="97"/>
      <c r="CV79" s="188" t="s">
        <v>44</v>
      </c>
      <c r="CW79" s="189" t="s">
        <v>44</v>
      </c>
      <c r="CX79" s="100">
        <v>12.851985559566785</v>
      </c>
      <c r="CY79" s="174"/>
      <c r="CZ79" s="110">
        <f t="shared" si="40"/>
        <v>13.8</v>
      </c>
      <c r="DA79" s="111">
        <f t="shared" si="39"/>
        <v>0</v>
      </c>
      <c r="DB79" s="176">
        <f t="shared" si="58"/>
        <v>0.31775270550310847</v>
      </c>
      <c r="DC79" s="113">
        <f t="shared" si="58"/>
        <v>0</v>
      </c>
      <c r="DD79" s="100">
        <f t="shared" si="41"/>
        <v>173</v>
      </c>
      <c r="DE79" s="102">
        <f t="shared" si="41"/>
        <v>0</v>
      </c>
      <c r="DF79" s="102" t="e">
        <f t="shared" si="41"/>
        <v>#VALUE!</v>
      </c>
      <c r="DG79" s="114" t="e">
        <f t="shared" si="41"/>
        <v>#VALUE!</v>
      </c>
      <c r="DH79" s="100">
        <f t="shared" si="41"/>
        <v>173</v>
      </c>
      <c r="DI79" s="97">
        <f t="shared" si="41"/>
        <v>0</v>
      </c>
      <c r="DJ79" s="97" t="e">
        <f t="shared" si="41"/>
        <v>#VALUE!</v>
      </c>
      <c r="DK79" s="97" t="e">
        <f t="shared" si="41"/>
        <v>#VALUE!</v>
      </c>
      <c r="DL79" s="100">
        <f t="shared" si="41"/>
        <v>0</v>
      </c>
      <c r="DM79" s="97">
        <f t="shared" si="41"/>
        <v>0</v>
      </c>
      <c r="DN79" s="97" t="e">
        <f t="shared" si="41"/>
        <v>#VALUE!</v>
      </c>
      <c r="DO79" s="115" t="e">
        <f t="shared" si="41"/>
        <v>#VALUE!</v>
      </c>
      <c r="DP79" s="376">
        <f t="shared" si="56"/>
        <v>13</v>
      </c>
      <c r="DQ79" s="377" t="e">
        <f t="shared" si="56"/>
        <v>#DIV/0!</v>
      </c>
      <c r="DR79" s="117">
        <f t="shared" si="18"/>
        <v>13.8</v>
      </c>
      <c r="DS79" s="118">
        <f t="shared" si="42"/>
        <v>100</v>
      </c>
      <c r="DT79" s="104" t="e">
        <f t="shared" si="43"/>
        <v>#VALUE!</v>
      </c>
      <c r="DU79" s="118" t="e">
        <f t="shared" si="44"/>
        <v>#VALUE!</v>
      </c>
      <c r="DV79" s="104">
        <f t="shared" si="45"/>
        <v>173</v>
      </c>
      <c r="DW79" s="119">
        <f t="shared" si="46"/>
        <v>100</v>
      </c>
      <c r="DX79" s="120" t="e">
        <f t="shared" si="47"/>
        <v>#VALUE!</v>
      </c>
      <c r="DY79" s="118" t="e">
        <f t="shared" si="48"/>
        <v>#VALUE!</v>
      </c>
      <c r="DZ79" s="104">
        <f t="shared" si="49"/>
        <v>173</v>
      </c>
      <c r="EA79" s="119">
        <f t="shared" si="50"/>
        <v>100</v>
      </c>
      <c r="EB79" s="120" t="e">
        <f t="shared" si="51"/>
        <v>#VALUE!</v>
      </c>
      <c r="EC79" s="118" t="e">
        <f t="shared" si="52"/>
        <v>#VALUE!</v>
      </c>
      <c r="ED79" s="104">
        <f t="shared" si="53"/>
        <v>0</v>
      </c>
      <c r="EE79" s="121">
        <v>0</v>
      </c>
      <c r="EF79" s="120" t="e">
        <f t="shared" si="54"/>
        <v>#VALUE!</v>
      </c>
      <c r="EG79" s="121" t="e">
        <f t="shared" si="55"/>
        <v>#VALUE!</v>
      </c>
      <c r="EH79" s="122" t="e">
        <f t="shared" si="19"/>
        <v>#DIV/0!</v>
      </c>
      <c r="EI79" s="123" t="e">
        <f t="shared" si="20"/>
        <v>#DIV/0!</v>
      </c>
    </row>
    <row r="80" spans="1:139" ht="15.75" customHeight="1" x14ac:dyDescent="0.25">
      <c r="A80" s="1070"/>
      <c r="B80" s="169"/>
      <c r="C80" s="91" t="s">
        <v>48</v>
      </c>
      <c r="D80" s="92">
        <v>3.7</v>
      </c>
      <c r="E80" s="93"/>
      <c r="F80" s="93">
        <v>0.17137563686892079</v>
      </c>
      <c r="G80" s="93"/>
      <c r="H80" s="158" t="s">
        <v>44</v>
      </c>
      <c r="I80" s="159" t="s">
        <v>44</v>
      </c>
      <c r="J80" s="122">
        <v>45</v>
      </c>
      <c r="K80" s="101"/>
      <c r="L80" s="188" t="s">
        <v>44</v>
      </c>
      <c r="M80" s="189" t="s">
        <v>44</v>
      </c>
      <c r="N80" s="100">
        <v>45</v>
      </c>
      <c r="O80" s="97"/>
      <c r="P80" s="158" t="s">
        <v>44</v>
      </c>
      <c r="Q80" s="159" t="s">
        <v>44</v>
      </c>
      <c r="R80" s="100">
        <v>0</v>
      </c>
      <c r="S80" s="97"/>
      <c r="T80" s="158" t="s">
        <v>44</v>
      </c>
      <c r="U80" s="159" t="s">
        <v>44</v>
      </c>
      <c r="V80" s="104">
        <v>12</v>
      </c>
      <c r="W80" s="104"/>
      <c r="X80" s="92">
        <v>3.7</v>
      </c>
      <c r="Y80" s="93"/>
      <c r="Z80" s="93">
        <v>0.16941391941391942</v>
      </c>
      <c r="AA80" s="93"/>
      <c r="AB80" s="158" t="s">
        <v>44</v>
      </c>
      <c r="AC80" s="159" t="s">
        <v>44</v>
      </c>
      <c r="AD80" s="122">
        <v>49</v>
      </c>
      <c r="AE80" s="101"/>
      <c r="AF80" s="188" t="s">
        <v>44</v>
      </c>
      <c r="AG80" s="189" t="s">
        <v>44</v>
      </c>
      <c r="AH80" s="100">
        <v>49</v>
      </c>
      <c r="AI80" s="97"/>
      <c r="AJ80" s="158" t="s">
        <v>44</v>
      </c>
      <c r="AK80" s="159" t="s">
        <v>44</v>
      </c>
      <c r="AL80" s="100">
        <v>0</v>
      </c>
      <c r="AM80" s="97"/>
      <c r="AN80" s="158" t="s">
        <v>44</v>
      </c>
      <c r="AO80" s="159" t="s">
        <v>44</v>
      </c>
      <c r="AP80" s="104">
        <v>13</v>
      </c>
      <c r="AQ80" s="104"/>
      <c r="AR80" s="92">
        <v>3.7</v>
      </c>
      <c r="AS80" s="93"/>
      <c r="AT80" s="93">
        <v>0.16757246376811596</v>
      </c>
      <c r="AU80" s="93"/>
      <c r="AV80" s="158" t="s">
        <v>44</v>
      </c>
      <c r="AW80" s="159" t="s">
        <v>44</v>
      </c>
      <c r="AX80" s="122">
        <v>48</v>
      </c>
      <c r="AY80" s="101"/>
      <c r="AZ80" s="188" t="s">
        <v>44</v>
      </c>
      <c r="BA80" s="189" t="s">
        <v>44</v>
      </c>
      <c r="BB80" s="100">
        <v>48</v>
      </c>
      <c r="BC80" s="97"/>
      <c r="BD80" s="158" t="s">
        <v>44</v>
      </c>
      <c r="BE80" s="159" t="s">
        <v>44</v>
      </c>
      <c r="BF80" s="100">
        <v>0</v>
      </c>
      <c r="BG80" s="97"/>
      <c r="BH80" s="158" t="s">
        <v>44</v>
      </c>
      <c r="BI80" s="159" t="s">
        <v>44</v>
      </c>
      <c r="BJ80" s="104">
        <v>13</v>
      </c>
      <c r="BK80" s="104"/>
      <c r="BL80" s="92">
        <v>3.7</v>
      </c>
      <c r="BM80" s="93"/>
      <c r="BN80" s="93">
        <v>0.16749660479855139</v>
      </c>
      <c r="BO80" s="93"/>
      <c r="BP80" s="158" t="s">
        <v>44</v>
      </c>
      <c r="BQ80" s="159" t="s">
        <v>44</v>
      </c>
      <c r="BR80" s="122">
        <v>49</v>
      </c>
      <c r="BS80" s="101"/>
      <c r="BT80" s="188" t="s">
        <v>44</v>
      </c>
      <c r="BU80" s="189" t="s">
        <v>44</v>
      </c>
      <c r="BV80" s="100">
        <v>49</v>
      </c>
      <c r="BW80" s="97"/>
      <c r="BX80" s="158" t="s">
        <v>44</v>
      </c>
      <c r="BY80" s="159" t="s">
        <v>44</v>
      </c>
      <c r="BZ80" s="100">
        <v>0</v>
      </c>
      <c r="CA80" s="97"/>
      <c r="CB80" s="158" t="s">
        <v>44</v>
      </c>
      <c r="CC80" s="159" t="s">
        <v>44</v>
      </c>
      <c r="CD80" s="104">
        <v>13</v>
      </c>
      <c r="CE80" s="104"/>
      <c r="CF80" s="375">
        <v>14.8</v>
      </c>
      <c r="CG80" s="97"/>
      <c r="CH80" s="93">
        <v>0.16894977168949774</v>
      </c>
      <c r="CI80" s="179"/>
      <c r="CJ80" s="188" t="s">
        <v>44</v>
      </c>
      <c r="CK80" s="189" t="s">
        <v>44</v>
      </c>
      <c r="CL80" s="100">
        <v>191</v>
      </c>
      <c r="CM80" s="107"/>
      <c r="CN80" s="190" t="s">
        <v>44</v>
      </c>
      <c r="CO80" s="189" t="s">
        <v>44</v>
      </c>
      <c r="CP80" s="102">
        <v>191</v>
      </c>
      <c r="CQ80" s="97"/>
      <c r="CR80" s="188" t="s">
        <v>44</v>
      </c>
      <c r="CS80" s="189" t="s">
        <v>44</v>
      </c>
      <c r="CT80" s="100">
        <v>0</v>
      </c>
      <c r="CU80" s="97"/>
      <c r="CV80" s="188" t="s">
        <v>44</v>
      </c>
      <c r="CW80" s="189" t="s">
        <v>44</v>
      </c>
      <c r="CX80" s="100">
        <v>12.905405405405405</v>
      </c>
      <c r="CY80" s="174"/>
      <c r="CZ80" s="110">
        <f t="shared" si="40"/>
        <v>7.4</v>
      </c>
      <c r="DA80" s="111">
        <f t="shared" si="39"/>
        <v>0</v>
      </c>
      <c r="DB80" s="176">
        <f t="shared" si="58"/>
        <v>0.17038913193644947</v>
      </c>
      <c r="DC80" s="113">
        <f t="shared" si="58"/>
        <v>0</v>
      </c>
      <c r="DD80" s="100">
        <f t="shared" si="41"/>
        <v>94</v>
      </c>
      <c r="DE80" s="102">
        <f t="shared" si="41"/>
        <v>0</v>
      </c>
      <c r="DF80" s="102" t="e">
        <f t="shared" si="41"/>
        <v>#VALUE!</v>
      </c>
      <c r="DG80" s="114" t="e">
        <f t="shared" si="41"/>
        <v>#VALUE!</v>
      </c>
      <c r="DH80" s="100">
        <f t="shared" si="41"/>
        <v>94</v>
      </c>
      <c r="DI80" s="97">
        <f t="shared" si="41"/>
        <v>0</v>
      </c>
      <c r="DJ80" s="97" t="e">
        <f t="shared" si="41"/>
        <v>#VALUE!</v>
      </c>
      <c r="DK80" s="97" t="e">
        <f t="shared" si="41"/>
        <v>#VALUE!</v>
      </c>
      <c r="DL80" s="100">
        <f t="shared" si="41"/>
        <v>0</v>
      </c>
      <c r="DM80" s="97">
        <f t="shared" si="41"/>
        <v>0</v>
      </c>
      <c r="DN80" s="97" t="e">
        <f t="shared" si="41"/>
        <v>#VALUE!</v>
      </c>
      <c r="DO80" s="115" t="e">
        <f t="shared" si="41"/>
        <v>#VALUE!</v>
      </c>
      <c r="DP80" s="376">
        <f t="shared" si="56"/>
        <v>13</v>
      </c>
      <c r="DQ80" s="377" t="e">
        <f t="shared" si="56"/>
        <v>#DIV/0!</v>
      </c>
      <c r="DR80" s="117">
        <f t="shared" si="18"/>
        <v>7.4</v>
      </c>
      <c r="DS80" s="118">
        <f t="shared" si="42"/>
        <v>100</v>
      </c>
      <c r="DT80" s="104" t="e">
        <f t="shared" si="43"/>
        <v>#VALUE!</v>
      </c>
      <c r="DU80" s="118" t="e">
        <f t="shared" si="44"/>
        <v>#VALUE!</v>
      </c>
      <c r="DV80" s="104">
        <f t="shared" si="45"/>
        <v>94</v>
      </c>
      <c r="DW80" s="119">
        <f t="shared" si="46"/>
        <v>100</v>
      </c>
      <c r="DX80" s="120" t="e">
        <f t="shared" si="47"/>
        <v>#VALUE!</v>
      </c>
      <c r="DY80" s="118" t="e">
        <f t="shared" si="48"/>
        <v>#VALUE!</v>
      </c>
      <c r="DZ80" s="104">
        <f t="shared" si="49"/>
        <v>94</v>
      </c>
      <c r="EA80" s="119">
        <f t="shared" si="50"/>
        <v>100</v>
      </c>
      <c r="EB80" s="120" t="e">
        <f t="shared" si="51"/>
        <v>#VALUE!</v>
      </c>
      <c r="EC80" s="118" t="e">
        <f t="shared" si="52"/>
        <v>#VALUE!</v>
      </c>
      <c r="ED80" s="104">
        <f t="shared" si="53"/>
        <v>0</v>
      </c>
      <c r="EE80" s="121">
        <v>0</v>
      </c>
      <c r="EF80" s="120" t="e">
        <f t="shared" si="54"/>
        <v>#VALUE!</v>
      </c>
      <c r="EG80" s="121" t="e">
        <f t="shared" si="55"/>
        <v>#VALUE!</v>
      </c>
      <c r="EH80" s="122" t="e">
        <f t="shared" si="19"/>
        <v>#DIV/0!</v>
      </c>
      <c r="EI80" s="123" t="e">
        <f t="shared" si="20"/>
        <v>#DIV/0!</v>
      </c>
    </row>
    <row r="81" spans="1:139" ht="15.75" customHeight="1" x14ac:dyDescent="0.25">
      <c r="A81" s="1070"/>
      <c r="B81" s="169"/>
      <c r="C81" s="91" t="s">
        <v>49</v>
      </c>
      <c r="D81" s="92">
        <v>0.6</v>
      </c>
      <c r="E81" s="93"/>
      <c r="F81" s="93">
        <v>2.779064381658175E-2</v>
      </c>
      <c r="G81" s="93"/>
      <c r="H81" s="158" t="s">
        <v>44</v>
      </c>
      <c r="I81" s="159" t="s">
        <v>44</v>
      </c>
      <c r="J81" s="122">
        <v>0</v>
      </c>
      <c r="K81" s="101"/>
      <c r="L81" s="188" t="s">
        <v>44</v>
      </c>
      <c r="M81" s="189" t="s">
        <v>44</v>
      </c>
      <c r="N81" s="100">
        <v>0</v>
      </c>
      <c r="O81" s="97"/>
      <c r="P81" s="158" t="s">
        <v>44</v>
      </c>
      <c r="Q81" s="159" t="s">
        <v>44</v>
      </c>
      <c r="R81" s="100">
        <v>0</v>
      </c>
      <c r="S81" s="97"/>
      <c r="T81" s="158" t="s">
        <v>44</v>
      </c>
      <c r="U81" s="159" t="s">
        <v>44</v>
      </c>
      <c r="V81" s="104">
        <v>0</v>
      </c>
      <c r="W81" s="104"/>
      <c r="X81" s="92">
        <v>0.5</v>
      </c>
      <c r="Y81" s="93"/>
      <c r="Z81" s="93">
        <v>2.2893772893772892E-2</v>
      </c>
      <c r="AA81" s="93"/>
      <c r="AB81" s="158" t="s">
        <v>44</v>
      </c>
      <c r="AC81" s="159" t="s">
        <v>44</v>
      </c>
      <c r="AD81" s="122">
        <v>0</v>
      </c>
      <c r="AE81" s="101"/>
      <c r="AF81" s="188" t="s">
        <v>44</v>
      </c>
      <c r="AG81" s="189" t="s">
        <v>44</v>
      </c>
      <c r="AH81" s="100">
        <v>0</v>
      </c>
      <c r="AI81" s="97"/>
      <c r="AJ81" s="158" t="s">
        <v>44</v>
      </c>
      <c r="AK81" s="159" t="s">
        <v>44</v>
      </c>
      <c r="AL81" s="100">
        <v>0</v>
      </c>
      <c r="AM81" s="97"/>
      <c r="AN81" s="158" t="s">
        <v>44</v>
      </c>
      <c r="AO81" s="159" t="s">
        <v>44</v>
      </c>
      <c r="AP81" s="104">
        <v>0</v>
      </c>
      <c r="AQ81" s="104"/>
      <c r="AR81" s="92">
        <v>0.5</v>
      </c>
      <c r="AS81" s="93"/>
      <c r="AT81" s="93">
        <v>2.2644927536231884E-2</v>
      </c>
      <c r="AU81" s="93"/>
      <c r="AV81" s="158" t="s">
        <v>44</v>
      </c>
      <c r="AW81" s="159" t="s">
        <v>44</v>
      </c>
      <c r="AX81" s="122">
        <v>0</v>
      </c>
      <c r="AY81" s="101"/>
      <c r="AZ81" s="188" t="s">
        <v>44</v>
      </c>
      <c r="BA81" s="189" t="s">
        <v>44</v>
      </c>
      <c r="BB81" s="100">
        <v>0</v>
      </c>
      <c r="BC81" s="97"/>
      <c r="BD81" s="158" t="s">
        <v>44</v>
      </c>
      <c r="BE81" s="159" t="s">
        <v>44</v>
      </c>
      <c r="BF81" s="100">
        <v>0</v>
      </c>
      <c r="BG81" s="97"/>
      <c r="BH81" s="158" t="s">
        <v>44</v>
      </c>
      <c r="BI81" s="159" t="s">
        <v>44</v>
      </c>
      <c r="BJ81" s="104">
        <v>0</v>
      </c>
      <c r="BK81" s="104"/>
      <c r="BL81" s="92">
        <v>0.5</v>
      </c>
      <c r="BM81" s="93"/>
      <c r="BN81" s="93">
        <v>2.2634676324128564E-2</v>
      </c>
      <c r="BO81" s="93"/>
      <c r="BP81" s="158" t="s">
        <v>44</v>
      </c>
      <c r="BQ81" s="159" t="s">
        <v>44</v>
      </c>
      <c r="BR81" s="122">
        <v>0</v>
      </c>
      <c r="BS81" s="101"/>
      <c r="BT81" s="188" t="s">
        <v>44</v>
      </c>
      <c r="BU81" s="189" t="s">
        <v>44</v>
      </c>
      <c r="BV81" s="100">
        <v>0</v>
      </c>
      <c r="BW81" s="97"/>
      <c r="BX81" s="158" t="s">
        <v>44</v>
      </c>
      <c r="BY81" s="159" t="s">
        <v>44</v>
      </c>
      <c r="BZ81" s="100">
        <v>0</v>
      </c>
      <c r="CA81" s="97"/>
      <c r="CB81" s="158" t="s">
        <v>44</v>
      </c>
      <c r="CC81" s="159" t="s">
        <v>44</v>
      </c>
      <c r="CD81" s="104">
        <v>0</v>
      </c>
      <c r="CE81" s="104"/>
      <c r="CF81" s="375">
        <v>2.1</v>
      </c>
      <c r="CG81" s="97"/>
      <c r="CH81" s="93">
        <v>2.397260273972603E-2</v>
      </c>
      <c r="CI81" s="179"/>
      <c r="CJ81" s="188" t="s">
        <v>44</v>
      </c>
      <c r="CK81" s="189" t="s">
        <v>44</v>
      </c>
      <c r="CL81" s="100">
        <v>0</v>
      </c>
      <c r="CM81" s="107"/>
      <c r="CN81" s="190" t="s">
        <v>44</v>
      </c>
      <c r="CO81" s="189" t="s">
        <v>44</v>
      </c>
      <c r="CP81" s="102">
        <v>0</v>
      </c>
      <c r="CQ81" s="97"/>
      <c r="CR81" s="188" t="s">
        <v>44</v>
      </c>
      <c r="CS81" s="189" t="s">
        <v>44</v>
      </c>
      <c r="CT81" s="100">
        <v>0</v>
      </c>
      <c r="CU81" s="97"/>
      <c r="CV81" s="188" t="s">
        <v>44</v>
      </c>
      <c r="CW81" s="189" t="s">
        <v>44</v>
      </c>
      <c r="CX81" s="100">
        <v>0</v>
      </c>
      <c r="CY81" s="174"/>
      <c r="CZ81" s="110">
        <f t="shared" si="40"/>
        <v>1.1000000000000001</v>
      </c>
      <c r="DA81" s="111">
        <f t="shared" si="39"/>
        <v>0</v>
      </c>
      <c r="DB81" s="176">
        <f t="shared" si="58"/>
        <v>2.5328114206769517E-2</v>
      </c>
      <c r="DC81" s="113">
        <f t="shared" si="58"/>
        <v>0</v>
      </c>
      <c r="DD81" s="100">
        <f t="shared" si="41"/>
        <v>0</v>
      </c>
      <c r="DE81" s="102">
        <f t="shared" si="41"/>
        <v>0</v>
      </c>
      <c r="DF81" s="102" t="e">
        <f t="shared" si="41"/>
        <v>#VALUE!</v>
      </c>
      <c r="DG81" s="114" t="e">
        <f t="shared" si="41"/>
        <v>#VALUE!</v>
      </c>
      <c r="DH81" s="100">
        <f t="shared" si="41"/>
        <v>0</v>
      </c>
      <c r="DI81" s="97">
        <f t="shared" si="41"/>
        <v>0</v>
      </c>
      <c r="DJ81" s="97" t="e">
        <f t="shared" si="41"/>
        <v>#VALUE!</v>
      </c>
      <c r="DK81" s="97" t="e">
        <f t="shared" si="41"/>
        <v>#VALUE!</v>
      </c>
      <c r="DL81" s="100">
        <f t="shared" si="41"/>
        <v>0</v>
      </c>
      <c r="DM81" s="97">
        <f t="shared" si="41"/>
        <v>0</v>
      </c>
      <c r="DN81" s="97" t="e">
        <f t="shared" si="41"/>
        <v>#VALUE!</v>
      </c>
      <c r="DO81" s="115" t="e">
        <f t="shared" si="41"/>
        <v>#VALUE!</v>
      </c>
      <c r="DP81" s="376">
        <f t="shared" si="56"/>
        <v>0</v>
      </c>
      <c r="DQ81" s="377" t="e">
        <f t="shared" si="56"/>
        <v>#DIV/0!</v>
      </c>
      <c r="DR81" s="117">
        <f t="shared" si="18"/>
        <v>1.1000000000000001</v>
      </c>
      <c r="DS81" s="118">
        <f t="shared" si="42"/>
        <v>100</v>
      </c>
      <c r="DT81" s="104" t="e">
        <f t="shared" si="43"/>
        <v>#VALUE!</v>
      </c>
      <c r="DU81" s="118">
        <v>0</v>
      </c>
      <c r="DV81" s="104">
        <f t="shared" si="45"/>
        <v>0</v>
      </c>
      <c r="DW81" s="119">
        <v>0</v>
      </c>
      <c r="DX81" s="120" t="e">
        <f t="shared" si="47"/>
        <v>#VALUE!</v>
      </c>
      <c r="DY81" s="118">
        <v>0</v>
      </c>
      <c r="DZ81" s="104">
        <f t="shared" si="49"/>
        <v>0</v>
      </c>
      <c r="EA81" s="119">
        <v>0</v>
      </c>
      <c r="EB81" s="120" t="e">
        <f t="shared" si="51"/>
        <v>#VALUE!</v>
      </c>
      <c r="EC81" s="118">
        <v>0</v>
      </c>
      <c r="ED81" s="104">
        <f t="shared" si="53"/>
        <v>0</v>
      </c>
      <c r="EE81" s="121">
        <v>0</v>
      </c>
      <c r="EF81" s="120" t="e">
        <f t="shared" si="54"/>
        <v>#VALUE!</v>
      </c>
      <c r="EG81" s="121">
        <v>0</v>
      </c>
      <c r="EH81" s="122" t="e">
        <f t="shared" si="19"/>
        <v>#DIV/0!</v>
      </c>
      <c r="EI81" s="123">
        <v>0</v>
      </c>
    </row>
    <row r="82" spans="1:139" s="373" customFormat="1" ht="15.75" customHeight="1" x14ac:dyDescent="0.25">
      <c r="A82" s="1070"/>
      <c r="B82" s="347" t="s">
        <v>71</v>
      </c>
      <c r="C82" s="348"/>
      <c r="D82" s="349">
        <v>24.900000000000002</v>
      </c>
      <c r="E82" s="350"/>
      <c r="F82" s="350">
        <v>0.22892552105838984</v>
      </c>
      <c r="G82" s="350"/>
      <c r="H82" s="351" t="s">
        <v>44</v>
      </c>
      <c r="I82" s="352" t="s">
        <v>44</v>
      </c>
      <c r="J82" s="353">
        <v>298</v>
      </c>
      <c r="K82" s="354"/>
      <c r="L82" s="355" t="s">
        <v>44</v>
      </c>
      <c r="M82" s="356" t="s">
        <v>44</v>
      </c>
      <c r="N82" s="420">
        <v>298</v>
      </c>
      <c r="O82" s="421"/>
      <c r="P82" s="351" t="s">
        <v>44</v>
      </c>
      <c r="Q82" s="352" t="s">
        <v>44</v>
      </c>
      <c r="R82" s="420">
        <v>0</v>
      </c>
      <c r="S82" s="421"/>
      <c r="T82" s="351" t="s">
        <v>44</v>
      </c>
      <c r="U82" s="352" t="s">
        <v>44</v>
      </c>
      <c r="V82" s="358">
        <v>12</v>
      </c>
      <c r="W82" s="358"/>
      <c r="X82" s="349">
        <v>25.099999999999998</v>
      </c>
      <c r="Y82" s="350"/>
      <c r="Z82" s="350">
        <v>0.228662008399457</v>
      </c>
      <c r="AA82" s="350"/>
      <c r="AB82" s="351" t="s">
        <v>44</v>
      </c>
      <c r="AC82" s="352" t="s">
        <v>44</v>
      </c>
      <c r="AD82" s="353">
        <v>319</v>
      </c>
      <c r="AE82" s="354"/>
      <c r="AF82" s="355" t="s">
        <v>44</v>
      </c>
      <c r="AG82" s="356" t="s">
        <v>44</v>
      </c>
      <c r="AH82" s="420">
        <v>319</v>
      </c>
      <c r="AI82" s="421"/>
      <c r="AJ82" s="351" t="s">
        <v>44</v>
      </c>
      <c r="AK82" s="352" t="s">
        <v>44</v>
      </c>
      <c r="AL82" s="420">
        <v>0</v>
      </c>
      <c r="AM82" s="421"/>
      <c r="AN82" s="351" t="s">
        <v>44</v>
      </c>
      <c r="AO82" s="352" t="s">
        <v>44</v>
      </c>
      <c r="AP82" s="358">
        <v>13</v>
      </c>
      <c r="AQ82" s="358"/>
      <c r="AR82" s="349">
        <v>25.3</v>
      </c>
      <c r="AS82" s="350"/>
      <c r="AT82" s="350">
        <v>0.22809437517467704</v>
      </c>
      <c r="AU82" s="350"/>
      <c r="AV82" s="351" t="s">
        <v>44</v>
      </c>
      <c r="AW82" s="352" t="s">
        <v>44</v>
      </c>
      <c r="AX82" s="353">
        <v>320</v>
      </c>
      <c r="AY82" s="354"/>
      <c r="AZ82" s="355" t="s">
        <v>44</v>
      </c>
      <c r="BA82" s="356" t="s">
        <v>44</v>
      </c>
      <c r="BB82" s="420">
        <v>320</v>
      </c>
      <c r="BC82" s="421"/>
      <c r="BD82" s="351" t="s">
        <v>44</v>
      </c>
      <c r="BE82" s="352" t="s">
        <v>44</v>
      </c>
      <c r="BF82" s="420">
        <v>0</v>
      </c>
      <c r="BG82" s="421"/>
      <c r="BH82" s="351" t="s">
        <v>44</v>
      </c>
      <c r="BI82" s="352" t="s">
        <v>44</v>
      </c>
      <c r="BJ82" s="358">
        <v>13</v>
      </c>
      <c r="BK82" s="358"/>
      <c r="BL82" s="349">
        <v>25.5</v>
      </c>
      <c r="BM82" s="350"/>
      <c r="BN82" s="350">
        <v>0.22855811202036411</v>
      </c>
      <c r="BO82" s="350"/>
      <c r="BP82" s="351" t="s">
        <v>44</v>
      </c>
      <c r="BQ82" s="352" t="s">
        <v>44</v>
      </c>
      <c r="BR82" s="353">
        <v>325</v>
      </c>
      <c r="BS82" s="354"/>
      <c r="BT82" s="355" t="s">
        <v>44</v>
      </c>
      <c r="BU82" s="356" t="s">
        <v>44</v>
      </c>
      <c r="BV82" s="420">
        <v>325</v>
      </c>
      <c r="BW82" s="421"/>
      <c r="BX82" s="351" t="s">
        <v>44</v>
      </c>
      <c r="BY82" s="352" t="s">
        <v>44</v>
      </c>
      <c r="BZ82" s="420">
        <v>0</v>
      </c>
      <c r="CA82" s="421"/>
      <c r="CB82" s="351" t="s">
        <v>44</v>
      </c>
      <c r="CC82" s="352" t="s">
        <v>44</v>
      </c>
      <c r="CD82" s="358">
        <v>13</v>
      </c>
      <c r="CE82" s="358"/>
      <c r="CF82" s="422">
        <v>100.8</v>
      </c>
      <c r="CG82" s="421"/>
      <c r="CH82" s="423">
        <v>0.22855795349933999</v>
      </c>
      <c r="CI82" s="424"/>
      <c r="CJ82" s="355" t="s">
        <v>44</v>
      </c>
      <c r="CK82" s="356" t="s">
        <v>44</v>
      </c>
      <c r="CL82" s="420">
        <v>1262</v>
      </c>
      <c r="CM82" s="425"/>
      <c r="CN82" s="363" t="s">
        <v>44</v>
      </c>
      <c r="CO82" s="356" t="s">
        <v>44</v>
      </c>
      <c r="CP82" s="426">
        <v>1262</v>
      </c>
      <c r="CQ82" s="421"/>
      <c r="CR82" s="355" t="s">
        <v>44</v>
      </c>
      <c r="CS82" s="356" t="s">
        <v>44</v>
      </c>
      <c r="CT82" s="420">
        <v>0</v>
      </c>
      <c r="CU82" s="421"/>
      <c r="CV82" s="355" t="s">
        <v>44</v>
      </c>
      <c r="CW82" s="356" t="s">
        <v>44</v>
      </c>
      <c r="CX82" s="420">
        <v>12.519841269841271</v>
      </c>
      <c r="CY82" s="427"/>
      <c r="CZ82" s="428">
        <f t="shared" si="40"/>
        <v>50</v>
      </c>
      <c r="DA82" s="429">
        <f t="shared" si="39"/>
        <v>0</v>
      </c>
      <c r="DB82" s="423" t="e">
        <f>(CZ82/#REF!)*100</f>
        <v>#REF!</v>
      </c>
      <c r="DC82" s="430" t="e">
        <f>(DA82/#REF!)*100</f>
        <v>#REF!</v>
      </c>
      <c r="DD82" s="420">
        <f t="shared" si="41"/>
        <v>617</v>
      </c>
      <c r="DE82" s="426">
        <f t="shared" si="41"/>
        <v>0</v>
      </c>
      <c r="DF82" s="426" t="e">
        <f t="shared" si="41"/>
        <v>#VALUE!</v>
      </c>
      <c r="DG82" s="431" t="e">
        <f t="shared" si="41"/>
        <v>#VALUE!</v>
      </c>
      <c r="DH82" s="420">
        <f t="shared" si="41"/>
        <v>617</v>
      </c>
      <c r="DI82" s="421">
        <f t="shared" si="41"/>
        <v>0</v>
      </c>
      <c r="DJ82" s="421" t="e">
        <f t="shared" si="41"/>
        <v>#VALUE!</v>
      </c>
      <c r="DK82" s="421" t="e">
        <f t="shared" si="41"/>
        <v>#VALUE!</v>
      </c>
      <c r="DL82" s="420">
        <f t="shared" si="41"/>
        <v>0</v>
      </c>
      <c r="DM82" s="421">
        <f t="shared" si="41"/>
        <v>0</v>
      </c>
      <c r="DN82" s="421" t="e">
        <f t="shared" si="41"/>
        <v>#VALUE!</v>
      </c>
      <c r="DO82" s="425" t="e">
        <f t="shared" si="41"/>
        <v>#VALUE!</v>
      </c>
      <c r="DP82" s="357">
        <f t="shared" si="56"/>
        <v>12</v>
      </c>
      <c r="DQ82" s="369" t="e">
        <f t="shared" si="56"/>
        <v>#DIV/0!</v>
      </c>
      <c r="DR82" s="432">
        <f t="shared" ref="DR82:DR87" si="59">CZ82-DA82</f>
        <v>50</v>
      </c>
      <c r="DS82" s="371">
        <f t="shared" si="42"/>
        <v>100</v>
      </c>
      <c r="DT82" s="358" t="e">
        <f t="shared" si="43"/>
        <v>#VALUE!</v>
      </c>
      <c r="DU82" s="371" t="e">
        <f t="shared" ref="DU82:DU97" si="60">ABS((DT82/(DD82+DF82)*100))</f>
        <v>#VALUE!</v>
      </c>
      <c r="DV82" s="358">
        <f t="shared" si="45"/>
        <v>617</v>
      </c>
      <c r="DW82" s="359">
        <f t="shared" ref="DW82:DW97" si="61">ABS((DV82/DD82)*100)</f>
        <v>100</v>
      </c>
      <c r="DX82" s="354" t="e">
        <f t="shared" si="47"/>
        <v>#VALUE!</v>
      </c>
      <c r="DY82" s="371" t="e">
        <f t="shared" ref="DY82:DY97" si="62">ABS((DX82/DF82)*100)</f>
        <v>#VALUE!</v>
      </c>
      <c r="DZ82" s="358">
        <f t="shared" si="49"/>
        <v>617</v>
      </c>
      <c r="EA82" s="359">
        <f t="shared" ref="EA82:EA97" si="63">ABS((DZ82/DH82)*100)</f>
        <v>100</v>
      </c>
      <c r="EB82" s="354" t="e">
        <f t="shared" si="51"/>
        <v>#VALUE!</v>
      </c>
      <c r="EC82" s="371" t="e">
        <f t="shared" ref="EC82:EC97" si="64">ABS((EB82/DJ82)*100)</f>
        <v>#VALUE!</v>
      </c>
      <c r="ED82" s="358">
        <f t="shared" si="53"/>
        <v>0</v>
      </c>
      <c r="EE82" s="367">
        <v>0</v>
      </c>
      <c r="EF82" s="354" t="e">
        <f t="shared" si="54"/>
        <v>#VALUE!</v>
      </c>
      <c r="EG82" s="367" t="e">
        <f t="shared" ref="EG82:EG97" si="65">ABS((EF82/DN82)*100)</f>
        <v>#VALUE!</v>
      </c>
      <c r="EH82" s="433" t="e">
        <f t="shared" ref="EH82:EH89" si="66">DP82-DQ82</f>
        <v>#DIV/0!</v>
      </c>
      <c r="EI82" s="434" t="e">
        <f t="shared" ref="EI82:EI89" si="67">ABS(EH82/DP82)*100</f>
        <v>#DIV/0!</v>
      </c>
    </row>
    <row r="83" spans="1:139" s="5" customFormat="1" ht="15.75" customHeight="1" x14ac:dyDescent="0.25">
      <c r="A83" s="1070"/>
      <c r="B83" s="178"/>
      <c r="C83" s="91" t="s">
        <v>45</v>
      </c>
      <c r="D83" s="92">
        <v>6.7</v>
      </c>
      <c r="E83" s="93"/>
      <c r="F83" s="93">
        <v>0.31032885595182957</v>
      </c>
      <c r="G83" s="93"/>
      <c r="H83" s="158" t="s">
        <v>44</v>
      </c>
      <c r="I83" s="159" t="s">
        <v>44</v>
      </c>
      <c r="J83" s="122">
        <v>84</v>
      </c>
      <c r="K83" s="101"/>
      <c r="L83" s="188" t="s">
        <v>44</v>
      </c>
      <c r="M83" s="189" t="s">
        <v>44</v>
      </c>
      <c r="N83" s="184">
        <v>84</v>
      </c>
      <c r="O83" s="97"/>
      <c r="P83" s="158" t="s">
        <v>44</v>
      </c>
      <c r="Q83" s="159" t="s">
        <v>44</v>
      </c>
      <c r="R83" s="184">
        <v>0</v>
      </c>
      <c r="S83" s="101"/>
      <c r="T83" s="158" t="s">
        <v>44</v>
      </c>
      <c r="U83" s="159" t="s">
        <v>44</v>
      </c>
      <c r="V83" s="104">
        <v>13</v>
      </c>
      <c r="W83" s="104"/>
      <c r="X83" s="92">
        <v>6.9</v>
      </c>
      <c r="Y83" s="93"/>
      <c r="Z83" s="93">
        <v>0.31593406593406592</v>
      </c>
      <c r="AA83" s="93"/>
      <c r="AB83" s="158" t="s">
        <v>44</v>
      </c>
      <c r="AC83" s="159" t="s">
        <v>44</v>
      </c>
      <c r="AD83" s="122">
        <v>89</v>
      </c>
      <c r="AE83" s="101"/>
      <c r="AF83" s="188" t="s">
        <v>44</v>
      </c>
      <c r="AG83" s="189" t="s">
        <v>44</v>
      </c>
      <c r="AH83" s="184">
        <v>89</v>
      </c>
      <c r="AI83" s="97"/>
      <c r="AJ83" s="158" t="s">
        <v>44</v>
      </c>
      <c r="AK83" s="159" t="s">
        <v>44</v>
      </c>
      <c r="AL83" s="184">
        <v>0</v>
      </c>
      <c r="AM83" s="101"/>
      <c r="AN83" s="158" t="s">
        <v>44</v>
      </c>
      <c r="AO83" s="159" t="s">
        <v>44</v>
      </c>
      <c r="AP83" s="104">
        <v>13</v>
      </c>
      <c r="AQ83" s="104"/>
      <c r="AR83" s="92">
        <v>7</v>
      </c>
      <c r="AS83" s="93"/>
      <c r="AT83" s="93">
        <v>0.3170289855072464</v>
      </c>
      <c r="AU83" s="93"/>
      <c r="AV83" s="158" t="s">
        <v>44</v>
      </c>
      <c r="AW83" s="159" t="s">
        <v>44</v>
      </c>
      <c r="AX83" s="122">
        <v>89</v>
      </c>
      <c r="AY83" s="101"/>
      <c r="AZ83" s="188" t="s">
        <v>44</v>
      </c>
      <c r="BA83" s="189" t="s">
        <v>44</v>
      </c>
      <c r="BB83" s="184">
        <v>89</v>
      </c>
      <c r="BC83" s="97"/>
      <c r="BD83" s="158" t="s">
        <v>44</v>
      </c>
      <c r="BE83" s="159" t="s">
        <v>44</v>
      </c>
      <c r="BF83" s="184">
        <v>0</v>
      </c>
      <c r="BG83" s="101"/>
      <c r="BH83" s="158" t="s">
        <v>44</v>
      </c>
      <c r="BI83" s="159" t="s">
        <v>44</v>
      </c>
      <c r="BJ83" s="104">
        <v>13</v>
      </c>
      <c r="BK83" s="104"/>
      <c r="BL83" s="92">
        <v>7.1</v>
      </c>
      <c r="BM83" s="93"/>
      <c r="BN83" s="93">
        <v>0.32141240380262565</v>
      </c>
      <c r="BO83" s="93"/>
      <c r="BP83" s="158" t="s">
        <v>44</v>
      </c>
      <c r="BQ83" s="159" t="s">
        <v>44</v>
      </c>
      <c r="BR83" s="122">
        <v>91</v>
      </c>
      <c r="BS83" s="101"/>
      <c r="BT83" s="188" t="s">
        <v>44</v>
      </c>
      <c r="BU83" s="189" t="s">
        <v>44</v>
      </c>
      <c r="BV83" s="184">
        <v>91</v>
      </c>
      <c r="BW83" s="97"/>
      <c r="BX83" s="158" t="s">
        <v>44</v>
      </c>
      <c r="BY83" s="159" t="s">
        <v>44</v>
      </c>
      <c r="BZ83" s="184">
        <v>0</v>
      </c>
      <c r="CA83" s="101"/>
      <c r="CB83" s="158" t="s">
        <v>44</v>
      </c>
      <c r="CC83" s="159" t="s">
        <v>44</v>
      </c>
      <c r="CD83" s="104">
        <v>13</v>
      </c>
      <c r="CE83" s="104"/>
      <c r="CF83" s="103">
        <v>27.700000000000003</v>
      </c>
      <c r="CG83" s="102"/>
      <c r="CH83" s="93">
        <v>0.31621004566210048</v>
      </c>
      <c r="CI83" s="179"/>
      <c r="CJ83" s="188" t="s">
        <v>44</v>
      </c>
      <c r="CK83" s="189" t="s">
        <v>44</v>
      </c>
      <c r="CL83" s="100">
        <v>353</v>
      </c>
      <c r="CM83" s="107"/>
      <c r="CN83" s="190" t="s">
        <v>44</v>
      </c>
      <c r="CO83" s="189" t="s">
        <v>44</v>
      </c>
      <c r="CP83" s="102">
        <v>353</v>
      </c>
      <c r="CQ83" s="97"/>
      <c r="CR83" s="188" t="s">
        <v>44</v>
      </c>
      <c r="CS83" s="189" t="s">
        <v>44</v>
      </c>
      <c r="CT83" s="100">
        <v>0</v>
      </c>
      <c r="CU83" s="97"/>
      <c r="CV83" s="188" t="s">
        <v>44</v>
      </c>
      <c r="CW83" s="189" t="s">
        <v>44</v>
      </c>
      <c r="CX83" s="100">
        <v>12.743682310469312</v>
      </c>
      <c r="CY83" s="174"/>
      <c r="CZ83" s="110">
        <f t="shared" si="40"/>
        <v>13.600000000000001</v>
      </c>
      <c r="DA83" s="111">
        <f t="shared" si="39"/>
        <v>0</v>
      </c>
      <c r="DB83" s="176">
        <f>(CZ83/4343)*100</f>
        <v>0.31314759382915036</v>
      </c>
      <c r="DC83" s="401">
        <f>(DA83/4343)*100</f>
        <v>0</v>
      </c>
      <c r="DD83" s="102">
        <f t="shared" si="41"/>
        <v>173</v>
      </c>
      <c r="DE83" s="102">
        <f t="shared" si="41"/>
        <v>0</v>
      </c>
      <c r="DF83" s="102" t="e">
        <f t="shared" si="41"/>
        <v>#VALUE!</v>
      </c>
      <c r="DG83" s="114" t="e">
        <f t="shared" si="41"/>
        <v>#VALUE!</v>
      </c>
      <c r="DH83" s="100">
        <f t="shared" si="41"/>
        <v>173</v>
      </c>
      <c r="DI83" s="97">
        <f t="shared" si="41"/>
        <v>0</v>
      </c>
      <c r="DJ83" s="97" t="e">
        <f t="shared" si="41"/>
        <v>#VALUE!</v>
      </c>
      <c r="DK83" s="97" t="e">
        <f t="shared" si="41"/>
        <v>#VALUE!</v>
      </c>
      <c r="DL83" s="100">
        <f t="shared" si="41"/>
        <v>0</v>
      </c>
      <c r="DM83" s="97">
        <f t="shared" si="41"/>
        <v>0</v>
      </c>
      <c r="DN83" s="97" t="e">
        <f t="shared" si="41"/>
        <v>#VALUE!</v>
      </c>
      <c r="DO83" s="115" t="e">
        <f t="shared" si="41"/>
        <v>#VALUE!</v>
      </c>
      <c r="DP83" s="376">
        <f t="shared" si="56"/>
        <v>13</v>
      </c>
      <c r="DQ83" s="377" t="e">
        <f t="shared" si="56"/>
        <v>#DIV/0!</v>
      </c>
      <c r="DR83" s="117">
        <f t="shared" si="59"/>
        <v>13.600000000000001</v>
      </c>
      <c r="DS83" s="118">
        <f t="shared" si="42"/>
        <v>100</v>
      </c>
      <c r="DT83" s="104" t="e">
        <f t="shared" si="43"/>
        <v>#VALUE!</v>
      </c>
      <c r="DU83" s="118" t="e">
        <f t="shared" si="60"/>
        <v>#VALUE!</v>
      </c>
      <c r="DV83" s="104">
        <f t="shared" si="45"/>
        <v>173</v>
      </c>
      <c r="DW83" s="119">
        <f t="shared" si="61"/>
        <v>100</v>
      </c>
      <c r="DX83" s="120" t="e">
        <f t="shared" si="47"/>
        <v>#VALUE!</v>
      </c>
      <c r="DY83" s="118" t="e">
        <f t="shared" si="62"/>
        <v>#VALUE!</v>
      </c>
      <c r="DZ83" s="104">
        <f t="shared" si="49"/>
        <v>173</v>
      </c>
      <c r="EA83" s="119">
        <f t="shared" si="63"/>
        <v>100</v>
      </c>
      <c r="EB83" s="120" t="e">
        <f t="shared" si="51"/>
        <v>#VALUE!</v>
      </c>
      <c r="EC83" s="118" t="e">
        <f t="shared" si="64"/>
        <v>#VALUE!</v>
      </c>
      <c r="ED83" s="104">
        <f t="shared" si="53"/>
        <v>0</v>
      </c>
      <c r="EE83" s="121">
        <v>0</v>
      </c>
      <c r="EF83" s="120" t="e">
        <f t="shared" si="54"/>
        <v>#VALUE!</v>
      </c>
      <c r="EG83" s="121" t="e">
        <f t="shared" si="65"/>
        <v>#VALUE!</v>
      </c>
      <c r="EH83" s="122" t="e">
        <f t="shared" si="66"/>
        <v>#DIV/0!</v>
      </c>
      <c r="EI83" s="123" t="e">
        <f t="shared" si="67"/>
        <v>#DIV/0!</v>
      </c>
    </row>
    <row r="84" spans="1:139" s="124" customFormat="1" ht="15.75" customHeight="1" x14ac:dyDescent="0.25">
      <c r="A84" s="1070"/>
      <c r="B84" s="90"/>
      <c r="C84" s="91" t="s">
        <v>46</v>
      </c>
      <c r="D84" s="92">
        <v>7</v>
      </c>
      <c r="E84" s="93"/>
      <c r="F84" s="93">
        <v>0.32422417786012042</v>
      </c>
      <c r="G84" s="93"/>
      <c r="H84" s="158" t="s">
        <v>44</v>
      </c>
      <c r="I84" s="159" t="s">
        <v>44</v>
      </c>
      <c r="J84" s="122">
        <v>85</v>
      </c>
      <c r="K84" s="101"/>
      <c r="L84" s="188" t="s">
        <v>44</v>
      </c>
      <c r="M84" s="189" t="s">
        <v>44</v>
      </c>
      <c r="N84" s="100">
        <v>85</v>
      </c>
      <c r="O84" s="97"/>
      <c r="P84" s="158" t="s">
        <v>44</v>
      </c>
      <c r="Q84" s="159" t="s">
        <v>44</v>
      </c>
      <c r="R84" s="100">
        <v>0</v>
      </c>
      <c r="S84" s="101"/>
      <c r="T84" s="158" t="s">
        <v>44</v>
      </c>
      <c r="U84" s="159" t="s">
        <v>44</v>
      </c>
      <c r="V84" s="104">
        <v>12</v>
      </c>
      <c r="W84" s="104"/>
      <c r="X84" s="92">
        <v>7.1</v>
      </c>
      <c r="Y84" s="93"/>
      <c r="Z84" s="93">
        <v>0.32509157509157505</v>
      </c>
      <c r="AA84" s="93"/>
      <c r="AB84" s="158" t="s">
        <v>44</v>
      </c>
      <c r="AC84" s="159" t="s">
        <v>44</v>
      </c>
      <c r="AD84" s="122">
        <v>92</v>
      </c>
      <c r="AE84" s="101"/>
      <c r="AF84" s="188" t="s">
        <v>44</v>
      </c>
      <c r="AG84" s="189" t="s">
        <v>44</v>
      </c>
      <c r="AH84" s="100">
        <v>92</v>
      </c>
      <c r="AI84" s="97"/>
      <c r="AJ84" s="158" t="s">
        <v>44</v>
      </c>
      <c r="AK84" s="159" t="s">
        <v>44</v>
      </c>
      <c r="AL84" s="100">
        <v>0</v>
      </c>
      <c r="AM84" s="101"/>
      <c r="AN84" s="158" t="s">
        <v>44</v>
      </c>
      <c r="AO84" s="159" t="s">
        <v>44</v>
      </c>
      <c r="AP84" s="104">
        <v>13</v>
      </c>
      <c r="AQ84" s="104"/>
      <c r="AR84" s="92">
        <v>7.2</v>
      </c>
      <c r="AS84" s="93"/>
      <c r="AT84" s="93">
        <v>0.32608695652173914</v>
      </c>
      <c r="AU84" s="93"/>
      <c r="AV84" s="158" t="s">
        <v>44</v>
      </c>
      <c r="AW84" s="159" t="s">
        <v>44</v>
      </c>
      <c r="AX84" s="122">
        <v>92</v>
      </c>
      <c r="AY84" s="101"/>
      <c r="AZ84" s="188" t="s">
        <v>44</v>
      </c>
      <c r="BA84" s="189" t="s">
        <v>44</v>
      </c>
      <c r="BB84" s="100">
        <v>92</v>
      </c>
      <c r="BC84" s="97"/>
      <c r="BD84" s="158" t="s">
        <v>44</v>
      </c>
      <c r="BE84" s="159" t="s">
        <v>44</v>
      </c>
      <c r="BF84" s="100">
        <v>0</v>
      </c>
      <c r="BG84" s="101"/>
      <c r="BH84" s="158" t="s">
        <v>44</v>
      </c>
      <c r="BI84" s="159" t="s">
        <v>44</v>
      </c>
      <c r="BJ84" s="104">
        <v>13</v>
      </c>
      <c r="BK84" s="104"/>
      <c r="BL84" s="92">
        <v>7.2</v>
      </c>
      <c r="BM84" s="93"/>
      <c r="BN84" s="93">
        <v>0.32593933906745132</v>
      </c>
      <c r="BO84" s="93"/>
      <c r="BP84" s="158" t="s">
        <v>44</v>
      </c>
      <c r="BQ84" s="159" t="s">
        <v>44</v>
      </c>
      <c r="BR84" s="122">
        <v>93</v>
      </c>
      <c r="BS84" s="101"/>
      <c r="BT84" s="188" t="s">
        <v>44</v>
      </c>
      <c r="BU84" s="189" t="s">
        <v>44</v>
      </c>
      <c r="BV84" s="100">
        <v>93</v>
      </c>
      <c r="BW84" s="97"/>
      <c r="BX84" s="158" t="s">
        <v>44</v>
      </c>
      <c r="BY84" s="159" t="s">
        <v>44</v>
      </c>
      <c r="BZ84" s="100">
        <v>0</v>
      </c>
      <c r="CA84" s="101"/>
      <c r="CB84" s="158" t="s">
        <v>44</v>
      </c>
      <c r="CC84" s="159" t="s">
        <v>44</v>
      </c>
      <c r="CD84" s="104">
        <v>13</v>
      </c>
      <c r="CE84" s="104"/>
      <c r="CF84" s="103">
        <v>28.5</v>
      </c>
      <c r="CG84" s="102"/>
      <c r="CH84" s="93">
        <v>0.32534246575342468</v>
      </c>
      <c r="CI84" s="179"/>
      <c r="CJ84" s="188" t="s">
        <v>44</v>
      </c>
      <c r="CK84" s="189" t="s">
        <v>44</v>
      </c>
      <c r="CL84" s="100">
        <v>362</v>
      </c>
      <c r="CM84" s="107"/>
      <c r="CN84" s="190" t="s">
        <v>44</v>
      </c>
      <c r="CO84" s="189" t="s">
        <v>44</v>
      </c>
      <c r="CP84" s="102">
        <v>362</v>
      </c>
      <c r="CQ84" s="97"/>
      <c r="CR84" s="188" t="s">
        <v>44</v>
      </c>
      <c r="CS84" s="189" t="s">
        <v>44</v>
      </c>
      <c r="CT84" s="100">
        <v>0</v>
      </c>
      <c r="CU84" s="97"/>
      <c r="CV84" s="188" t="s">
        <v>44</v>
      </c>
      <c r="CW84" s="189" t="s">
        <v>44</v>
      </c>
      <c r="CX84" s="100">
        <v>12.701754385964913</v>
      </c>
      <c r="CY84" s="174"/>
      <c r="CZ84" s="110">
        <f t="shared" si="40"/>
        <v>14.1</v>
      </c>
      <c r="DA84" s="111">
        <f t="shared" si="39"/>
        <v>0</v>
      </c>
      <c r="DB84" s="176">
        <f t="shared" ref="DB84:DC87" si="68">(CZ84/4343)*100</f>
        <v>0.3246603730140456</v>
      </c>
      <c r="DC84" s="401">
        <f t="shared" si="68"/>
        <v>0</v>
      </c>
      <c r="DD84" s="102">
        <f t="shared" si="41"/>
        <v>177</v>
      </c>
      <c r="DE84" s="102">
        <f t="shared" si="41"/>
        <v>0</v>
      </c>
      <c r="DF84" s="102" t="e">
        <f t="shared" si="41"/>
        <v>#VALUE!</v>
      </c>
      <c r="DG84" s="114" t="e">
        <f t="shared" si="41"/>
        <v>#VALUE!</v>
      </c>
      <c r="DH84" s="100">
        <f t="shared" si="41"/>
        <v>177</v>
      </c>
      <c r="DI84" s="97">
        <f t="shared" si="41"/>
        <v>0</v>
      </c>
      <c r="DJ84" s="97" t="e">
        <f t="shared" si="41"/>
        <v>#VALUE!</v>
      </c>
      <c r="DK84" s="97" t="e">
        <f t="shared" si="41"/>
        <v>#VALUE!</v>
      </c>
      <c r="DL84" s="100">
        <f t="shared" si="41"/>
        <v>0</v>
      </c>
      <c r="DM84" s="97">
        <f t="shared" si="41"/>
        <v>0</v>
      </c>
      <c r="DN84" s="97" t="e">
        <f t="shared" si="41"/>
        <v>#VALUE!</v>
      </c>
      <c r="DO84" s="115" t="e">
        <f t="shared" si="41"/>
        <v>#VALUE!</v>
      </c>
      <c r="DP84" s="376">
        <f t="shared" si="56"/>
        <v>13</v>
      </c>
      <c r="DQ84" s="377" t="e">
        <f t="shared" si="56"/>
        <v>#DIV/0!</v>
      </c>
      <c r="DR84" s="117">
        <f t="shared" si="59"/>
        <v>14.1</v>
      </c>
      <c r="DS84" s="118">
        <f t="shared" si="42"/>
        <v>100</v>
      </c>
      <c r="DT84" s="104" t="e">
        <f t="shared" si="43"/>
        <v>#VALUE!</v>
      </c>
      <c r="DU84" s="118" t="e">
        <f>ABS((DT84/(DD84+DF84)*100))</f>
        <v>#VALUE!</v>
      </c>
      <c r="DV84" s="104">
        <f t="shared" si="45"/>
        <v>177</v>
      </c>
      <c r="DW84" s="119">
        <f t="shared" si="61"/>
        <v>100</v>
      </c>
      <c r="DX84" s="120" t="e">
        <f t="shared" si="47"/>
        <v>#VALUE!</v>
      </c>
      <c r="DY84" s="118" t="e">
        <f t="shared" si="62"/>
        <v>#VALUE!</v>
      </c>
      <c r="DZ84" s="104">
        <f t="shared" si="49"/>
        <v>177</v>
      </c>
      <c r="EA84" s="119">
        <f t="shared" si="63"/>
        <v>100</v>
      </c>
      <c r="EB84" s="120" t="e">
        <f t="shared" si="51"/>
        <v>#VALUE!</v>
      </c>
      <c r="EC84" s="118" t="e">
        <f t="shared" si="64"/>
        <v>#VALUE!</v>
      </c>
      <c r="ED84" s="104">
        <f t="shared" si="53"/>
        <v>0</v>
      </c>
      <c r="EE84" s="121">
        <v>0</v>
      </c>
      <c r="EF84" s="120" t="e">
        <f t="shared" si="54"/>
        <v>#VALUE!</v>
      </c>
      <c r="EG84" s="121" t="e">
        <f t="shared" si="65"/>
        <v>#VALUE!</v>
      </c>
      <c r="EH84" s="122" t="e">
        <f t="shared" si="66"/>
        <v>#DIV/0!</v>
      </c>
      <c r="EI84" s="123" t="e">
        <f t="shared" si="67"/>
        <v>#DIV/0!</v>
      </c>
    </row>
    <row r="85" spans="1:139" s="124" customFormat="1" ht="15.75" customHeight="1" x14ac:dyDescent="0.25">
      <c r="A85" s="1070"/>
      <c r="B85" s="90"/>
      <c r="C85" s="91" t="s">
        <v>47</v>
      </c>
      <c r="D85" s="92">
        <v>6.9</v>
      </c>
      <c r="E85" s="93"/>
      <c r="F85" s="93">
        <v>0.3195924038906901</v>
      </c>
      <c r="G85" s="93"/>
      <c r="H85" s="158" t="s">
        <v>44</v>
      </c>
      <c r="I85" s="159" t="s">
        <v>44</v>
      </c>
      <c r="J85" s="122">
        <v>84</v>
      </c>
      <c r="K85" s="101"/>
      <c r="L85" s="188" t="s">
        <v>44</v>
      </c>
      <c r="M85" s="189" t="s">
        <v>44</v>
      </c>
      <c r="N85" s="100">
        <v>84</v>
      </c>
      <c r="O85" s="97"/>
      <c r="P85" s="158" t="s">
        <v>44</v>
      </c>
      <c r="Q85" s="159" t="s">
        <v>44</v>
      </c>
      <c r="R85" s="100">
        <v>0</v>
      </c>
      <c r="S85" s="97"/>
      <c r="T85" s="158" t="s">
        <v>44</v>
      </c>
      <c r="U85" s="159" t="s">
        <v>44</v>
      </c>
      <c r="V85" s="104">
        <v>12</v>
      </c>
      <c r="W85" s="104"/>
      <c r="X85" s="92">
        <v>6.9</v>
      </c>
      <c r="Y85" s="93"/>
      <c r="Z85" s="93">
        <v>0.31593406593406592</v>
      </c>
      <c r="AA85" s="93"/>
      <c r="AB85" s="158" t="s">
        <v>44</v>
      </c>
      <c r="AC85" s="159" t="s">
        <v>44</v>
      </c>
      <c r="AD85" s="122">
        <v>89</v>
      </c>
      <c r="AE85" s="101"/>
      <c r="AF85" s="188" t="s">
        <v>44</v>
      </c>
      <c r="AG85" s="189" t="s">
        <v>44</v>
      </c>
      <c r="AH85" s="100">
        <v>89</v>
      </c>
      <c r="AI85" s="97"/>
      <c r="AJ85" s="158" t="s">
        <v>44</v>
      </c>
      <c r="AK85" s="159" t="s">
        <v>44</v>
      </c>
      <c r="AL85" s="100">
        <v>0</v>
      </c>
      <c r="AM85" s="97"/>
      <c r="AN85" s="158" t="s">
        <v>44</v>
      </c>
      <c r="AO85" s="159" t="s">
        <v>44</v>
      </c>
      <c r="AP85" s="104">
        <v>13</v>
      </c>
      <c r="AQ85" s="104"/>
      <c r="AR85" s="92">
        <v>6.9</v>
      </c>
      <c r="AS85" s="93"/>
      <c r="AT85" s="93">
        <v>0.3125</v>
      </c>
      <c r="AU85" s="93"/>
      <c r="AV85" s="158" t="s">
        <v>44</v>
      </c>
      <c r="AW85" s="159" t="s">
        <v>44</v>
      </c>
      <c r="AX85" s="122">
        <v>91</v>
      </c>
      <c r="AY85" s="101"/>
      <c r="AZ85" s="188" t="s">
        <v>44</v>
      </c>
      <c r="BA85" s="189" t="s">
        <v>44</v>
      </c>
      <c r="BB85" s="100">
        <v>91</v>
      </c>
      <c r="BC85" s="97"/>
      <c r="BD85" s="158" t="s">
        <v>44</v>
      </c>
      <c r="BE85" s="159" t="s">
        <v>44</v>
      </c>
      <c r="BF85" s="100">
        <v>0</v>
      </c>
      <c r="BG85" s="97"/>
      <c r="BH85" s="158" t="s">
        <v>44</v>
      </c>
      <c r="BI85" s="159" t="s">
        <v>44</v>
      </c>
      <c r="BJ85" s="104">
        <v>13</v>
      </c>
      <c r="BK85" s="104"/>
      <c r="BL85" s="92">
        <v>7</v>
      </c>
      <c r="BM85" s="93"/>
      <c r="BN85" s="93">
        <v>0.31688546853779992</v>
      </c>
      <c r="BO85" s="93"/>
      <c r="BP85" s="158" t="s">
        <v>44</v>
      </c>
      <c r="BQ85" s="159" t="s">
        <v>44</v>
      </c>
      <c r="BR85" s="122">
        <v>92</v>
      </c>
      <c r="BS85" s="101"/>
      <c r="BT85" s="188" t="s">
        <v>44</v>
      </c>
      <c r="BU85" s="189" t="s">
        <v>44</v>
      </c>
      <c r="BV85" s="100">
        <v>92</v>
      </c>
      <c r="BW85" s="97"/>
      <c r="BX85" s="158" t="s">
        <v>44</v>
      </c>
      <c r="BY85" s="159" t="s">
        <v>44</v>
      </c>
      <c r="BZ85" s="100">
        <v>0</v>
      </c>
      <c r="CA85" s="97"/>
      <c r="CB85" s="158" t="s">
        <v>44</v>
      </c>
      <c r="CC85" s="159" t="s">
        <v>44</v>
      </c>
      <c r="CD85" s="104">
        <v>13</v>
      </c>
      <c r="CE85" s="104"/>
      <c r="CF85" s="103">
        <v>27.700000000000003</v>
      </c>
      <c r="CG85" s="102"/>
      <c r="CH85" s="93">
        <v>0.31621004566210048</v>
      </c>
      <c r="CI85" s="179"/>
      <c r="CJ85" s="188" t="s">
        <v>44</v>
      </c>
      <c r="CK85" s="189" t="s">
        <v>44</v>
      </c>
      <c r="CL85" s="100">
        <v>356</v>
      </c>
      <c r="CM85" s="107"/>
      <c r="CN85" s="190" t="s">
        <v>44</v>
      </c>
      <c r="CO85" s="189" t="s">
        <v>44</v>
      </c>
      <c r="CP85" s="102">
        <v>356</v>
      </c>
      <c r="CQ85" s="97"/>
      <c r="CR85" s="188" t="s">
        <v>44</v>
      </c>
      <c r="CS85" s="189" t="s">
        <v>44</v>
      </c>
      <c r="CT85" s="100">
        <v>0</v>
      </c>
      <c r="CU85" s="97"/>
      <c r="CV85" s="188" t="s">
        <v>44</v>
      </c>
      <c r="CW85" s="189" t="s">
        <v>44</v>
      </c>
      <c r="CX85" s="100">
        <v>12.851985559566785</v>
      </c>
      <c r="CY85" s="174"/>
      <c r="CZ85" s="110">
        <f t="shared" si="40"/>
        <v>13.8</v>
      </c>
      <c r="DA85" s="111">
        <f t="shared" si="39"/>
        <v>0</v>
      </c>
      <c r="DB85" s="176">
        <f t="shared" si="68"/>
        <v>0.31775270550310847</v>
      </c>
      <c r="DC85" s="401">
        <f t="shared" si="68"/>
        <v>0</v>
      </c>
      <c r="DD85" s="102">
        <f t="shared" si="41"/>
        <v>173</v>
      </c>
      <c r="DE85" s="102">
        <f t="shared" si="41"/>
        <v>0</v>
      </c>
      <c r="DF85" s="102" t="e">
        <f t="shared" si="41"/>
        <v>#VALUE!</v>
      </c>
      <c r="DG85" s="114" t="e">
        <f t="shared" si="41"/>
        <v>#VALUE!</v>
      </c>
      <c r="DH85" s="100">
        <f t="shared" si="41"/>
        <v>173</v>
      </c>
      <c r="DI85" s="97">
        <f t="shared" si="41"/>
        <v>0</v>
      </c>
      <c r="DJ85" s="97" t="e">
        <f t="shared" si="41"/>
        <v>#VALUE!</v>
      </c>
      <c r="DK85" s="97" t="e">
        <f t="shared" si="41"/>
        <v>#VALUE!</v>
      </c>
      <c r="DL85" s="100">
        <f t="shared" si="41"/>
        <v>0</v>
      </c>
      <c r="DM85" s="97">
        <f t="shared" si="41"/>
        <v>0</v>
      </c>
      <c r="DN85" s="97" t="e">
        <f t="shared" si="41"/>
        <v>#VALUE!</v>
      </c>
      <c r="DO85" s="115" t="e">
        <f t="shared" si="41"/>
        <v>#VALUE!</v>
      </c>
      <c r="DP85" s="376">
        <f t="shared" si="56"/>
        <v>13</v>
      </c>
      <c r="DQ85" s="377" t="e">
        <f t="shared" si="56"/>
        <v>#DIV/0!</v>
      </c>
      <c r="DR85" s="117">
        <f t="shared" si="59"/>
        <v>13.8</v>
      </c>
      <c r="DS85" s="118">
        <f t="shared" si="42"/>
        <v>100</v>
      </c>
      <c r="DT85" s="104" t="e">
        <f t="shared" si="43"/>
        <v>#VALUE!</v>
      </c>
      <c r="DU85" s="118" t="e">
        <f t="shared" si="60"/>
        <v>#VALUE!</v>
      </c>
      <c r="DV85" s="104">
        <f t="shared" si="45"/>
        <v>173</v>
      </c>
      <c r="DW85" s="119">
        <f t="shared" si="61"/>
        <v>100</v>
      </c>
      <c r="DX85" s="120" t="e">
        <f t="shared" si="47"/>
        <v>#VALUE!</v>
      </c>
      <c r="DY85" s="118" t="e">
        <f t="shared" si="62"/>
        <v>#VALUE!</v>
      </c>
      <c r="DZ85" s="104">
        <f t="shared" si="49"/>
        <v>173</v>
      </c>
      <c r="EA85" s="119">
        <f t="shared" si="63"/>
        <v>100</v>
      </c>
      <c r="EB85" s="120" t="e">
        <f t="shared" si="51"/>
        <v>#VALUE!</v>
      </c>
      <c r="EC85" s="118" t="e">
        <f t="shared" si="64"/>
        <v>#VALUE!</v>
      </c>
      <c r="ED85" s="104">
        <f t="shared" si="53"/>
        <v>0</v>
      </c>
      <c r="EE85" s="121">
        <v>0</v>
      </c>
      <c r="EF85" s="120" t="e">
        <f t="shared" si="54"/>
        <v>#VALUE!</v>
      </c>
      <c r="EG85" s="121" t="e">
        <f t="shared" si="65"/>
        <v>#VALUE!</v>
      </c>
      <c r="EH85" s="122" t="e">
        <f t="shared" si="66"/>
        <v>#DIV/0!</v>
      </c>
      <c r="EI85" s="123" t="e">
        <f t="shared" si="67"/>
        <v>#DIV/0!</v>
      </c>
    </row>
    <row r="86" spans="1:139" ht="15.75" customHeight="1" x14ac:dyDescent="0.25">
      <c r="A86" s="1070"/>
      <c r="B86" s="169"/>
      <c r="C86" s="91" t="s">
        <v>48</v>
      </c>
      <c r="D86" s="92">
        <v>3.7</v>
      </c>
      <c r="E86" s="93"/>
      <c r="F86" s="93">
        <v>0.17137563686892079</v>
      </c>
      <c r="G86" s="93"/>
      <c r="H86" s="158" t="s">
        <v>44</v>
      </c>
      <c r="I86" s="159" t="s">
        <v>44</v>
      </c>
      <c r="J86" s="122">
        <v>45</v>
      </c>
      <c r="K86" s="101"/>
      <c r="L86" s="188" t="s">
        <v>44</v>
      </c>
      <c r="M86" s="189" t="s">
        <v>44</v>
      </c>
      <c r="N86" s="100">
        <v>45</v>
      </c>
      <c r="O86" s="97"/>
      <c r="P86" s="158" t="s">
        <v>44</v>
      </c>
      <c r="Q86" s="159" t="s">
        <v>44</v>
      </c>
      <c r="R86" s="100">
        <v>0</v>
      </c>
      <c r="S86" s="97"/>
      <c r="T86" s="158" t="s">
        <v>44</v>
      </c>
      <c r="U86" s="159" t="s">
        <v>44</v>
      </c>
      <c r="V86" s="104">
        <v>12</v>
      </c>
      <c r="W86" s="104"/>
      <c r="X86" s="92">
        <v>3.7</v>
      </c>
      <c r="Y86" s="93"/>
      <c r="Z86" s="93">
        <v>0.16941391941391942</v>
      </c>
      <c r="AA86" s="93"/>
      <c r="AB86" s="158" t="s">
        <v>44</v>
      </c>
      <c r="AC86" s="159" t="s">
        <v>44</v>
      </c>
      <c r="AD86" s="122">
        <v>49</v>
      </c>
      <c r="AE86" s="101"/>
      <c r="AF86" s="188" t="s">
        <v>44</v>
      </c>
      <c r="AG86" s="189" t="s">
        <v>44</v>
      </c>
      <c r="AH86" s="100">
        <v>49</v>
      </c>
      <c r="AI86" s="97"/>
      <c r="AJ86" s="158" t="s">
        <v>44</v>
      </c>
      <c r="AK86" s="159" t="s">
        <v>44</v>
      </c>
      <c r="AL86" s="100">
        <v>0</v>
      </c>
      <c r="AM86" s="97"/>
      <c r="AN86" s="158" t="s">
        <v>44</v>
      </c>
      <c r="AO86" s="159" t="s">
        <v>44</v>
      </c>
      <c r="AP86" s="104">
        <v>13</v>
      </c>
      <c r="AQ86" s="104"/>
      <c r="AR86" s="92">
        <v>3.7</v>
      </c>
      <c r="AS86" s="93"/>
      <c r="AT86" s="93">
        <v>0.16757246376811596</v>
      </c>
      <c r="AU86" s="93"/>
      <c r="AV86" s="158" t="s">
        <v>44</v>
      </c>
      <c r="AW86" s="159" t="s">
        <v>44</v>
      </c>
      <c r="AX86" s="122">
        <v>48</v>
      </c>
      <c r="AY86" s="101"/>
      <c r="AZ86" s="188" t="s">
        <v>44</v>
      </c>
      <c r="BA86" s="189" t="s">
        <v>44</v>
      </c>
      <c r="BB86" s="100">
        <v>48</v>
      </c>
      <c r="BC86" s="97"/>
      <c r="BD86" s="158" t="s">
        <v>44</v>
      </c>
      <c r="BE86" s="159" t="s">
        <v>44</v>
      </c>
      <c r="BF86" s="100">
        <v>0</v>
      </c>
      <c r="BG86" s="97"/>
      <c r="BH86" s="158" t="s">
        <v>44</v>
      </c>
      <c r="BI86" s="159" t="s">
        <v>44</v>
      </c>
      <c r="BJ86" s="104">
        <v>13</v>
      </c>
      <c r="BK86" s="104"/>
      <c r="BL86" s="92">
        <v>3.7</v>
      </c>
      <c r="BM86" s="93"/>
      <c r="BN86" s="93">
        <v>0.16749660479855139</v>
      </c>
      <c r="BO86" s="93"/>
      <c r="BP86" s="158" t="s">
        <v>44</v>
      </c>
      <c r="BQ86" s="159" t="s">
        <v>44</v>
      </c>
      <c r="BR86" s="122">
        <v>49</v>
      </c>
      <c r="BS86" s="101"/>
      <c r="BT86" s="188" t="s">
        <v>44</v>
      </c>
      <c r="BU86" s="189" t="s">
        <v>44</v>
      </c>
      <c r="BV86" s="100">
        <v>49</v>
      </c>
      <c r="BW86" s="97"/>
      <c r="BX86" s="158" t="s">
        <v>44</v>
      </c>
      <c r="BY86" s="159" t="s">
        <v>44</v>
      </c>
      <c r="BZ86" s="100">
        <v>0</v>
      </c>
      <c r="CA86" s="97"/>
      <c r="CB86" s="158" t="s">
        <v>44</v>
      </c>
      <c r="CC86" s="159" t="s">
        <v>44</v>
      </c>
      <c r="CD86" s="104">
        <v>13</v>
      </c>
      <c r="CE86" s="104"/>
      <c r="CF86" s="103">
        <v>14.8</v>
      </c>
      <c r="CG86" s="102"/>
      <c r="CH86" s="93">
        <v>0.16894977168949774</v>
      </c>
      <c r="CI86" s="179"/>
      <c r="CJ86" s="188" t="s">
        <v>44</v>
      </c>
      <c r="CK86" s="189" t="s">
        <v>44</v>
      </c>
      <c r="CL86" s="100">
        <v>191</v>
      </c>
      <c r="CM86" s="107"/>
      <c r="CN86" s="190" t="s">
        <v>44</v>
      </c>
      <c r="CO86" s="189" t="s">
        <v>44</v>
      </c>
      <c r="CP86" s="102">
        <v>191</v>
      </c>
      <c r="CQ86" s="97"/>
      <c r="CR86" s="188" t="s">
        <v>44</v>
      </c>
      <c r="CS86" s="189" t="s">
        <v>44</v>
      </c>
      <c r="CT86" s="100">
        <v>0</v>
      </c>
      <c r="CU86" s="97"/>
      <c r="CV86" s="188" t="s">
        <v>44</v>
      </c>
      <c r="CW86" s="189" t="s">
        <v>44</v>
      </c>
      <c r="CX86" s="100">
        <v>12.905405405405405</v>
      </c>
      <c r="CY86" s="174"/>
      <c r="CZ86" s="110">
        <f t="shared" si="40"/>
        <v>7.4</v>
      </c>
      <c r="DA86" s="111">
        <f t="shared" si="39"/>
        <v>0</v>
      </c>
      <c r="DB86" s="176">
        <f t="shared" si="68"/>
        <v>0.17038913193644947</v>
      </c>
      <c r="DC86" s="401">
        <f t="shared" si="68"/>
        <v>0</v>
      </c>
      <c r="DD86" s="102">
        <f t="shared" si="41"/>
        <v>94</v>
      </c>
      <c r="DE86" s="102">
        <f t="shared" si="41"/>
        <v>0</v>
      </c>
      <c r="DF86" s="102" t="e">
        <f t="shared" si="41"/>
        <v>#VALUE!</v>
      </c>
      <c r="DG86" s="114" t="e">
        <f t="shared" si="41"/>
        <v>#VALUE!</v>
      </c>
      <c r="DH86" s="100">
        <f t="shared" si="41"/>
        <v>94</v>
      </c>
      <c r="DI86" s="97">
        <f t="shared" si="41"/>
        <v>0</v>
      </c>
      <c r="DJ86" s="97" t="e">
        <f t="shared" si="41"/>
        <v>#VALUE!</v>
      </c>
      <c r="DK86" s="97" t="e">
        <f t="shared" si="41"/>
        <v>#VALUE!</v>
      </c>
      <c r="DL86" s="100">
        <f t="shared" si="41"/>
        <v>0</v>
      </c>
      <c r="DM86" s="97">
        <f t="shared" si="41"/>
        <v>0</v>
      </c>
      <c r="DN86" s="97" t="e">
        <f t="shared" si="41"/>
        <v>#VALUE!</v>
      </c>
      <c r="DO86" s="115" t="e">
        <f t="shared" si="41"/>
        <v>#VALUE!</v>
      </c>
      <c r="DP86" s="376">
        <f t="shared" si="56"/>
        <v>13</v>
      </c>
      <c r="DQ86" s="377" t="e">
        <f t="shared" si="56"/>
        <v>#DIV/0!</v>
      </c>
      <c r="DR86" s="117">
        <f t="shared" si="59"/>
        <v>7.4</v>
      </c>
      <c r="DS86" s="118">
        <f t="shared" si="42"/>
        <v>100</v>
      </c>
      <c r="DT86" s="104" t="e">
        <f t="shared" si="43"/>
        <v>#VALUE!</v>
      </c>
      <c r="DU86" s="118" t="e">
        <f t="shared" si="60"/>
        <v>#VALUE!</v>
      </c>
      <c r="DV86" s="104">
        <f t="shared" si="45"/>
        <v>94</v>
      </c>
      <c r="DW86" s="119">
        <f t="shared" si="61"/>
        <v>100</v>
      </c>
      <c r="DX86" s="120" t="e">
        <f t="shared" si="47"/>
        <v>#VALUE!</v>
      </c>
      <c r="DY86" s="118" t="e">
        <f t="shared" si="62"/>
        <v>#VALUE!</v>
      </c>
      <c r="DZ86" s="104">
        <f t="shared" si="49"/>
        <v>94</v>
      </c>
      <c r="EA86" s="119">
        <f t="shared" si="63"/>
        <v>100</v>
      </c>
      <c r="EB86" s="120" t="e">
        <f t="shared" si="51"/>
        <v>#VALUE!</v>
      </c>
      <c r="EC86" s="118" t="e">
        <f t="shared" si="64"/>
        <v>#VALUE!</v>
      </c>
      <c r="ED86" s="104">
        <f t="shared" si="53"/>
        <v>0</v>
      </c>
      <c r="EE86" s="121">
        <v>0</v>
      </c>
      <c r="EF86" s="120" t="e">
        <f t="shared" si="54"/>
        <v>#VALUE!</v>
      </c>
      <c r="EG86" s="121" t="e">
        <f t="shared" si="65"/>
        <v>#VALUE!</v>
      </c>
      <c r="EH86" s="122" t="e">
        <f t="shared" si="66"/>
        <v>#DIV/0!</v>
      </c>
      <c r="EI86" s="123" t="e">
        <f t="shared" si="67"/>
        <v>#DIV/0!</v>
      </c>
    </row>
    <row r="87" spans="1:139" s="410" customFormat="1" ht="15.75" customHeight="1" x14ac:dyDescent="0.25">
      <c r="A87" s="1073"/>
      <c r="B87" s="379"/>
      <c r="C87" s="380" t="s">
        <v>49</v>
      </c>
      <c r="D87" s="381">
        <v>0.6</v>
      </c>
      <c r="E87" s="93"/>
      <c r="F87" s="382">
        <v>2.779064381658175E-2</v>
      </c>
      <c r="G87" s="382"/>
      <c r="H87" s="383" t="s">
        <v>44</v>
      </c>
      <c r="I87" s="384" t="s">
        <v>44</v>
      </c>
      <c r="J87" s="385">
        <v>0</v>
      </c>
      <c r="K87" s="386"/>
      <c r="L87" s="188" t="s">
        <v>44</v>
      </c>
      <c r="M87" s="189" t="s">
        <v>44</v>
      </c>
      <c r="N87" s="389">
        <v>0</v>
      </c>
      <c r="O87" s="391"/>
      <c r="P87" s="383" t="s">
        <v>44</v>
      </c>
      <c r="Q87" s="384" t="s">
        <v>44</v>
      </c>
      <c r="R87" s="389">
        <v>0</v>
      </c>
      <c r="S87" s="391"/>
      <c r="T87" s="383" t="s">
        <v>44</v>
      </c>
      <c r="U87" s="384" t="s">
        <v>44</v>
      </c>
      <c r="V87" s="389">
        <v>0</v>
      </c>
      <c r="W87" s="392"/>
      <c r="X87" s="381">
        <v>0.5</v>
      </c>
      <c r="Y87" s="93"/>
      <c r="Z87" s="382">
        <v>2.2893772893772892E-2</v>
      </c>
      <c r="AA87" s="382"/>
      <c r="AB87" s="383" t="s">
        <v>44</v>
      </c>
      <c r="AC87" s="384" t="s">
        <v>44</v>
      </c>
      <c r="AD87" s="385">
        <v>0</v>
      </c>
      <c r="AE87" s="386"/>
      <c r="AF87" s="188" t="s">
        <v>44</v>
      </c>
      <c r="AG87" s="189" t="s">
        <v>44</v>
      </c>
      <c r="AH87" s="389">
        <v>0</v>
      </c>
      <c r="AI87" s="391"/>
      <c r="AJ87" s="383" t="s">
        <v>44</v>
      </c>
      <c r="AK87" s="384" t="s">
        <v>44</v>
      </c>
      <c r="AL87" s="389">
        <v>0</v>
      </c>
      <c r="AM87" s="391"/>
      <c r="AN87" s="383" t="s">
        <v>44</v>
      </c>
      <c r="AO87" s="384" t="s">
        <v>44</v>
      </c>
      <c r="AP87" s="389">
        <v>0</v>
      </c>
      <c r="AQ87" s="392"/>
      <c r="AR87" s="381">
        <v>0.5</v>
      </c>
      <c r="AS87" s="93"/>
      <c r="AT87" s="382">
        <v>2.2644927536231884E-2</v>
      </c>
      <c r="AU87" s="382"/>
      <c r="AV87" s="383" t="s">
        <v>44</v>
      </c>
      <c r="AW87" s="384" t="s">
        <v>44</v>
      </c>
      <c r="AX87" s="385">
        <v>0</v>
      </c>
      <c r="AY87" s="386"/>
      <c r="AZ87" s="188" t="s">
        <v>44</v>
      </c>
      <c r="BA87" s="189" t="s">
        <v>44</v>
      </c>
      <c r="BB87" s="389">
        <v>0</v>
      </c>
      <c r="BC87" s="391"/>
      <c r="BD87" s="383" t="s">
        <v>44</v>
      </c>
      <c r="BE87" s="384" t="s">
        <v>44</v>
      </c>
      <c r="BF87" s="389">
        <v>0</v>
      </c>
      <c r="BG87" s="391"/>
      <c r="BH87" s="383" t="s">
        <v>44</v>
      </c>
      <c r="BI87" s="384" t="s">
        <v>44</v>
      </c>
      <c r="BJ87" s="389">
        <v>0</v>
      </c>
      <c r="BK87" s="392"/>
      <c r="BL87" s="381">
        <v>0.5</v>
      </c>
      <c r="BM87" s="93"/>
      <c r="BN87" s="382">
        <v>2.2634676324128564E-2</v>
      </c>
      <c r="BO87" s="382"/>
      <c r="BP87" s="383" t="s">
        <v>44</v>
      </c>
      <c r="BQ87" s="384" t="s">
        <v>44</v>
      </c>
      <c r="BR87" s="385">
        <v>0</v>
      </c>
      <c r="BS87" s="386"/>
      <c r="BT87" s="188" t="s">
        <v>44</v>
      </c>
      <c r="BU87" s="189" t="s">
        <v>44</v>
      </c>
      <c r="BV87" s="389">
        <v>0</v>
      </c>
      <c r="BW87" s="391"/>
      <c r="BX87" s="383" t="s">
        <v>44</v>
      </c>
      <c r="BY87" s="384" t="s">
        <v>44</v>
      </c>
      <c r="BZ87" s="389">
        <v>0</v>
      </c>
      <c r="CA87" s="391"/>
      <c r="CB87" s="383" t="s">
        <v>44</v>
      </c>
      <c r="CC87" s="384" t="s">
        <v>44</v>
      </c>
      <c r="CD87" s="389">
        <v>0</v>
      </c>
      <c r="CE87" s="392"/>
      <c r="CF87" s="267">
        <v>2.1</v>
      </c>
      <c r="CG87" s="397"/>
      <c r="CH87" s="382">
        <v>2.397260273972603E-2</v>
      </c>
      <c r="CI87" s="394"/>
      <c r="CJ87" s="188" t="s">
        <v>44</v>
      </c>
      <c r="CK87" s="189" t="s">
        <v>44</v>
      </c>
      <c r="CL87" s="389">
        <v>0</v>
      </c>
      <c r="CM87" s="395"/>
      <c r="CN87" s="190" t="s">
        <v>44</v>
      </c>
      <c r="CO87" s="189" t="s">
        <v>44</v>
      </c>
      <c r="CP87" s="397">
        <v>0</v>
      </c>
      <c r="CQ87" s="391"/>
      <c r="CR87" s="188" t="s">
        <v>44</v>
      </c>
      <c r="CS87" s="189" t="s">
        <v>44</v>
      </c>
      <c r="CT87" s="389">
        <v>0</v>
      </c>
      <c r="CU87" s="391"/>
      <c r="CV87" s="188" t="s">
        <v>44</v>
      </c>
      <c r="CW87" s="189" t="s">
        <v>44</v>
      </c>
      <c r="CX87" s="389">
        <v>0</v>
      </c>
      <c r="CY87" s="398"/>
      <c r="CZ87" s="110">
        <f t="shared" si="40"/>
        <v>1.1000000000000001</v>
      </c>
      <c r="DA87" s="111">
        <f t="shared" si="39"/>
        <v>0</v>
      </c>
      <c r="DB87" s="176">
        <f t="shared" si="68"/>
        <v>2.5328114206769517E-2</v>
      </c>
      <c r="DC87" s="406">
        <f t="shared" si="68"/>
        <v>0</v>
      </c>
      <c r="DD87" s="389">
        <f t="shared" si="41"/>
        <v>0</v>
      </c>
      <c r="DE87" s="397">
        <f t="shared" si="41"/>
        <v>0</v>
      </c>
      <c r="DF87" s="397" t="e">
        <f t="shared" si="41"/>
        <v>#VALUE!</v>
      </c>
      <c r="DG87" s="435" t="e">
        <f t="shared" si="41"/>
        <v>#VALUE!</v>
      </c>
      <c r="DH87" s="389">
        <f t="shared" si="41"/>
        <v>0</v>
      </c>
      <c r="DI87" s="391">
        <f t="shared" si="41"/>
        <v>0</v>
      </c>
      <c r="DJ87" s="391" t="e">
        <f t="shared" si="41"/>
        <v>#VALUE!</v>
      </c>
      <c r="DK87" s="391" t="e">
        <f t="shared" si="41"/>
        <v>#VALUE!</v>
      </c>
      <c r="DL87" s="389">
        <f t="shared" si="41"/>
        <v>0</v>
      </c>
      <c r="DM87" s="391">
        <f t="shared" si="41"/>
        <v>0</v>
      </c>
      <c r="DN87" s="391" t="e">
        <f t="shared" si="41"/>
        <v>#VALUE!</v>
      </c>
      <c r="DO87" s="404" t="e">
        <f t="shared" si="41"/>
        <v>#VALUE!</v>
      </c>
      <c r="DP87" s="389">
        <f t="shared" si="56"/>
        <v>0</v>
      </c>
      <c r="DQ87" s="392" t="e">
        <f t="shared" si="56"/>
        <v>#DIV/0!</v>
      </c>
      <c r="DR87" s="405">
        <f t="shared" si="59"/>
        <v>1.1000000000000001</v>
      </c>
      <c r="DS87" s="406">
        <f t="shared" si="42"/>
        <v>100</v>
      </c>
      <c r="DT87" s="397" t="e">
        <f t="shared" si="43"/>
        <v>#VALUE!</v>
      </c>
      <c r="DU87" s="406">
        <v>0</v>
      </c>
      <c r="DV87" s="397">
        <f t="shared" si="45"/>
        <v>0</v>
      </c>
      <c r="DW87" s="407">
        <v>0</v>
      </c>
      <c r="DX87" s="391" t="e">
        <f t="shared" si="47"/>
        <v>#VALUE!</v>
      </c>
      <c r="DY87" s="406">
        <v>0</v>
      </c>
      <c r="DZ87" s="397">
        <f t="shared" si="49"/>
        <v>0</v>
      </c>
      <c r="EA87" s="407">
        <v>0</v>
      </c>
      <c r="EB87" s="391" t="e">
        <f t="shared" si="51"/>
        <v>#VALUE!</v>
      </c>
      <c r="EC87" s="406">
        <v>0</v>
      </c>
      <c r="ED87" s="397">
        <f t="shared" si="53"/>
        <v>0</v>
      </c>
      <c r="EE87" s="408">
        <v>0</v>
      </c>
      <c r="EF87" s="391" t="e">
        <f t="shared" si="54"/>
        <v>#VALUE!</v>
      </c>
      <c r="EG87" s="408">
        <v>0</v>
      </c>
      <c r="EH87" s="385" t="e">
        <f t="shared" si="66"/>
        <v>#DIV/0!</v>
      </c>
      <c r="EI87" s="409">
        <v>0</v>
      </c>
    </row>
    <row r="88" spans="1:139" s="470" customFormat="1" ht="15.75" customHeight="1" thickBot="1" x14ac:dyDescent="0.35">
      <c r="A88" s="436" t="s">
        <v>72</v>
      </c>
      <c r="B88" s="437" t="s">
        <v>73</v>
      </c>
      <c r="C88" s="438"/>
      <c r="D88" s="439" t="s">
        <v>44</v>
      </c>
      <c r="E88" s="440" t="s">
        <v>44</v>
      </c>
      <c r="F88" s="441" t="s">
        <v>44</v>
      </c>
      <c r="G88" s="442" t="s">
        <v>44</v>
      </c>
      <c r="H88" s="443" t="s">
        <v>44</v>
      </c>
      <c r="I88" s="444" t="s">
        <v>44</v>
      </c>
      <c r="J88" s="445">
        <v>510029</v>
      </c>
      <c r="K88" s="446"/>
      <c r="L88" s="447" t="s">
        <v>44</v>
      </c>
      <c r="M88" s="448" t="s">
        <v>44</v>
      </c>
      <c r="N88" s="449">
        <v>510029</v>
      </c>
      <c r="O88" s="450"/>
      <c r="P88" s="443" t="s">
        <v>44</v>
      </c>
      <c r="Q88" s="444" t="s">
        <v>44</v>
      </c>
      <c r="R88" s="451">
        <v>0</v>
      </c>
      <c r="S88" s="450"/>
      <c r="T88" s="443" t="s">
        <v>44</v>
      </c>
      <c r="U88" s="444" t="s">
        <v>44</v>
      </c>
      <c r="V88" s="452" t="s">
        <v>44</v>
      </c>
      <c r="W88" s="453"/>
      <c r="X88" s="439" t="s">
        <v>44</v>
      </c>
      <c r="Y88" s="440" t="s">
        <v>44</v>
      </c>
      <c r="Z88" s="441" t="s">
        <v>44</v>
      </c>
      <c r="AA88" s="442" t="s">
        <v>44</v>
      </c>
      <c r="AB88" s="443" t="s">
        <v>44</v>
      </c>
      <c r="AC88" s="444" t="s">
        <v>44</v>
      </c>
      <c r="AD88" s="445">
        <v>510028.7</v>
      </c>
      <c r="AE88" s="446"/>
      <c r="AF88" s="447" t="s">
        <v>44</v>
      </c>
      <c r="AG88" s="448" t="s">
        <v>44</v>
      </c>
      <c r="AH88" s="449">
        <v>510028.7</v>
      </c>
      <c r="AI88" s="450"/>
      <c r="AJ88" s="443" t="s">
        <v>44</v>
      </c>
      <c r="AK88" s="444" t="s">
        <v>44</v>
      </c>
      <c r="AL88" s="451">
        <v>0</v>
      </c>
      <c r="AM88" s="450"/>
      <c r="AN88" s="443" t="s">
        <v>44</v>
      </c>
      <c r="AO88" s="444" t="s">
        <v>44</v>
      </c>
      <c r="AP88" s="452" t="s">
        <v>44</v>
      </c>
      <c r="AQ88" s="453"/>
      <c r="AR88" s="439" t="s">
        <v>44</v>
      </c>
      <c r="AS88" s="440" t="s">
        <v>44</v>
      </c>
      <c r="AT88" s="441" t="s">
        <v>44</v>
      </c>
      <c r="AU88" s="442" t="s">
        <v>44</v>
      </c>
      <c r="AV88" s="443" t="s">
        <v>44</v>
      </c>
      <c r="AW88" s="444" t="s">
        <v>44</v>
      </c>
      <c r="AX88" s="445">
        <v>510029</v>
      </c>
      <c r="AY88" s="446"/>
      <c r="AZ88" s="447" t="s">
        <v>44</v>
      </c>
      <c r="BA88" s="448" t="s">
        <v>44</v>
      </c>
      <c r="BB88" s="449">
        <v>510029</v>
      </c>
      <c r="BC88" s="450"/>
      <c r="BD88" s="443" t="s">
        <v>44</v>
      </c>
      <c r="BE88" s="444" t="s">
        <v>44</v>
      </c>
      <c r="BF88" s="451">
        <v>0</v>
      </c>
      <c r="BG88" s="450"/>
      <c r="BH88" s="443" t="s">
        <v>44</v>
      </c>
      <c r="BI88" s="444" t="s">
        <v>44</v>
      </c>
      <c r="BJ88" s="452" t="s">
        <v>44</v>
      </c>
      <c r="BK88" s="453"/>
      <c r="BL88" s="439" t="s">
        <v>44</v>
      </c>
      <c r="BM88" s="440" t="s">
        <v>44</v>
      </c>
      <c r="BN88" s="441" t="s">
        <v>44</v>
      </c>
      <c r="BO88" s="442" t="s">
        <v>44</v>
      </c>
      <c r="BP88" s="443" t="s">
        <v>44</v>
      </c>
      <c r="BQ88" s="444" t="s">
        <v>44</v>
      </c>
      <c r="BR88" s="445">
        <v>510029</v>
      </c>
      <c r="BS88" s="446"/>
      <c r="BT88" s="447" t="s">
        <v>44</v>
      </c>
      <c r="BU88" s="448" t="s">
        <v>44</v>
      </c>
      <c r="BV88" s="449">
        <v>510029</v>
      </c>
      <c r="BW88" s="450"/>
      <c r="BX88" s="443" t="s">
        <v>44</v>
      </c>
      <c r="BY88" s="444" t="s">
        <v>44</v>
      </c>
      <c r="BZ88" s="451">
        <v>0</v>
      </c>
      <c r="CA88" s="450"/>
      <c r="CB88" s="443" t="s">
        <v>44</v>
      </c>
      <c r="CC88" s="444" t="s">
        <v>44</v>
      </c>
      <c r="CD88" s="452" t="s">
        <v>44</v>
      </c>
      <c r="CE88" s="453"/>
      <c r="CF88" s="439" t="s">
        <v>44</v>
      </c>
      <c r="CG88" s="441" t="s">
        <v>44</v>
      </c>
      <c r="CH88" s="441" t="s">
        <v>44</v>
      </c>
      <c r="CI88" s="442" t="s">
        <v>44</v>
      </c>
      <c r="CJ88" s="447" t="s">
        <v>44</v>
      </c>
      <c r="CK88" s="448" t="s">
        <v>44</v>
      </c>
      <c r="CL88" s="454">
        <v>2040115.7</v>
      </c>
      <c r="CM88" s="455"/>
      <c r="CN88" s="447" t="s">
        <v>44</v>
      </c>
      <c r="CO88" s="448" t="s">
        <v>44</v>
      </c>
      <c r="CP88" s="445">
        <v>2040115.7</v>
      </c>
      <c r="CQ88" s="450"/>
      <c r="CR88" s="447" t="s">
        <v>44</v>
      </c>
      <c r="CS88" s="448" t="s">
        <v>44</v>
      </c>
      <c r="CT88" s="445">
        <v>0</v>
      </c>
      <c r="CU88" s="450"/>
      <c r="CV88" s="447" t="s">
        <v>44</v>
      </c>
      <c r="CW88" s="448" t="s">
        <v>44</v>
      </c>
      <c r="CX88" s="456" t="s">
        <v>44</v>
      </c>
      <c r="CY88" s="457"/>
      <c r="CZ88" s="439" t="s">
        <v>44</v>
      </c>
      <c r="DA88" s="458" t="s">
        <v>44</v>
      </c>
      <c r="DB88" s="441" t="s">
        <v>44</v>
      </c>
      <c r="DC88" s="442" t="s">
        <v>44</v>
      </c>
      <c r="DD88" s="459">
        <f t="shared" si="41"/>
        <v>1020057.7</v>
      </c>
      <c r="DE88" s="459">
        <f t="shared" si="41"/>
        <v>0</v>
      </c>
      <c r="DF88" s="459" t="e">
        <f t="shared" si="41"/>
        <v>#VALUE!</v>
      </c>
      <c r="DG88" s="7" t="e">
        <f t="shared" si="41"/>
        <v>#VALUE!</v>
      </c>
      <c r="DH88" s="460">
        <f t="shared" si="41"/>
        <v>1020057.7</v>
      </c>
      <c r="DI88" s="461">
        <f t="shared" si="41"/>
        <v>0</v>
      </c>
      <c r="DJ88" s="461" t="e">
        <f t="shared" si="41"/>
        <v>#VALUE!</v>
      </c>
      <c r="DK88" s="462" t="e">
        <f t="shared" si="41"/>
        <v>#VALUE!</v>
      </c>
      <c r="DL88" s="460">
        <f t="shared" si="41"/>
        <v>0</v>
      </c>
      <c r="DM88" s="461">
        <f t="shared" si="41"/>
        <v>0</v>
      </c>
      <c r="DN88" s="461" t="e">
        <f t="shared" si="41"/>
        <v>#VALUE!</v>
      </c>
      <c r="DO88" s="463" t="e">
        <f t="shared" si="41"/>
        <v>#VALUE!</v>
      </c>
      <c r="DP88" s="464" t="s">
        <v>44</v>
      </c>
      <c r="DQ88" s="465" t="s">
        <v>44</v>
      </c>
      <c r="DR88" s="439" t="s">
        <v>44</v>
      </c>
      <c r="DS88" s="442" t="s">
        <v>44</v>
      </c>
      <c r="DT88" s="459" t="e">
        <f t="shared" si="43"/>
        <v>#VALUE!</v>
      </c>
      <c r="DU88" s="466" t="e">
        <f t="shared" si="60"/>
        <v>#VALUE!</v>
      </c>
      <c r="DV88" s="459">
        <f t="shared" si="45"/>
        <v>1020057.7</v>
      </c>
      <c r="DW88" s="467">
        <f t="shared" si="61"/>
        <v>100</v>
      </c>
      <c r="DX88" s="468" t="e">
        <f t="shared" si="47"/>
        <v>#VALUE!</v>
      </c>
      <c r="DY88" s="466">
        <v>0</v>
      </c>
      <c r="DZ88" s="459">
        <f t="shared" si="49"/>
        <v>1020057.7</v>
      </c>
      <c r="EA88" s="467">
        <f t="shared" si="63"/>
        <v>100</v>
      </c>
      <c r="EB88" s="468" t="e">
        <f t="shared" si="51"/>
        <v>#VALUE!</v>
      </c>
      <c r="EC88" s="466">
        <v>0</v>
      </c>
      <c r="ED88" s="459">
        <f t="shared" si="53"/>
        <v>0</v>
      </c>
      <c r="EE88" s="469">
        <v>0</v>
      </c>
      <c r="EF88" s="468" t="e">
        <f t="shared" si="54"/>
        <v>#VALUE!</v>
      </c>
      <c r="EG88" s="469">
        <v>0</v>
      </c>
      <c r="EH88" s="464" t="s">
        <v>44</v>
      </c>
      <c r="EI88" s="465" t="s">
        <v>44</v>
      </c>
    </row>
    <row r="89" spans="1:139" s="493" customFormat="1" ht="15.75" customHeight="1" thickBot="1" x14ac:dyDescent="0.35">
      <c r="A89" s="471"/>
      <c r="B89" s="472" t="s">
        <v>74</v>
      </c>
      <c r="C89" s="473"/>
      <c r="D89" s="474">
        <v>10876.900000000003</v>
      </c>
      <c r="E89" s="475"/>
      <c r="F89" s="476">
        <v>100.00000000000001</v>
      </c>
      <c r="G89" s="476"/>
      <c r="H89" s="477">
        <v>2597594</v>
      </c>
      <c r="I89" s="478"/>
      <c r="J89" s="477">
        <v>1685479</v>
      </c>
      <c r="K89" s="476"/>
      <c r="L89" s="476">
        <v>912115</v>
      </c>
      <c r="M89" s="479"/>
      <c r="N89" s="477">
        <v>1666667</v>
      </c>
      <c r="O89" s="476"/>
      <c r="P89" s="477">
        <v>886829</v>
      </c>
      <c r="Q89" s="478"/>
      <c r="R89" s="477">
        <v>18812</v>
      </c>
      <c r="S89" s="476"/>
      <c r="T89" s="477">
        <v>25286</v>
      </c>
      <c r="U89" s="478"/>
      <c r="V89" s="477">
        <v>155</v>
      </c>
      <c r="W89" s="480"/>
      <c r="X89" s="474">
        <v>10976.900000000003</v>
      </c>
      <c r="Y89" s="475"/>
      <c r="Z89" s="476">
        <v>100</v>
      </c>
      <c r="AA89" s="476"/>
      <c r="AB89" s="477">
        <v>2891827</v>
      </c>
      <c r="AC89" s="478"/>
      <c r="AD89" s="477">
        <v>1677710</v>
      </c>
      <c r="AE89" s="476"/>
      <c r="AF89" s="476">
        <v>1214117</v>
      </c>
      <c r="AG89" s="479"/>
      <c r="AH89" s="477">
        <v>1662537</v>
      </c>
      <c r="AI89" s="476"/>
      <c r="AJ89" s="477">
        <v>1186421</v>
      </c>
      <c r="AK89" s="478"/>
      <c r="AL89" s="477">
        <v>15173</v>
      </c>
      <c r="AM89" s="476"/>
      <c r="AN89" s="477">
        <v>27696</v>
      </c>
      <c r="AO89" s="478"/>
      <c r="AP89" s="477">
        <v>153</v>
      </c>
      <c r="AQ89" s="480"/>
      <c r="AR89" s="474">
        <v>11091.9</v>
      </c>
      <c r="AS89" s="475"/>
      <c r="AT89" s="476">
        <v>100.00000000000001</v>
      </c>
      <c r="AU89" s="476"/>
      <c r="AV89" s="477">
        <v>2866967</v>
      </c>
      <c r="AW89" s="478"/>
      <c r="AX89" s="477">
        <v>1627531</v>
      </c>
      <c r="AY89" s="476"/>
      <c r="AZ89" s="476">
        <v>1239436</v>
      </c>
      <c r="BA89" s="479"/>
      <c r="BB89" s="477">
        <v>1612647</v>
      </c>
      <c r="BC89" s="476"/>
      <c r="BD89" s="481">
        <v>1211569</v>
      </c>
      <c r="BE89" s="482"/>
      <c r="BF89" s="481">
        <v>14884</v>
      </c>
      <c r="BG89" s="483"/>
      <c r="BH89" s="481">
        <v>27867</v>
      </c>
      <c r="BI89" s="478"/>
      <c r="BJ89" s="477">
        <v>147</v>
      </c>
      <c r="BK89" s="480"/>
      <c r="BL89" s="474">
        <v>11156.900000000001</v>
      </c>
      <c r="BM89" s="475"/>
      <c r="BN89" s="476">
        <v>100.00000000000003</v>
      </c>
      <c r="BO89" s="476"/>
      <c r="BP89" s="477">
        <v>2886675</v>
      </c>
      <c r="BQ89" s="478"/>
      <c r="BR89" s="477">
        <v>1705300</v>
      </c>
      <c r="BS89" s="476"/>
      <c r="BT89" s="483">
        <v>1181375</v>
      </c>
      <c r="BU89" s="479"/>
      <c r="BV89" s="477">
        <v>1687946</v>
      </c>
      <c r="BW89" s="476"/>
      <c r="BX89" s="481">
        <v>1155069</v>
      </c>
      <c r="BY89" s="478"/>
      <c r="BZ89" s="477">
        <v>17354</v>
      </c>
      <c r="CA89" s="476"/>
      <c r="CB89" s="477">
        <v>26306</v>
      </c>
      <c r="CC89" s="478"/>
      <c r="CD89" s="477">
        <v>153</v>
      </c>
      <c r="CE89" s="480"/>
      <c r="CF89" s="484">
        <v>44102.6</v>
      </c>
      <c r="CG89" s="476"/>
      <c r="CH89" s="476">
        <v>99.999999999999972</v>
      </c>
      <c r="CI89" s="479"/>
      <c r="CJ89" s="476">
        <v>11243063</v>
      </c>
      <c r="CK89" s="479"/>
      <c r="CL89" s="477">
        <v>6696019.5976377958</v>
      </c>
      <c r="CM89" s="485"/>
      <c r="CN89" s="476">
        <v>4547043</v>
      </c>
      <c r="CO89" s="479"/>
      <c r="CP89" s="477">
        <v>6629797</v>
      </c>
      <c r="CQ89" s="476"/>
      <c r="CR89" s="476">
        <v>4439888</v>
      </c>
      <c r="CS89" s="479"/>
      <c r="CT89" s="477">
        <v>66223</v>
      </c>
      <c r="CU89" s="476"/>
      <c r="CV89" s="483">
        <v>107155</v>
      </c>
      <c r="CW89" s="479"/>
      <c r="CX89" s="477">
        <v>151.82822776067161</v>
      </c>
      <c r="CY89" s="480"/>
      <c r="CZ89" s="486">
        <f>CZ64+CZ70+CZ76+CZ82</f>
        <v>20541.000000000004</v>
      </c>
      <c r="DA89" s="485">
        <f>DA64+DA70+DA76+DA82</f>
        <v>0</v>
      </c>
      <c r="DB89" s="476" t="e">
        <f>DB82+DB76+DB70+DB55+DB49+DB44+DB38+DB32+DB27+DB25+DB18+DB12</f>
        <v>#REF!</v>
      </c>
      <c r="DC89" s="485" t="e">
        <f>DC82+DC76+DC70+DC55+DC49+DC44+DC38+DC32+DC27+DC25+DC18+DC12</f>
        <v>#REF!</v>
      </c>
      <c r="DD89" s="477">
        <f t="shared" si="41"/>
        <v>3363189</v>
      </c>
      <c r="DE89" s="478">
        <f t="shared" si="41"/>
        <v>0</v>
      </c>
      <c r="DF89" s="478">
        <f t="shared" si="41"/>
        <v>2126232</v>
      </c>
      <c r="DG89" s="486">
        <f t="shared" si="41"/>
        <v>0</v>
      </c>
      <c r="DH89" s="477">
        <f t="shared" si="41"/>
        <v>3329204</v>
      </c>
      <c r="DI89" s="477">
        <f t="shared" si="41"/>
        <v>0</v>
      </c>
      <c r="DJ89" s="477">
        <f t="shared" si="41"/>
        <v>2073250</v>
      </c>
      <c r="DK89" s="477">
        <f t="shared" si="41"/>
        <v>0</v>
      </c>
      <c r="DL89" s="477">
        <f t="shared" si="41"/>
        <v>33985</v>
      </c>
      <c r="DM89" s="477">
        <f t="shared" si="41"/>
        <v>0</v>
      </c>
      <c r="DN89" s="477">
        <f t="shared" si="41"/>
        <v>52982</v>
      </c>
      <c r="DO89" s="487">
        <f t="shared" si="41"/>
        <v>0</v>
      </c>
      <c r="DP89" s="477">
        <f>ROUND((DD89/CZ89),0)</f>
        <v>164</v>
      </c>
      <c r="DQ89" s="480" t="e">
        <f>ROUND((DE89/DA89),0)</f>
        <v>#DIV/0!</v>
      </c>
      <c r="DR89" s="488">
        <f>CZ89-DA89</f>
        <v>20541.000000000004</v>
      </c>
      <c r="DS89" s="489">
        <f>ABS((DR89/CZ89)*100)</f>
        <v>100</v>
      </c>
      <c r="DT89" s="478">
        <f t="shared" si="43"/>
        <v>5489421</v>
      </c>
      <c r="DU89" s="489">
        <f t="shared" si="60"/>
        <v>100</v>
      </c>
      <c r="DV89" s="478">
        <f t="shared" si="45"/>
        <v>3363189</v>
      </c>
      <c r="DW89" s="490">
        <f t="shared" si="61"/>
        <v>100</v>
      </c>
      <c r="DX89" s="476">
        <f t="shared" si="47"/>
        <v>2126232</v>
      </c>
      <c r="DY89" s="489">
        <f t="shared" si="62"/>
        <v>100</v>
      </c>
      <c r="DZ89" s="478">
        <f t="shared" si="49"/>
        <v>3329204</v>
      </c>
      <c r="EA89" s="490">
        <f t="shared" si="63"/>
        <v>100</v>
      </c>
      <c r="EB89" s="476">
        <f t="shared" si="51"/>
        <v>2073250</v>
      </c>
      <c r="EC89" s="489">
        <f t="shared" si="64"/>
        <v>100</v>
      </c>
      <c r="ED89" s="478">
        <f t="shared" si="53"/>
        <v>33985</v>
      </c>
      <c r="EE89" s="491">
        <f t="shared" ref="EE89:EE97" si="69">ABS((ED89/DL89)*100)</f>
        <v>100</v>
      </c>
      <c r="EF89" s="476">
        <f t="shared" si="54"/>
        <v>52982</v>
      </c>
      <c r="EG89" s="489">
        <f t="shared" si="65"/>
        <v>100</v>
      </c>
      <c r="EH89" s="487" t="e">
        <f t="shared" si="66"/>
        <v>#DIV/0!</v>
      </c>
      <c r="EI89" s="492" t="e">
        <f t="shared" si="67"/>
        <v>#DIV/0!</v>
      </c>
    </row>
    <row r="90" spans="1:139" s="470" customFormat="1" ht="15.75" customHeight="1" x14ac:dyDescent="0.25">
      <c r="A90" s="494" t="s">
        <v>75</v>
      </c>
      <c r="B90" s="495" t="s">
        <v>76</v>
      </c>
      <c r="C90" s="496"/>
      <c r="D90" s="497" t="s">
        <v>44</v>
      </c>
      <c r="E90" s="498" t="s">
        <v>44</v>
      </c>
      <c r="F90" s="499" t="s">
        <v>44</v>
      </c>
      <c r="G90" s="500" t="s">
        <v>44</v>
      </c>
      <c r="H90" s="501">
        <v>255523</v>
      </c>
      <c r="I90" s="233"/>
      <c r="J90" s="502">
        <v>166780</v>
      </c>
      <c r="K90" s="503"/>
      <c r="L90" s="504">
        <v>88743</v>
      </c>
      <c r="M90" s="233"/>
      <c r="N90" s="502">
        <v>166780</v>
      </c>
      <c r="O90" s="503"/>
      <c r="P90" s="501">
        <v>88743</v>
      </c>
      <c r="Q90" s="505"/>
      <c r="R90" s="506">
        <v>0</v>
      </c>
      <c r="S90" s="504"/>
      <c r="T90" s="501">
        <v>0</v>
      </c>
      <c r="U90" s="233"/>
      <c r="V90" s="507" t="s">
        <v>44</v>
      </c>
      <c r="W90" s="508" t="s">
        <v>44</v>
      </c>
      <c r="X90" s="497" t="s">
        <v>44</v>
      </c>
      <c r="Y90" s="498" t="s">
        <v>44</v>
      </c>
      <c r="Z90" s="499" t="s">
        <v>44</v>
      </c>
      <c r="AA90" s="500" t="s">
        <v>44</v>
      </c>
      <c r="AB90" s="501">
        <v>15851</v>
      </c>
      <c r="AC90" s="233"/>
      <c r="AD90" s="502">
        <v>9250</v>
      </c>
      <c r="AE90" s="503"/>
      <c r="AF90" s="504">
        <v>6601</v>
      </c>
      <c r="AG90" s="233"/>
      <c r="AH90" s="502">
        <v>9250</v>
      </c>
      <c r="AI90" s="503"/>
      <c r="AJ90" s="501">
        <v>6601</v>
      </c>
      <c r="AK90" s="505"/>
      <c r="AL90" s="506">
        <v>0</v>
      </c>
      <c r="AM90" s="504"/>
      <c r="AN90" s="501">
        <v>0</v>
      </c>
      <c r="AO90" s="233"/>
      <c r="AP90" s="507" t="s">
        <v>44</v>
      </c>
      <c r="AQ90" s="508" t="s">
        <v>44</v>
      </c>
      <c r="AR90" s="497" t="s">
        <v>44</v>
      </c>
      <c r="AS90" s="498" t="s">
        <v>44</v>
      </c>
      <c r="AT90" s="499" t="s">
        <v>44</v>
      </c>
      <c r="AU90" s="500" t="s">
        <v>44</v>
      </c>
      <c r="AV90" s="245">
        <v>15324</v>
      </c>
      <c r="AW90" s="233"/>
      <c r="AX90" s="502">
        <v>8750</v>
      </c>
      <c r="AY90" s="503"/>
      <c r="AZ90" s="504">
        <v>6574</v>
      </c>
      <c r="BA90" s="505"/>
      <c r="BB90" s="506">
        <v>8750</v>
      </c>
      <c r="BC90" s="504"/>
      <c r="BD90" s="501">
        <v>6574</v>
      </c>
      <c r="BE90" s="505"/>
      <c r="BF90" s="506">
        <v>0</v>
      </c>
      <c r="BG90" s="504"/>
      <c r="BH90" s="501">
        <v>0</v>
      </c>
      <c r="BI90" s="233"/>
      <c r="BJ90" s="507" t="s">
        <v>44</v>
      </c>
      <c r="BK90" s="508" t="s">
        <v>44</v>
      </c>
      <c r="BL90" s="497" t="s">
        <v>44</v>
      </c>
      <c r="BM90" s="498" t="s">
        <v>44</v>
      </c>
      <c r="BN90" s="499" t="s">
        <v>44</v>
      </c>
      <c r="BO90" s="500" t="s">
        <v>44</v>
      </c>
      <c r="BP90" s="245">
        <v>191014</v>
      </c>
      <c r="BQ90" s="233"/>
      <c r="BR90" s="502">
        <v>113408</v>
      </c>
      <c r="BS90" s="503"/>
      <c r="BT90" s="504">
        <v>77606</v>
      </c>
      <c r="BU90" s="233"/>
      <c r="BV90" s="502">
        <v>113408</v>
      </c>
      <c r="BW90" s="509"/>
      <c r="BX90" s="506">
        <v>77606</v>
      </c>
      <c r="BY90" s="236"/>
      <c r="BZ90" s="502">
        <v>0</v>
      </c>
      <c r="CA90" s="503"/>
      <c r="CB90" s="501">
        <v>0</v>
      </c>
      <c r="CC90" s="233"/>
      <c r="CD90" s="507" t="s">
        <v>44</v>
      </c>
      <c r="CE90" s="508" t="s">
        <v>44</v>
      </c>
      <c r="CF90" s="497" t="s">
        <v>44</v>
      </c>
      <c r="CG90" s="510" t="s">
        <v>44</v>
      </c>
      <c r="CH90" s="499" t="s">
        <v>44</v>
      </c>
      <c r="CI90" s="500" t="s">
        <v>44</v>
      </c>
      <c r="CJ90" s="504">
        <v>477712</v>
      </c>
      <c r="CK90" s="233"/>
      <c r="CL90" s="502">
        <v>298188</v>
      </c>
      <c r="CM90" s="511"/>
      <c r="CN90" s="504">
        <v>179524</v>
      </c>
      <c r="CO90" s="233"/>
      <c r="CP90" s="512">
        <v>298188</v>
      </c>
      <c r="CQ90" s="503"/>
      <c r="CR90" s="504">
        <v>179524</v>
      </c>
      <c r="CS90" s="233"/>
      <c r="CT90" s="502">
        <v>0</v>
      </c>
      <c r="CU90" s="266"/>
      <c r="CV90" s="504">
        <v>0</v>
      </c>
      <c r="CW90" s="233"/>
      <c r="CX90" s="507" t="s">
        <v>44</v>
      </c>
      <c r="CY90" s="508" t="s">
        <v>44</v>
      </c>
      <c r="CZ90" s="497" t="s">
        <v>44</v>
      </c>
      <c r="DA90" s="510" t="s">
        <v>44</v>
      </c>
      <c r="DB90" s="499" t="s">
        <v>44</v>
      </c>
      <c r="DC90" s="500" t="s">
        <v>44</v>
      </c>
      <c r="DD90" s="502">
        <f t="shared" si="41"/>
        <v>176030</v>
      </c>
      <c r="DE90" s="513">
        <f t="shared" si="41"/>
        <v>0</v>
      </c>
      <c r="DF90" s="513">
        <f t="shared" si="41"/>
        <v>95344</v>
      </c>
      <c r="DG90" s="514">
        <f t="shared" si="41"/>
        <v>0</v>
      </c>
      <c r="DH90" s="502">
        <f t="shared" si="41"/>
        <v>176030</v>
      </c>
      <c r="DI90" s="502">
        <f t="shared" si="41"/>
        <v>0</v>
      </c>
      <c r="DJ90" s="502">
        <f t="shared" si="41"/>
        <v>95344</v>
      </c>
      <c r="DK90" s="502">
        <f t="shared" si="41"/>
        <v>0</v>
      </c>
      <c r="DL90" s="502">
        <f t="shared" si="41"/>
        <v>0</v>
      </c>
      <c r="DM90" s="502">
        <f t="shared" si="41"/>
        <v>0</v>
      </c>
      <c r="DN90" s="502">
        <f t="shared" si="41"/>
        <v>0</v>
      </c>
      <c r="DO90" s="515">
        <f t="shared" si="41"/>
        <v>0</v>
      </c>
      <c r="DP90" s="507" t="s">
        <v>44</v>
      </c>
      <c r="DQ90" s="508" t="s">
        <v>44</v>
      </c>
      <c r="DR90" s="499" t="s">
        <v>44</v>
      </c>
      <c r="DS90" s="500" t="s">
        <v>44</v>
      </c>
      <c r="DT90" s="513">
        <f t="shared" si="43"/>
        <v>271374</v>
      </c>
      <c r="DU90" s="516">
        <f t="shared" si="60"/>
        <v>100</v>
      </c>
      <c r="DV90" s="513">
        <f t="shared" si="45"/>
        <v>176030</v>
      </c>
      <c r="DW90" s="517">
        <f t="shared" si="61"/>
        <v>100</v>
      </c>
      <c r="DX90" s="503">
        <f t="shared" si="47"/>
        <v>95344</v>
      </c>
      <c r="DY90" s="516">
        <f t="shared" si="62"/>
        <v>100</v>
      </c>
      <c r="DZ90" s="513">
        <f t="shared" si="49"/>
        <v>176030</v>
      </c>
      <c r="EA90" s="517">
        <f t="shared" si="63"/>
        <v>100</v>
      </c>
      <c r="EB90" s="503">
        <f t="shared" si="51"/>
        <v>95344</v>
      </c>
      <c r="EC90" s="516">
        <f t="shared" si="64"/>
        <v>100</v>
      </c>
      <c r="ED90" s="513">
        <f t="shared" si="53"/>
        <v>0</v>
      </c>
      <c r="EE90" s="339">
        <v>0</v>
      </c>
      <c r="EF90" s="503">
        <f t="shared" si="54"/>
        <v>0</v>
      </c>
      <c r="EG90" s="516" t="e">
        <f t="shared" si="65"/>
        <v>#DIV/0!</v>
      </c>
      <c r="EH90" s="507" t="s">
        <v>44</v>
      </c>
      <c r="EI90" s="508" t="s">
        <v>44</v>
      </c>
    </row>
    <row r="91" spans="1:139" s="5" customFormat="1" ht="28.5" customHeight="1" x14ac:dyDescent="0.25">
      <c r="A91" s="1072" t="s">
        <v>77</v>
      </c>
      <c r="B91" s="518" t="s">
        <v>78</v>
      </c>
      <c r="C91" s="519"/>
      <c r="D91" s="520" t="s">
        <v>44</v>
      </c>
      <c r="E91" s="521" t="s">
        <v>44</v>
      </c>
      <c r="F91" s="452" t="s">
        <v>44</v>
      </c>
      <c r="G91" s="452" t="s">
        <v>44</v>
      </c>
      <c r="H91" s="522" t="s">
        <v>44</v>
      </c>
      <c r="I91" s="95" t="s">
        <v>44</v>
      </c>
      <c r="J91" s="376">
        <v>168976</v>
      </c>
      <c r="K91" s="120"/>
      <c r="L91" s="168" t="s">
        <v>44</v>
      </c>
      <c r="M91" s="95" t="s">
        <v>44</v>
      </c>
      <c r="N91" s="523">
        <v>166426</v>
      </c>
      <c r="O91" s="524"/>
      <c r="P91" s="522" t="s">
        <v>44</v>
      </c>
      <c r="Q91" s="95" t="s">
        <v>44</v>
      </c>
      <c r="R91" s="523">
        <v>2550</v>
      </c>
      <c r="S91" s="524"/>
      <c r="T91" s="522" t="s">
        <v>44</v>
      </c>
      <c r="U91" s="95" t="s">
        <v>44</v>
      </c>
      <c r="V91" s="525" t="s">
        <v>44</v>
      </c>
      <c r="W91" s="457" t="s">
        <v>44</v>
      </c>
      <c r="X91" s="520" t="s">
        <v>44</v>
      </c>
      <c r="Y91" s="521" t="s">
        <v>44</v>
      </c>
      <c r="Z91" s="452" t="s">
        <v>44</v>
      </c>
      <c r="AA91" s="452" t="s">
        <v>44</v>
      </c>
      <c r="AB91" s="522" t="s">
        <v>44</v>
      </c>
      <c r="AC91" s="95" t="s">
        <v>44</v>
      </c>
      <c r="AD91" s="376">
        <v>168976</v>
      </c>
      <c r="AE91" s="120"/>
      <c r="AF91" s="168" t="s">
        <v>44</v>
      </c>
      <c r="AG91" s="95" t="s">
        <v>44</v>
      </c>
      <c r="AH91" s="523">
        <v>166426</v>
      </c>
      <c r="AI91" s="524"/>
      <c r="AJ91" s="522" t="s">
        <v>44</v>
      </c>
      <c r="AK91" s="95" t="s">
        <v>44</v>
      </c>
      <c r="AL91" s="523">
        <v>2550</v>
      </c>
      <c r="AM91" s="524"/>
      <c r="AN91" s="522" t="s">
        <v>44</v>
      </c>
      <c r="AO91" s="95" t="s">
        <v>44</v>
      </c>
      <c r="AP91" s="525" t="s">
        <v>44</v>
      </c>
      <c r="AQ91" s="457" t="s">
        <v>44</v>
      </c>
      <c r="AR91" s="520" t="s">
        <v>44</v>
      </c>
      <c r="AS91" s="521" t="s">
        <v>44</v>
      </c>
      <c r="AT91" s="452" t="s">
        <v>44</v>
      </c>
      <c r="AU91" s="452" t="s">
        <v>44</v>
      </c>
      <c r="AV91" s="522" t="s">
        <v>44</v>
      </c>
      <c r="AW91" s="95" t="s">
        <v>44</v>
      </c>
      <c r="AX91" s="376">
        <v>168976</v>
      </c>
      <c r="AY91" s="120"/>
      <c r="AZ91" s="168" t="s">
        <v>44</v>
      </c>
      <c r="BA91" s="95" t="s">
        <v>44</v>
      </c>
      <c r="BB91" s="523">
        <v>166426</v>
      </c>
      <c r="BC91" s="524"/>
      <c r="BD91" s="522" t="s">
        <v>44</v>
      </c>
      <c r="BE91" s="95" t="s">
        <v>44</v>
      </c>
      <c r="BF91" s="523">
        <v>2550</v>
      </c>
      <c r="BG91" s="524"/>
      <c r="BH91" s="522" t="s">
        <v>44</v>
      </c>
      <c r="BI91" s="95" t="s">
        <v>44</v>
      </c>
      <c r="BJ91" s="525" t="s">
        <v>44</v>
      </c>
      <c r="BK91" s="457" t="s">
        <v>44</v>
      </c>
      <c r="BL91" s="520" t="s">
        <v>44</v>
      </c>
      <c r="BM91" s="521" t="s">
        <v>44</v>
      </c>
      <c r="BN91" s="452" t="s">
        <v>44</v>
      </c>
      <c r="BO91" s="452" t="s">
        <v>44</v>
      </c>
      <c r="BP91" s="522" t="s">
        <v>44</v>
      </c>
      <c r="BQ91" s="95" t="s">
        <v>44</v>
      </c>
      <c r="BR91" s="376">
        <v>166976</v>
      </c>
      <c r="BS91" s="120"/>
      <c r="BT91" s="168" t="s">
        <v>44</v>
      </c>
      <c r="BU91" s="95" t="s">
        <v>44</v>
      </c>
      <c r="BV91" s="523">
        <v>164426</v>
      </c>
      <c r="BW91" s="524"/>
      <c r="BX91" s="522" t="s">
        <v>44</v>
      </c>
      <c r="BY91" s="95" t="s">
        <v>44</v>
      </c>
      <c r="BZ91" s="523">
        <v>2550</v>
      </c>
      <c r="CA91" s="524"/>
      <c r="CB91" s="522" t="s">
        <v>44</v>
      </c>
      <c r="CC91" s="95" t="s">
        <v>44</v>
      </c>
      <c r="CD91" s="525" t="s">
        <v>44</v>
      </c>
      <c r="CE91" s="457" t="s">
        <v>44</v>
      </c>
      <c r="CF91" s="526" t="s">
        <v>44</v>
      </c>
      <c r="CG91" s="452" t="s">
        <v>44</v>
      </c>
      <c r="CH91" s="452" t="s">
        <v>44</v>
      </c>
      <c r="CI91" s="453" t="s">
        <v>44</v>
      </c>
      <c r="CJ91" s="168" t="s">
        <v>44</v>
      </c>
      <c r="CK91" s="95" t="s">
        <v>44</v>
      </c>
      <c r="CL91" s="376">
        <v>673904</v>
      </c>
      <c r="CM91" s="527"/>
      <c r="CN91" s="168" t="s">
        <v>44</v>
      </c>
      <c r="CO91" s="95" t="s">
        <v>44</v>
      </c>
      <c r="CP91" s="376">
        <v>663704</v>
      </c>
      <c r="CQ91" s="120"/>
      <c r="CR91" s="168" t="s">
        <v>44</v>
      </c>
      <c r="CS91" s="95" t="s">
        <v>44</v>
      </c>
      <c r="CT91" s="376">
        <v>10200</v>
      </c>
      <c r="CU91" s="104"/>
      <c r="CV91" s="168" t="s">
        <v>44</v>
      </c>
      <c r="CW91" s="95" t="s">
        <v>44</v>
      </c>
      <c r="CX91" s="464" t="s">
        <v>44</v>
      </c>
      <c r="CY91" s="457" t="s">
        <v>44</v>
      </c>
      <c r="CZ91" s="526" t="s">
        <v>44</v>
      </c>
      <c r="DA91" s="528" t="s">
        <v>44</v>
      </c>
      <c r="DB91" s="452" t="s">
        <v>44</v>
      </c>
      <c r="DC91" s="453" t="s">
        <v>44</v>
      </c>
      <c r="DD91" s="104">
        <f t="shared" si="41"/>
        <v>337952</v>
      </c>
      <c r="DE91" s="104">
        <f t="shared" si="41"/>
        <v>0</v>
      </c>
      <c r="DF91" s="104" t="e">
        <f t="shared" si="41"/>
        <v>#VALUE!</v>
      </c>
      <c r="DG91" s="529" t="e">
        <f t="shared" ref="DG91:DO97" si="70">M91+AG91</f>
        <v>#VALUE!</v>
      </c>
      <c r="DH91" s="523">
        <f t="shared" si="70"/>
        <v>332852</v>
      </c>
      <c r="DI91" s="524">
        <f t="shared" si="70"/>
        <v>0</v>
      </c>
      <c r="DJ91" s="524" t="e">
        <f t="shared" si="70"/>
        <v>#VALUE!</v>
      </c>
      <c r="DK91" s="530" t="e">
        <f t="shared" si="70"/>
        <v>#VALUE!</v>
      </c>
      <c r="DL91" s="523">
        <f t="shared" si="70"/>
        <v>5100</v>
      </c>
      <c r="DM91" s="524">
        <f t="shared" si="70"/>
        <v>0</v>
      </c>
      <c r="DN91" s="524" t="e">
        <f t="shared" si="70"/>
        <v>#VALUE!</v>
      </c>
      <c r="DO91" s="531" t="e">
        <f t="shared" si="70"/>
        <v>#VALUE!</v>
      </c>
      <c r="DP91" s="464" t="s">
        <v>44</v>
      </c>
      <c r="DQ91" s="457" t="s">
        <v>44</v>
      </c>
      <c r="DR91" s="452" t="s">
        <v>44</v>
      </c>
      <c r="DS91" s="453" t="s">
        <v>44</v>
      </c>
      <c r="DT91" s="104" t="e">
        <f t="shared" si="43"/>
        <v>#VALUE!</v>
      </c>
      <c r="DU91" s="118" t="e">
        <f t="shared" si="60"/>
        <v>#VALUE!</v>
      </c>
      <c r="DV91" s="104">
        <f t="shared" si="45"/>
        <v>337952</v>
      </c>
      <c r="DW91" s="119">
        <f t="shared" si="61"/>
        <v>100</v>
      </c>
      <c r="DX91" s="120" t="e">
        <f t="shared" si="47"/>
        <v>#VALUE!</v>
      </c>
      <c r="DY91" s="118" t="e">
        <f t="shared" si="62"/>
        <v>#VALUE!</v>
      </c>
      <c r="DZ91" s="104">
        <f t="shared" si="49"/>
        <v>332852</v>
      </c>
      <c r="EA91" s="119">
        <f t="shared" si="63"/>
        <v>100</v>
      </c>
      <c r="EB91" s="120" t="e">
        <f t="shared" si="51"/>
        <v>#VALUE!</v>
      </c>
      <c r="EC91" s="118" t="e">
        <f t="shared" si="64"/>
        <v>#VALUE!</v>
      </c>
      <c r="ED91" s="104">
        <f t="shared" si="53"/>
        <v>5100</v>
      </c>
      <c r="EE91" s="121">
        <v>0</v>
      </c>
      <c r="EF91" s="120" t="e">
        <f t="shared" si="54"/>
        <v>#VALUE!</v>
      </c>
      <c r="EG91" s="121" t="e">
        <f t="shared" si="65"/>
        <v>#VALUE!</v>
      </c>
      <c r="EH91" s="464" t="s">
        <v>44</v>
      </c>
      <c r="EI91" s="457" t="s">
        <v>44</v>
      </c>
    </row>
    <row r="92" spans="1:139" s="5" customFormat="1" ht="15.75" customHeight="1" x14ac:dyDescent="0.25">
      <c r="A92" s="1070"/>
      <c r="B92" s="100" t="s">
        <v>79</v>
      </c>
      <c r="C92" s="532"/>
      <c r="D92" s="533" t="s">
        <v>44</v>
      </c>
      <c r="E92" s="534" t="s">
        <v>44</v>
      </c>
      <c r="F92" s="535" t="s">
        <v>44</v>
      </c>
      <c r="G92" s="535" t="s">
        <v>44</v>
      </c>
      <c r="H92" s="536" t="s">
        <v>44</v>
      </c>
      <c r="I92" s="159" t="s">
        <v>44</v>
      </c>
      <c r="J92" s="108" t="s">
        <v>44</v>
      </c>
      <c r="K92" s="108" t="s">
        <v>44</v>
      </c>
      <c r="L92" s="108" t="s">
        <v>44</v>
      </c>
      <c r="M92" s="159" t="s">
        <v>44</v>
      </c>
      <c r="N92" s="108" t="s">
        <v>44</v>
      </c>
      <c r="O92" s="108" t="s">
        <v>44</v>
      </c>
      <c r="P92" s="536" t="s">
        <v>44</v>
      </c>
      <c r="Q92" s="159" t="s">
        <v>44</v>
      </c>
      <c r="R92" s="108" t="s">
        <v>44</v>
      </c>
      <c r="S92" s="108" t="s">
        <v>44</v>
      </c>
      <c r="T92" s="536" t="s">
        <v>44</v>
      </c>
      <c r="U92" s="159" t="s">
        <v>44</v>
      </c>
      <c r="V92" s="108" t="s">
        <v>44</v>
      </c>
      <c r="W92" s="108" t="s">
        <v>44</v>
      </c>
      <c r="X92" s="533" t="s">
        <v>44</v>
      </c>
      <c r="Y92" s="534" t="s">
        <v>44</v>
      </c>
      <c r="Z92" s="535" t="s">
        <v>44</v>
      </c>
      <c r="AA92" s="535" t="s">
        <v>44</v>
      </c>
      <c r="AB92" s="536" t="s">
        <v>44</v>
      </c>
      <c r="AC92" s="159" t="s">
        <v>44</v>
      </c>
      <c r="AD92" s="108" t="s">
        <v>44</v>
      </c>
      <c r="AE92" s="108" t="s">
        <v>44</v>
      </c>
      <c r="AF92" s="108" t="s">
        <v>44</v>
      </c>
      <c r="AG92" s="159" t="s">
        <v>44</v>
      </c>
      <c r="AH92" s="108" t="s">
        <v>44</v>
      </c>
      <c r="AI92" s="108" t="s">
        <v>44</v>
      </c>
      <c r="AJ92" s="536" t="s">
        <v>44</v>
      </c>
      <c r="AK92" s="159" t="s">
        <v>44</v>
      </c>
      <c r="AL92" s="108" t="s">
        <v>44</v>
      </c>
      <c r="AM92" s="108" t="s">
        <v>44</v>
      </c>
      <c r="AN92" s="536" t="s">
        <v>44</v>
      </c>
      <c r="AO92" s="159" t="s">
        <v>44</v>
      </c>
      <c r="AP92" s="108" t="s">
        <v>44</v>
      </c>
      <c r="AQ92" s="108" t="s">
        <v>44</v>
      </c>
      <c r="AR92" s="533" t="s">
        <v>44</v>
      </c>
      <c r="AS92" s="534" t="s">
        <v>44</v>
      </c>
      <c r="AT92" s="535" t="s">
        <v>44</v>
      </c>
      <c r="AU92" s="535" t="s">
        <v>44</v>
      </c>
      <c r="AV92" s="536" t="s">
        <v>44</v>
      </c>
      <c r="AW92" s="159" t="s">
        <v>44</v>
      </c>
      <c r="AX92" s="108" t="s">
        <v>44</v>
      </c>
      <c r="AY92" s="108" t="s">
        <v>44</v>
      </c>
      <c r="AZ92" s="108" t="s">
        <v>44</v>
      </c>
      <c r="BA92" s="159" t="s">
        <v>44</v>
      </c>
      <c r="BB92" s="108" t="s">
        <v>44</v>
      </c>
      <c r="BC92" s="108" t="s">
        <v>44</v>
      </c>
      <c r="BD92" s="536" t="s">
        <v>44</v>
      </c>
      <c r="BE92" s="159" t="s">
        <v>44</v>
      </c>
      <c r="BF92" s="108" t="s">
        <v>44</v>
      </c>
      <c r="BG92" s="108" t="s">
        <v>44</v>
      </c>
      <c r="BH92" s="536" t="s">
        <v>44</v>
      </c>
      <c r="BI92" s="159" t="s">
        <v>44</v>
      </c>
      <c r="BJ92" s="108" t="s">
        <v>44</v>
      </c>
      <c r="BK92" s="108" t="s">
        <v>44</v>
      </c>
      <c r="BL92" s="533" t="s">
        <v>44</v>
      </c>
      <c r="BM92" s="534" t="s">
        <v>44</v>
      </c>
      <c r="BN92" s="535" t="s">
        <v>44</v>
      </c>
      <c r="BO92" s="535" t="s">
        <v>44</v>
      </c>
      <c r="BP92" s="536" t="s">
        <v>44</v>
      </c>
      <c r="BQ92" s="159" t="s">
        <v>44</v>
      </c>
      <c r="BR92" s="108" t="s">
        <v>44</v>
      </c>
      <c r="BS92" s="108" t="s">
        <v>44</v>
      </c>
      <c r="BT92" s="108" t="s">
        <v>44</v>
      </c>
      <c r="BU92" s="159" t="s">
        <v>44</v>
      </c>
      <c r="BV92" s="108" t="s">
        <v>44</v>
      </c>
      <c r="BW92" s="108" t="s">
        <v>44</v>
      </c>
      <c r="BX92" s="536" t="s">
        <v>44</v>
      </c>
      <c r="BY92" s="159" t="s">
        <v>44</v>
      </c>
      <c r="BZ92" s="108" t="s">
        <v>44</v>
      </c>
      <c r="CA92" s="108" t="s">
        <v>44</v>
      </c>
      <c r="CB92" s="536" t="s">
        <v>44</v>
      </c>
      <c r="CC92" s="159" t="s">
        <v>44</v>
      </c>
      <c r="CD92" s="108" t="s">
        <v>44</v>
      </c>
      <c r="CE92" s="108" t="s">
        <v>44</v>
      </c>
      <c r="CF92" s="537" t="s">
        <v>44</v>
      </c>
      <c r="CG92" s="535" t="s">
        <v>44</v>
      </c>
      <c r="CH92" s="535" t="s">
        <v>44</v>
      </c>
      <c r="CI92" s="538" t="s">
        <v>44</v>
      </c>
      <c r="CJ92" s="108" t="s">
        <v>44</v>
      </c>
      <c r="CK92" s="159" t="s">
        <v>44</v>
      </c>
      <c r="CL92" s="108" t="s">
        <v>44</v>
      </c>
      <c r="CM92" s="108" t="s">
        <v>44</v>
      </c>
      <c r="CN92" s="108" t="s">
        <v>44</v>
      </c>
      <c r="CO92" s="159" t="s">
        <v>44</v>
      </c>
      <c r="CP92" s="108" t="s">
        <v>44</v>
      </c>
      <c r="CQ92" s="108" t="s">
        <v>44</v>
      </c>
      <c r="CR92" s="108" t="s">
        <v>44</v>
      </c>
      <c r="CS92" s="159" t="s">
        <v>44</v>
      </c>
      <c r="CT92" s="108" t="s">
        <v>44</v>
      </c>
      <c r="CU92" s="108" t="s">
        <v>44</v>
      </c>
      <c r="CV92" s="108" t="s">
        <v>44</v>
      </c>
      <c r="CW92" s="159" t="s">
        <v>44</v>
      </c>
      <c r="CX92" s="108" t="s">
        <v>44</v>
      </c>
      <c r="CY92" s="539" t="s">
        <v>44</v>
      </c>
      <c r="CZ92" s="537" t="s">
        <v>44</v>
      </c>
      <c r="DA92" s="540" t="s">
        <v>44</v>
      </c>
      <c r="DB92" s="535" t="s">
        <v>44</v>
      </c>
      <c r="DC92" s="538" t="s">
        <v>44</v>
      </c>
      <c r="DD92" s="104" t="e">
        <f t="shared" ref="DD92:DF97" si="71">J92+AD92</f>
        <v>#VALUE!</v>
      </c>
      <c r="DE92" s="104" t="e">
        <f t="shared" si="71"/>
        <v>#VALUE!</v>
      </c>
      <c r="DF92" s="104" t="e">
        <f t="shared" si="71"/>
        <v>#VALUE!</v>
      </c>
      <c r="DG92" s="529" t="e">
        <f t="shared" si="70"/>
        <v>#VALUE!</v>
      </c>
      <c r="DH92" s="100" t="e">
        <f t="shared" si="70"/>
        <v>#VALUE!</v>
      </c>
      <c r="DI92" s="97" t="e">
        <f t="shared" si="70"/>
        <v>#VALUE!</v>
      </c>
      <c r="DJ92" s="97" t="e">
        <f t="shared" si="70"/>
        <v>#VALUE!</v>
      </c>
      <c r="DK92" s="127" t="e">
        <f t="shared" si="70"/>
        <v>#VALUE!</v>
      </c>
      <c r="DL92" s="100" t="e">
        <f t="shared" si="70"/>
        <v>#VALUE!</v>
      </c>
      <c r="DM92" s="97" t="e">
        <f t="shared" si="70"/>
        <v>#VALUE!</v>
      </c>
      <c r="DN92" s="97" t="e">
        <f t="shared" si="70"/>
        <v>#VALUE!</v>
      </c>
      <c r="DO92" s="115" t="e">
        <f t="shared" si="70"/>
        <v>#VALUE!</v>
      </c>
      <c r="DP92" s="541" t="s">
        <v>44</v>
      </c>
      <c r="DQ92" s="542" t="s">
        <v>44</v>
      </c>
      <c r="DR92" s="535" t="s">
        <v>44</v>
      </c>
      <c r="DS92" s="538" t="s">
        <v>44</v>
      </c>
      <c r="DT92" s="104" t="e">
        <f t="shared" si="43"/>
        <v>#VALUE!</v>
      </c>
      <c r="DU92" s="118">
        <v>0</v>
      </c>
      <c r="DV92" s="104" t="e">
        <f t="shared" si="45"/>
        <v>#VALUE!</v>
      </c>
      <c r="DW92" s="119">
        <v>0</v>
      </c>
      <c r="DX92" s="120" t="e">
        <f t="shared" si="47"/>
        <v>#VALUE!</v>
      </c>
      <c r="DY92" s="118">
        <v>0</v>
      </c>
      <c r="DZ92" s="104" t="e">
        <f t="shared" si="49"/>
        <v>#VALUE!</v>
      </c>
      <c r="EA92" s="119">
        <v>0</v>
      </c>
      <c r="EB92" s="120" t="e">
        <f t="shared" si="51"/>
        <v>#VALUE!</v>
      </c>
      <c r="EC92" s="118">
        <v>0</v>
      </c>
      <c r="ED92" s="104" t="e">
        <f t="shared" si="53"/>
        <v>#VALUE!</v>
      </c>
      <c r="EE92" s="121">
        <v>0</v>
      </c>
      <c r="EF92" s="120" t="e">
        <f t="shared" si="54"/>
        <v>#VALUE!</v>
      </c>
      <c r="EG92" s="121">
        <v>0</v>
      </c>
      <c r="EH92" s="541" t="s">
        <v>44</v>
      </c>
      <c r="EI92" s="542" t="s">
        <v>44</v>
      </c>
    </row>
    <row r="93" spans="1:139" s="5" customFormat="1" ht="15.75" customHeight="1" x14ac:dyDescent="0.25">
      <c r="A93" s="1070"/>
      <c r="B93" s="100" t="s">
        <v>80</v>
      </c>
      <c r="C93" s="543"/>
      <c r="D93" s="533" t="s">
        <v>44</v>
      </c>
      <c r="E93" s="534" t="s">
        <v>44</v>
      </c>
      <c r="F93" s="535" t="s">
        <v>44</v>
      </c>
      <c r="G93" s="535" t="s">
        <v>44</v>
      </c>
      <c r="H93" s="544" t="s">
        <v>44</v>
      </c>
      <c r="I93" s="545" t="s">
        <v>44</v>
      </c>
      <c r="J93" s="108" t="s">
        <v>44</v>
      </c>
      <c r="K93" s="108" t="s">
        <v>44</v>
      </c>
      <c r="L93" s="108" t="s">
        <v>44</v>
      </c>
      <c r="M93" s="159" t="s">
        <v>44</v>
      </c>
      <c r="N93" s="108" t="s">
        <v>44</v>
      </c>
      <c r="O93" s="108" t="s">
        <v>44</v>
      </c>
      <c r="P93" s="544" t="s">
        <v>44</v>
      </c>
      <c r="Q93" s="545" t="s">
        <v>44</v>
      </c>
      <c r="R93" s="108" t="s">
        <v>44</v>
      </c>
      <c r="S93" s="108" t="s">
        <v>44</v>
      </c>
      <c r="T93" s="544" t="s">
        <v>44</v>
      </c>
      <c r="U93" s="545" t="s">
        <v>44</v>
      </c>
      <c r="V93" s="108" t="s">
        <v>44</v>
      </c>
      <c r="W93" s="108" t="s">
        <v>44</v>
      </c>
      <c r="X93" s="533" t="s">
        <v>44</v>
      </c>
      <c r="Y93" s="534" t="s">
        <v>44</v>
      </c>
      <c r="Z93" s="535" t="s">
        <v>44</v>
      </c>
      <c r="AA93" s="535" t="s">
        <v>44</v>
      </c>
      <c r="AB93" s="544" t="s">
        <v>44</v>
      </c>
      <c r="AC93" s="545" t="s">
        <v>44</v>
      </c>
      <c r="AD93" s="108" t="s">
        <v>44</v>
      </c>
      <c r="AE93" s="108" t="s">
        <v>44</v>
      </c>
      <c r="AF93" s="108" t="s">
        <v>44</v>
      </c>
      <c r="AG93" s="159" t="s">
        <v>44</v>
      </c>
      <c r="AH93" s="108" t="s">
        <v>44</v>
      </c>
      <c r="AI93" s="108" t="s">
        <v>44</v>
      </c>
      <c r="AJ93" s="544" t="s">
        <v>44</v>
      </c>
      <c r="AK93" s="545" t="s">
        <v>44</v>
      </c>
      <c r="AL93" s="108" t="s">
        <v>44</v>
      </c>
      <c r="AM93" s="108" t="s">
        <v>44</v>
      </c>
      <c r="AN93" s="544" t="s">
        <v>44</v>
      </c>
      <c r="AO93" s="545" t="s">
        <v>44</v>
      </c>
      <c r="AP93" s="108" t="s">
        <v>44</v>
      </c>
      <c r="AQ93" s="108" t="s">
        <v>44</v>
      </c>
      <c r="AR93" s="533" t="s">
        <v>44</v>
      </c>
      <c r="AS93" s="534" t="s">
        <v>44</v>
      </c>
      <c r="AT93" s="535" t="s">
        <v>44</v>
      </c>
      <c r="AU93" s="535" t="s">
        <v>44</v>
      </c>
      <c r="AV93" s="544" t="s">
        <v>44</v>
      </c>
      <c r="AW93" s="545" t="s">
        <v>44</v>
      </c>
      <c r="AX93" s="108" t="s">
        <v>44</v>
      </c>
      <c r="AY93" s="108" t="s">
        <v>44</v>
      </c>
      <c r="AZ93" s="108" t="s">
        <v>44</v>
      </c>
      <c r="BA93" s="159" t="s">
        <v>44</v>
      </c>
      <c r="BB93" s="108" t="s">
        <v>44</v>
      </c>
      <c r="BC93" s="108" t="s">
        <v>44</v>
      </c>
      <c r="BD93" s="544" t="s">
        <v>44</v>
      </c>
      <c r="BE93" s="545" t="s">
        <v>44</v>
      </c>
      <c r="BF93" s="108" t="s">
        <v>44</v>
      </c>
      <c r="BG93" s="108" t="s">
        <v>44</v>
      </c>
      <c r="BH93" s="544" t="s">
        <v>44</v>
      </c>
      <c r="BI93" s="545" t="s">
        <v>44</v>
      </c>
      <c r="BJ93" s="108" t="s">
        <v>44</v>
      </c>
      <c r="BK93" s="108" t="s">
        <v>44</v>
      </c>
      <c r="BL93" s="533" t="s">
        <v>44</v>
      </c>
      <c r="BM93" s="534" t="s">
        <v>44</v>
      </c>
      <c r="BN93" s="535" t="s">
        <v>44</v>
      </c>
      <c r="BO93" s="535" t="s">
        <v>44</v>
      </c>
      <c r="BP93" s="544" t="s">
        <v>44</v>
      </c>
      <c r="BQ93" s="545" t="s">
        <v>44</v>
      </c>
      <c r="BR93" s="108" t="s">
        <v>44</v>
      </c>
      <c r="BS93" s="108" t="s">
        <v>44</v>
      </c>
      <c r="BT93" s="108" t="s">
        <v>44</v>
      </c>
      <c r="BU93" s="159" t="s">
        <v>44</v>
      </c>
      <c r="BV93" s="108" t="s">
        <v>44</v>
      </c>
      <c r="BW93" s="108" t="s">
        <v>44</v>
      </c>
      <c r="BX93" s="544" t="s">
        <v>44</v>
      </c>
      <c r="BY93" s="545" t="s">
        <v>44</v>
      </c>
      <c r="BZ93" s="108" t="s">
        <v>44</v>
      </c>
      <c r="CA93" s="108" t="s">
        <v>44</v>
      </c>
      <c r="CB93" s="544" t="s">
        <v>44</v>
      </c>
      <c r="CC93" s="545" t="s">
        <v>44</v>
      </c>
      <c r="CD93" s="108" t="s">
        <v>44</v>
      </c>
      <c r="CE93" s="108" t="s">
        <v>44</v>
      </c>
      <c r="CF93" s="546" t="s">
        <v>44</v>
      </c>
      <c r="CG93" s="547" t="s">
        <v>44</v>
      </c>
      <c r="CH93" s="547" t="s">
        <v>44</v>
      </c>
      <c r="CI93" s="548" t="s">
        <v>44</v>
      </c>
      <c r="CJ93" s="108" t="s">
        <v>44</v>
      </c>
      <c r="CK93" s="159" t="s">
        <v>44</v>
      </c>
      <c r="CL93" s="108" t="s">
        <v>44</v>
      </c>
      <c r="CM93" s="108" t="s">
        <v>44</v>
      </c>
      <c r="CN93" s="108" t="s">
        <v>44</v>
      </c>
      <c r="CO93" s="159" t="s">
        <v>44</v>
      </c>
      <c r="CP93" s="108" t="s">
        <v>44</v>
      </c>
      <c r="CQ93" s="108" t="s">
        <v>44</v>
      </c>
      <c r="CR93" s="108" t="s">
        <v>44</v>
      </c>
      <c r="CS93" s="159" t="s">
        <v>44</v>
      </c>
      <c r="CT93" s="108" t="s">
        <v>44</v>
      </c>
      <c r="CU93" s="108" t="s">
        <v>44</v>
      </c>
      <c r="CV93" s="108" t="s">
        <v>44</v>
      </c>
      <c r="CW93" s="159" t="s">
        <v>44</v>
      </c>
      <c r="CX93" s="108" t="s">
        <v>44</v>
      </c>
      <c r="CY93" s="539" t="s">
        <v>44</v>
      </c>
      <c r="CZ93" s="546"/>
      <c r="DA93" s="549"/>
      <c r="DB93" s="547"/>
      <c r="DC93" s="548"/>
      <c r="DD93" s="459"/>
      <c r="DE93" s="459"/>
      <c r="DF93" s="459"/>
      <c r="DG93" s="7"/>
      <c r="DH93" s="550"/>
      <c r="DI93" s="551"/>
      <c r="DJ93" s="551"/>
      <c r="DK93" s="552"/>
      <c r="DL93" s="550"/>
      <c r="DM93" s="551"/>
      <c r="DN93" s="551"/>
      <c r="DO93" s="553"/>
      <c r="DP93" s="554"/>
      <c r="DQ93" s="555"/>
      <c r="DR93" s="547"/>
      <c r="DS93" s="548"/>
      <c r="DT93" s="459"/>
      <c r="DU93" s="466"/>
      <c r="DV93" s="459"/>
      <c r="DW93" s="467"/>
      <c r="DX93" s="468"/>
      <c r="DY93" s="466"/>
      <c r="DZ93" s="459"/>
      <c r="EA93" s="467"/>
      <c r="EB93" s="468"/>
      <c r="EC93" s="466"/>
      <c r="ED93" s="459"/>
      <c r="EE93" s="469"/>
      <c r="EF93" s="468"/>
      <c r="EG93" s="469"/>
      <c r="EH93" s="554"/>
      <c r="EI93" s="555"/>
    </row>
    <row r="94" spans="1:139" s="5" customFormat="1" ht="15.75" customHeight="1" x14ac:dyDescent="0.25">
      <c r="A94" s="1070"/>
      <c r="B94" s="100" t="s">
        <v>81</v>
      </c>
      <c r="C94" s="543"/>
      <c r="D94" s="533" t="s">
        <v>44</v>
      </c>
      <c r="E94" s="534" t="s">
        <v>44</v>
      </c>
      <c r="F94" s="535" t="s">
        <v>44</v>
      </c>
      <c r="G94" s="535" t="s">
        <v>44</v>
      </c>
      <c r="H94" s="544" t="s">
        <v>44</v>
      </c>
      <c r="I94" s="545" t="s">
        <v>44</v>
      </c>
      <c r="J94" s="108" t="s">
        <v>44</v>
      </c>
      <c r="K94" s="108" t="s">
        <v>44</v>
      </c>
      <c r="L94" s="108" t="s">
        <v>44</v>
      </c>
      <c r="M94" s="159" t="s">
        <v>44</v>
      </c>
      <c r="N94" s="108" t="s">
        <v>44</v>
      </c>
      <c r="O94" s="108" t="s">
        <v>44</v>
      </c>
      <c r="P94" s="544" t="s">
        <v>44</v>
      </c>
      <c r="Q94" s="545" t="s">
        <v>44</v>
      </c>
      <c r="R94" s="108" t="s">
        <v>44</v>
      </c>
      <c r="S94" s="108" t="s">
        <v>44</v>
      </c>
      <c r="T94" s="544" t="s">
        <v>44</v>
      </c>
      <c r="U94" s="545" t="s">
        <v>44</v>
      </c>
      <c r="V94" s="108" t="s">
        <v>44</v>
      </c>
      <c r="W94" s="108" t="s">
        <v>44</v>
      </c>
      <c r="X94" s="533" t="s">
        <v>44</v>
      </c>
      <c r="Y94" s="534" t="s">
        <v>44</v>
      </c>
      <c r="Z94" s="535" t="s">
        <v>44</v>
      </c>
      <c r="AA94" s="535" t="s">
        <v>44</v>
      </c>
      <c r="AB94" s="544" t="s">
        <v>44</v>
      </c>
      <c r="AC94" s="545" t="s">
        <v>44</v>
      </c>
      <c r="AD94" s="108" t="s">
        <v>44</v>
      </c>
      <c r="AE94" s="108" t="s">
        <v>44</v>
      </c>
      <c r="AF94" s="108" t="s">
        <v>44</v>
      </c>
      <c r="AG94" s="159" t="s">
        <v>44</v>
      </c>
      <c r="AH94" s="108" t="s">
        <v>44</v>
      </c>
      <c r="AI94" s="108" t="s">
        <v>44</v>
      </c>
      <c r="AJ94" s="544" t="s">
        <v>44</v>
      </c>
      <c r="AK94" s="545" t="s">
        <v>44</v>
      </c>
      <c r="AL94" s="108" t="s">
        <v>44</v>
      </c>
      <c r="AM94" s="108" t="s">
        <v>44</v>
      </c>
      <c r="AN94" s="544" t="s">
        <v>44</v>
      </c>
      <c r="AO94" s="545" t="s">
        <v>44</v>
      </c>
      <c r="AP94" s="108" t="s">
        <v>44</v>
      </c>
      <c r="AQ94" s="108" t="s">
        <v>44</v>
      </c>
      <c r="AR94" s="533" t="s">
        <v>44</v>
      </c>
      <c r="AS94" s="534" t="s">
        <v>44</v>
      </c>
      <c r="AT94" s="535" t="s">
        <v>44</v>
      </c>
      <c r="AU94" s="535" t="s">
        <v>44</v>
      </c>
      <c r="AV94" s="544" t="s">
        <v>44</v>
      </c>
      <c r="AW94" s="545" t="s">
        <v>44</v>
      </c>
      <c r="AX94" s="108" t="s">
        <v>44</v>
      </c>
      <c r="AY94" s="108" t="s">
        <v>44</v>
      </c>
      <c r="AZ94" s="108" t="s">
        <v>44</v>
      </c>
      <c r="BA94" s="159" t="s">
        <v>44</v>
      </c>
      <c r="BB94" s="108" t="s">
        <v>44</v>
      </c>
      <c r="BC94" s="108" t="s">
        <v>44</v>
      </c>
      <c r="BD94" s="544" t="s">
        <v>44</v>
      </c>
      <c r="BE94" s="545" t="s">
        <v>44</v>
      </c>
      <c r="BF94" s="108" t="s">
        <v>44</v>
      </c>
      <c r="BG94" s="108" t="s">
        <v>44</v>
      </c>
      <c r="BH94" s="544" t="s">
        <v>44</v>
      </c>
      <c r="BI94" s="545" t="s">
        <v>44</v>
      </c>
      <c r="BJ94" s="108" t="s">
        <v>44</v>
      </c>
      <c r="BK94" s="108" t="s">
        <v>44</v>
      </c>
      <c r="BL94" s="533" t="s">
        <v>44</v>
      </c>
      <c r="BM94" s="534" t="s">
        <v>44</v>
      </c>
      <c r="BN94" s="535" t="s">
        <v>44</v>
      </c>
      <c r="BO94" s="535" t="s">
        <v>44</v>
      </c>
      <c r="BP94" s="544" t="s">
        <v>44</v>
      </c>
      <c r="BQ94" s="545" t="s">
        <v>44</v>
      </c>
      <c r="BR94" s="108" t="s">
        <v>44</v>
      </c>
      <c r="BS94" s="108" t="s">
        <v>44</v>
      </c>
      <c r="BT94" s="108" t="s">
        <v>44</v>
      </c>
      <c r="BU94" s="159" t="s">
        <v>44</v>
      </c>
      <c r="BV94" s="108" t="s">
        <v>44</v>
      </c>
      <c r="BW94" s="108" t="s">
        <v>44</v>
      </c>
      <c r="BX94" s="544" t="s">
        <v>44</v>
      </c>
      <c r="BY94" s="545" t="s">
        <v>44</v>
      </c>
      <c r="BZ94" s="108" t="s">
        <v>44</v>
      </c>
      <c r="CA94" s="108" t="s">
        <v>44</v>
      </c>
      <c r="CB94" s="544" t="s">
        <v>44</v>
      </c>
      <c r="CC94" s="545" t="s">
        <v>44</v>
      </c>
      <c r="CD94" s="108" t="s">
        <v>44</v>
      </c>
      <c r="CE94" s="108" t="s">
        <v>44</v>
      </c>
      <c r="CF94" s="546" t="s">
        <v>44</v>
      </c>
      <c r="CG94" s="547" t="s">
        <v>44</v>
      </c>
      <c r="CH94" s="547" t="s">
        <v>44</v>
      </c>
      <c r="CI94" s="548" t="s">
        <v>44</v>
      </c>
      <c r="CJ94" s="108" t="s">
        <v>44</v>
      </c>
      <c r="CK94" s="159" t="s">
        <v>44</v>
      </c>
      <c r="CL94" s="108" t="s">
        <v>44</v>
      </c>
      <c r="CM94" s="108" t="s">
        <v>44</v>
      </c>
      <c r="CN94" s="108" t="s">
        <v>44</v>
      </c>
      <c r="CO94" s="159" t="s">
        <v>44</v>
      </c>
      <c r="CP94" s="108" t="s">
        <v>44</v>
      </c>
      <c r="CQ94" s="108" t="s">
        <v>44</v>
      </c>
      <c r="CR94" s="108" t="s">
        <v>44</v>
      </c>
      <c r="CS94" s="159" t="s">
        <v>44</v>
      </c>
      <c r="CT94" s="108" t="s">
        <v>44</v>
      </c>
      <c r="CU94" s="108" t="s">
        <v>44</v>
      </c>
      <c r="CV94" s="108" t="s">
        <v>44</v>
      </c>
      <c r="CW94" s="159" t="s">
        <v>44</v>
      </c>
      <c r="CX94" s="108" t="s">
        <v>44</v>
      </c>
      <c r="CY94" s="539" t="s">
        <v>44</v>
      </c>
      <c r="CZ94" s="546"/>
      <c r="DA94" s="549"/>
      <c r="DB94" s="547"/>
      <c r="DC94" s="548"/>
      <c r="DD94" s="459"/>
      <c r="DE94" s="459"/>
      <c r="DF94" s="459"/>
      <c r="DG94" s="7"/>
      <c r="DH94" s="550"/>
      <c r="DI94" s="551"/>
      <c r="DJ94" s="551"/>
      <c r="DK94" s="552"/>
      <c r="DL94" s="550"/>
      <c r="DM94" s="551"/>
      <c r="DN94" s="551"/>
      <c r="DO94" s="553"/>
      <c r="DP94" s="554"/>
      <c r="DQ94" s="555"/>
      <c r="DR94" s="547"/>
      <c r="DS94" s="548"/>
      <c r="DT94" s="459"/>
      <c r="DU94" s="466"/>
      <c r="DV94" s="459"/>
      <c r="DW94" s="467"/>
      <c r="DX94" s="468"/>
      <c r="DY94" s="466"/>
      <c r="DZ94" s="459"/>
      <c r="EA94" s="467"/>
      <c r="EB94" s="468"/>
      <c r="EC94" s="466"/>
      <c r="ED94" s="459"/>
      <c r="EE94" s="469"/>
      <c r="EF94" s="468"/>
      <c r="EG94" s="469"/>
      <c r="EH94" s="554"/>
      <c r="EI94" s="555"/>
    </row>
    <row r="95" spans="1:139" s="5" customFormat="1" ht="15.75" customHeight="1" x14ac:dyDescent="0.25">
      <c r="A95" s="1070"/>
      <c r="B95" s="556" t="s">
        <v>82</v>
      </c>
      <c r="C95" s="557"/>
      <c r="D95" s="558" t="s">
        <v>44</v>
      </c>
      <c r="E95" s="559" t="s">
        <v>44</v>
      </c>
      <c r="F95" s="560" t="s">
        <v>44</v>
      </c>
      <c r="G95" s="561" t="s">
        <v>44</v>
      </c>
      <c r="H95" s="562" t="s">
        <v>44</v>
      </c>
      <c r="I95" s="384" t="s">
        <v>44</v>
      </c>
      <c r="J95" s="563" t="s">
        <v>44</v>
      </c>
      <c r="K95" s="563" t="s">
        <v>44</v>
      </c>
      <c r="L95" s="563" t="s">
        <v>44</v>
      </c>
      <c r="M95" s="384" t="s">
        <v>44</v>
      </c>
      <c r="N95" s="563" t="s">
        <v>44</v>
      </c>
      <c r="O95" s="563" t="s">
        <v>44</v>
      </c>
      <c r="P95" s="562" t="s">
        <v>44</v>
      </c>
      <c r="Q95" s="384" t="s">
        <v>44</v>
      </c>
      <c r="R95" s="563" t="s">
        <v>44</v>
      </c>
      <c r="S95" s="563" t="s">
        <v>44</v>
      </c>
      <c r="T95" s="562" t="s">
        <v>44</v>
      </c>
      <c r="U95" s="384" t="s">
        <v>44</v>
      </c>
      <c r="V95" s="563" t="s">
        <v>44</v>
      </c>
      <c r="W95" s="563" t="s">
        <v>44</v>
      </c>
      <c r="X95" s="558" t="s">
        <v>44</v>
      </c>
      <c r="Y95" s="559" t="s">
        <v>44</v>
      </c>
      <c r="Z95" s="560" t="s">
        <v>44</v>
      </c>
      <c r="AA95" s="561" t="s">
        <v>44</v>
      </c>
      <c r="AB95" s="562" t="s">
        <v>44</v>
      </c>
      <c r="AC95" s="384" t="s">
        <v>44</v>
      </c>
      <c r="AD95" s="563" t="s">
        <v>44</v>
      </c>
      <c r="AE95" s="563" t="s">
        <v>44</v>
      </c>
      <c r="AF95" s="563" t="s">
        <v>44</v>
      </c>
      <c r="AG95" s="384" t="s">
        <v>44</v>
      </c>
      <c r="AH95" s="563" t="s">
        <v>44</v>
      </c>
      <c r="AI95" s="563" t="s">
        <v>44</v>
      </c>
      <c r="AJ95" s="562" t="s">
        <v>44</v>
      </c>
      <c r="AK95" s="384" t="s">
        <v>44</v>
      </c>
      <c r="AL95" s="563" t="s">
        <v>44</v>
      </c>
      <c r="AM95" s="563" t="s">
        <v>44</v>
      </c>
      <c r="AN95" s="562" t="s">
        <v>44</v>
      </c>
      <c r="AO95" s="384" t="s">
        <v>44</v>
      </c>
      <c r="AP95" s="563" t="s">
        <v>44</v>
      </c>
      <c r="AQ95" s="563" t="s">
        <v>44</v>
      </c>
      <c r="AR95" s="558" t="s">
        <v>44</v>
      </c>
      <c r="AS95" s="559" t="s">
        <v>44</v>
      </c>
      <c r="AT95" s="560" t="s">
        <v>44</v>
      </c>
      <c r="AU95" s="561" t="s">
        <v>44</v>
      </c>
      <c r="AV95" s="562" t="s">
        <v>44</v>
      </c>
      <c r="AW95" s="384" t="s">
        <v>44</v>
      </c>
      <c r="AX95" s="563" t="s">
        <v>44</v>
      </c>
      <c r="AY95" s="563" t="s">
        <v>44</v>
      </c>
      <c r="AZ95" s="563" t="s">
        <v>44</v>
      </c>
      <c r="BA95" s="384" t="s">
        <v>44</v>
      </c>
      <c r="BB95" s="563" t="s">
        <v>44</v>
      </c>
      <c r="BC95" s="563" t="s">
        <v>44</v>
      </c>
      <c r="BD95" s="562" t="s">
        <v>44</v>
      </c>
      <c r="BE95" s="384" t="s">
        <v>44</v>
      </c>
      <c r="BF95" s="563" t="s">
        <v>44</v>
      </c>
      <c r="BG95" s="563" t="s">
        <v>44</v>
      </c>
      <c r="BH95" s="562" t="s">
        <v>44</v>
      </c>
      <c r="BI95" s="384" t="s">
        <v>44</v>
      </c>
      <c r="BJ95" s="563" t="s">
        <v>44</v>
      </c>
      <c r="BK95" s="563" t="s">
        <v>44</v>
      </c>
      <c r="BL95" s="558" t="s">
        <v>44</v>
      </c>
      <c r="BM95" s="559" t="s">
        <v>44</v>
      </c>
      <c r="BN95" s="560" t="s">
        <v>44</v>
      </c>
      <c r="BO95" s="561" t="s">
        <v>44</v>
      </c>
      <c r="BP95" s="562" t="s">
        <v>44</v>
      </c>
      <c r="BQ95" s="384" t="s">
        <v>44</v>
      </c>
      <c r="BR95" s="563" t="s">
        <v>44</v>
      </c>
      <c r="BS95" s="563" t="s">
        <v>44</v>
      </c>
      <c r="BT95" s="563" t="s">
        <v>44</v>
      </c>
      <c r="BU95" s="384" t="s">
        <v>44</v>
      </c>
      <c r="BV95" s="563" t="s">
        <v>44</v>
      </c>
      <c r="BW95" s="563" t="s">
        <v>44</v>
      </c>
      <c r="BX95" s="562" t="s">
        <v>44</v>
      </c>
      <c r="BY95" s="384" t="s">
        <v>44</v>
      </c>
      <c r="BZ95" s="563" t="s">
        <v>44</v>
      </c>
      <c r="CA95" s="563" t="s">
        <v>44</v>
      </c>
      <c r="CB95" s="562" t="s">
        <v>44</v>
      </c>
      <c r="CC95" s="384" t="s">
        <v>44</v>
      </c>
      <c r="CD95" s="563" t="s">
        <v>44</v>
      </c>
      <c r="CE95" s="563" t="s">
        <v>44</v>
      </c>
      <c r="CF95" s="558" t="s">
        <v>44</v>
      </c>
      <c r="CG95" s="560" t="s">
        <v>44</v>
      </c>
      <c r="CH95" s="560" t="s">
        <v>44</v>
      </c>
      <c r="CI95" s="561" t="s">
        <v>44</v>
      </c>
      <c r="CJ95" s="563" t="s">
        <v>44</v>
      </c>
      <c r="CK95" s="384" t="s">
        <v>44</v>
      </c>
      <c r="CL95" s="563" t="s">
        <v>44</v>
      </c>
      <c r="CM95" s="563" t="s">
        <v>44</v>
      </c>
      <c r="CN95" s="563" t="s">
        <v>44</v>
      </c>
      <c r="CO95" s="384" t="s">
        <v>44</v>
      </c>
      <c r="CP95" s="563" t="s">
        <v>44</v>
      </c>
      <c r="CQ95" s="563" t="s">
        <v>44</v>
      </c>
      <c r="CR95" s="563" t="s">
        <v>44</v>
      </c>
      <c r="CS95" s="384" t="s">
        <v>44</v>
      </c>
      <c r="CT95" s="563" t="s">
        <v>44</v>
      </c>
      <c r="CU95" s="563" t="s">
        <v>44</v>
      </c>
      <c r="CV95" s="563" t="s">
        <v>44</v>
      </c>
      <c r="CW95" s="384" t="s">
        <v>44</v>
      </c>
      <c r="CX95" s="563" t="s">
        <v>44</v>
      </c>
      <c r="CY95" s="564" t="s">
        <v>44</v>
      </c>
      <c r="CZ95" s="558" t="s">
        <v>44</v>
      </c>
      <c r="DA95" s="565" t="s">
        <v>44</v>
      </c>
      <c r="DB95" s="560" t="s">
        <v>44</v>
      </c>
      <c r="DC95" s="561" t="s">
        <v>44</v>
      </c>
      <c r="DD95" s="459" t="e">
        <f t="shared" si="71"/>
        <v>#VALUE!</v>
      </c>
      <c r="DE95" s="459" t="e">
        <f t="shared" si="71"/>
        <v>#VALUE!</v>
      </c>
      <c r="DF95" s="459" t="e">
        <f t="shared" si="71"/>
        <v>#VALUE!</v>
      </c>
      <c r="DG95" s="7" t="e">
        <f t="shared" si="70"/>
        <v>#VALUE!</v>
      </c>
      <c r="DH95" s="389" t="e">
        <f t="shared" si="70"/>
        <v>#VALUE!</v>
      </c>
      <c r="DI95" s="391" t="e">
        <f t="shared" si="70"/>
        <v>#VALUE!</v>
      </c>
      <c r="DJ95" s="391" t="e">
        <f t="shared" si="70"/>
        <v>#VALUE!</v>
      </c>
      <c r="DK95" s="566" t="e">
        <f t="shared" si="70"/>
        <v>#VALUE!</v>
      </c>
      <c r="DL95" s="389" t="e">
        <f t="shared" si="70"/>
        <v>#VALUE!</v>
      </c>
      <c r="DM95" s="391" t="e">
        <f t="shared" si="70"/>
        <v>#VALUE!</v>
      </c>
      <c r="DN95" s="391" t="e">
        <f t="shared" si="70"/>
        <v>#VALUE!</v>
      </c>
      <c r="DO95" s="404" t="e">
        <f t="shared" si="70"/>
        <v>#VALUE!</v>
      </c>
      <c r="DP95" s="567" t="s">
        <v>44</v>
      </c>
      <c r="DQ95" s="568" t="s">
        <v>44</v>
      </c>
      <c r="DR95" s="560" t="s">
        <v>44</v>
      </c>
      <c r="DS95" s="561" t="s">
        <v>44</v>
      </c>
      <c r="DT95" s="389" t="e">
        <f t="shared" si="43"/>
        <v>#VALUE!</v>
      </c>
      <c r="DU95" s="406">
        <v>0</v>
      </c>
      <c r="DV95" s="397" t="e">
        <f t="shared" si="45"/>
        <v>#VALUE!</v>
      </c>
      <c r="DW95" s="407">
        <v>0</v>
      </c>
      <c r="DX95" s="391" t="e">
        <f t="shared" si="47"/>
        <v>#VALUE!</v>
      </c>
      <c r="DY95" s="406">
        <v>0</v>
      </c>
      <c r="DZ95" s="397" t="e">
        <f t="shared" si="49"/>
        <v>#VALUE!</v>
      </c>
      <c r="EA95" s="407">
        <v>0</v>
      </c>
      <c r="EB95" s="391" t="e">
        <f t="shared" si="51"/>
        <v>#VALUE!</v>
      </c>
      <c r="EC95" s="406">
        <v>0</v>
      </c>
      <c r="ED95" s="397" t="e">
        <f t="shared" si="53"/>
        <v>#VALUE!</v>
      </c>
      <c r="EE95" s="408">
        <v>0</v>
      </c>
      <c r="EF95" s="391" t="e">
        <f t="shared" si="54"/>
        <v>#VALUE!</v>
      </c>
      <c r="EG95" s="406">
        <v>0</v>
      </c>
      <c r="EH95" s="567" t="s">
        <v>44</v>
      </c>
      <c r="EI95" s="568" t="s">
        <v>44</v>
      </c>
    </row>
    <row r="96" spans="1:139" s="606" customFormat="1" ht="15.75" customHeight="1" thickBot="1" x14ac:dyDescent="0.35">
      <c r="A96" s="569"/>
      <c r="B96" s="570" t="s">
        <v>83</v>
      </c>
      <c r="C96" s="571"/>
      <c r="D96" s="572" t="s">
        <v>44</v>
      </c>
      <c r="E96" s="573" t="s">
        <v>44</v>
      </c>
      <c r="F96" s="573" t="s">
        <v>44</v>
      </c>
      <c r="G96" s="574" t="s">
        <v>44</v>
      </c>
      <c r="H96" s="575">
        <v>260958</v>
      </c>
      <c r="I96" s="576"/>
      <c r="J96" s="577">
        <v>168976</v>
      </c>
      <c r="K96" s="578"/>
      <c r="L96" s="579">
        <v>91982</v>
      </c>
      <c r="M96" s="576"/>
      <c r="N96" s="580">
        <v>166426</v>
      </c>
      <c r="O96" s="581"/>
      <c r="P96" s="582">
        <v>88555</v>
      </c>
      <c r="Q96" s="583"/>
      <c r="R96" s="584">
        <v>2550</v>
      </c>
      <c r="S96" s="582"/>
      <c r="T96" s="582">
        <v>3427</v>
      </c>
      <c r="U96" s="585" t="s">
        <v>44</v>
      </c>
      <c r="V96" s="586" t="s">
        <v>44</v>
      </c>
      <c r="W96" s="587" t="s">
        <v>44</v>
      </c>
      <c r="X96" s="572" t="s">
        <v>44</v>
      </c>
      <c r="Y96" s="573" t="s">
        <v>44</v>
      </c>
      <c r="Z96" s="573" t="s">
        <v>44</v>
      </c>
      <c r="AA96" s="574" t="s">
        <v>44</v>
      </c>
      <c r="AB96" s="575">
        <v>292396</v>
      </c>
      <c r="AC96" s="576"/>
      <c r="AD96" s="577">
        <v>168976</v>
      </c>
      <c r="AE96" s="578"/>
      <c r="AF96" s="579">
        <v>123420</v>
      </c>
      <c r="AG96" s="576"/>
      <c r="AH96" s="580">
        <v>166426</v>
      </c>
      <c r="AI96" s="581"/>
      <c r="AJ96" s="582">
        <v>118765</v>
      </c>
      <c r="AK96" s="585"/>
      <c r="AL96" s="584">
        <v>2550</v>
      </c>
      <c r="AM96" s="582"/>
      <c r="AN96" s="582">
        <v>4655</v>
      </c>
      <c r="AO96" s="585"/>
      <c r="AP96" s="586" t="s">
        <v>44</v>
      </c>
      <c r="AQ96" s="587" t="s">
        <v>44</v>
      </c>
      <c r="AR96" s="572" t="s">
        <v>44</v>
      </c>
      <c r="AS96" s="573" t="s">
        <v>44</v>
      </c>
      <c r="AT96" s="573" t="s">
        <v>44</v>
      </c>
      <c r="AU96" s="574" t="s">
        <v>44</v>
      </c>
      <c r="AV96" s="575">
        <v>298785</v>
      </c>
      <c r="AW96" s="576"/>
      <c r="AX96" s="577">
        <v>168976</v>
      </c>
      <c r="AY96" s="578"/>
      <c r="AZ96" s="579">
        <v>129809</v>
      </c>
      <c r="BA96" s="576"/>
      <c r="BB96" s="580">
        <v>166426</v>
      </c>
      <c r="BC96" s="581"/>
      <c r="BD96" s="582">
        <v>125035</v>
      </c>
      <c r="BE96" s="583"/>
      <c r="BF96" s="584">
        <v>2550</v>
      </c>
      <c r="BG96" s="582"/>
      <c r="BH96" s="582">
        <v>4774</v>
      </c>
      <c r="BI96" s="585"/>
      <c r="BJ96" s="586" t="s">
        <v>44</v>
      </c>
      <c r="BK96" s="587" t="s">
        <v>44</v>
      </c>
      <c r="BL96" s="572" t="s">
        <v>44</v>
      </c>
      <c r="BM96" s="573" t="s">
        <v>44</v>
      </c>
      <c r="BN96" s="573" t="s">
        <v>44</v>
      </c>
      <c r="BO96" s="574" t="s">
        <v>44</v>
      </c>
      <c r="BP96" s="575">
        <v>283358</v>
      </c>
      <c r="BQ96" s="576"/>
      <c r="BR96" s="577">
        <v>166976</v>
      </c>
      <c r="BS96" s="578"/>
      <c r="BT96" s="579">
        <v>116382</v>
      </c>
      <c r="BU96" s="576"/>
      <c r="BV96" s="580">
        <v>164426</v>
      </c>
      <c r="BW96" s="581"/>
      <c r="BX96" s="582">
        <v>112517</v>
      </c>
      <c r="BY96" s="583"/>
      <c r="BZ96" s="584">
        <v>2550</v>
      </c>
      <c r="CA96" s="582"/>
      <c r="CB96" s="582">
        <v>3865</v>
      </c>
      <c r="CC96" s="585"/>
      <c r="CD96" s="586" t="s">
        <v>44</v>
      </c>
      <c r="CE96" s="587" t="s">
        <v>44</v>
      </c>
      <c r="CF96" s="588" t="s">
        <v>44</v>
      </c>
      <c r="CG96" s="589" t="s">
        <v>44</v>
      </c>
      <c r="CH96" s="589" t="s">
        <v>44</v>
      </c>
      <c r="CI96" s="590" t="s">
        <v>44</v>
      </c>
      <c r="CJ96" s="579">
        <v>1135497</v>
      </c>
      <c r="CK96" s="576"/>
      <c r="CL96" s="577">
        <v>673904</v>
      </c>
      <c r="CM96" s="591"/>
      <c r="CN96" s="579">
        <v>461593</v>
      </c>
      <c r="CO96" s="576"/>
      <c r="CP96" s="577">
        <v>663704</v>
      </c>
      <c r="CQ96" s="578"/>
      <c r="CR96" s="579">
        <v>444872</v>
      </c>
      <c r="CS96" s="576"/>
      <c r="CT96" s="577">
        <v>10200</v>
      </c>
      <c r="CU96" s="578"/>
      <c r="CV96" s="579">
        <v>16721</v>
      </c>
      <c r="CW96" s="576"/>
      <c r="CX96" s="586" t="s">
        <v>44</v>
      </c>
      <c r="CY96" s="592" t="s">
        <v>44</v>
      </c>
      <c r="CZ96" s="593"/>
      <c r="DA96" s="578"/>
      <c r="DB96" s="578"/>
      <c r="DC96" s="594"/>
      <c r="DD96" s="577">
        <f t="shared" si="71"/>
        <v>337952</v>
      </c>
      <c r="DE96" s="595">
        <f t="shared" si="71"/>
        <v>0</v>
      </c>
      <c r="DF96" s="595">
        <f t="shared" si="71"/>
        <v>215402</v>
      </c>
      <c r="DG96" s="596">
        <f t="shared" si="70"/>
        <v>0</v>
      </c>
      <c r="DH96" s="577">
        <f t="shared" si="70"/>
        <v>332852</v>
      </c>
      <c r="DI96" s="578">
        <f t="shared" si="70"/>
        <v>0</v>
      </c>
      <c r="DJ96" s="578">
        <f t="shared" si="70"/>
        <v>207320</v>
      </c>
      <c r="DK96" s="594">
        <f t="shared" si="70"/>
        <v>0</v>
      </c>
      <c r="DL96" s="577">
        <f t="shared" si="70"/>
        <v>5100</v>
      </c>
      <c r="DM96" s="578">
        <f t="shared" si="70"/>
        <v>0</v>
      </c>
      <c r="DN96" s="578">
        <f t="shared" si="70"/>
        <v>8082</v>
      </c>
      <c r="DO96" s="591" t="e">
        <f t="shared" si="70"/>
        <v>#VALUE!</v>
      </c>
      <c r="DP96" s="577"/>
      <c r="DQ96" s="597"/>
      <c r="DR96" s="598"/>
      <c r="DS96" s="591"/>
      <c r="DT96" s="599">
        <f t="shared" si="43"/>
        <v>553354</v>
      </c>
      <c r="DU96" s="600">
        <f t="shared" si="60"/>
        <v>100</v>
      </c>
      <c r="DV96" s="601">
        <f t="shared" si="45"/>
        <v>337952</v>
      </c>
      <c r="DW96" s="602">
        <f t="shared" si="61"/>
        <v>100</v>
      </c>
      <c r="DX96" s="199">
        <f t="shared" si="47"/>
        <v>215402</v>
      </c>
      <c r="DY96" s="600">
        <f t="shared" si="62"/>
        <v>100</v>
      </c>
      <c r="DZ96" s="601">
        <f t="shared" si="49"/>
        <v>332852</v>
      </c>
      <c r="EA96" s="602">
        <f t="shared" si="63"/>
        <v>100</v>
      </c>
      <c r="EB96" s="199">
        <f t="shared" si="51"/>
        <v>207320</v>
      </c>
      <c r="EC96" s="600">
        <f t="shared" si="64"/>
        <v>100</v>
      </c>
      <c r="ED96" s="601">
        <f t="shared" si="53"/>
        <v>5100</v>
      </c>
      <c r="EE96" s="603">
        <v>0</v>
      </c>
      <c r="EF96" s="199" t="e">
        <f t="shared" si="54"/>
        <v>#VALUE!</v>
      </c>
      <c r="EG96" s="603" t="e">
        <f t="shared" si="65"/>
        <v>#VALUE!</v>
      </c>
      <c r="EH96" s="604"/>
      <c r="EI96" s="605"/>
    </row>
    <row r="97" spans="1:140" s="628" customFormat="1" ht="17.25" customHeight="1" thickTop="1" thickBot="1" x14ac:dyDescent="0.35">
      <c r="A97" s="607"/>
      <c r="B97" s="608" t="s">
        <v>84</v>
      </c>
      <c r="C97" s="473"/>
      <c r="D97" s="609"/>
      <c r="E97" s="610"/>
      <c r="F97" s="473"/>
      <c r="G97" s="611"/>
      <c r="H97" s="612">
        <v>3114075</v>
      </c>
      <c r="I97" s="613"/>
      <c r="J97" s="612">
        <v>2021235</v>
      </c>
      <c r="K97" s="614"/>
      <c r="L97" s="614">
        <v>1092840</v>
      </c>
      <c r="M97" s="613"/>
      <c r="N97" s="612">
        <v>1999873</v>
      </c>
      <c r="O97" s="614"/>
      <c r="P97" s="614">
        <v>1064127</v>
      </c>
      <c r="Q97" s="613"/>
      <c r="R97" s="612">
        <v>21362</v>
      </c>
      <c r="S97" s="614"/>
      <c r="T97" s="614">
        <v>28713</v>
      </c>
      <c r="U97" s="613"/>
      <c r="V97" s="615"/>
      <c r="W97" s="616"/>
      <c r="X97" s="609"/>
      <c r="Y97" s="610"/>
      <c r="Z97" s="473"/>
      <c r="AA97" s="611"/>
      <c r="AB97" s="612">
        <v>3200074</v>
      </c>
      <c r="AC97" s="613"/>
      <c r="AD97" s="612">
        <v>1855936</v>
      </c>
      <c r="AE97" s="614"/>
      <c r="AF97" s="614">
        <v>1344138</v>
      </c>
      <c r="AG97" s="613"/>
      <c r="AH97" s="612">
        <v>1838213</v>
      </c>
      <c r="AI97" s="614"/>
      <c r="AJ97" s="614">
        <v>1311787</v>
      </c>
      <c r="AK97" s="613"/>
      <c r="AL97" s="612">
        <v>17723</v>
      </c>
      <c r="AM97" s="614"/>
      <c r="AN97" s="614">
        <v>32351</v>
      </c>
      <c r="AO97" s="613"/>
      <c r="AP97" s="615"/>
      <c r="AQ97" s="616"/>
      <c r="AR97" s="609"/>
      <c r="AS97" s="610"/>
      <c r="AT97" s="473"/>
      <c r="AU97" s="611"/>
      <c r="AV97" s="612">
        <v>3181076</v>
      </c>
      <c r="AW97" s="613"/>
      <c r="AX97" s="612">
        <v>1805257</v>
      </c>
      <c r="AY97" s="614"/>
      <c r="AZ97" s="614">
        <v>1375819</v>
      </c>
      <c r="BA97" s="613"/>
      <c r="BB97" s="612">
        <v>1787823</v>
      </c>
      <c r="BC97" s="614"/>
      <c r="BD97" s="614">
        <v>1343178</v>
      </c>
      <c r="BE97" s="613"/>
      <c r="BF97" s="612">
        <v>17434</v>
      </c>
      <c r="BG97" s="614"/>
      <c r="BH97" s="614">
        <v>32641</v>
      </c>
      <c r="BI97" s="613"/>
      <c r="BJ97" s="615"/>
      <c r="BK97" s="616"/>
      <c r="BL97" s="609"/>
      <c r="BM97" s="610"/>
      <c r="BN97" s="473"/>
      <c r="BO97" s="611"/>
      <c r="BP97" s="612">
        <v>3361047</v>
      </c>
      <c r="BQ97" s="613"/>
      <c r="BR97" s="612">
        <v>1985684</v>
      </c>
      <c r="BS97" s="614"/>
      <c r="BT97" s="614">
        <v>1375363</v>
      </c>
      <c r="BU97" s="613"/>
      <c r="BV97" s="612">
        <v>1965780</v>
      </c>
      <c r="BW97" s="614"/>
      <c r="BX97" s="614">
        <v>1345192</v>
      </c>
      <c r="BY97" s="613"/>
      <c r="BZ97" s="612">
        <v>19904</v>
      </c>
      <c r="CA97" s="614"/>
      <c r="CB97" s="614">
        <v>30171</v>
      </c>
      <c r="CC97" s="613"/>
      <c r="CD97" s="615"/>
      <c r="CE97" s="616"/>
      <c r="CF97" s="617"/>
      <c r="CG97" s="618"/>
      <c r="CH97" s="618"/>
      <c r="CI97" s="619"/>
      <c r="CJ97" s="614">
        <v>12856272</v>
      </c>
      <c r="CK97" s="613"/>
      <c r="CL97" s="612">
        <v>7668111.5976377958</v>
      </c>
      <c r="CM97" s="620"/>
      <c r="CN97" s="614">
        <v>5188160</v>
      </c>
      <c r="CO97" s="613"/>
      <c r="CP97" s="612">
        <v>7591689</v>
      </c>
      <c r="CQ97" s="614"/>
      <c r="CR97" s="614">
        <v>5064284</v>
      </c>
      <c r="CS97" s="613"/>
      <c r="CT97" s="612">
        <v>76423</v>
      </c>
      <c r="CU97" s="614"/>
      <c r="CV97" s="614">
        <v>123876</v>
      </c>
      <c r="CW97" s="613"/>
      <c r="CX97" s="612"/>
      <c r="CY97" s="616"/>
      <c r="CZ97" s="621"/>
      <c r="DA97" s="614"/>
      <c r="DB97" s="614"/>
      <c r="DC97" s="613"/>
      <c r="DD97" s="612">
        <f t="shared" si="71"/>
        <v>3877171</v>
      </c>
      <c r="DE97" s="622">
        <f t="shared" si="71"/>
        <v>0</v>
      </c>
      <c r="DF97" s="622">
        <f t="shared" si="71"/>
        <v>2436978</v>
      </c>
      <c r="DG97" s="618">
        <f t="shared" si="70"/>
        <v>0</v>
      </c>
      <c r="DH97" s="612">
        <f t="shared" si="70"/>
        <v>3838086</v>
      </c>
      <c r="DI97" s="614">
        <f t="shared" si="70"/>
        <v>0</v>
      </c>
      <c r="DJ97" s="614">
        <f t="shared" si="70"/>
        <v>2375914</v>
      </c>
      <c r="DK97" s="613">
        <f t="shared" si="70"/>
        <v>0</v>
      </c>
      <c r="DL97" s="612">
        <f t="shared" si="70"/>
        <v>39085</v>
      </c>
      <c r="DM97" s="614">
        <f t="shared" si="70"/>
        <v>0</v>
      </c>
      <c r="DN97" s="614">
        <f t="shared" si="70"/>
        <v>61064</v>
      </c>
      <c r="DO97" s="620">
        <f t="shared" si="70"/>
        <v>0</v>
      </c>
      <c r="DP97" s="612"/>
      <c r="DQ97" s="616"/>
      <c r="DR97" s="621"/>
      <c r="DS97" s="620"/>
      <c r="DT97" s="612">
        <f t="shared" si="43"/>
        <v>6314149</v>
      </c>
      <c r="DU97" s="623">
        <f t="shared" si="60"/>
        <v>100</v>
      </c>
      <c r="DV97" s="622">
        <f t="shared" si="45"/>
        <v>3877171</v>
      </c>
      <c r="DW97" s="624">
        <f t="shared" si="61"/>
        <v>100</v>
      </c>
      <c r="DX97" s="614">
        <f t="shared" si="47"/>
        <v>2436978</v>
      </c>
      <c r="DY97" s="623">
        <f t="shared" si="62"/>
        <v>100</v>
      </c>
      <c r="DZ97" s="622">
        <f t="shared" si="49"/>
        <v>3838086</v>
      </c>
      <c r="EA97" s="624">
        <f t="shared" si="63"/>
        <v>100</v>
      </c>
      <c r="EB97" s="614">
        <f t="shared" si="51"/>
        <v>2375914</v>
      </c>
      <c r="EC97" s="623">
        <f t="shared" si="64"/>
        <v>100</v>
      </c>
      <c r="ED97" s="622">
        <f t="shared" si="53"/>
        <v>39085</v>
      </c>
      <c r="EE97" s="625">
        <f t="shared" si="69"/>
        <v>100</v>
      </c>
      <c r="EF97" s="614">
        <f t="shared" si="54"/>
        <v>61064</v>
      </c>
      <c r="EG97" s="623">
        <f t="shared" si="65"/>
        <v>100</v>
      </c>
      <c r="EH97" s="626"/>
      <c r="EI97" s="627"/>
    </row>
    <row r="98" spans="1:140" s="636" customFormat="1" ht="4.5" customHeight="1" thickBot="1" x14ac:dyDescent="0.35">
      <c r="A98" s="629"/>
      <c r="B98" s="630"/>
      <c r="C98" s="631"/>
      <c r="D98" s="632"/>
      <c r="E98" s="632"/>
      <c r="F98" s="631"/>
      <c r="G98" s="631"/>
      <c r="H98" s="633"/>
      <c r="I98" s="633"/>
      <c r="J98" s="633"/>
      <c r="K98" s="633"/>
      <c r="L98" s="633"/>
      <c r="M98" s="633"/>
      <c r="N98" s="633"/>
      <c r="O98" s="633"/>
      <c r="P98" s="633"/>
      <c r="Q98" s="633"/>
      <c r="R98" s="633"/>
      <c r="S98" s="633"/>
      <c r="T98" s="633"/>
      <c r="U98" s="633"/>
      <c r="V98" s="634"/>
      <c r="W98" s="634"/>
      <c r="X98" s="632"/>
      <c r="Y98" s="632"/>
      <c r="Z98" s="631"/>
      <c r="AA98" s="631"/>
      <c r="AB98" s="633"/>
      <c r="AC98" s="633"/>
      <c r="AD98" s="633"/>
      <c r="AE98" s="633"/>
      <c r="AF98" s="633"/>
      <c r="AG98" s="633"/>
      <c r="AH98" s="633"/>
      <c r="AI98" s="633"/>
      <c r="AJ98" s="633"/>
      <c r="AK98" s="633"/>
      <c r="AL98" s="633"/>
      <c r="AM98" s="633"/>
      <c r="AN98" s="633"/>
      <c r="AO98" s="633"/>
      <c r="AP98" s="634"/>
      <c r="AQ98" s="634"/>
      <c r="AR98" s="632"/>
      <c r="AS98" s="632"/>
      <c r="AT98" s="631"/>
      <c r="AU98" s="631"/>
      <c r="AV98" s="633"/>
      <c r="AW98" s="633"/>
      <c r="AX98" s="633"/>
      <c r="AY98" s="633"/>
      <c r="AZ98" s="633"/>
      <c r="BA98" s="633"/>
      <c r="BB98" s="633"/>
      <c r="BC98" s="633"/>
      <c r="BD98" s="633"/>
      <c r="BE98" s="633"/>
      <c r="BF98" s="633"/>
      <c r="BG98" s="633"/>
      <c r="BH98" s="633"/>
      <c r="BI98" s="633"/>
      <c r="BJ98" s="634"/>
      <c r="BK98" s="634"/>
      <c r="BL98" s="632"/>
      <c r="BM98" s="632"/>
      <c r="BN98" s="631"/>
      <c r="BO98" s="631"/>
      <c r="BP98" s="633"/>
      <c r="BQ98" s="633"/>
      <c r="BR98" s="633"/>
      <c r="BS98" s="633"/>
      <c r="BT98" s="633"/>
      <c r="BU98" s="633"/>
      <c r="BV98" s="633"/>
      <c r="BW98" s="633"/>
      <c r="BX98" s="633"/>
      <c r="BY98" s="633"/>
      <c r="BZ98" s="633"/>
      <c r="CA98" s="633"/>
      <c r="CB98" s="633"/>
      <c r="CC98" s="633"/>
      <c r="CD98" s="634"/>
      <c r="CE98" s="634"/>
      <c r="CF98" s="635"/>
      <c r="CG98" s="633"/>
      <c r="CH98" s="633"/>
      <c r="CI98" s="633"/>
      <c r="CJ98" s="633"/>
      <c r="CK98" s="633"/>
      <c r="CL98" s="633"/>
      <c r="CM98" s="633"/>
      <c r="CN98" s="633"/>
      <c r="CO98" s="633"/>
      <c r="CP98" s="633"/>
      <c r="CQ98" s="631"/>
      <c r="CR98" s="633"/>
      <c r="CS98" s="633"/>
      <c r="CT98" s="633"/>
      <c r="CU98" s="631"/>
      <c r="CV98" s="633"/>
      <c r="CW98" s="633"/>
      <c r="CX98" s="634"/>
      <c r="CY98" s="634"/>
      <c r="CZ98" s="629"/>
      <c r="DA98" s="632"/>
      <c r="DD98" s="637"/>
      <c r="DE98" s="637"/>
      <c r="DF98" s="637"/>
      <c r="DG98" s="637"/>
      <c r="DH98" s="637"/>
      <c r="DI98" s="637"/>
      <c r="DJ98" s="637"/>
      <c r="DK98" s="637"/>
      <c r="DL98" s="637"/>
      <c r="DM98" s="637"/>
      <c r="DN98" s="637"/>
      <c r="DO98" s="637"/>
      <c r="DP98" s="634"/>
      <c r="DQ98" s="634"/>
      <c r="DR98" s="638"/>
      <c r="DS98" s="639"/>
      <c r="EH98" s="629"/>
      <c r="EI98" s="629"/>
    </row>
    <row r="99" spans="1:140" s="5" customFormat="1" ht="15.75" customHeight="1" x14ac:dyDescent="0.3">
      <c r="A99" s="640"/>
      <c r="B99" s="641" t="s">
        <v>85</v>
      </c>
      <c r="C99" s="642"/>
      <c r="D99" s="643"/>
      <c r="E99" s="643"/>
      <c r="F99" s="642"/>
      <c r="G99" s="642"/>
      <c r="H99" s="644"/>
      <c r="I99" s="644"/>
      <c r="J99" s="644"/>
      <c r="K99" s="644"/>
      <c r="L99" s="644"/>
      <c r="M99" s="644"/>
      <c r="N99" s="644"/>
      <c r="O99" s="644"/>
      <c r="P99" s="644"/>
      <c r="Q99" s="644"/>
      <c r="R99" s="644"/>
      <c r="S99" s="644"/>
      <c r="T99" s="644"/>
      <c r="U99" s="645"/>
      <c r="V99" s="646"/>
      <c r="W99" s="647"/>
      <c r="X99" s="643"/>
      <c r="Y99" s="643"/>
      <c r="Z99" s="642"/>
      <c r="AA99" s="642"/>
      <c r="AB99" s="644"/>
      <c r="AC99" s="644"/>
      <c r="AD99" s="644"/>
      <c r="AE99" s="644"/>
      <c r="AF99" s="644"/>
      <c r="AG99" s="644"/>
      <c r="AH99" s="644"/>
      <c r="AI99" s="644"/>
      <c r="AJ99" s="644"/>
      <c r="AK99" s="644"/>
      <c r="AL99" s="644"/>
      <c r="AM99" s="644"/>
      <c r="AN99" s="644"/>
      <c r="AO99" s="645"/>
      <c r="AP99" s="646"/>
      <c r="AQ99" s="647"/>
      <c r="AR99" s="643"/>
      <c r="AS99" s="643"/>
      <c r="AT99" s="642"/>
      <c r="AU99" s="642"/>
      <c r="AV99" s="644"/>
      <c r="AW99" s="644"/>
      <c r="AX99" s="644"/>
      <c r="AY99" s="644"/>
      <c r="AZ99" s="644"/>
      <c r="BA99" s="644"/>
      <c r="BB99" s="644"/>
      <c r="BC99" s="644"/>
      <c r="BD99" s="644"/>
      <c r="BE99" s="644"/>
      <c r="BF99" s="644"/>
      <c r="BG99" s="644"/>
      <c r="BH99" s="644"/>
      <c r="BI99" s="645"/>
      <c r="BJ99" s="646"/>
      <c r="BK99" s="647"/>
      <c r="BL99" s="643"/>
      <c r="BM99" s="643"/>
      <c r="BN99" s="642"/>
      <c r="BO99" s="642"/>
      <c r="BP99" s="644"/>
      <c r="BQ99" s="644"/>
      <c r="BR99" s="644"/>
      <c r="BS99" s="644"/>
      <c r="BT99" s="644"/>
      <c r="BU99" s="644"/>
      <c r="BV99" s="644"/>
      <c r="BW99" s="644"/>
      <c r="BX99" s="644"/>
      <c r="BY99" s="644"/>
      <c r="BZ99" s="644"/>
      <c r="CA99" s="644"/>
      <c r="CB99" s="644"/>
      <c r="CC99" s="645"/>
      <c r="CD99" s="646"/>
      <c r="CE99" s="647"/>
      <c r="CF99" s="648"/>
      <c r="CG99" s="649"/>
      <c r="CH99" s="649"/>
      <c r="CI99" s="649"/>
      <c r="CJ99" s="644"/>
      <c r="CK99" s="644"/>
      <c r="CL99" s="649"/>
      <c r="CM99" s="649"/>
      <c r="CN99" s="644"/>
      <c r="CO99" s="644"/>
      <c r="CP99" s="649"/>
      <c r="CQ99" s="650"/>
      <c r="CR99" s="644"/>
      <c r="CS99" s="644"/>
      <c r="CT99" s="649"/>
      <c r="CU99" s="650"/>
      <c r="CV99" s="644"/>
      <c r="CW99" s="644"/>
      <c r="CX99" s="646"/>
      <c r="CY99" s="647"/>
      <c r="CZ99" s="651"/>
      <c r="DA99" s="643"/>
      <c r="DB99" s="652"/>
      <c r="DC99" s="652"/>
      <c r="DD99" s="650"/>
      <c r="DE99" s="650"/>
      <c r="DF99" s="650"/>
      <c r="DG99" s="650"/>
      <c r="DH99" s="650"/>
      <c r="DI99" s="650"/>
      <c r="DJ99" s="650"/>
      <c r="DK99" s="650"/>
      <c r="DL99" s="650"/>
      <c r="DM99" s="650"/>
      <c r="DN99" s="650"/>
      <c r="DO99" s="650"/>
      <c r="DP99" s="646"/>
      <c r="DQ99" s="647"/>
      <c r="DR99" s="653"/>
      <c r="DS99" s="654"/>
      <c r="DT99" s="655"/>
      <c r="DU99" s="652"/>
      <c r="DV99" s="652"/>
      <c r="DW99" s="652"/>
      <c r="DX99" s="652"/>
      <c r="DY99" s="652"/>
      <c r="DZ99" s="652"/>
      <c r="EA99" s="652"/>
      <c r="EB99" s="652"/>
      <c r="EC99" s="652"/>
      <c r="ED99" s="652"/>
      <c r="EE99" s="652"/>
      <c r="EF99" s="652"/>
      <c r="EG99" s="652"/>
      <c r="EH99" s="656"/>
      <c r="EI99" s="647"/>
    </row>
    <row r="100" spans="1:140" s="667" customFormat="1" ht="15.75" customHeight="1" x14ac:dyDescent="0.25">
      <c r="A100" s="657"/>
      <c r="B100" s="658" t="s">
        <v>45</v>
      </c>
      <c r="C100" s="97"/>
      <c r="D100" s="93">
        <v>2159</v>
      </c>
      <c r="E100" s="93"/>
      <c r="F100" s="176">
        <v>100</v>
      </c>
      <c r="G100" s="97"/>
      <c r="H100" s="108" t="s">
        <v>44</v>
      </c>
      <c r="I100" s="108" t="s">
        <v>44</v>
      </c>
      <c r="J100" s="97">
        <v>631038</v>
      </c>
      <c r="K100" s="97"/>
      <c r="L100" s="108" t="s">
        <v>44</v>
      </c>
      <c r="M100" s="159" t="s">
        <v>44</v>
      </c>
      <c r="N100" s="102">
        <v>621148</v>
      </c>
      <c r="O100" s="97"/>
      <c r="P100" s="108" t="s">
        <v>44</v>
      </c>
      <c r="Q100" s="159" t="s">
        <v>44</v>
      </c>
      <c r="R100" s="97">
        <v>9890</v>
      </c>
      <c r="S100" s="97"/>
      <c r="T100" s="108" t="s">
        <v>44</v>
      </c>
      <c r="U100" s="159" t="s">
        <v>44</v>
      </c>
      <c r="V100" s="659">
        <v>292</v>
      </c>
      <c r="W100" s="660"/>
      <c r="X100" s="93">
        <v>2184.0000000000005</v>
      </c>
      <c r="Y100" s="93"/>
      <c r="Z100" s="176">
        <v>100</v>
      </c>
      <c r="AA100" s="97"/>
      <c r="AB100" s="108" t="s">
        <v>44</v>
      </c>
      <c r="AC100" s="108" t="s">
        <v>44</v>
      </c>
      <c r="AD100" s="97">
        <v>638374</v>
      </c>
      <c r="AE100" s="97"/>
      <c r="AF100" s="108" t="s">
        <v>44</v>
      </c>
      <c r="AG100" s="159" t="s">
        <v>44</v>
      </c>
      <c r="AH100" s="102">
        <v>628420</v>
      </c>
      <c r="AI100" s="97"/>
      <c r="AJ100" s="108" t="s">
        <v>44</v>
      </c>
      <c r="AK100" s="159" t="s">
        <v>44</v>
      </c>
      <c r="AL100" s="97">
        <v>9954</v>
      </c>
      <c r="AM100" s="97"/>
      <c r="AN100" s="108" t="s">
        <v>44</v>
      </c>
      <c r="AO100" s="159" t="s">
        <v>44</v>
      </c>
      <c r="AP100" s="659">
        <v>292</v>
      </c>
      <c r="AQ100" s="660"/>
      <c r="AR100" s="803">
        <v>2208</v>
      </c>
      <c r="AS100" s="93"/>
      <c r="AT100" s="176">
        <v>100</v>
      </c>
      <c r="AU100" s="97"/>
      <c r="AV100" s="108" t="s">
        <v>44</v>
      </c>
      <c r="AW100" s="108" t="s">
        <v>44</v>
      </c>
      <c r="AX100" s="97">
        <v>600517</v>
      </c>
      <c r="AY100" s="97"/>
      <c r="AZ100" s="108" t="s">
        <v>44</v>
      </c>
      <c r="BA100" s="159" t="s">
        <v>44</v>
      </c>
      <c r="BB100" s="102">
        <v>591469</v>
      </c>
      <c r="BC100" s="97"/>
      <c r="BD100" s="108" t="s">
        <v>44</v>
      </c>
      <c r="BE100" s="159" t="s">
        <v>44</v>
      </c>
      <c r="BF100" s="97">
        <v>9048</v>
      </c>
      <c r="BG100" s="97"/>
      <c r="BH100" s="108" t="s">
        <v>44</v>
      </c>
      <c r="BI100" s="159" t="s">
        <v>44</v>
      </c>
      <c r="BJ100" s="659">
        <v>272</v>
      </c>
      <c r="BK100" s="660"/>
      <c r="BL100" s="93">
        <v>2209</v>
      </c>
      <c r="BM100" s="93"/>
      <c r="BN100" s="176">
        <v>91.004979628791318</v>
      </c>
      <c r="BO100" s="97"/>
      <c r="BP100" s="108" t="s">
        <v>44</v>
      </c>
      <c r="BQ100" s="108" t="s">
        <v>44</v>
      </c>
      <c r="BR100" s="97">
        <v>653722</v>
      </c>
      <c r="BS100" s="97"/>
      <c r="BT100" s="108" t="s">
        <v>44</v>
      </c>
      <c r="BU100" s="159" t="s">
        <v>44</v>
      </c>
      <c r="BV100" s="102">
        <v>644673</v>
      </c>
      <c r="BW100" s="97"/>
      <c r="BX100" s="108" t="s">
        <v>44</v>
      </c>
      <c r="BY100" s="159" t="s">
        <v>44</v>
      </c>
      <c r="BZ100" s="97">
        <v>9049</v>
      </c>
      <c r="CA100" s="97"/>
      <c r="CB100" s="108" t="s">
        <v>44</v>
      </c>
      <c r="CC100" s="159" t="s">
        <v>44</v>
      </c>
      <c r="CD100" s="659">
        <v>296</v>
      </c>
      <c r="CE100" s="660"/>
      <c r="CF100" s="92">
        <v>8760</v>
      </c>
      <c r="CG100" s="97"/>
      <c r="CH100" s="93">
        <v>100</v>
      </c>
      <c r="CI100" s="97"/>
      <c r="CJ100" s="108" t="s">
        <v>44</v>
      </c>
      <c r="CK100" s="159" t="s">
        <v>44</v>
      </c>
      <c r="CL100" s="97">
        <v>2523651</v>
      </c>
      <c r="CM100" s="97"/>
      <c r="CN100" s="108" t="s">
        <v>44</v>
      </c>
      <c r="CO100" s="159" t="s">
        <v>44</v>
      </c>
      <c r="CP100" s="97">
        <v>2485710</v>
      </c>
      <c r="CQ100" s="97"/>
      <c r="CR100" s="108" t="s">
        <v>44</v>
      </c>
      <c r="CS100" s="159" t="s">
        <v>44</v>
      </c>
      <c r="CT100" s="97">
        <v>37941</v>
      </c>
      <c r="CU100" s="97"/>
      <c r="CV100" s="108" t="s">
        <v>44</v>
      </c>
      <c r="CW100" s="159" t="s">
        <v>44</v>
      </c>
      <c r="CX100" s="659">
        <v>288.08801369863016</v>
      </c>
      <c r="CY100" s="174"/>
      <c r="CZ100" s="661">
        <f t="shared" ref="CZ100:DA106" si="72">D100+X100</f>
        <v>4343</v>
      </c>
      <c r="DA100" s="97">
        <f t="shared" si="72"/>
        <v>0</v>
      </c>
      <c r="DB100" s="93">
        <f>DB13+DB19+DB28+DB33+DB39+DB45+DB50+DB71+DB77+DB56+DB26+DB83</f>
        <v>89.905595210683856</v>
      </c>
      <c r="DC100" s="111">
        <f>DC13+DC19+DC28+DC33+DC39+DC45+DC50+DC71+DC77+DC56+DC26+DC83</f>
        <v>0</v>
      </c>
      <c r="DD100" s="100">
        <f t="shared" ref="DD100:DO106" si="73">J100+AD100</f>
        <v>1269412</v>
      </c>
      <c r="DE100" s="120">
        <f t="shared" si="73"/>
        <v>0</v>
      </c>
      <c r="DF100" s="120" t="e">
        <f t="shared" si="73"/>
        <v>#VALUE!</v>
      </c>
      <c r="DG100" s="107" t="e">
        <f t="shared" si="73"/>
        <v>#VALUE!</v>
      </c>
      <c r="DH100" s="100">
        <f t="shared" si="73"/>
        <v>1249568</v>
      </c>
      <c r="DI100" s="120">
        <f t="shared" si="73"/>
        <v>0</v>
      </c>
      <c r="DJ100" s="120" t="e">
        <f t="shared" si="73"/>
        <v>#VALUE!</v>
      </c>
      <c r="DK100" s="107" t="e">
        <f t="shared" si="73"/>
        <v>#VALUE!</v>
      </c>
      <c r="DL100" s="100">
        <f t="shared" si="73"/>
        <v>19844</v>
      </c>
      <c r="DM100" s="107">
        <f t="shared" si="73"/>
        <v>0</v>
      </c>
      <c r="DN100" s="97" t="e">
        <f t="shared" si="73"/>
        <v>#VALUE!</v>
      </c>
      <c r="DO100" s="120" t="e">
        <f t="shared" si="73"/>
        <v>#VALUE!</v>
      </c>
      <c r="DP100" s="662">
        <f>ROUND((DD100/CZ100),0)</f>
        <v>292</v>
      </c>
      <c r="DQ100" s="663" t="e">
        <f>ROUND((DE100/DA100),0)</f>
        <v>#DIV/0!</v>
      </c>
      <c r="DR100" s="117">
        <f>CZ100-DA100</f>
        <v>4343</v>
      </c>
      <c r="DS100" s="401">
        <f>ABS((DR100/CZ100)*100)</f>
        <v>100</v>
      </c>
      <c r="DT100" s="104" t="e">
        <f>(DD100+DF100)-(DE100+DG100)</f>
        <v>#VALUE!</v>
      </c>
      <c r="DU100" s="401" t="e">
        <f t="shared" ref="DU100:DU106" si="74">ABS((DT100/(DD100+DF100))*100)</f>
        <v>#VALUE!</v>
      </c>
      <c r="DV100" s="102">
        <f>DD100-DE100</f>
        <v>1269412</v>
      </c>
      <c r="DW100" s="176">
        <f>ABS((DV100/DD100)*100)</f>
        <v>100</v>
      </c>
      <c r="DX100" s="97" t="e">
        <f>DF100-DG100</f>
        <v>#VALUE!</v>
      </c>
      <c r="DY100" s="401" t="e">
        <f>ABS((DX100/DF100)*100)</f>
        <v>#VALUE!</v>
      </c>
      <c r="DZ100" s="102">
        <f>DH100-DI100</f>
        <v>1249568</v>
      </c>
      <c r="EA100" s="176">
        <f>ABS((DZ100/DH100)*100)</f>
        <v>100</v>
      </c>
      <c r="EB100" s="97" t="e">
        <f>DJ100-DK100</f>
        <v>#VALUE!</v>
      </c>
      <c r="EC100" s="401" t="e">
        <f>ABS((EB100/DJ100)*100)</f>
        <v>#VALUE!</v>
      </c>
      <c r="ED100" s="102">
        <f>DL100-DM100</f>
        <v>19844</v>
      </c>
      <c r="EE100" s="176">
        <f>ABS((ED100/DL100)*100)</f>
        <v>100</v>
      </c>
      <c r="EF100" s="97" t="e">
        <f>DN100-DO100</f>
        <v>#VALUE!</v>
      </c>
      <c r="EG100" s="113" t="e">
        <f>ABS((EF100/DN100)*100)</f>
        <v>#VALUE!</v>
      </c>
      <c r="EH100" s="664" t="e">
        <f>DP100-DQ100</f>
        <v>#DIV/0!</v>
      </c>
      <c r="EI100" s="665" t="e">
        <f>ABS(EH100/DP100)*100</f>
        <v>#DIV/0!</v>
      </c>
      <c r="EJ100" s="666"/>
    </row>
    <row r="101" spans="1:140" s="667" customFormat="1" ht="15.75" customHeight="1" x14ac:dyDescent="0.25">
      <c r="A101" s="657"/>
      <c r="B101" s="658" t="s">
        <v>86</v>
      </c>
      <c r="C101" s="97"/>
      <c r="D101" s="93">
        <v>11.9</v>
      </c>
      <c r="E101" s="93"/>
      <c r="F101" s="176">
        <v>100</v>
      </c>
      <c r="G101" s="668"/>
      <c r="H101" s="108" t="s">
        <v>44</v>
      </c>
      <c r="I101" s="108" t="s">
        <v>44</v>
      </c>
      <c r="J101" s="97">
        <v>5526</v>
      </c>
      <c r="K101" s="97"/>
      <c r="L101" s="108" t="s">
        <v>44</v>
      </c>
      <c r="M101" s="159" t="s">
        <v>44</v>
      </c>
      <c r="N101" s="102">
        <v>5526</v>
      </c>
      <c r="O101" s="97"/>
      <c r="P101" s="108" t="s">
        <v>44</v>
      </c>
      <c r="Q101" s="159" t="s">
        <v>44</v>
      </c>
      <c r="R101" s="97">
        <v>0</v>
      </c>
      <c r="S101" s="97"/>
      <c r="T101" s="108" t="s">
        <v>44</v>
      </c>
      <c r="U101" s="159" t="s">
        <v>44</v>
      </c>
      <c r="V101" s="659">
        <v>464</v>
      </c>
      <c r="W101" s="660"/>
      <c r="X101" s="93">
        <v>11.9</v>
      </c>
      <c r="Y101" s="93"/>
      <c r="Z101" s="176">
        <v>100</v>
      </c>
      <c r="AA101" s="668"/>
      <c r="AB101" s="108" t="s">
        <v>44</v>
      </c>
      <c r="AC101" s="108" t="s">
        <v>44</v>
      </c>
      <c r="AD101" s="97">
        <v>5127</v>
      </c>
      <c r="AE101" s="97"/>
      <c r="AF101" s="108" t="s">
        <v>44</v>
      </c>
      <c r="AG101" s="159" t="s">
        <v>44</v>
      </c>
      <c r="AH101" s="102">
        <v>5127</v>
      </c>
      <c r="AI101" s="97"/>
      <c r="AJ101" s="108" t="s">
        <v>44</v>
      </c>
      <c r="AK101" s="159" t="s">
        <v>44</v>
      </c>
      <c r="AL101" s="97">
        <v>0</v>
      </c>
      <c r="AM101" s="97"/>
      <c r="AN101" s="108" t="s">
        <v>44</v>
      </c>
      <c r="AO101" s="159" t="s">
        <v>44</v>
      </c>
      <c r="AP101" s="659">
        <v>431</v>
      </c>
      <c r="AQ101" s="660"/>
      <c r="AR101" s="803">
        <v>11.9</v>
      </c>
      <c r="AS101" s="93"/>
      <c r="AT101" s="176">
        <v>100</v>
      </c>
      <c r="AU101" s="668"/>
      <c r="AV101" s="108" t="s">
        <v>44</v>
      </c>
      <c r="AW101" s="108" t="s">
        <v>44</v>
      </c>
      <c r="AX101" s="97">
        <v>5186</v>
      </c>
      <c r="AY101" s="97"/>
      <c r="AZ101" s="108" t="s">
        <v>44</v>
      </c>
      <c r="BA101" s="159" t="s">
        <v>44</v>
      </c>
      <c r="BB101" s="102">
        <v>5186</v>
      </c>
      <c r="BC101" s="97"/>
      <c r="BD101" s="108" t="s">
        <v>44</v>
      </c>
      <c r="BE101" s="159" t="s">
        <v>44</v>
      </c>
      <c r="BF101" s="97">
        <v>0</v>
      </c>
      <c r="BG101" s="97"/>
      <c r="BH101" s="108" t="s">
        <v>44</v>
      </c>
      <c r="BI101" s="159" t="s">
        <v>44</v>
      </c>
      <c r="BJ101" s="659">
        <v>436</v>
      </c>
      <c r="BK101" s="660"/>
      <c r="BL101" s="93">
        <v>11.9</v>
      </c>
      <c r="BM101" s="93"/>
      <c r="BN101" s="176">
        <v>100</v>
      </c>
      <c r="BO101" s="668"/>
      <c r="BP101" s="108" t="s">
        <v>44</v>
      </c>
      <c r="BQ101" s="108" t="s">
        <v>44</v>
      </c>
      <c r="BR101" s="97">
        <v>5600</v>
      </c>
      <c r="BS101" s="97"/>
      <c r="BT101" s="108" t="s">
        <v>44</v>
      </c>
      <c r="BU101" s="159" t="s">
        <v>44</v>
      </c>
      <c r="BV101" s="102">
        <v>5600</v>
      </c>
      <c r="BW101" s="97"/>
      <c r="BX101" s="108" t="s">
        <v>44</v>
      </c>
      <c r="BY101" s="159" t="s">
        <v>44</v>
      </c>
      <c r="BZ101" s="97">
        <v>0</v>
      </c>
      <c r="CA101" s="97"/>
      <c r="CB101" s="108" t="s">
        <v>44</v>
      </c>
      <c r="CC101" s="159" t="s">
        <v>44</v>
      </c>
      <c r="CD101" s="659">
        <v>471</v>
      </c>
      <c r="CE101" s="660"/>
      <c r="CF101" s="92">
        <v>47.6</v>
      </c>
      <c r="CG101" s="97"/>
      <c r="CH101" s="93">
        <v>100</v>
      </c>
      <c r="CI101" s="97"/>
      <c r="CJ101" s="108" t="s">
        <v>44</v>
      </c>
      <c r="CK101" s="159" t="s">
        <v>44</v>
      </c>
      <c r="CL101" s="97">
        <v>21439</v>
      </c>
      <c r="CM101" s="97"/>
      <c r="CN101" s="108" t="s">
        <v>44</v>
      </c>
      <c r="CO101" s="159" t="s">
        <v>44</v>
      </c>
      <c r="CP101" s="97">
        <v>21439</v>
      </c>
      <c r="CQ101" s="97"/>
      <c r="CR101" s="108" t="s">
        <v>44</v>
      </c>
      <c r="CS101" s="159" t="s">
        <v>44</v>
      </c>
      <c r="CT101" s="97">
        <v>0</v>
      </c>
      <c r="CU101" s="97"/>
      <c r="CV101" s="108" t="s">
        <v>44</v>
      </c>
      <c r="CW101" s="159" t="s">
        <v>44</v>
      </c>
      <c r="CX101" s="659">
        <v>450.39915966386553</v>
      </c>
      <c r="CY101" s="174"/>
      <c r="CZ101" s="92">
        <f t="shared" si="72"/>
        <v>23.8</v>
      </c>
      <c r="DA101" s="93">
        <f t="shared" si="72"/>
        <v>0</v>
      </c>
      <c r="DB101" s="93">
        <f>DB24</f>
        <v>96.069868995633186</v>
      </c>
      <c r="DC101" s="111">
        <f>DC24</f>
        <v>0</v>
      </c>
      <c r="DD101" s="376">
        <f t="shared" si="73"/>
        <v>10653</v>
      </c>
      <c r="DE101" s="120">
        <f t="shared" si="73"/>
        <v>0</v>
      </c>
      <c r="DF101" s="120" t="e">
        <f t="shared" si="73"/>
        <v>#VALUE!</v>
      </c>
      <c r="DG101" s="107" t="e">
        <f t="shared" si="73"/>
        <v>#VALUE!</v>
      </c>
      <c r="DH101" s="376">
        <f t="shared" si="73"/>
        <v>10653</v>
      </c>
      <c r="DI101" s="120">
        <f t="shared" si="73"/>
        <v>0</v>
      </c>
      <c r="DJ101" s="120" t="e">
        <f t="shared" si="73"/>
        <v>#VALUE!</v>
      </c>
      <c r="DK101" s="107" t="e">
        <f t="shared" si="73"/>
        <v>#VALUE!</v>
      </c>
      <c r="DL101" s="376">
        <f t="shared" si="73"/>
        <v>0</v>
      </c>
      <c r="DM101" s="107">
        <f t="shared" si="73"/>
        <v>0</v>
      </c>
      <c r="DN101" s="120" t="e">
        <f t="shared" si="73"/>
        <v>#VALUE!</v>
      </c>
      <c r="DO101" s="120" t="e">
        <f t="shared" si="73"/>
        <v>#VALUE!</v>
      </c>
      <c r="DP101" s="662">
        <f>ROUND((DD101/CZ101),0)</f>
        <v>448</v>
      </c>
      <c r="DQ101" s="663" t="e">
        <f t="shared" ref="DQ101:DQ106" si="75">ROUND((DE101/DA101),0)</f>
        <v>#DIV/0!</v>
      </c>
      <c r="DR101" s="117">
        <f t="shared" ref="DR101:DR106" si="76">CZ101-DA101</f>
        <v>23.8</v>
      </c>
      <c r="DS101" s="401">
        <f>ABS((DR101/CZ101)*100)</f>
        <v>100</v>
      </c>
      <c r="DT101" s="104" t="e">
        <f t="shared" ref="DT101:DT106" si="77">(DD101+DF101)-(DE101+DG101)</f>
        <v>#VALUE!</v>
      </c>
      <c r="DU101" s="401" t="e">
        <f t="shared" si="74"/>
        <v>#VALUE!</v>
      </c>
      <c r="DV101" s="102">
        <f t="shared" ref="DV101:DV106" si="78">DD101-DE101</f>
        <v>10653</v>
      </c>
      <c r="DW101" s="176">
        <f t="shared" ref="DW101:DW106" si="79">ABS((DV101/DD101)*100)</f>
        <v>100</v>
      </c>
      <c r="DX101" s="97" t="e">
        <f t="shared" ref="DX101:DX106" si="80">DF101-DG101</f>
        <v>#VALUE!</v>
      </c>
      <c r="DY101" s="401" t="e">
        <f t="shared" ref="DY101:DY105" si="81">ABS((DX101/DF101)*100)</f>
        <v>#VALUE!</v>
      </c>
      <c r="DZ101" s="102">
        <f t="shared" ref="DZ101:DZ106" si="82">DH101-DI101</f>
        <v>10653</v>
      </c>
      <c r="EA101" s="176">
        <f t="shared" ref="EA101:EA106" si="83">ABS((DZ101/DH101)*100)</f>
        <v>100</v>
      </c>
      <c r="EB101" s="97" t="e">
        <f t="shared" ref="EB101:EB106" si="84">DJ101-DK101</f>
        <v>#VALUE!</v>
      </c>
      <c r="EC101" s="401" t="e">
        <f t="shared" ref="EC101:EC105" si="85">ABS((EB101/DJ101)*100)</f>
        <v>#VALUE!</v>
      </c>
      <c r="ED101" s="102">
        <f t="shared" ref="ED101:ED106" si="86">DL101-DM101</f>
        <v>0</v>
      </c>
      <c r="EE101" s="176">
        <v>0</v>
      </c>
      <c r="EF101" s="97" t="e">
        <f t="shared" ref="EF101:EF106" si="87">DN101-DO101</f>
        <v>#VALUE!</v>
      </c>
      <c r="EG101" s="113" t="e">
        <f t="shared" ref="EG101:EG105" si="88">ABS((EF101/DN101)*100)</f>
        <v>#VALUE!</v>
      </c>
      <c r="EH101" s="664" t="e">
        <f>DP101-DQ101</f>
        <v>#DIV/0!</v>
      </c>
      <c r="EI101" s="665" t="e">
        <f t="shared" ref="EI101:EI106" si="89">ABS(EH101/DP101)*100</f>
        <v>#DIV/0!</v>
      </c>
      <c r="EJ101" s="666"/>
    </row>
    <row r="102" spans="1:140" s="667" customFormat="1" ht="15.75" customHeight="1" x14ac:dyDescent="0.25">
      <c r="A102" s="657"/>
      <c r="B102" s="658" t="s">
        <v>46</v>
      </c>
      <c r="C102" s="97"/>
      <c r="D102" s="93">
        <v>2159</v>
      </c>
      <c r="E102" s="93"/>
      <c r="F102" s="176">
        <v>99.999999999999986</v>
      </c>
      <c r="G102" s="97"/>
      <c r="H102" s="108" t="s">
        <v>44</v>
      </c>
      <c r="I102" s="108" t="s">
        <v>44</v>
      </c>
      <c r="J102" s="97">
        <v>86185</v>
      </c>
      <c r="K102" s="97"/>
      <c r="L102" s="108" t="s">
        <v>44</v>
      </c>
      <c r="M102" s="159" t="s">
        <v>44</v>
      </c>
      <c r="N102" s="102">
        <v>86185</v>
      </c>
      <c r="O102" s="97"/>
      <c r="P102" s="108" t="s">
        <v>44</v>
      </c>
      <c r="Q102" s="159" t="s">
        <v>44</v>
      </c>
      <c r="R102" s="97">
        <v>0</v>
      </c>
      <c r="S102" s="97"/>
      <c r="T102" s="108" t="s">
        <v>44</v>
      </c>
      <c r="U102" s="159" t="s">
        <v>44</v>
      </c>
      <c r="V102" s="659">
        <v>40</v>
      </c>
      <c r="W102" s="660"/>
      <c r="X102" s="93">
        <v>2184</v>
      </c>
      <c r="Y102" s="93"/>
      <c r="Z102" s="176">
        <v>100</v>
      </c>
      <c r="AA102" s="97"/>
      <c r="AB102" s="108" t="s">
        <v>44</v>
      </c>
      <c r="AC102" s="108" t="s">
        <v>44</v>
      </c>
      <c r="AD102" s="97">
        <v>89646</v>
      </c>
      <c r="AE102" s="97"/>
      <c r="AF102" s="108" t="s">
        <v>44</v>
      </c>
      <c r="AG102" s="159" t="s">
        <v>44</v>
      </c>
      <c r="AH102" s="102">
        <v>89646</v>
      </c>
      <c r="AI102" s="97"/>
      <c r="AJ102" s="108" t="s">
        <v>44</v>
      </c>
      <c r="AK102" s="159" t="s">
        <v>44</v>
      </c>
      <c r="AL102" s="97">
        <v>0</v>
      </c>
      <c r="AM102" s="97"/>
      <c r="AN102" s="108" t="s">
        <v>44</v>
      </c>
      <c r="AO102" s="159" t="s">
        <v>44</v>
      </c>
      <c r="AP102" s="659">
        <v>41</v>
      </c>
      <c r="AQ102" s="660"/>
      <c r="AR102" s="803">
        <v>2207.9999999999995</v>
      </c>
      <c r="AS102" s="93"/>
      <c r="AT102" s="176">
        <v>99.999999999999986</v>
      </c>
      <c r="AU102" s="97"/>
      <c r="AV102" s="108" t="s">
        <v>44</v>
      </c>
      <c r="AW102" s="108" t="s">
        <v>44</v>
      </c>
      <c r="AX102" s="97">
        <v>89790</v>
      </c>
      <c r="AY102" s="97"/>
      <c r="AZ102" s="108" t="s">
        <v>44</v>
      </c>
      <c r="BA102" s="159" t="s">
        <v>44</v>
      </c>
      <c r="BB102" s="102">
        <v>89790</v>
      </c>
      <c r="BC102" s="97"/>
      <c r="BD102" s="108" t="s">
        <v>44</v>
      </c>
      <c r="BE102" s="159" t="s">
        <v>44</v>
      </c>
      <c r="BF102" s="97">
        <v>0</v>
      </c>
      <c r="BG102" s="97"/>
      <c r="BH102" s="108" t="s">
        <v>44</v>
      </c>
      <c r="BI102" s="159" t="s">
        <v>44</v>
      </c>
      <c r="BJ102" s="659">
        <v>41</v>
      </c>
      <c r="BK102" s="660"/>
      <c r="BL102" s="93">
        <v>2208.9999999999991</v>
      </c>
      <c r="BM102" s="93"/>
      <c r="BN102" s="176">
        <v>99.999999999999986</v>
      </c>
      <c r="BO102" s="97"/>
      <c r="BP102" s="108" t="s">
        <v>44</v>
      </c>
      <c r="BQ102" s="108" t="s">
        <v>44</v>
      </c>
      <c r="BR102" s="97">
        <v>88018</v>
      </c>
      <c r="BS102" s="97"/>
      <c r="BT102" s="108" t="s">
        <v>44</v>
      </c>
      <c r="BU102" s="159" t="s">
        <v>44</v>
      </c>
      <c r="BV102" s="102">
        <v>88018</v>
      </c>
      <c r="BW102" s="97"/>
      <c r="BX102" s="108" t="s">
        <v>44</v>
      </c>
      <c r="BY102" s="159" t="s">
        <v>44</v>
      </c>
      <c r="BZ102" s="97">
        <v>0</v>
      </c>
      <c r="CA102" s="97"/>
      <c r="CB102" s="108" t="s">
        <v>44</v>
      </c>
      <c r="CC102" s="159" t="s">
        <v>44</v>
      </c>
      <c r="CD102" s="659">
        <v>40</v>
      </c>
      <c r="CE102" s="660"/>
      <c r="CF102" s="92">
        <v>8760.0000000000018</v>
      </c>
      <c r="CG102" s="97"/>
      <c r="CH102" s="93">
        <v>100.00000000000001</v>
      </c>
      <c r="CI102" s="97"/>
      <c r="CJ102" s="108" t="s">
        <v>44</v>
      </c>
      <c r="CK102" s="159" t="s">
        <v>44</v>
      </c>
      <c r="CL102" s="97">
        <v>353639</v>
      </c>
      <c r="CM102" s="97"/>
      <c r="CN102" s="108" t="s">
        <v>44</v>
      </c>
      <c r="CO102" s="159" t="s">
        <v>44</v>
      </c>
      <c r="CP102" s="97">
        <v>353639</v>
      </c>
      <c r="CQ102" s="97"/>
      <c r="CR102" s="108" t="s">
        <v>44</v>
      </c>
      <c r="CS102" s="159" t="s">
        <v>44</v>
      </c>
      <c r="CT102" s="97">
        <v>0</v>
      </c>
      <c r="CU102" s="97"/>
      <c r="CV102" s="108" t="s">
        <v>44</v>
      </c>
      <c r="CW102" s="159" t="s">
        <v>44</v>
      </c>
      <c r="CX102" s="659">
        <v>40.36974885844748</v>
      </c>
      <c r="CY102" s="174"/>
      <c r="CZ102" s="661">
        <f t="shared" si="72"/>
        <v>4343</v>
      </c>
      <c r="DA102" s="97">
        <f t="shared" si="72"/>
        <v>0</v>
      </c>
      <c r="DB102" s="93">
        <f>DB14+DB20+DB29+DB40+DB46+DB51+DB57+DB72+DB78+DB84+DB34</f>
        <v>99.999999999999986</v>
      </c>
      <c r="DC102" s="111">
        <f>DC14+DC20+DC29+DC40+DC46+DC51+DC57+DC72+DC78+DC84+DC34</f>
        <v>0</v>
      </c>
      <c r="DD102" s="376">
        <f t="shared" si="73"/>
        <v>175831</v>
      </c>
      <c r="DE102" s="120">
        <f t="shared" si="73"/>
        <v>0</v>
      </c>
      <c r="DF102" s="120" t="e">
        <f t="shared" si="73"/>
        <v>#VALUE!</v>
      </c>
      <c r="DG102" s="107" t="e">
        <f t="shared" si="73"/>
        <v>#VALUE!</v>
      </c>
      <c r="DH102" s="376">
        <f t="shared" si="73"/>
        <v>175831</v>
      </c>
      <c r="DI102" s="120">
        <f t="shared" si="73"/>
        <v>0</v>
      </c>
      <c r="DJ102" s="120" t="e">
        <f t="shared" si="73"/>
        <v>#VALUE!</v>
      </c>
      <c r="DK102" s="107" t="e">
        <f t="shared" si="73"/>
        <v>#VALUE!</v>
      </c>
      <c r="DL102" s="376">
        <f t="shared" si="73"/>
        <v>0</v>
      </c>
      <c r="DM102" s="107">
        <f t="shared" si="73"/>
        <v>0</v>
      </c>
      <c r="DN102" s="120" t="e">
        <f t="shared" si="73"/>
        <v>#VALUE!</v>
      </c>
      <c r="DO102" s="120" t="e">
        <f t="shared" si="73"/>
        <v>#VALUE!</v>
      </c>
      <c r="DP102" s="662">
        <f t="shared" ref="DP102:DP106" si="90">ROUND((DD102/CZ102),0)</f>
        <v>40</v>
      </c>
      <c r="DQ102" s="663" t="e">
        <f t="shared" si="75"/>
        <v>#DIV/0!</v>
      </c>
      <c r="DR102" s="117">
        <f t="shared" si="76"/>
        <v>4343</v>
      </c>
      <c r="DS102" s="401">
        <f t="shared" ref="DS102:DS106" si="91">ABS((DR102/CZ102)*100)</f>
        <v>100</v>
      </c>
      <c r="DT102" s="104" t="e">
        <f t="shared" si="77"/>
        <v>#VALUE!</v>
      </c>
      <c r="DU102" s="401" t="e">
        <f t="shared" si="74"/>
        <v>#VALUE!</v>
      </c>
      <c r="DV102" s="102">
        <f t="shared" si="78"/>
        <v>175831</v>
      </c>
      <c r="DW102" s="176">
        <f t="shared" si="79"/>
        <v>100</v>
      </c>
      <c r="DX102" s="97" t="e">
        <f t="shared" si="80"/>
        <v>#VALUE!</v>
      </c>
      <c r="DY102" s="401" t="e">
        <f t="shared" si="81"/>
        <v>#VALUE!</v>
      </c>
      <c r="DZ102" s="102">
        <f t="shared" si="82"/>
        <v>175831</v>
      </c>
      <c r="EA102" s="176">
        <f t="shared" si="83"/>
        <v>100</v>
      </c>
      <c r="EB102" s="97" t="e">
        <f t="shared" si="84"/>
        <v>#VALUE!</v>
      </c>
      <c r="EC102" s="401" t="e">
        <f t="shared" si="85"/>
        <v>#VALUE!</v>
      </c>
      <c r="ED102" s="102">
        <f t="shared" si="86"/>
        <v>0</v>
      </c>
      <c r="EE102" s="176">
        <v>0</v>
      </c>
      <c r="EF102" s="97" t="e">
        <f t="shared" si="87"/>
        <v>#VALUE!</v>
      </c>
      <c r="EG102" s="113" t="e">
        <f t="shared" si="88"/>
        <v>#VALUE!</v>
      </c>
      <c r="EH102" s="664" t="e">
        <f t="shared" ref="EH102:EH106" si="92">DP102-DQ102</f>
        <v>#DIV/0!</v>
      </c>
      <c r="EI102" s="665" t="e">
        <f t="shared" si="89"/>
        <v>#DIV/0!</v>
      </c>
      <c r="EJ102" s="666"/>
    </row>
    <row r="103" spans="1:140" s="667" customFormat="1" ht="15.75" customHeight="1" x14ac:dyDescent="0.25">
      <c r="A103" s="657"/>
      <c r="B103" s="658" t="s">
        <v>47</v>
      </c>
      <c r="C103" s="97"/>
      <c r="D103" s="93">
        <v>2159.0000000000005</v>
      </c>
      <c r="E103" s="93"/>
      <c r="F103" s="176">
        <v>100.00000000000001</v>
      </c>
      <c r="G103" s="97"/>
      <c r="H103" s="108" t="s">
        <v>44</v>
      </c>
      <c r="I103" s="108" t="s">
        <v>44</v>
      </c>
      <c r="J103" s="97">
        <v>147111</v>
      </c>
      <c r="K103" s="97"/>
      <c r="L103" s="108" t="s">
        <v>44</v>
      </c>
      <c r="M103" s="159" t="s">
        <v>44</v>
      </c>
      <c r="N103" s="102">
        <v>147111</v>
      </c>
      <c r="O103" s="97"/>
      <c r="P103" s="108" t="s">
        <v>44</v>
      </c>
      <c r="Q103" s="159" t="s">
        <v>44</v>
      </c>
      <c r="R103" s="97">
        <v>0</v>
      </c>
      <c r="S103" s="97"/>
      <c r="T103" s="108" t="s">
        <v>44</v>
      </c>
      <c r="U103" s="159" t="s">
        <v>44</v>
      </c>
      <c r="V103" s="659">
        <v>68</v>
      </c>
      <c r="W103" s="660"/>
      <c r="X103" s="93">
        <v>2184.0000000000005</v>
      </c>
      <c r="Y103" s="93"/>
      <c r="Z103" s="176">
        <v>100</v>
      </c>
      <c r="AA103" s="97"/>
      <c r="AB103" s="108" t="s">
        <v>44</v>
      </c>
      <c r="AC103" s="108" t="s">
        <v>44</v>
      </c>
      <c r="AD103" s="97">
        <v>134580</v>
      </c>
      <c r="AE103" s="97"/>
      <c r="AF103" s="108" t="s">
        <v>44</v>
      </c>
      <c r="AG103" s="159" t="s">
        <v>44</v>
      </c>
      <c r="AH103" s="102">
        <v>134580</v>
      </c>
      <c r="AI103" s="97"/>
      <c r="AJ103" s="108" t="s">
        <v>44</v>
      </c>
      <c r="AK103" s="159" t="s">
        <v>44</v>
      </c>
      <c r="AL103" s="97">
        <v>0</v>
      </c>
      <c r="AM103" s="97"/>
      <c r="AN103" s="108" t="s">
        <v>44</v>
      </c>
      <c r="AO103" s="159" t="s">
        <v>44</v>
      </c>
      <c r="AP103" s="659">
        <v>62</v>
      </c>
      <c r="AQ103" s="660"/>
      <c r="AR103" s="803">
        <v>2208.0000000000005</v>
      </c>
      <c r="AS103" s="93"/>
      <c r="AT103" s="176">
        <v>100</v>
      </c>
      <c r="AU103" s="97"/>
      <c r="AV103" s="108" t="s">
        <v>44</v>
      </c>
      <c r="AW103" s="108" t="s">
        <v>44</v>
      </c>
      <c r="AX103" s="97">
        <v>119620</v>
      </c>
      <c r="AY103" s="97"/>
      <c r="AZ103" s="108" t="s">
        <v>44</v>
      </c>
      <c r="BA103" s="159" t="s">
        <v>44</v>
      </c>
      <c r="BB103" s="102">
        <v>119620</v>
      </c>
      <c r="BC103" s="97"/>
      <c r="BD103" s="108" t="s">
        <v>44</v>
      </c>
      <c r="BE103" s="159" t="s">
        <v>44</v>
      </c>
      <c r="BF103" s="97">
        <v>0</v>
      </c>
      <c r="BG103" s="97"/>
      <c r="BH103" s="108" t="s">
        <v>44</v>
      </c>
      <c r="BI103" s="159" t="s">
        <v>44</v>
      </c>
      <c r="BJ103" s="659">
        <v>54</v>
      </c>
      <c r="BK103" s="660"/>
      <c r="BL103" s="93">
        <v>2209</v>
      </c>
      <c r="BM103" s="93"/>
      <c r="BN103" s="176">
        <v>86.405613399728395</v>
      </c>
      <c r="BO103" s="97"/>
      <c r="BP103" s="108" t="s">
        <v>44</v>
      </c>
      <c r="BQ103" s="108" t="s">
        <v>44</v>
      </c>
      <c r="BR103" s="97">
        <v>138493</v>
      </c>
      <c r="BS103" s="97"/>
      <c r="BT103" s="108" t="s">
        <v>44</v>
      </c>
      <c r="BU103" s="159" t="s">
        <v>44</v>
      </c>
      <c r="BV103" s="102">
        <v>138493</v>
      </c>
      <c r="BW103" s="97"/>
      <c r="BX103" s="108" t="s">
        <v>44</v>
      </c>
      <c r="BY103" s="159" t="s">
        <v>44</v>
      </c>
      <c r="BZ103" s="97">
        <v>0</v>
      </c>
      <c r="CA103" s="97"/>
      <c r="CB103" s="108" t="s">
        <v>44</v>
      </c>
      <c r="CC103" s="159" t="s">
        <v>44</v>
      </c>
      <c r="CD103" s="659">
        <v>63</v>
      </c>
      <c r="CE103" s="660"/>
      <c r="CF103" s="92">
        <v>8760</v>
      </c>
      <c r="CG103" s="97"/>
      <c r="CH103" s="93">
        <v>100</v>
      </c>
      <c r="CI103" s="97"/>
      <c r="CJ103" s="108" t="s">
        <v>44</v>
      </c>
      <c r="CK103" s="159" t="s">
        <v>44</v>
      </c>
      <c r="CL103" s="97">
        <v>539804</v>
      </c>
      <c r="CM103" s="97"/>
      <c r="CN103" s="108" t="s">
        <v>44</v>
      </c>
      <c r="CO103" s="159" t="s">
        <v>44</v>
      </c>
      <c r="CP103" s="97">
        <v>539804</v>
      </c>
      <c r="CQ103" s="97"/>
      <c r="CR103" s="108" t="s">
        <v>44</v>
      </c>
      <c r="CS103" s="159" t="s">
        <v>44</v>
      </c>
      <c r="CT103" s="97">
        <v>0</v>
      </c>
      <c r="CU103" s="97"/>
      <c r="CV103" s="108" t="s">
        <v>44</v>
      </c>
      <c r="CW103" s="159" t="s">
        <v>44</v>
      </c>
      <c r="CX103" s="659">
        <v>61.621461187214614</v>
      </c>
      <c r="CY103" s="174"/>
      <c r="CZ103" s="661">
        <f t="shared" si="72"/>
        <v>4343.0000000000009</v>
      </c>
      <c r="DA103" s="97">
        <f t="shared" si="72"/>
        <v>0</v>
      </c>
      <c r="DB103" s="93">
        <f>DB15+DB35+DB41+DB52+DB58+DB73+DB79+DB21+DB85</f>
        <v>82.954179138844125</v>
      </c>
      <c r="DC103" s="111">
        <f>DC15+DC35+DC41+DC52+DC58+DC73+DC79+DC21+DC85</f>
        <v>0</v>
      </c>
      <c r="DD103" s="376">
        <f t="shared" si="73"/>
        <v>281691</v>
      </c>
      <c r="DE103" s="120">
        <f t="shared" si="73"/>
        <v>0</v>
      </c>
      <c r="DF103" s="120" t="e">
        <f t="shared" si="73"/>
        <v>#VALUE!</v>
      </c>
      <c r="DG103" s="107" t="e">
        <f t="shared" si="73"/>
        <v>#VALUE!</v>
      </c>
      <c r="DH103" s="376">
        <f t="shared" si="73"/>
        <v>281691</v>
      </c>
      <c r="DI103" s="120">
        <f t="shared" si="73"/>
        <v>0</v>
      </c>
      <c r="DJ103" s="120" t="e">
        <f t="shared" si="73"/>
        <v>#VALUE!</v>
      </c>
      <c r="DK103" s="107" t="e">
        <f t="shared" si="73"/>
        <v>#VALUE!</v>
      </c>
      <c r="DL103" s="376">
        <f t="shared" si="73"/>
        <v>0</v>
      </c>
      <c r="DM103" s="107">
        <f t="shared" si="73"/>
        <v>0</v>
      </c>
      <c r="DN103" s="120" t="e">
        <f t="shared" si="73"/>
        <v>#VALUE!</v>
      </c>
      <c r="DO103" s="120" t="e">
        <f t="shared" si="73"/>
        <v>#VALUE!</v>
      </c>
      <c r="DP103" s="662">
        <f t="shared" si="90"/>
        <v>65</v>
      </c>
      <c r="DQ103" s="663" t="e">
        <f t="shared" si="75"/>
        <v>#DIV/0!</v>
      </c>
      <c r="DR103" s="117">
        <f t="shared" si="76"/>
        <v>4343.0000000000009</v>
      </c>
      <c r="DS103" s="401">
        <f t="shared" si="91"/>
        <v>100</v>
      </c>
      <c r="DT103" s="104" t="e">
        <f t="shared" si="77"/>
        <v>#VALUE!</v>
      </c>
      <c r="DU103" s="401" t="e">
        <f t="shared" si="74"/>
        <v>#VALUE!</v>
      </c>
      <c r="DV103" s="102">
        <f t="shared" si="78"/>
        <v>281691</v>
      </c>
      <c r="DW103" s="176">
        <f t="shared" si="79"/>
        <v>100</v>
      </c>
      <c r="DX103" s="97" t="e">
        <f t="shared" si="80"/>
        <v>#VALUE!</v>
      </c>
      <c r="DY103" s="401" t="e">
        <f t="shared" si="81"/>
        <v>#VALUE!</v>
      </c>
      <c r="DZ103" s="102">
        <f t="shared" si="82"/>
        <v>281691</v>
      </c>
      <c r="EA103" s="176">
        <f t="shared" si="83"/>
        <v>100</v>
      </c>
      <c r="EB103" s="97" t="e">
        <f t="shared" si="84"/>
        <v>#VALUE!</v>
      </c>
      <c r="EC103" s="401" t="e">
        <f t="shared" si="85"/>
        <v>#VALUE!</v>
      </c>
      <c r="ED103" s="102">
        <f t="shared" si="86"/>
        <v>0</v>
      </c>
      <c r="EE103" s="176">
        <v>0</v>
      </c>
      <c r="EF103" s="97" t="e">
        <f t="shared" si="87"/>
        <v>#VALUE!</v>
      </c>
      <c r="EG103" s="113" t="e">
        <f t="shared" si="88"/>
        <v>#VALUE!</v>
      </c>
      <c r="EH103" s="664" t="e">
        <f t="shared" si="92"/>
        <v>#DIV/0!</v>
      </c>
      <c r="EI103" s="665" t="e">
        <f t="shared" si="89"/>
        <v>#DIV/0!</v>
      </c>
      <c r="EJ103" s="666"/>
    </row>
    <row r="104" spans="1:140" s="667" customFormat="1" ht="15.75" customHeight="1" x14ac:dyDescent="0.25">
      <c r="A104" s="657"/>
      <c r="B104" s="658" t="s">
        <v>48</v>
      </c>
      <c r="C104" s="97"/>
      <c r="D104" s="93">
        <v>2158.9999999999995</v>
      </c>
      <c r="E104" s="93"/>
      <c r="F104" s="176">
        <v>99.999999999999986</v>
      </c>
      <c r="G104" s="97"/>
      <c r="H104" s="108" t="s">
        <v>44</v>
      </c>
      <c r="I104" s="108" t="s">
        <v>44</v>
      </c>
      <c r="J104" s="97">
        <v>258907</v>
      </c>
      <c r="K104" s="97"/>
      <c r="L104" s="108" t="s">
        <v>44</v>
      </c>
      <c r="M104" s="159" t="s">
        <v>44</v>
      </c>
      <c r="N104" s="102">
        <v>249985</v>
      </c>
      <c r="O104" s="97"/>
      <c r="P104" s="108" t="s">
        <v>44</v>
      </c>
      <c r="Q104" s="159" t="s">
        <v>44</v>
      </c>
      <c r="R104" s="97">
        <v>8922</v>
      </c>
      <c r="S104" s="97"/>
      <c r="T104" s="108" t="s">
        <v>44</v>
      </c>
      <c r="U104" s="159" t="s">
        <v>44</v>
      </c>
      <c r="V104" s="659">
        <v>120</v>
      </c>
      <c r="W104" s="660"/>
      <c r="X104" s="93">
        <v>2184</v>
      </c>
      <c r="Y104" s="93"/>
      <c r="Z104" s="176">
        <v>100</v>
      </c>
      <c r="AA104" s="97"/>
      <c r="AB104" s="108" t="s">
        <v>44</v>
      </c>
      <c r="AC104" s="108" t="s">
        <v>44</v>
      </c>
      <c r="AD104" s="97">
        <v>257039</v>
      </c>
      <c r="AE104" s="97"/>
      <c r="AF104" s="108" t="s">
        <v>44</v>
      </c>
      <c r="AG104" s="159" t="s">
        <v>44</v>
      </c>
      <c r="AH104" s="102">
        <v>251820</v>
      </c>
      <c r="AI104" s="97"/>
      <c r="AJ104" s="108" t="s">
        <v>44</v>
      </c>
      <c r="AK104" s="159" t="s">
        <v>44</v>
      </c>
      <c r="AL104" s="97">
        <v>5219</v>
      </c>
      <c r="AM104" s="97"/>
      <c r="AN104" s="108" t="s">
        <v>44</v>
      </c>
      <c r="AO104" s="159" t="s">
        <v>44</v>
      </c>
      <c r="AP104" s="659">
        <v>118</v>
      </c>
      <c r="AQ104" s="660"/>
      <c r="AR104" s="803">
        <v>2207.9999999999995</v>
      </c>
      <c r="AS104" s="93"/>
      <c r="AT104" s="176">
        <v>100</v>
      </c>
      <c r="AU104" s="97"/>
      <c r="AV104" s="108" t="s">
        <v>44</v>
      </c>
      <c r="AW104" s="108" t="s">
        <v>44</v>
      </c>
      <c r="AX104" s="97">
        <v>258379</v>
      </c>
      <c r="AY104" s="97"/>
      <c r="AZ104" s="108" t="s">
        <v>44</v>
      </c>
      <c r="BA104" s="159" t="s">
        <v>44</v>
      </c>
      <c r="BB104" s="102">
        <v>252543</v>
      </c>
      <c r="BC104" s="97"/>
      <c r="BD104" s="108" t="s">
        <v>44</v>
      </c>
      <c r="BE104" s="159" t="s">
        <v>44</v>
      </c>
      <c r="BF104" s="97">
        <v>5836</v>
      </c>
      <c r="BG104" s="97"/>
      <c r="BH104" s="108" t="s">
        <v>44</v>
      </c>
      <c r="BI104" s="159" t="s">
        <v>44</v>
      </c>
      <c r="BJ104" s="659">
        <v>117</v>
      </c>
      <c r="BK104" s="660"/>
      <c r="BL104" s="93">
        <v>2208.9999999999995</v>
      </c>
      <c r="BM104" s="93"/>
      <c r="BN104" s="176">
        <v>96.717971933001351</v>
      </c>
      <c r="BO104" s="97"/>
      <c r="BP104" s="108" t="s">
        <v>44</v>
      </c>
      <c r="BQ104" s="108" t="s">
        <v>44</v>
      </c>
      <c r="BR104" s="97">
        <v>265742</v>
      </c>
      <c r="BS104" s="97"/>
      <c r="BT104" s="108" t="s">
        <v>44</v>
      </c>
      <c r="BU104" s="159" t="s">
        <v>44</v>
      </c>
      <c r="BV104" s="102">
        <v>257437</v>
      </c>
      <c r="BW104" s="97"/>
      <c r="BX104" s="108" t="s">
        <v>44</v>
      </c>
      <c r="BY104" s="159" t="s">
        <v>44</v>
      </c>
      <c r="BZ104" s="97">
        <v>8305</v>
      </c>
      <c r="CA104" s="97"/>
      <c r="CB104" s="108" t="s">
        <v>44</v>
      </c>
      <c r="CC104" s="159" t="s">
        <v>44</v>
      </c>
      <c r="CD104" s="659">
        <v>120</v>
      </c>
      <c r="CE104" s="660"/>
      <c r="CF104" s="92">
        <v>8760</v>
      </c>
      <c r="CG104" s="97"/>
      <c r="CH104" s="93">
        <v>100</v>
      </c>
      <c r="CI104" s="97"/>
      <c r="CJ104" s="108" t="s">
        <v>44</v>
      </c>
      <c r="CK104" s="159" t="s">
        <v>44</v>
      </c>
      <c r="CL104" s="97">
        <v>1040067</v>
      </c>
      <c r="CM104" s="97"/>
      <c r="CN104" s="108" t="s">
        <v>44</v>
      </c>
      <c r="CO104" s="159" t="s">
        <v>44</v>
      </c>
      <c r="CP104" s="97">
        <v>1011785</v>
      </c>
      <c r="CQ104" s="97"/>
      <c r="CR104" s="108" t="s">
        <v>44</v>
      </c>
      <c r="CS104" s="159" t="s">
        <v>44</v>
      </c>
      <c r="CT104" s="97">
        <v>28282</v>
      </c>
      <c r="CU104" s="97"/>
      <c r="CV104" s="108" t="s">
        <v>44</v>
      </c>
      <c r="CW104" s="159" t="s">
        <v>44</v>
      </c>
      <c r="CX104" s="659">
        <v>118.7291095890411</v>
      </c>
      <c r="CY104" s="174"/>
      <c r="CZ104" s="661">
        <f t="shared" si="72"/>
        <v>4343</v>
      </c>
      <c r="DA104" s="97">
        <f t="shared" si="72"/>
        <v>0</v>
      </c>
      <c r="DB104" s="93">
        <f>DB16+DB22+DB30+DB36+DB42+DB47+DB53+DB59+DB74+DB80+DB86</f>
        <v>96.953718627676722</v>
      </c>
      <c r="DC104" s="111">
        <f>DC16+DC22+DC30+DC36+DC42+DC47+DC53+DC59+DC74+DC80+DC86</f>
        <v>0</v>
      </c>
      <c r="DD104" s="376">
        <f t="shared" si="73"/>
        <v>515946</v>
      </c>
      <c r="DE104" s="120">
        <f t="shared" si="73"/>
        <v>0</v>
      </c>
      <c r="DF104" s="120" t="e">
        <f t="shared" si="73"/>
        <v>#VALUE!</v>
      </c>
      <c r="DG104" s="107" t="e">
        <f t="shared" si="73"/>
        <v>#VALUE!</v>
      </c>
      <c r="DH104" s="376">
        <f t="shared" si="73"/>
        <v>501805</v>
      </c>
      <c r="DI104" s="120">
        <f t="shared" si="73"/>
        <v>0</v>
      </c>
      <c r="DJ104" s="120" t="e">
        <f t="shared" si="73"/>
        <v>#VALUE!</v>
      </c>
      <c r="DK104" s="107" t="e">
        <f t="shared" si="73"/>
        <v>#VALUE!</v>
      </c>
      <c r="DL104" s="376">
        <f t="shared" si="73"/>
        <v>14141</v>
      </c>
      <c r="DM104" s="107">
        <f t="shared" si="73"/>
        <v>0</v>
      </c>
      <c r="DN104" s="120" t="e">
        <f t="shared" si="73"/>
        <v>#VALUE!</v>
      </c>
      <c r="DO104" s="120" t="e">
        <f t="shared" si="73"/>
        <v>#VALUE!</v>
      </c>
      <c r="DP104" s="662">
        <f t="shared" si="90"/>
        <v>119</v>
      </c>
      <c r="DQ104" s="663" t="e">
        <f t="shared" si="75"/>
        <v>#DIV/0!</v>
      </c>
      <c r="DR104" s="117">
        <f t="shared" si="76"/>
        <v>4343</v>
      </c>
      <c r="DS104" s="401">
        <f t="shared" si="91"/>
        <v>100</v>
      </c>
      <c r="DT104" s="104" t="e">
        <f t="shared" si="77"/>
        <v>#VALUE!</v>
      </c>
      <c r="DU104" s="401" t="e">
        <f t="shared" si="74"/>
        <v>#VALUE!</v>
      </c>
      <c r="DV104" s="102">
        <f t="shared" si="78"/>
        <v>515946</v>
      </c>
      <c r="DW104" s="176">
        <f t="shared" si="79"/>
        <v>100</v>
      </c>
      <c r="DX104" s="97" t="e">
        <f t="shared" si="80"/>
        <v>#VALUE!</v>
      </c>
      <c r="DY104" s="401" t="e">
        <f t="shared" si="81"/>
        <v>#VALUE!</v>
      </c>
      <c r="DZ104" s="102">
        <f t="shared" si="82"/>
        <v>501805</v>
      </c>
      <c r="EA104" s="176">
        <f t="shared" si="83"/>
        <v>100</v>
      </c>
      <c r="EB104" s="97" t="e">
        <f t="shared" si="84"/>
        <v>#VALUE!</v>
      </c>
      <c r="EC104" s="401" t="e">
        <f t="shared" si="85"/>
        <v>#VALUE!</v>
      </c>
      <c r="ED104" s="102">
        <f t="shared" si="86"/>
        <v>14141</v>
      </c>
      <c r="EE104" s="176">
        <f t="shared" ref="EE104" si="93">ABS((ED104/DL104)*100)</f>
        <v>100</v>
      </c>
      <c r="EF104" s="97" t="e">
        <f t="shared" si="87"/>
        <v>#VALUE!</v>
      </c>
      <c r="EG104" s="113" t="e">
        <f t="shared" si="88"/>
        <v>#VALUE!</v>
      </c>
      <c r="EH104" s="664" t="e">
        <f t="shared" si="92"/>
        <v>#DIV/0!</v>
      </c>
      <c r="EI104" s="665" t="e">
        <f t="shared" si="89"/>
        <v>#DIV/0!</v>
      </c>
      <c r="EJ104" s="666"/>
    </row>
    <row r="105" spans="1:140" s="667" customFormat="1" ht="15.75" customHeight="1" x14ac:dyDescent="0.25">
      <c r="A105" s="657"/>
      <c r="B105" s="658" t="s">
        <v>49</v>
      </c>
      <c r="C105" s="97"/>
      <c r="D105" s="93">
        <v>2159</v>
      </c>
      <c r="E105" s="93"/>
      <c r="F105" s="176">
        <v>100.00000000000001</v>
      </c>
      <c r="G105" s="97"/>
      <c r="H105" s="108" t="s">
        <v>44</v>
      </c>
      <c r="I105" s="108" t="s">
        <v>44</v>
      </c>
      <c r="J105" s="97">
        <v>46595</v>
      </c>
      <c r="K105" s="97"/>
      <c r="L105" s="108" t="s">
        <v>44</v>
      </c>
      <c r="M105" s="159" t="s">
        <v>44</v>
      </c>
      <c r="N105" s="102">
        <v>46595</v>
      </c>
      <c r="O105" s="97"/>
      <c r="P105" s="108" t="s">
        <v>44</v>
      </c>
      <c r="Q105" s="159" t="s">
        <v>44</v>
      </c>
      <c r="R105" s="97">
        <v>0</v>
      </c>
      <c r="S105" s="97"/>
      <c r="T105" s="108" t="s">
        <v>44</v>
      </c>
      <c r="U105" s="159" t="s">
        <v>44</v>
      </c>
      <c r="V105" s="659">
        <v>22</v>
      </c>
      <c r="W105" s="660"/>
      <c r="X105" s="93">
        <v>2184</v>
      </c>
      <c r="Y105" s="93"/>
      <c r="Z105" s="176">
        <v>99.999999999999986</v>
      </c>
      <c r="AA105" s="97"/>
      <c r="AB105" s="108" t="s">
        <v>44</v>
      </c>
      <c r="AC105" s="108" t="s">
        <v>44</v>
      </c>
      <c r="AD105" s="97">
        <v>42859</v>
      </c>
      <c r="AE105" s="97"/>
      <c r="AF105" s="108" t="s">
        <v>44</v>
      </c>
      <c r="AG105" s="159" t="s">
        <v>44</v>
      </c>
      <c r="AH105" s="102">
        <v>42859</v>
      </c>
      <c r="AI105" s="97"/>
      <c r="AJ105" s="108" t="s">
        <v>44</v>
      </c>
      <c r="AK105" s="159" t="s">
        <v>44</v>
      </c>
      <c r="AL105" s="97">
        <v>0</v>
      </c>
      <c r="AM105" s="97"/>
      <c r="AN105" s="108" t="s">
        <v>44</v>
      </c>
      <c r="AO105" s="159" t="s">
        <v>44</v>
      </c>
      <c r="AP105" s="659">
        <v>20</v>
      </c>
      <c r="AQ105" s="660"/>
      <c r="AR105" s="93">
        <v>2208</v>
      </c>
      <c r="AS105" s="93"/>
      <c r="AT105" s="176">
        <v>100</v>
      </c>
      <c r="AU105" s="97"/>
      <c r="AV105" s="108" t="s">
        <v>44</v>
      </c>
      <c r="AW105" s="108" t="s">
        <v>44</v>
      </c>
      <c r="AX105" s="97">
        <v>43960</v>
      </c>
      <c r="AY105" s="97"/>
      <c r="AZ105" s="108" t="s">
        <v>44</v>
      </c>
      <c r="BA105" s="159" t="s">
        <v>44</v>
      </c>
      <c r="BB105" s="102">
        <v>43960</v>
      </c>
      <c r="BC105" s="97"/>
      <c r="BD105" s="108" t="s">
        <v>44</v>
      </c>
      <c r="BE105" s="159" t="s">
        <v>44</v>
      </c>
      <c r="BF105" s="97">
        <v>0</v>
      </c>
      <c r="BG105" s="97"/>
      <c r="BH105" s="108" t="s">
        <v>44</v>
      </c>
      <c r="BI105" s="159" t="s">
        <v>44</v>
      </c>
      <c r="BJ105" s="659">
        <v>20</v>
      </c>
      <c r="BK105" s="660"/>
      <c r="BL105" s="93">
        <v>2209</v>
      </c>
      <c r="BM105" s="93"/>
      <c r="BN105" s="176">
        <v>100</v>
      </c>
      <c r="BO105" s="97"/>
      <c r="BP105" s="108" t="s">
        <v>44</v>
      </c>
      <c r="BQ105" s="108" t="s">
        <v>44</v>
      </c>
      <c r="BR105" s="97">
        <v>43571</v>
      </c>
      <c r="BS105" s="97"/>
      <c r="BT105" s="108" t="s">
        <v>44</v>
      </c>
      <c r="BU105" s="159" t="s">
        <v>44</v>
      </c>
      <c r="BV105" s="102">
        <v>43571</v>
      </c>
      <c r="BW105" s="97"/>
      <c r="BX105" s="108" t="s">
        <v>44</v>
      </c>
      <c r="BY105" s="159" t="s">
        <v>44</v>
      </c>
      <c r="BZ105" s="97">
        <v>0</v>
      </c>
      <c r="CA105" s="97"/>
      <c r="CB105" s="108" t="s">
        <v>44</v>
      </c>
      <c r="CC105" s="159" t="s">
        <v>44</v>
      </c>
      <c r="CD105" s="659">
        <v>20</v>
      </c>
      <c r="CE105" s="660"/>
      <c r="CF105" s="92">
        <v>8760</v>
      </c>
      <c r="CG105" s="97"/>
      <c r="CH105" s="93">
        <v>100.00000000000001</v>
      </c>
      <c r="CI105" s="97"/>
      <c r="CJ105" s="108" t="s">
        <v>44</v>
      </c>
      <c r="CK105" s="159" t="s">
        <v>44</v>
      </c>
      <c r="CL105" s="97">
        <v>176985</v>
      </c>
      <c r="CM105" s="97"/>
      <c r="CN105" s="108" t="s">
        <v>44</v>
      </c>
      <c r="CO105" s="159" t="s">
        <v>44</v>
      </c>
      <c r="CP105" s="97">
        <v>176985</v>
      </c>
      <c r="CQ105" s="97"/>
      <c r="CR105" s="108" t="s">
        <v>44</v>
      </c>
      <c r="CS105" s="159" t="s">
        <v>44</v>
      </c>
      <c r="CT105" s="97">
        <v>0</v>
      </c>
      <c r="CU105" s="97"/>
      <c r="CV105" s="108" t="s">
        <v>44</v>
      </c>
      <c r="CW105" s="159" t="s">
        <v>44</v>
      </c>
      <c r="CX105" s="659">
        <v>20.203767123287673</v>
      </c>
      <c r="CY105" s="174"/>
      <c r="CZ105" s="661">
        <f t="shared" si="72"/>
        <v>4343</v>
      </c>
      <c r="DA105" s="97">
        <f t="shared" si="72"/>
        <v>0</v>
      </c>
      <c r="DB105" s="93">
        <f>DB17+DB23+DB31+DB37+DB43+DB48+DB54+DB60+DB75+DB81+DB87</f>
        <v>100.00000000000001</v>
      </c>
      <c r="DC105" s="111">
        <f>DC17+DC23+DC31+DC37+DC43+DC48+DC54+DC60+DC75+DC81+DC87</f>
        <v>0</v>
      </c>
      <c r="DD105" s="100">
        <f t="shared" si="73"/>
        <v>89454</v>
      </c>
      <c r="DE105" s="97">
        <f t="shared" si="73"/>
        <v>0</v>
      </c>
      <c r="DF105" s="97" t="e">
        <f t="shared" si="73"/>
        <v>#VALUE!</v>
      </c>
      <c r="DG105" s="115" t="e">
        <f t="shared" si="73"/>
        <v>#VALUE!</v>
      </c>
      <c r="DH105" s="100">
        <f t="shared" si="73"/>
        <v>89454</v>
      </c>
      <c r="DI105" s="97">
        <f t="shared" si="73"/>
        <v>0</v>
      </c>
      <c r="DJ105" s="97" t="e">
        <f t="shared" si="73"/>
        <v>#VALUE!</v>
      </c>
      <c r="DK105" s="115" t="e">
        <f t="shared" si="73"/>
        <v>#VALUE!</v>
      </c>
      <c r="DL105" s="100">
        <f t="shared" si="73"/>
        <v>0</v>
      </c>
      <c r="DM105" s="115">
        <f t="shared" si="73"/>
        <v>0</v>
      </c>
      <c r="DN105" s="97" t="e">
        <f t="shared" si="73"/>
        <v>#VALUE!</v>
      </c>
      <c r="DO105" s="115" t="e">
        <f t="shared" si="73"/>
        <v>#VALUE!</v>
      </c>
      <c r="DP105" s="669">
        <f t="shared" si="90"/>
        <v>21</v>
      </c>
      <c r="DQ105" s="663" t="e">
        <f t="shared" si="75"/>
        <v>#DIV/0!</v>
      </c>
      <c r="DR105" s="117">
        <f t="shared" si="76"/>
        <v>4343</v>
      </c>
      <c r="DS105" s="401">
        <f t="shared" si="91"/>
        <v>100</v>
      </c>
      <c r="DT105" s="104" t="e">
        <f t="shared" si="77"/>
        <v>#VALUE!</v>
      </c>
      <c r="DU105" s="401" t="e">
        <f t="shared" si="74"/>
        <v>#VALUE!</v>
      </c>
      <c r="DV105" s="100">
        <f t="shared" si="78"/>
        <v>89454</v>
      </c>
      <c r="DW105" s="176">
        <f t="shared" si="79"/>
        <v>100</v>
      </c>
      <c r="DX105" s="97" t="e">
        <f t="shared" si="80"/>
        <v>#VALUE!</v>
      </c>
      <c r="DY105" s="401" t="e">
        <f t="shared" si="81"/>
        <v>#VALUE!</v>
      </c>
      <c r="DZ105" s="102">
        <f t="shared" si="82"/>
        <v>89454</v>
      </c>
      <c r="EA105" s="176">
        <f t="shared" si="83"/>
        <v>100</v>
      </c>
      <c r="EB105" s="97" t="e">
        <f t="shared" si="84"/>
        <v>#VALUE!</v>
      </c>
      <c r="EC105" s="401" t="e">
        <f t="shared" si="85"/>
        <v>#VALUE!</v>
      </c>
      <c r="ED105" s="102">
        <f t="shared" si="86"/>
        <v>0</v>
      </c>
      <c r="EE105" s="176">
        <v>0</v>
      </c>
      <c r="EF105" s="97" t="e">
        <f t="shared" si="87"/>
        <v>#VALUE!</v>
      </c>
      <c r="EG105" s="401" t="e">
        <f t="shared" si="88"/>
        <v>#VALUE!</v>
      </c>
      <c r="EH105" s="664" t="e">
        <f t="shared" si="92"/>
        <v>#DIV/0!</v>
      </c>
      <c r="EI105" s="665" t="e">
        <f t="shared" si="89"/>
        <v>#DIV/0!</v>
      </c>
      <c r="EJ105" s="666"/>
    </row>
    <row r="106" spans="1:140" s="667" customFormat="1" ht="15.75" customHeight="1" thickBot="1" x14ac:dyDescent="0.3">
      <c r="A106" s="670"/>
      <c r="B106" s="671" t="s">
        <v>63</v>
      </c>
      <c r="C106" s="672"/>
      <c r="D106" s="673">
        <v>70</v>
      </c>
      <c r="E106" s="673"/>
      <c r="F106" s="674">
        <v>100</v>
      </c>
      <c r="G106" s="672"/>
      <c r="H106" s="675" t="s">
        <v>44</v>
      </c>
      <c r="I106" s="675" t="s">
        <v>44</v>
      </c>
      <c r="J106" s="672">
        <v>87.540528022232522</v>
      </c>
      <c r="K106" s="672"/>
      <c r="L106" s="675" t="s">
        <v>44</v>
      </c>
      <c r="M106" s="676" t="s">
        <v>44</v>
      </c>
      <c r="N106" s="677">
        <v>87.540528022232522</v>
      </c>
      <c r="O106" s="672"/>
      <c r="P106" s="675" t="s">
        <v>44</v>
      </c>
      <c r="Q106" s="676" t="s">
        <v>44</v>
      </c>
      <c r="R106" s="672">
        <v>0</v>
      </c>
      <c r="S106" s="672"/>
      <c r="T106" s="675" t="s">
        <v>44</v>
      </c>
      <c r="U106" s="676" t="s">
        <v>44</v>
      </c>
      <c r="V106" s="678">
        <v>1</v>
      </c>
      <c r="W106" s="679"/>
      <c r="X106" s="673">
        <v>45</v>
      </c>
      <c r="Y106" s="673"/>
      <c r="Z106" s="674">
        <v>100</v>
      </c>
      <c r="AA106" s="672"/>
      <c r="AB106" s="675" t="s">
        <v>44</v>
      </c>
      <c r="AC106" s="675" t="s">
        <v>44</v>
      </c>
      <c r="AD106" s="672">
        <v>56.276053728578049</v>
      </c>
      <c r="AE106" s="672"/>
      <c r="AF106" s="675" t="s">
        <v>44</v>
      </c>
      <c r="AG106" s="676" t="s">
        <v>44</v>
      </c>
      <c r="AH106" s="677">
        <v>56.276053728578049</v>
      </c>
      <c r="AI106" s="672"/>
      <c r="AJ106" s="675" t="s">
        <v>44</v>
      </c>
      <c r="AK106" s="676" t="s">
        <v>44</v>
      </c>
      <c r="AL106" s="672">
        <v>0</v>
      </c>
      <c r="AM106" s="672"/>
      <c r="AN106" s="675" t="s">
        <v>44</v>
      </c>
      <c r="AO106" s="676" t="s">
        <v>44</v>
      </c>
      <c r="AP106" s="678">
        <v>1</v>
      </c>
      <c r="AQ106" s="679"/>
      <c r="AR106" s="673">
        <v>40</v>
      </c>
      <c r="AS106" s="673"/>
      <c r="AT106" s="674">
        <v>100</v>
      </c>
      <c r="AU106" s="672"/>
      <c r="AV106" s="675" t="s">
        <v>44</v>
      </c>
      <c r="AW106" s="675" t="s">
        <v>44</v>
      </c>
      <c r="AX106" s="672">
        <v>50.023158869847151</v>
      </c>
      <c r="AY106" s="672"/>
      <c r="AZ106" s="675" t="s">
        <v>44</v>
      </c>
      <c r="BA106" s="676" t="s">
        <v>44</v>
      </c>
      <c r="BB106" s="677">
        <v>50.023158869847151</v>
      </c>
      <c r="BC106" s="672"/>
      <c r="BD106" s="675" t="s">
        <v>44</v>
      </c>
      <c r="BE106" s="676" t="s">
        <v>44</v>
      </c>
      <c r="BF106" s="672">
        <v>0</v>
      </c>
      <c r="BG106" s="672"/>
      <c r="BH106" s="675" t="s">
        <v>44</v>
      </c>
      <c r="BI106" s="676" t="s">
        <v>44</v>
      </c>
      <c r="BJ106" s="678">
        <v>1</v>
      </c>
      <c r="BK106" s="679"/>
      <c r="BL106" s="673">
        <v>100</v>
      </c>
      <c r="BM106" s="673"/>
      <c r="BN106" s="674">
        <v>100</v>
      </c>
      <c r="BO106" s="672"/>
      <c r="BP106" s="675" t="s">
        <v>44</v>
      </c>
      <c r="BQ106" s="675" t="s">
        <v>44</v>
      </c>
      <c r="BR106" s="672">
        <v>125.05789717461788</v>
      </c>
      <c r="BS106" s="672"/>
      <c r="BT106" s="675" t="s">
        <v>44</v>
      </c>
      <c r="BU106" s="676" t="s">
        <v>44</v>
      </c>
      <c r="BV106" s="677">
        <v>125.05789717461788</v>
      </c>
      <c r="BW106" s="672"/>
      <c r="BX106" s="675" t="s">
        <v>44</v>
      </c>
      <c r="BY106" s="676" t="s">
        <v>44</v>
      </c>
      <c r="BZ106" s="672">
        <v>0</v>
      </c>
      <c r="CA106" s="672"/>
      <c r="CB106" s="675" t="s">
        <v>44</v>
      </c>
      <c r="CC106" s="676" t="s">
        <v>44</v>
      </c>
      <c r="CD106" s="678">
        <v>1</v>
      </c>
      <c r="CE106" s="679"/>
      <c r="CF106" s="680">
        <v>255</v>
      </c>
      <c r="CG106" s="672"/>
      <c r="CH106" s="673">
        <v>100</v>
      </c>
      <c r="CI106" s="672"/>
      <c r="CJ106" s="675" t="s">
        <v>44</v>
      </c>
      <c r="CK106" s="676" t="s">
        <v>44</v>
      </c>
      <c r="CL106" s="672">
        <v>318.89763779527561</v>
      </c>
      <c r="CM106" s="672"/>
      <c r="CN106" s="675" t="s">
        <v>44</v>
      </c>
      <c r="CO106" s="676" t="s">
        <v>44</v>
      </c>
      <c r="CP106" s="672">
        <v>318.89763779527561</v>
      </c>
      <c r="CQ106" s="672"/>
      <c r="CR106" s="675" t="s">
        <v>44</v>
      </c>
      <c r="CS106" s="676" t="s">
        <v>44</v>
      </c>
      <c r="CT106" s="672">
        <v>0</v>
      </c>
      <c r="CU106" s="672"/>
      <c r="CV106" s="675" t="s">
        <v>44</v>
      </c>
      <c r="CW106" s="676" t="s">
        <v>44</v>
      </c>
      <c r="CX106" s="678">
        <v>1.2505789717461788</v>
      </c>
      <c r="CY106" s="681"/>
      <c r="CZ106" s="682">
        <f t="shared" si="72"/>
        <v>115</v>
      </c>
      <c r="DA106" s="673">
        <f t="shared" si="72"/>
        <v>0</v>
      </c>
      <c r="DB106" s="683"/>
      <c r="DC106" s="684"/>
      <c r="DD106" s="685">
        <f t="shared" si="73"/>
        <v>143.81658175081057</v>
      </c>
      <c r="DE106" s="686">
        <f t="shared" si="73"/>
        <v>0</v>
      </c>
      <c r="DF106" s="686" t="e">
        <f t="shared" si="73"/>
        <v>#VALUE!</v>
      </c>
      <c r="DG106" s="687" t="e">
        <f t="shared" si="73"/>
        <v>#VALUE!</v>
      </c>
      <c r="DH106" s="685">
        <f t="shared" si="73"/>
        <v>143.81658175081057</v>
      </c>
      <c r="DI106" s="686">
        <f t="shared" si="73"/>
        <v>0</v>
      </c>
      <c r="DJ106" s="686" t="e">
        <f t="shared" si="73"/>
        <v>#VALUE!</v>
      </c>
      <c r="DK106" s="687" t="e">
        <f t="shared" si="73"/>
        <v>#VALUE!</v>
      </c>
      <c r="DL106" s="685">
        <f t="shared" si="73"/>
        <v>0</v>
      </c>
      <c r="DM106" s="687">
        <f t="shared" si="73"/>
        <v>0</v>
      </c>
      <c r="DN106" s="686" t="e">
        <f t="shared" si="73"/>
        <v>#VALUE!</v>
      </c>
      <c r="DO106" s="687" t="e">
        <f t="shared" si="73"/>
        <v>#VALUE!</v>
      </c>
      <c r="DP106" s="688">
        <f t="shared" si="90"/>
        <v>1</v>
      </c>
      <c r="DQ106" s="689" t="e">
        <f t="shared" si="75"/>
        <v>#DIV/0!</v>
      </c>
      <c r="DR106" s="690">
        <f t="shared" si="76"/>
        <v>115</v>
      </c>
      <c r="DS106" s="691">
        <f t="shared" si="91"/>
        <v>100</v>
      </c>
      <c r="DT106" s="692" t="e">
        <f t="shared" si="77"/>
        <v>#VALUE!</v>
      </c>
      <c r="DU106" s="691" t="e">
        <f t="shared" si="74"/>
        <v>#VALUE!</v>
      </c>
      <c r="DV106" s="692">
        <f t="shared" si="78"/>
        <v>143.81658175081057</v>
      </c>
      <c r="DW106" s="674">
        <f t="shared" si="79"/>
        <v>100</v>
      </c>
      <c r="DX106" s="672" t="e">
        <f t="shared" si="80"/>
        <v>#VALUE!</v>
      </c>
      <c r="DY106" s="691">
        <v>0</v>
      </c>
      <c r="DZ106" s="677">
        <f t="shared" si="82"/>
        <v>143.81658175081057</v>
      </c>
      <c r="EA106" s="674">
        <f t="shared" si="83"/>
        <v>100</v>
      </c>
      <c r="EB106" s="672" t="e">
        <f t="shared" si="84"/>
        <v>#VALUE!</v>
      </c>
      <c r="EC106" s="691">
        <v>0</v>
      </c>
      <c r="ED106" s="677">
        <f t="shared" si="86"/>
        <v>0</v>
      </c>
      <c r="EE106" s="674">
        <v>0</v>
      </c>
      <c r="EF106" s="672" t="e">
        <f t="shared" si="87"/>
        <v>#VALUE!</v>
      </c>
      <c r="EG106" s="691">
        <v>0</v>
      </c>
      <c r="EH106" s="693" t="e">
        <f t="shared" si="92"/>
        <v>#DIV/0!</v>
      </c>
      <c r="EI106" s="694" t="e">
        <f t="shared" si="89"/>
        <v>#DIV/0!</v>
      </c>
      <c r="EJ106" s="666"/>
    </row>
    <row r="107" spans="1:140" s="5" customFormat="1" ht="15.75" customHeight="1" x14ac:dyDescent="0.25">
      <c r="B107" s="791"/>
      <c r="C107" s="7"/>
      <c r="D107" s="8"/>
      <c r="E107" s="8"/>
      <c r="F107" s="9"/>
      <c r="G107" s="7"/>
      <c r="H107" s="792"/>
      <c r="I107" s="792"/>
      <c r="J107" s="7"/>
      <c r="K107" s="7"/>
      <c r="L107" s="792"/>
      <c r="M107" s="792"/>
      <c r="N107" s="7"/>
      <c r="O107" s="7"/>
      <c r="P107" s="792"/>
      <c r="Q107" s="792"/>
      <c r="R107" s="7"/>
      <c r="S107" s="7"/>
      <c r="T107" s="792"/>
      <c r="U107" s="792"/>
      <c r="V107" s="793"/>
      <c r="W107" s="793"/>
      <c r="X107" s="8"/>
      <c r="Y107" s="8"/>
      <c r="Z107" s="9"/>
      <c r="AA107" s="7"/>
      <c r="AB107" s="792"/>
      <c r="AC107" s="792"/>
      <c r="AD107" s="7"/>
      <c r="AE107" s="7"/>
      <c r="AF107" s="792"/>
      <c r="AG107" s="792"/>
      <c r="AH107" s="7"/>
      <c r="AI107" s="7"/>
      <c r="AJ107" s="792"/>
      <c r="AK107" s="792"/>
      <c r="AL107" s="7"/>
      <c r="AM107" s="7"/>
      <c r="AN107" s="792"/>
      <c r="AO107" s="792"/>
      <c r="AP107" s="793"/>
      <c r="AQ107" s="793"/>
      <c r="AR107" s="8"/>
      <c r="AS107" s="8"/>
      <c r="AT107" s="9"/>
      <c r="AU107" s="7"/>
      <c r="AV107" s="792"/>
      <c r="AW107" s="792"/>
      <c r="AX107" s="7"/>
      <c r="AY107" s="7"/>
      <c r="AZ107" s="792"/>
      <c r="BA107" s="792"/>
      <c r="BB107" s="7"/>
      <c r="BC107" s="7"/>
      <c r="BD107" s="792"/>
      <c r="BE107" s="792"/>
      <c r="BF107" s="7"/>
      <c r="BG107" s="7"/>
      <c r="BH107" s="792"/>
      <c r="BI107" s="792"/>
      <c r="BJ107" s="793"/>
      <c r="BK107" s="793"/>
      <c r="BL107" s="8"/>
      <c r="BM107" s="8"/>
      <c r="BN107" s="9"/>
      <c r="BO107" s="7"/>
      <c r="BP107" s="792"/>
      <c r="BQ107" s="792"/>
      <c r="BR107" s="7"/>
      <c r="BS107" s="7"/>
      <c r="BT107" s="792"/>
      <c r="BU107" s="792"/>
      <c r="BV107" s="7"/>
      <c r="BW107" s="7"/>
      <c r="BX107" s="792"/>
      <c r="BY107" s="792"/>
      <c r="BZ107" s="7"/>
      <c r="CA107" s="7"/>
      <c r="CB107" s="792"/>
      <c r="CC107" s="792"/>
      <c r="CD107" s="793"/>
      <c r="CE107" s="793"/>
      <c r="CF107" s="8"/>
      <c r="CG107" s="7"/>
      <c r="CH107" s="8"/>
      <c r="CI107" s="7"/>
      <c r="CJ107" s="792"/>
      <c r="CK107" s="792"/>
      <c r="CL107" s="7"/>
      <c r="CM107" s="7"/>
      <c r="CN107" s="792"/>
      <c r="CO107" s="792"/>
      <c r="CP107" s="7"/>
      <c r="CQ107" s="7"/>
      <c r="CR107" s="792"/>
      <c r="CS107" s="792"/>
      <c r="CT107" s="7"/>
      <c r="CU107" s="7"/>
      <c r="CV107" s="792"/>
      <c r="CW107" s="792"/>
      <c r="CX107" s="793"/>
      <c r="CY107"/>
      <c r="CZ107" s="7"/>
      <c r="DA107" s="8"/>
      <c r="DD107" s="7"/>
      <c r="DE107" s="7"/>
      <c r="DF107" s="7"/>
      <c r="DG107" s="7"/>
      <c r="DH107" s="7"/>
      <c r="DI107" s="7"/>
      <c r="DJ107" s="7"/>
      <c r="DK107" s="7"/>
      <c r="DL107" s="7"/>
      <c r="DM107" s="7"/>
      <c r="DN107" s="7"/>
      <c r="DO107" s="7"/>
      <c r="DP107" s="697"/>
      <c r="DQ107" s="697"/>
      <c r="DR107" s="9"/>
      <c r="DS107" s="9"/>
      <c r="DT107" s="7"/>
      <c r="DU107" s="9"/>
      <c r="DV107" s="7"/>
      <c r="DW107" s="9"/>
      <c r="DX107" s="7"/>
      <c r="DY107" s="9"/>
      <c r="DZ107" s="7"/>
      <c r="EA107" s="9"/>
      <c r="EB107" s="7"/>
      <c r="EC107" s="9"/>
      <c r="ED107" s="7"/>
      <c r="EE107" s="9"/>
      <c r="EF107" s="7"/>
      <c r="EG107" s="9"/>
      <c r="EH107" s="794"/>
      <c r="EI107" s="9"/>
    </row>
    <row r="108" spans="1:140" ht="13" x14ac:dyDescent="0.25">
      <c r="B108" s="699" t="s">
        <v>87</v>
      </c>
      <c r="D108" s="8"/>
      <c r="E108" s="8"/>
      <c r="I108" s="697"/>
      <c r="J108" s="697"/>
      <c r="K108" s="697"/>
      <c r="L108" s="697"/>
      <c r="M108" s="697"/>
      <c r="N108" s="697"/>
      <c r="P108" s="697"/>
      <c r="Q108" s="697"/>
      <c r="R108" s="697"/>
      <c r="S108" s="697"/>
      <c r="T108" s="697"/>
      <c r="V108" s="697"/>
      <c r="W108" s="697"/>
      <c r="X108" s="7"/>
      <c r="Y108" s="7"/>
      <c r="Z108" s="697"/>
      <c r="AA108" s="697"/>
      <c r="AB108" s="697"/>
      <c r="AC108" s="697"/>
      <c r="AD108" s="697"/>
      <c r="AE108" s="697"/>
      <c r="AF108" s="697"/>
      <c r="AG108" s="697"/>
      <c r="AJ108" s="697"/>
      <c r="AK108" s="697"/>
      <c r="AL108" s="697"/>
      <c r="AM108" s="697"/>
      <c r="AN108" s="697"/>
      <c r="AP108" s="697"/>
      <c r="AQ108" s="697"/>
      <c r="AR108" s="697"/>
      <c r="AS108" s="697"/>
      <c r="AT108" s="697"/>
      <c r="AU108" s="697"/>
      <c r="AV108" s="697"/>
      <c r="AW108" s="697"/>
      <c r="AX108" s="697"/>
      <c r="AY108" s="697"/>
      <c r="AZ108" s="697"/>
      <c r="BA108" s="697"/>
      <c r="BD108" s="697"/>
      <c r="BE108" s="697"/>
      <c r="BF108" s="697"/>
      <c r="BG108" s="697"/>
      <c r="BH108" s="697"/>
      <c r="BJ108" s="697"/>
      <c r="BK108" s="697"/>
      <c r="BL108" s="697">
        <v>11156.9</v>
      </c>
      <c r="BM108" s="697"/>
      <c r="BN108" s="697"/>
      <c r="BO108" s="697"/>
      <c r="BP108" s="697"/>
      <c r="BQ108" s="697"/>
      <c r="BR108" s="697"/>
      <c r="BS108" s="697"/>
      <c r="BT108" s="697"/>
      <c r="BU108" s="697"/>
      <c r="BW108" s="697"/>
      <c r="BX108" s="697"/>
      <c r="BY108" s="697"/>
      <c r="BZ108" s="697"/>
      <c r="CA108" s="697"/>
      <c r="CB108" s="697"/>
      <c r="CC108" s="697"/>
      <c r="CD108" s="697"/>
      <c r="CE108" s="697"/>
      <c r="CG108" s="697"/>
      <c r="CH108" s="697"/>
      <c r="CI108" s="697"/>
      <c r="CJ108" s="697"/>
      <c r="CK108" s="697"/>
      <c r="CL108" s="697"/>
      <c r="CM108" s="697"/>
      <c r="CN108" s="697"/>
      <c r="CO108" s="697"/>
      <c r="CQ108" s="697"/>
      <c r="CZ108" s="698"/>
      <c r="DA108" s="698"/>
      <c r="DD108" s="7"/>
      <c r="DE108" s="7"/>
      <c r="DF108" s="7"/>
      <c r="DG108" s="7"/>
      <c r="DH108" s="7"/>
      <c r="DI108" s="7"/>
      <c r="DJ108" s="7"/>
      <c r="DK108" s="7"/>
      <c r="DL108" s="7"/>
      <c r="DM108" s="7"/>
      <c r="DN108" s="7"/>
      <c r="DO108" s="7"/>
      <c r="DP108" s="697"/>
      <c r="DQ108" s="697"/>
    </row>
    <row r="109" spans="1:140" ht="13" x14ac:dyDescent="0.3">
      <c r="B109" s="700" t="s">
        <v>88</v>
      </c>
      <c r="C109" s="701">
        <f>CT13</f>
        <v>23797</v>
      </c>
      <c r="D109" s="702" t="s">
        <v>89</v>
      </c>
      <c r="E109" s="8"/>
      <c r="I109" s="697"/>
      <c r="J109" s="697"/>
      <c r="K109" s="697"/>
      <c r="L109" s="697"/>
      <c r="M109" s="697"/>
      <c r="N109" s="697"/>
      <c r="P109" s="697"/>
      <c r="Q109" s="697"/>
      <c r="R109" s="697"/>
      <c r="S109" s="697"/>
      <c r="T109" s="697"/>
      <c r="V109" s="697"/>
      <c r="W109" s="697"/>
      <c r="X109" s="7"/>
      <c r="Y109" s="7"/>
      <c r="Z109" s="697"/>
      <c r="AA109" s="697"/>
      <c r="AB109" s="697"/>
      <c r="AC109" s="697"/>
      <c r="AD109" s="697"/>
      <c r="AE109" s="697"/>
      <c r="AF109" s="697"/>
      <c r="AG109" s="697"/>
      <c r="AJ109" s="697"/>
      <c r="AK109" s="697"/>
      <c r="AL109" s="697"/>
      <c r="AM109" s="697"/>
      <c r="AN109" s="697"/>
      <c r="AP109" s="697"/>
      <c r="AQ109" s="697"/>
      <c r="AR109" s="697"/>
      <c r="AS109" s="697"/>
      <c r="AT109" s="697"/>
      <c r="AU109" s="697"/>
      <c r="AV109" s="697"/>
      <c r="AW109" s="697"/>
      <c r="AX109" s="697"/>
      <c r="AY109" s="697"/>
      <c r="AZ109" s="697"/>
      <c r="BA109" s="697"/>
      <c r="BD109" s="697"/>
      <c r="BE109" s="697"/>
      <c r="BF109" s="697"/>
      <c r="BG109" s="697"/>
      <c r="BH109" s="697"/>
      <c r="BJ109" s="697"/>
      <c r="BK109" s="697"/>
      <c r="BL109" s="697"/>
      <c r="BM109" s="697"/>
      <c r="BN109" s="697"/>
      <c r="BO109" s="697"/>
      <c r="BP109" s="697"/>
      <c r="BQ109" s="697"/>
      <c r="BR109" s="697"/>
      <c r="BS109" s="697"/>
      <c r="BT109" s="697"/>
      <c r="BU109" s="697"/>
      <c r="BW109" s="697"/>
      <c r="BX109" s="697"/>
      <c r="BY109" s="697"/>
      <c r="BZ109" s="697"/>
      <c r="CA109" s="697"/>
      <c r="CB109" s="697"/>
      <c r="CC109" s="697"/>
      <c r="CD109" s="697"/>
      <c r="CE109" s="697"/>
      <c r="CG109" s="697"/>
      <c r="CH109" s="697"/>
      <c r="CI109" s="697"/>
      <c r="CJ109" s="697"/>
      <c r="CK109" s="697"/>
      <c r="CL109" s="697"/>
      <c r="CM109" s="697"/>
      <c r="CN109" s="697"/>
      <c r="CO109" s="697"/>
      <c r="CZ109" s="698"/>
      <c r="DA109" s="698"/>
      <c r="DD109" s="7"/>
      <c r="DE109" s="7"/>
      <c r="DF109" s="7"/>
      <c r="DG109" s="7"/>
      <c r="DH109" s="7"/>
      <c r="DI109" s="7"/>
      <c r="DJ109" s="7"/>
      <c r="DK109" s="7"/>
      <c r="DL109" s="7"/>
      <c r="DM109" s="7"/>
      <c r="DN109" s="7"/>
      <c r="DO109" s="7"/>
      <c r="DP109" s="697"/>
      <c r="DQ109" s="697"/>
    </row>
    <row r="110" spans="1:140" ht="13" x14ac:dyDescent="0.3">
      <c r="B110" s="700" t="s">
        <v>90</v>
      </c>
      <c r="C110" s="701">
        <f>CT66+CT42+CT39</f>
        <v>42426</v>
      </c>
      <c r="D110" s="702" t="s">
        <v>89</v>
      </c>
      <c r="E110" s="8"/>
      <c r="I110" s="697"/>
      <c r="J110" s="697"/>
      <c r="K110" s="697"/>
      <c r="L110" s="697"/>
      <c r="M110" s="697"/>
      <c r="N110" s="697"/>
      <c r="P110" s="697"/>
      <c r="Q110" s="697"/>
      <c r="R110" s="697"/>
      <c r="S110" s="697"/>
      <c r="T110" s="697"/>
      <c r="V110" s="697"/>
      <c r="W110" s="697"/>
      <c r="X110" s="7"/>
      <c r="Y110" s="7"/>
      <c r="Z110" s="697"/>
      <c r="AA110" s="697"/>
      <c r="AB110" s="697"/>
      <c r="AC110" s="697"/>
      <c r="AD110" s="697"/>
      <c r="AE110" s="697"/>
      <c r="AF110" s="697"/>
      <c r="AG110" s="697"/>
      <c r="AJ110" s="697"/>
      <c r="AK110" s="697"/>
      <c r="AL110" s="697"/>
      <c r="AM110" s="697"/>
      <c r="AN110" s="697"/>
      <c r="AP110" s="697"/>
      <c r="AQ110" s="697"/>
      <c r="AR110" s="697"/>
      <c r="AS110" s="697"/>
      <c r="AT110" s="697"/>
      <c r="AU110" s="697"/>
      <c r="AV110" s="697"/>
      <c r="AW110" s="697"/>
      <c r="AX110" s="697"/>
      <c r="AY110" s="697"/>
      <c r="AZ110" s="697"/>
      <c r="BA110" s="697"/>
      <c r="BD110" s="697"/>
      <c r="BE110" s="697"/>
      <c r="BF110" s="697"/>
      <c r="BG110" s="697"/>
      <c r="BH110" s="697"/>
      <c r="BJ110" s="697"/>
      <c r="BK110" s="697"/>
      <c r="BL110" s="697"/>
      <c r="BM110" s="697"/>
      <c r="BN110" s="697"/>
      <c r="BO110" s="697"/>
      <c r="BP110" s="697"/>
      <c r="BQ110" s="697"/>
      <c r="BR110" s="697"/>
      <c r="BS110" s="697"/>
      <c r="BT110" s="697"/>
      <c r="BU110" s="697"/>
      <c r="BW110" s="697"/>
      <c r="BX110" s="697"/>
      <c r="BY110" s="697"/>
      <c r="BZ110" s="697"/>
      <c r="CA110" s="697"/>
      <c r="CB110" s="697"/>
      <c r="CC110" s="697"/>
      <c r="CD110" s="697"/>
      <c r="CE110" s="697"/>
      <c r="CG110" s="697"/>
      <c r="CH110" s="697"/>
      <c r="CI110" s="697"/>
      <c r="CJ110" s="697"/>
      <c r="CK110" s="697"/>
      <c r="CL110" s="697"/>
      <c r="CM110" s="697"/>
      <c r="CN110" s="697"/>
      <c r="CO110" s="697"/>
      <c r="CZ110" s="698"/>
      <c r="DA110" s="698"/>
      <c r="DD110" s="7"/>
      <c r="DE110" s="7"/>
      <c r="DF110" s="7"/>
      <c r="DG110" s="7"/>
      <c r="DH110" s="7"/>
      <c r="DI110" s="7"/>
      <c r="DJ110" s="7"/>
      <c r="DK110" s="7"/>
      <c r="DL110" s="7"/>
      <c r="DM110" s="7"/>
      <c r="DN110" s="7"/>
      <c r="DO110" s="7"/>
      <c r="DP110" s="697"/>
      <c r="DQ110" s="697"/>
    </row>
    <row r="111" spans="1:140" ht="13.5" customHeight="1" x14ac:dyDescent="0.25">
      <c r="B111" s="5" t="s">
        <v>106</v>
      </c>
      <c r="D111" s="8"/>
      <c r="E111" s="8"/>
      <c r="I111" s="697"/>
      <c r="J111" s="697"/>
      <c r="K111" s="697"/>
      <c r="L111" s="697"/>
      <c r="M111" s="697"/>
      <c r="N111" s="697"/>
      <c r="P111" s="697"/>
      <c r="Q111" s="697"/>
      <c r="R111" s="697"/>
      <c r="S111" s="697"/>
      <c r="T111" s="697"/>
      <c r="V111" s="697"/>
      <c r="W111" s="697"/>
      <c r="X111" s="7"/>
      <c r="Y111" s="7"/>
      <c r="Z111" s="697"/>
      <c r="AA111" s="697"/>
      <c r="AB111" s="697"/>
      <c r="AC111" s="697"/>
      <c r="AD111" s="697"/>
      <c r="AE111" s="697"/>
      <c r="AF111" s="697"/>
      <c r="AG111" s="697"/>
      <c r="AJ111" s="697"/>
      <c r="AK111" s="697"/>
      <c r="AL111" s="697"/>
      <c r="AM111" s="697"/>
      <c r="AN111" s="697"/>
      <c r="AP111" s="697"/>
      <c r="AQ111" s="697"/>
      <c r="AR111" s="697"/>
      <c r="AS111" s="697"/>
      <c r="AT111" s="697"/>
      <c r="AU111" s="697"/>
      <c r="AV111" s="697"/>
      <c r="AW111" s="697"/>
      <c r="AX111" s="697"/>
      <c r="AY111" s="697"/>
      <c r="AZ111" s="697"/>
      <c r="BA111" s="697"/>
      <c r="BD111" s="697"/>
      <c r="BE111" s="697"/>
      <c r="BF111" s="697"/>
      <c r="BG111" s="697"/>
      <c r="BH111" s="697"/>
      <c r="BJ111" s="697"/>
      <c r="BK111" s="697"/>
      <c r="BL111" s="697"/>
      <c r="BM111" s="697"/>
      <c r="BN111" s="697"/>
      <c r="BO111" s="697"/>
      <c r="BP111" s="697"/>
      <c r="BQ111" s="697"/>
      <c r="BR111" s="697"/>
      <c r="BS111" s="697"/>
      <c r="BT111" s="697"/>
      <c r="BU111" s="697"/>
      <c r="BW111" s="697"/>
      <c r="BX111" s="697"/>
      <c r="BY111" s="697"/>
      <c r="BZ111" s="697"/>
      <c r="CA111" s="697"/>
      <c r="CB111" s="697"/>
      <c r="CC111" s="697"/>
      <c r="CD111" s="697"/>
      <c r="CE111" s="697"/>
      <c r="CG111" s="697"/>
      <c r="CH111" s="697"/>
      <c r="CI111" s="697"/>
      <c r="CJ111" s="697"/>
      <c r="CK111" s="697"/>
      <c r="CL111" s="697"/>
      <c r="CM111" s="697"/>
      <c r="CN111" s="697"/>
      <c r="CO111" s="697"/>
      <c r="CZ111" s="698"/>
      <c r="DA111" s="698"/>
      <c r="DD111" s="7"/>
      <c r="DE111" s="7"/>
      <c r="DF111" s="7"/>
      <c r="DG111" s="7"/>
      <c r="DH111" s="7"/>
      <c r="DI111" s="7"/>
      <c r="DJ111" s="7"/>
      <c r="DK111" s="7"/>
      <c r="DL111" s="7"/>
      <c r="DM111" s="7"/>
      <c r="DN111" s="7"/>
      <c r="DO111" s="7"/>
      <c r="DP111" s="697"/>
      <c r="DQ111" s="697"/>
    </row>
    <row r="112" spans="1:140" s="705" customFormat="1" ht="13" x14ac:dyDescent="0.3">
      <c r="A112" s="703"/>
      <c r="B112" s="704" t="s">
        <v>91</v>
      </c>
      <c r="K112" s="706"/>
      <c r="AD112" s="706"/>
      <c r="AE112" s="706"/>
      <c r="AI112" s="707"/>
      <c r="CF112" s="708"/>
    </row>
    <row r="113" spans="1:111" s="705" customFormat="1" ht="13" x14ac:dyDescent="0.3">
      <c r="A113" s="703"/>
      <c r="B113" s="709" t="s">
        <v>105</v>
      </c>
      <c r="CF113" s="708"/>
      <c r="CZ113" s="710" t="s">
        <v>92</v>
      </c>
      <c r="DA113" s="711">
        <f>DA100-DA71-DA77-DA83</f>
        <v>0</v>
      </c>
      <c r="DB113" s="711"/>
      <c r="DC113" s="711"/>
      <c r="DD113" s="711" t="s">
        <v>93</v>
      </c>
      <c r="DE113" s="711">
        <f>DE100-DE71-DE77-DE83</f>
        <v>0</v>
      </c>
      <c r="DF113" s="708"/>
      <c r="DG113" s="708"/>
    </row>
    <row r="114" spans="1:111" s="705" customFormat="1" ht="13" x14ac:dyDescent="0.3">
      <c r="A114" s="703"/>
      <c r="CF114" s="708"/>
      <c r="CZ114" s="710"/>
      <c r="DA114" s="711"/>
      <c r="DB114" s="710"/>
      <c r="DC114" s="710"/>
      <c r="DD114" s="710"/>
      <c r="DE114" s="711"/>
    </row>
    <row r="115" spans="1:111" s="705" customFormat="1" ht="13" x14ac:dyDescent="0.3">
      <c r="A115" s="703"/>
      <c r="B115" s="705" t="s">
        <v>94</v>
      </c>
      <c r="CF115" s="708"/>
      <c r="CZ115" s="710"/>
      <c r="DA115" s="711">
        <f>DA102-DA72-DA78-DA84</f>
        <v>0</v>
      </c>
      <c r="DB115" s="710"/>
      <c r="DC115" s="710"/>
      <c r="DD115" s="710"/>
      <c r="DE115" s="711">
        <f>DE102-DE72-DE78-DE84</f>
        <v>0</v>
      </c>
    </row>
    <row r="116" spans="1:111" s="705" customFormat="1" ht="13" x14ac:dyDescent="0.3">
      <c r="A116" s="703"/>
      <c r="CF116" s="708"/>
      <c r="CZ116" s="710"/>
      <c r="DA116" s="711">
        <f>DA103-DA73-DA79-DA85</f>
        <v>0</v>
      </c>
      <c r="DB116" s="710"/>
      <c r="DC116" s="710"/>
      <c r="DD116" s="710"/>
      <c r="DE116" s="711">
        <f>DE103-DE73-DE79-DE85</f>
        <v>0</v>
      </c>
    </row>
    <row r="117" spans="1:111" s="705" customFormat="1" ht="13" x14ac:dyDescent="0.3">
      <c r="A117" s="703"/>
      <c r="B117" s="712" t="s">
        <v>95</v>
      </c>
      <c r="C117" s="712"/>
      <c r="D117" s="712"/>
      <c r="E117" s="712"/>
      <c r="F117" s="712"/>
      <c r="G117" s="712"/>
      <c r="H117" s="712"/>
      <c r="I117" s="712"/>
      <c r="J117" s="712"/>
      <c r="K117" s="712"/>
      <c r="L117" s="712"/>
      <c r="M117" s="712"/>
      <c r="N117" s="712"/>
      <c r="O117" s="712"/>
      <c r="P117" s="712"/>
      <c r="Q117" s="712"/>
      <c r="R117" s="712"/>
      <c r="S117" s="712"/>
      <c r="T117" s="712"/>
      <c r="U117" s="712"/>
      <c r="V117" s="712"/>
      <c r="W117" s="712"/>
      <c r="X117" s="712"/>
      <c r="CF117" s="708"/>
    </row>
    <row r="118" spans="1:111" s="705" customFormat="1" ht="12.75" customHeight="1" x14ac:dyDescent="0.3">
      <c r="A118" s="703"/>
      <c r="B118" s="1074" t="s">
        <v>96</v>
      </c>
      <c r="C118" s="1074"/>
      <c r="D118" s="1074"/>
      <c r="E118" s="1074"/>
      <c r="F118" s="1074"/>
      <c r="G118" s="1074"/>
      <c r="H118" s="1074"/>
      <c r="I118" s="1074"/>
      <c r="J118" s="1074"/>
      <c r="K118" s="1074"/>
      <c r="L118" s="1074"/>
      <c r="M118" s="1074"/>
      <c r="N118" s="1074"/>
      <c r="O118" s="1074"/>
      <c r="P118" s="712"/>
      <c r="Q118" s="712"/>
      <c r="R118" s="712"/>
      <c r="S118" s="712"/>
      <c r="T118" s="712"/>
      <c r="U118" s="712"/>
      <c r="V118" s="712"/>
      <c r="W118" s="712"/>
      <c r="X118" s="712"/>
      <c r="CF118" s="708"/>
    </row>
    <row r="119" spans="1:111" s="714" customFormat="1" ht="12.75" customHeight="1" x14ac:dyDescent="0.3">
      <c r="A119" s="713"/>
      <c r="B119" s="1064" t="s">
        <v>97</v>
      </c>
      <c r="C119" s="1064"/>
      <c r="D119" s="1064"/>
      <c r="E119" s="1064"/>
      <c r="F119" s="1064"/>
      <c r="G119" s="1064"/>
      <c r="H119" s="1064"/>
      <c r="I119" s="1064"/>
      <c r="J119" s="1064"/>
      <c r="K119" s="1064"/>
      <c r="L119" s="1064"/>
      <c r="M119" s="1064"/>
      <c r="N119" s="1064"/>
      <c r="O119" s="1064"/>
      <c r="P119" s="1064"/>
      <c r="Q119" s="1064"/>
      <c r="R119" s="1064"/>
      <c r="S119" s="1064"/>
      <c r="T119" s="1064"/>
      <c r="U119" s="1064"/>
      <c r="V119" s="1064"/>
      <c r="W119" s="1064"/>
      <c r="X119" s="1064"/>
      <c r="CF119" s="715"/>
    </row>
    <row r="120" spans="1:111" s="705" customFormat="1" ht="12.75" customHeight="1" x14ac:dyDescent="0.3">
      <c r="A120" s="703"/>
      <c r="B120" s="1065" t="s">
        <v>98</v>
      </c>
      <c r="C120" s="1065"/>
      <c r="D120" s="1065"/>
      <c r="E120" s="1065"/>
      <c r="F120" s="1065"/>
      <c r="G120" s="1065"/>
      <c r="H120" s="1065"/>
      <c r="I120" s="1065"/>
      <c r="J120" s="1065"/>
      <c r="K120" s="717"/>
      <c r="L120" s="717"/>
      <c r="M120" s="717"/>
      <c r="N120" s="717"/>
      <c r="O120" s="717"/>
      <c r="P120" s="717"/>
      <c r="Q120" s="717"/>
      <c r="R120" s="717"/>
      <c r="S120" s="717"/>
      <c r="T120" s="717"/>
      <c r="U120" s="717"/>
      <c r="V120" s="717"/>
      <c r="W120" s="717"/>
      <c r="X120" s="717"/>
      <c r="CF120" s="708"/>
    </row>
    <row r="121" spans="1:111" s="714" customFormat="1" ht="14.5" x14ac:dyDescent="0.3">
      <c r="A121" s="713"/>
      <c r="B121" s="718" t="s">
        <v>99</v>
      </c>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CF121" s="715"/>
    </row>
    <row r="122" spans="1:111" s="705" customFormat="1" ht="13" x14ac:dyDescent="0.3">
      <c r="A122" s="703"/>
      <c r="B122" s="1066" t="s">
        <v>100</v>
      </c>
      <c r="C122" s="1066"/>
      <c r="D122" s="1066"/>
      <c r="E122" s="1066"/>
      <c r="F122" s="1066"/>
      <c r="G122" s="1066"/>
      <c r="H122" s="1066"/>
      <c r="I122" s="1066"/>
      <c r="J122" s="1066"/>
      <c r="K122" s="1066"/>
      <c r="L122" s="1066"/>
      <c r="M122" s="1066"/>
      <c r="N122" s="1066"/>
      <c r="O122" s="1066"/>
      <c r="P122" s="712"/>
      <c r="Q122" s="712"/>
      <c r="R122" s="712"/>
      <c r="S122" s="712"/>
      <c r="T122" s="712"/>
      <c r="U122" s="712"/>
      <c r="V122" s="712"/>
      <c r="W122" s="712"/>
      <c r="X122" s="712"/>
      <c r="CF122" s="708"/>
    </row>
    <row r="123" spans="1:111" s="705" customFormat="1" ht="15.75" customHeight="1" x14ac:dyDescent="0.3">
      <c r="A123" s="703"/>
      <c r="B123" s="1066" t="s">
        <v>101</v>
      </c>
      <c r="C123" s="1066"/>
      <c r="D123" s="1066"/>
      <c r="E123" s="1066"/>
      <c r="F123" s="1066"/>
      <c r="G123" s="719"/>
      <c r="H123" s="719"/>
      <c r="I123" s="716"/>
      <c r="J123" s="716"/>
      <c r="K123" s="716"/>
      <c r="L123" s="716"/>
      <c r="M123" s="716"/>
      <c r="N123" s="716"/>
      <c r="O123" s="716"/>
      <c r="P123" s="712"/>
      <c r="Q123" s="712"/>
      <c r="R123" s="712"/>
      <c r="S123" s="712"/>
      <c r="T123" s="712"/>
      <c r="U123" s="712"/>
      <c r="V123" s="712"/>
      <c r="W123" s="712"/>
      <c r="X123" s="712"/>
      <c r="CF123" s="708"/>
    </row>
    <row r="124" spans="1:111" s="705" customFormat="1" ht="14.25" customHeight="1" x14ac:dyDescent="0.3">
      <c r="A124" s="703"/>
      <c r="B124" s="1065" t="s">
        <v>102</v>
      </c>
      <c r="C124" s="1065"/>
      <c r="D124" s="1065"/>
      <c r="E124" s="1065"/>
      <c r="F124" s="1065"/>
      <c r="G124" s="716"/>
      <c r="H124" s="716"/>
      <c r="I124" s="716"/>
      <c r="J124" s="716"/>
      <c r="K124" s="716"/>
      <c r="L124" s="716"/>
      <c r="M124" s="716"/>
      <c r="N124" s="716"/>
      <c r="O124" s="716"/>
      <c r="P124" s="712"/>
      <c r="Q124" s="712"/>
      <c r="R124" s="712"/>
      <c r="S124" s="712"/>
      <c r="T124" s="712"/>
      <c r="U124" s="712"/>
      <c r="V124" s="712"/>
      <c r="W124" s="712"/>
      <c r="X124" s="712"/>
      <c r="CF124" s="708"/>
    </row>
    <row r="125" spans="1:111" s="705" customFormat="1" ht="13.15" customHeight="1" x14ac:dyDescent="0.3">
      <c r="A125" s="703"/>
      <c r="B125" s="1065" t="s">
        <v>103</v>
      </c>
      <c r="C125" s="1065"/>
      <c r="D125" s="1065"/>
      <c r="E125" s="1065"/>
      <c r="F125" s="1065"/>
      <c r="G125" s="716"/>
      <c r="H125" s="716"/>
      <c r="CF125" s="708"/>
    </row>
    <row r="126" spans="1:111" s="714" customFormat="1" ht="13.5" x14ac:dyDescent="0.3">
      <c r="A126" s="713"/>
      <c r="B126" s="1063" t="s">
        <v>104</v>
      </c>
      <c r="C126" s="1063"/>
      <c r="D126" s="1063"/>
      <c r="E126" s="1063"/>
      <c r="F126" s="1063"/>
      <c r="CF126" s="715"/>
    </row>
    <row r="127" spans="1:111" s="705" customFormat="1" ht="13" x14ac:dyDescent="0.3">
      <c r="A127" s="703"/>
      <c r="B127" s="716"/>
      <c r="C127" s="716"/>
      <c r="D127" s="716"/>
      <c r="E127" s="716"/>
      <c r="F127" s="716"/>
      <c r="CF127" s="708"/>
    </row>
  </sheetData>
  <mergeCells count="134">
    <mergeCell ref="A2:S2"/>
    <mergeCell ref="A4:C4"/>
    <mergeCell ref="B6:B11"/>
    <mergeCell ref="C6:C11"/>
    <mergeCell ref="D6:W6"/>
    <mergeCell ref="X6:AQ6"/>
    <mergeCell ref="AB7:AG8"/>
    <mergeCell ref="AH7:AQ7"/>
    <mergeCell ref="AP8:AQ9"/>
    <mergeCell ref="N9:O9"/>
    <mergeCell ref="R9:S9"/>
    <mergeCell ref="T9:U9"/>
    <mergeCell ref="X9:Y9"/>
    <mergeCell ref="Z9:AA9"/>
    <mergeCell ref="AB9:AC9"/>
    <mergeCell ref="AD9:AE9"/>
    <mergeCell ref="AF9:AG9"/>
    <mergeCell ref="AH9:AI9"/>
    <mergeCell ref="AJ9:AK9"/>
    <mergeCell ref="AL9:AM9"/>
    <mergeCell ref="AN9:AO9"/>
    <mergeCell ref="D9:E9"/>
    <mergeCell ref="F9:G9"/>
    <mergeCell ref="H9:I9"/>
    <mergeCell ref="BB7:BK7"/>
    <mergeCell ref="BL7:BO8"/>
    <mergeCell ref="BP7:BU8"/>
    <mergeCell ref="BV7:CE7"/>
    <mergeCell ref="BB8:BE8"/>
    <mergeCell ref="BF8:BI8"/>
    <mergeCell ref="AR6:BJ6"/>
    <mergeCell ref="BL6:CC6"/>
    <mergeCell ref="DZ8:EC8"/>
    <mergeCell ref="CF6:CW6"/>
    <mergeCell ref="CZ6:DO6"/>
    <mergeCell ref="DR6:EI6"/>
    <mergeCell ref="EH7:EI9"/>
    <mergeCell ref="CF7:CI8"/>
    <mergeCell ref="CJ7:CO8"/>
    <mergeCell ref="CP7:CY7"/>
    <mergeCell ref="CZ7:DC7"/>
    <mergeCell ref="DD7:DG7"/>
    <mergeCell ref="DH7:DO7"/>
    <mergeCell ref="DB8:DC9"/>
    <mergeCell ref="DD8:DE9"/>
    <mergeCell ref="AR7:AU8"/>
    <mergeCell ref="AV7:BA8"/>
    <mergeCell ref="ED8:EG8"/>
    <mergeCell ref="J9:K9"/>
    <mergeCell ref="L9:M9"/>
    <mergeCell ref="BZ8:CC8"/>
    <mergeCell ref="CD8:CE9"/>
    <mergeCell ref="CP8:CS8"/>
    <mergeCell ref="CT8:CW8"/>
    <mergeCell ref="CX8:CY9"/>
    <mergeCell ref="CZ8:DA9"/>
    <mergeCell ref="CF9:CG9"/>
    <mergeCell ref="CH9:CI9"/>
    <mergeCell ref="CJ9:CK9"/>
    <mergeCell ref="CL9:CM9"/>
    <mergeCell ref="BV9:BW9"/>
    <mergeCell ref="CN9:CO9"/>
    <mergeCell ref="CP9:CQ9"/>
    <mergeCell ref="CR9:CS9"/>
    <mergeCell ref="CT9:CU9"/>
    <mergeCell ref="CV9:CW9"/>
    <mergeCell ref="BJ8:BK9"/>
    <mergeCell ref="BV8:BY8"/>
    <mergeCell ref="P9:Q9"/>
    <mergeCell ref="BX9:BY9"/>
    <mergeCell ref="BZ9:CA9"/>
    <mergeCell ref="CB9:CC9"/>
    <mergeCell ref="BD9:BE9"/>
    <mergeCell ref="BF9:BG9"/>
    <mergeCell ref="BH9:BI9"/>
    <mergeCell ref="BL9:BM9"/>
    <mergeCell ref="BN9:BO9"/>
    <mergeCell ref="BP9:BQ9"/>
    <mergeCell ref="AR9:AS9"/>
    <mergeCell ref="AT9:AU9"/>
    <mergeCell ref="AV9:AW9"/>
    <mergeCell ref="AX9:AY9"/>
    <mergeCell ref="AZ9:BA9"/>
    <mergeCell ref="BB9:BC9"/>
    <mergeCell ref="BR9:BS9"/>
    <mergeCell ref="BT9:BU9"/>
    <mergeCell ref="DH9:DI9"/>
    <mergeCell ref="DL8:DO8"/>
    <mergeCell ref="DV8:DW9"/>
    <mergeCell ref="DX8:DY9"/>
    <mergeCell ref="DJ9:DK9"/>
    <mergeCell ref="DL9:DM9"/>
    <mergeCell ref="DN9:DO9"/>
    <mergeCell ref="DF8:DG9"/>
    <mergeCell ref="DH8:DK8"/>
    <mergeCell ref="DP7:DQ9"/>
    <mergeCell ref="DR7:DS9"/>
    <mergeCell ref="DT7:DU9"/>
    <mergeCell ref="DV7:EG7"/>
    <mergeCell ref="DR10:DS10"/>
    <mergeCell ref="DT10:DU10"/>
    <mergeCell ref="DV10:DW10"/>
    <mergeCell ref="DX10:DY10"/>
    <mergeCell ref="DZ10:EA10"/>
    <mergeCell ref="EB10:EC10"/>
    <mergeCell ref="ED10:EE10"/>
    <mergeCell ref="EF10:EG10"/>
    <mergeCell ref="DZ9:EA9"/>
    <mergeCell ref="EB9:EC9"/>
    <mergeCell ref="ED9:EE9"/>
    <mergeCell ref="B126:F126"/>
    <mergeCell ref="B119:X119"/>
    <mergeCell ref="B120:J120"/>
    <mergeCell ref="B122:O122"/>
    <mergeCell ref="B123:F123"/>
    <mergeCell ref="B124:F124"/>
    <mergeCell ref="B125:F125"/>
    <mergeCell ref="EH10:EI10"/>
    <mergeCell ref="A12:A61"/>
    <mergeCell ref="A62:A64"/>
    <mergeCell ref="A76:A87"/>
    <mergeCell ref="A91:A95"/>
    <mergeCell ref="B118:O118"/>
    <mergeCell ref="A7:A11"/>
    <mergeCell ref="D7:G8"/>
    <mergeCell ref="H7:M8"/>
    <mergeCell ref="N7:W7"/>
    <mergeCell ref="X7:AA8"/>
    <mergeCell ref="N8:Q8"/>
    <mergeCell ref="R8:U8"/>
    <mergeCell ref="V8:W9"/>
    <mergeCell ref="AH8:AK8"/>
    <mergeCell ref="AL8:AO8"/>
    <mergeCell ref="EF9:EG9"/>
  </mergeCells>
  <printOptions horizontalCentered="1"/>
  <pageMargins left="0.23622047244094491" right="0.23622047244094491" top="0.74803149606299213" bottom="0.74803149606299213" header="0.31496062992125984" footer="0.31496062992125984"/>
  <pageSetup paperSize="9" scale="53" fitToHeight="2" orientation="landscape" r:id="rId1"/>
  <headerFooter alignWithMargins="0"/>
  <rowBreaks count="2" manualBreakCount="2">
    <brk id="54" min="121" max="136" man="1"/>
    <brk id="54" min="23" max="4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B2B6-1DBF-4524-923F-44B78FCCD591}">
  <sheetPr>
    <tabColor rgb="FFFF0000"/>
  </sheetPr>
  <dimension ref="A1:EJ129"/>
  <sheetViews>
    <sheetView topLeftCell="A13" zoomScale="89" zoomScaleNormal="89" workbookViewId="0">
      <pane xSplit="43" topLeftCell="AT1" activePane="topRight" state="frozen"/>
      <selection pane="topRight" activeCell="AW104" sqref="AW104"/>
    </sheetView>
  </sheetViews>
  <sheetFormatPr defaultRowHeight="12.5" outlineLevelRow="1" outlineLevelCol="1" x14ac:dyDescent="0.25"/>
  <cols>
    <col min="1" max="1" width="10" style="5" customWidth="1"/>
    <col min="2" max="2" width="49" style="720" customWidth="1"/>
    <col min="3" max="3" width="13.54296875" customWidth="1"/>
    <col min="4" max="4" width="10.7265625" style="695" hidden="1" customWidth="1" outlineLevel="1"/>
    <col min="5" max="5" width="10.54296875" style="695" hidden="1" customWidth="1" outlineLevel="1"/>
    <col min="6" max="7" width="9" hidden="1" customWidth="1" outlineLevel="1"/>
    <col min="8" max="9" width="11.453125" hidden="1" customWidth="1" outlineLevel="1"/>
    <col min="10" max="11" width="10.26953125" hidden="1" customWidth="1" outlineLevel="1"/>
    <col min="12" max="12" width="10.54296875" hidden="1" customWidth="1" outlineLevel="1"/>
    <col min="13" max="13" width="10" hidden="1" customWidth="1" outlineLevel="1"/>
    <col min="14" max="14" width="9.7265625" hidden="1" customWidth="1" outlineLevel="1"/>
    <col min="15" max="15" width="10" style="697" hidden="1" customWidth="1" outlineLevel="1"/>
    <col min="16" max="17" width="9.7265625" hidden="1" customWidth="1" outlineLevel="1"/>
    <col min="18" max="19" width="8.7265625" hidden="1" customWidth="1" outlineLevel="1"/>
    <col min="20" max="20" width="9.7265625" hidden="1" customWidth="1" outlineLevel="1"/>
    <col min="21" max="21" width="9.1796875" style="697" hidden="1" customWidth="1" outlineLevel="1"/>
    <col min="22" max="22" width="8.54296875" hidden="1" customWidth="1" outlineLevel="1"/>
    <col min="23" max="23" width="7.26953125" hidden="1" customWidth="1" outlineLevel="1"/>
    <col min="24" max="24" width="9.453125" style="695" hidden="1" customWidth="1" outlineLevel="1"/>
    <col min="25" max="25" width="8.26953125" style="695" hidden="1" customWidth="1" outlineLevel="1"/>
    <col min="26" max="26" width="8.54296875" hidden="1" customWidth="1" outlineLevel="1"/>
    <col min="27" max="27" width="8.81640625" hidden="1" customWidth="1" outlineLevel="1"/>
    <col min="28" max="28" width="10" hidden="1" customWidth="1" outlineLevel="1"/>
    <col min="29" max="29" width="9.26953125" hidden="1" customWidth="1" outlineLevel="1"/>
    <col min="30" max="30" width="9.453125" hidden="1" customWidth="1" outlineLevel="1"/>
    <col min="31" max="31" width="9.1796875" hidden="1" customWidth="1" outlineLevel="1"/>
    <col min="32" max="32" width="9.54296875" hidden="1" customWidth="1" outlineLevel="1"/>
    <col min="33" max="33" width="10.1796875" hidden="1" customWidth="1" outlineLevel="1"/>
    <col min="34" max="34" width="9.7265625" style="697" hidden="1" customWidth="1" outlineLevel="1"/>
    <col min="35" max="35" width="10.1796875" style="697" hidden="1" customWidth="1" outlineLevel="1"/>
    <col min="36" max="36" width="9.7265625" hidden="1" customWidth="1" outlineLevel="1"/>
    <col min="37" max="37" width="10.1796875" hidden="1" customWidth="1" outlineLevel="1"/>
    <col min="38" max="40" width="9.7265625" hidden="1" customWidth="1" outlineLevel="1"/>
    <col min="41" max="41" width="10.453125" style="697" hidden="1" customWidth="1" outlineLevel="1"/>
    <col min="42" max="42" width="7.26953125" hidden="1" customWidth="1" outlineLevel="1"/>
    <col min="43" max="43" width="7.1796875" hidden="1" customWidth="1" outlineLevel="1"/>
    <col min="44" max="44" width="9.1796875" style="695" customWidth="1" collapsed="1"/>
    <col min="45" max="45" width="7.453125" style="696" customWidth="1"/>
    <col min="46" max="46" width="11.453125" style="696" customWidth="1"/>
    <col min="47" max="47" width="7.453125" customWidth="1"/>
    <col min="48" max="49" width="9.54296875" customWidth="1"/>
    <col min="50" max="50" width="11.54296875" customWidth="1"/>
    <col min="51" max="51" width="9.54296875" customWidth="1"/>
    <col min="52" max="52" width="10.453125" customWidth="1"/>
    <col min="53" max="53" width="11.26953125" customWidth="1"/>
    <col min="54" max="54" width="10.7265625" style="697" customWidth="1"/>
    <col min="55" max="55" width="9.1796875" style="697" customWidth="1"/>
    <col min="56" max="56" width="9.81640625" customWidth="1"/>
    <col min="57" max="57" width="8.54296875" customWidth="1"/>
    <col min="58" max="59" width="8.453125" customWidth="1"/>
    <col min="60" max="60" width="8.54296875" customWidth="1"/>
    <col min="61" max="61" width="7.453125" style="697" customWidth="1"/>
    <col min="62" max="63" width="7.453125" customWidth="1"/>
    <col min="64" max="64" width="9.1796875" style="695" customWidth="1"/>
    <col min="65" max="65" width="7.453125" customWidth="1"/>
    <col min="66" max="66" width="8.7265625" customWidth="1"/>
    <col min="67" max="67" width="7.453125" customWidth="1"/>
    <col min="68" max="68" width="10.26953125" customWidth="1"/>
    <col min="69" max="69" width="9.7265625" customWidth="1"/>
    <col min="70" max="70" width="10.54296875" customWidth="1"/>
    <col min="71" max="71" width="9" customWidth="1"/>
    <col min="72" max="72" width="9.81640625" customWidth="1"/>
    <col min="73" max="73" width="9.453125" customWidth="1"/>
    <col min="74" max="74" width="9.7265625" style="697" customWidth="1"/>
    <col min="75" max="75" width="8.1796875" customWidth="1"/>
    <col min="76" max="76" width="10.453125" customWidth="1"/>
    <col min="77" max="77" width="10.1796875" customWidth="1"/>
    <col min="78" max="79" width="8.81640625" customWidth="1"/>
    <col min="80" max="81" width="8.453125" customWidth="1"/>
    <col min="82" max="83" width="7.453125" customWidth="1"/>
    <col min="84" max="84" width="8.81640625" style="695" customWidth="1"/>
    <col min="85" max="85" width="7.453125" customWidth="1"/>
    <col min="86" max="86" width="9.26953125" customWidth="1"/>
    <col min="87" max="87" width="7.453125" customWidth="1"/>
    <col min="88" max="88" width="11.453125" customWidth="1"/>
    <col min="89" max="89" width="10" customWidth="1"/>
    <col min="90" max="90" width="9.7265625" customWidth="1"/>
    <col min="92" max="92" width="10.54296875" customWidth="1"/>
    <col min="93" max="93" width="10.26953125" bestFit="1" customWidth="1"/>
    <col min="94" max="94" width="9.54296875" customWidth="1"/>
    <col min="96" max="97" width="9.54296875" customWidth="1"/>
    <col min="98" max="101" width="9.26953125" customWidth="1"/>
    <col min="102" max="103" width="7.453125" customWidth="1"/>
    <col min="104" max="104" width="7.453125" style="5" hidden="1" customWidth="1" outlineLevel="1"/>
    <col min="105" max="105" width="7.453125" style="8" hidden="1" customWidth="1" outlineLevel="1"/>
    <col min="106" max="119" width="7.453125" style="5" hidden="1" customWidth="1" outlineLevel="1"/>
    <col min="120" max="121" width="7.453125" hidden="1" customWidth="1" outlineLevel="1"/>
    <col min="122" max="122" width="7.453125" style="9" hidden="1" customWidth="1" outlineLevel="1"/>
    <col min="123" max="138" width="7.453125" style="5" hidden="1" customWidth="1" outlineLevel="1"/>
    <col min="139" max="139" width="7.453125" hidden="1" customWidth="1" outlineLevel="1"/>
    <col min="140" max="140" width="9.1796875" collapsed="1"/>
  </cols>
  <sheetData>
    <row r="1" spans="1:140" s="1" customFormat="1" ht="14" x14ac:dyDescent="0.3">
      <c r="A1" s="1" t="s">
        <v>0</v>
      </c>
      <c r="E1" s="2"/>
      <c r="F1" s="2"/>
      <c r="G1" s="2"/>
      <c r="H1" s="2"/>
      <c r="I1" s="2"/>
      <c r="J1" s="2"/>
      <c r="K1" s="2"/>
      <c r="L1" s="2"/>
      <c r="M1" s="2"/>
      <c r="N1" s="2"/>
      <c r="O1" s="2"/>
      <c r="P1" s="2"/>
      <c r="Q1" s="2"/>
      <c r="R1" s="2"/>
      <c r="S1" s="2"/>
      <c r="AX1" s="978"/>
      <c r="AZ1" s="978"/>
      <c r="BA1" s="978"/>
      <c r="CF1" s="3"/>
      <c r="CO1" s="978"/>
    </row>
    <row r="2" spans="1:140" s="1" customFormat="1" ht="14.5" customHeight="1" x14ac:dyDescent="0.3">
      <c r="A2" s="1113" t="s">
        <v>1</v>
      </c>
      <c r="B2" s="1113"/>
      <c r="C2" s="1113"/>
      <c r="D2" s="1113"/>
      <c r="E2" s="1113"/>
      <c r="F2" s="1113"/>
      <c r="G2" s="1113"/>
      <c r="H2" s="1113"/>
      <c r="I2" s="1113"/>
      <c r="J2" s="1113"/>
      <c r="K2" s="1113"/>
      <c r="L2" s="1113"/>
      <c r="M2" s="1113"/>
      <c r="N2" s="1113"/>
      <c r="O2" s="1113"/>
      <c r="P2" s="1113"/>
      <c r="Q2" s="1113"/>
      <c r="R2" s="1113"/>
      <c r="S2" s="1113"/>
      <c r="AZ2" s="978"/>
      <c r="BA2" s="978"/>
      <c r="BC2" s="4"/>
      <c r="BD2" s="4"/>
      <c r="BE2" s="4"/>
      <c r="BF2" s="4"/>
      <c r="BG2" s="4"/>
      <c r="BH2" s="4"/>
      <c r="BI2" s="4"/>
      <c r="BJ2" s="4"/>
      <c r="BK2" s="4"/>
      <c r="BL2" s="4"/>
      <c r="BM2" s="4"/>
      <c r="BN2" s="4"/>
      <c r="BO2" s="4"/>
      <c r="BP2" s="4"/>
      <c r="BQ2" s="4"/>
      <c r="BR2" s="4"/>
      <c r="BS2" s="4"/>
      <c r="BT2" s="4"/>
      <c r="BV2" s="978"/>
      <c r="CF2" s="3"/>
      <c r="CM2" s="978"/>
      <c r="CO2" s="978"/>
    </row>
    <row r="3" spans="1:140" ht="16.5" customHeight="1" x14ac:dyDescent="0.35">
      <c r="B3" s="6"/>
      <c r="C3" s="6"/>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7"/>
      <c r="AX3" s="7"/>
      <c r="AY3" s="5"/>
      <c r="AZ3" s="5"/>
      <c r="BA3" s="5"/>
      <c r="BB3" s="5"/>
      <c r="BC3" s="5"/>
      <c r="BD3" s="5"/>
      <c r="BE3" s="5"/>
      <c r="BF3" s="5"/>
      <c r="BG3" s="5"/>
      <c r="BH3" s="5"/>
      <c r="BI3" s="5"/>
      <c r="BJ3" s="5"/>
      <c r="BK3" s="5"/>
      <c r="BL3" s="5"/>
      <c r="BM3" s="5"/>
      <c r="BN3" s="5"/>
      <c r="BO3" s="5"/>
      <c r="BP3" s="5"/>
      <c r="BQ3" s="5"/>
      <c r="BR3" s="5"/>
      <c r="BS3" s="7"/>
      <c r="BT3" s="7"/>
      <c r="BU3" s="7"/>
      <c r="BV3" s="7"/>
      <c r="BW3" s="5"/>
      <c r="BX3" s="7"/>
      <c r="BY3" s="5"/>
      <c r="BZ3" s="5"/>
      <c r="CA3" s="5"/>
      <c r="CB3" s="5"/>
      <c r="CC3" s="5"/>
      <c r="CD3" s="5"/>
      <c r="CE3" s="5"/>
      <c r="CF3" s="8"/>
      <c r="CG3" s="5"/>
      <c r="CH3" s="5"/>
      <c r="CI3" s="5"/>
      <c r="CJ3" s="5"/>
      <c r="CK3" s="5"/>
      <c r="CL3" s="5"/>
      <c r="CM3" s="5"/>
      <c r="CN3" s="5"/>
      <c r="CO3" s="5"/>
      <c r="CP3" s="7"/>
      <c r="CQ3" s="5"/>
      <c r="CR3" s="5"/>
      <c r="CS3" s="5"/>
      <c r="CT3" s="5"/>
      <c r="CU3" s="5"/>
      <c r="CV3" s="5"/>
      <c r="CW3" s="5"/>
      <c r="CX3" s="5"/>
      <c r="CY3" s="5"/>
      <c r="DP3" s="5"/>
      <c r="DQ3" s="5"/>
      <c r="EI3" s="5"/>
      <c r="EJ3" s="5"/>
    </row>
    <row r="4" spans="1:140" ht="33" customHeight="1" x14ac:dyDescent="0.35">
      <c r="A4" s="1122" t="s">
        <v>2</v>
      </c>
      <c r="B4" s="1122"/>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1122"/>
      <c r="AA4" s="1122"/>
      <c r="AB4" s="1122"/>
      <c r="AC4" s="1122"/>
      <c r="AD4" s="1122"/>
      <c r="AE4" s="1122"/>
      <c r="AF4" s="1122"/>
      <c r="AG4" s="1122"/>
      <c r="AH4" s="1122"/>
      <c r="AI4" s="1122"/>
      <c r="AJ4" s="1122"/>
      <c r="AK4" s="1122"/>
      <c r="AL4" s="1122"/>
      <c r="AM4" s="1122"/>
      <c r="AN4" s="1122"/>
      <c r="AO4" s="1122"/>
      <c r="AP4" s="1122"/>
      <c r="AQ4" s="1122"/>
      <c r="AR4" s="1122"/>
      <c r="AS4" s="1122"/>
      <c r="AT4" s="1122"/>
      <c r="AU4" s="1122"/>
      <c r="AV4" s="1122"/>
      <c r="AW4" s="1122"/>
      <c r="AX4" s="1122"/>
      <c r="AY4" s="1122"/>
      <c r="AZ4" s="1122"/>
      <c r="BA4" s="1122"/>
      <c r="BB4" s="1122"/>
      <c r="BC4" s="1122"/>
      <c r="BD4" s="1122"/>
      <c r="BE4" s="1122"/>
      <c r="BF4" s="1122"/>
      <c r="BG4" s="1122"/>
      <c r="BH4" s="1122"/>
      <c r="BI4" s="1122"/>
      <c r="BJ4" s="1122"/>
      <c r="BK4" s="1122"/>
      <c r="BL4" s="1122"/>
      <c r="BM4" s="1122"/>
      <c r="BN4" s="1122"/>
      <c r="BO4" s="1122"/>
      <c r="BP4" s="1122"/>
      <c r="BQ4" s="1122"/>
      <c r="BR4" s="1122"/>
      <c r="BS4" s="1122"/>
      <c r="BT4" s="1122"/>
      <c r="BU4" s="1122"/>
      <c r="BV4" s="1122"/>
      <c r="BW4" s="1122"/>
      <c r="BX4" s="1122"/>
      <c r="BY4" s="1122"/>
      <c r="BZ4" s="1122"/>
      <c r="CA4" s="1122"/>
      <c r="CB4" s="1122"/>
      <c r="CC4" s="1122"/>
      <c r="CD4" s="1122"/>
      <c r="CE4" s="1122"/>
      <c r="CF4" s="1122"/>
      <c r="CG4" s="1122"/>
      <c r="CH4" s="1122"/>
      <c r="CI4" s="1122"/>
      <c r="CJ4" s="1122"/>
      <c r="CK4" s="1122"/>
      <c r="CL4" s="1122"/>
      <c r="CM4" s="1122"/>
      <c r="CN4" s="1122"/>
      <c r="CO4" s="1122"/>
      <c r="CP4" s="1122"/>
      <c r="CQ4" s="1122"/>
      <c r="CR4" s="1122"/>
      <c r="CS4" s="1122"/>
      <c r="CT4" s="1122"/>
      <c r="CU4" s="1122"/>
      <c r="CV4" s="1122"/>
      <c r="CW4" s="1122"/>
      <c r="CX4" s="1122"/>
      <c r="CY4" s="1122"/>
      <c r="DD4" s="7"/>
      <c r="DE4" s="7"/>
      <c r="DH4" s="7"/>
      <c r="DI4" s="7"/>
      <c r="DP4" s="5"/>
      <c r="DQ4" s="5"/>
      <c r="EI4" s="5"/>
      <c r="EJ4" s="5"/>
    </row>
    <row r="5" spans="1:140" s="5" customFormat="1" ht="20.5" thickBot="1" x14ac:dyDescent="0.45">
      <c r="A5" s="5" t="s">
        <v>3</v>
      </c>
      <c r="B5" s="10"/>
      <c r="C5" s="11"/>
      <c r="D5" s="12"/>
      <c r="E5" s="12"/>
      <c r="F5" s="11"/>
      <c r="G5" s="11"/>
      <c r="H5" s="11"/>
      <c r="I5" s="11"/>
      <c r="J5" s="11"/>
      <c r="K5" s="11"/>
      <c r="L5" s="11"/>
      <c r="M5" s="11"/>
      <c r="N5" s="11"/>
      <c r="O5" s="13"/>
      <c r="P5" s="11"/>
      <c r="Q5" s="11"/>
      <c r="R5" s="11"/>
      <c r="S5" s="11"/>
      <c r="T5" s="11"/>
      <c r="U5" s="13"/>
      <c r="V5" s="14"/>
      <c r="W5" s="14"/>
      <c r="X5" s="12"/>
      <c r="Y5" s="12"/>
      <c r="Z5" s="11"/>
      <c r="AA5" s="11"/>
      <c r="AB5" s="11"/>
      <c r="AC5" s="11"/>
      <c r="AD5" s="11"/>
      <c r="AE5" s="11"/>
      <c r="AF5" s="11"/>
      <c r="AG5" s="11"/>
      <c r="AH5" s="13"/>
      <c r="AI5" s="13"/>
      <c r="AJ5" s="11"/>
      <c r="AK5" s="11"/>
      <c r="AL5" s="11"/>
      <c r="AM5" s="11"/>
      <c r="AN5" s="11"/>
      <c r="AO5" s="13"/>
      <c r="AP5" s="14"/>
      <c r="AQ5" s="14"/>
      <c r="AR5" s="12"/>
      <c r="AS5" s="15"/>
      <c r="AT5" s="15"/>
      <c r="AU5" s="11"/>
      <c r="AV5" s="11"/>
      <c r="AW5" s="11"/>
      <c r="AX5" s="11"/>
      <c r="AY5" s="11"/>
      <c r="AZ5" s="11"/>
      <c r="BA5" s="11"/>
      <c r="BB5" s="13"/>
      <c r="BC5" s="13"/>
      <c r="BD5" s="11"/>
      <c r="BE5" s="11"/>
      <c r="BF5" s="11"/>
      <c r="BG5" s="11"/>
      <c r="BH5" s="11"/>
      <c r="BI5" s="13"/>
      <c r="BJ5" s="14"/>
      <c r="BK5" s="14"/>
      <c r="BL5" s="12"/>
      <c r="BM5" s="11"/>
      <c r="BN5" s="11"/>
      <c r="BO5" s="11"/>
      <c r="BP5" s="11"/>
      <c r="BQ5" s="11"/>
      <c r="BR5" s="11"/>
      <c r="BS5" s="11"/>
      <c r="BT5" s="11"/>
      <c r="BU5" s="11"/>
      <c r="BV5" s="13"/>
      <c r="BW5" s="11"/>
      <c r="BX5" s="11"/>
      <c r="BY5" s="11"/>
      <c r="BZ5" s="11"/>
      <c r="CA5" s="11"/>
      <c r="CB5" s="11"/>
      <c r="CC5" s="11"/>
      <c r="CD5" s="14"/>
      <c r="CE5" s="14"/>
      <c r="CF5" s="12"/>
      <c r="CG5" s="11"/>
      <c r="CH5" s="11"/>
      <c r="CI5" s="11"/>
      <c r="CJ5" s="11"/>
      <c r="CK5" s="11"/>
      <c r="CL5" s="11"/>
      <c r="CM5" s="11"/>
      <c r="CN5" s="11"/>
      <c r="CO5" s="11"/>
      <c r="CP5" s="11"/>
      <c r="CQ5" s="11"/>
      <c r="CR5" s="11"/>
      <c r="CS5" s="11"/>
      <c r="CT5" s="11"/>
      <c r="CU5" s="11"/>
      <c r="CV5" s="11"/>
      <c r="CW5" s="11"/>
      <c r="CX5" s="14"/>
      <c r="CY5" s="14"/>
      <c r="DA5" s="8"/>
      <c r="DP5" s="14"/>
      <c r="DQ5" s="14"/>
      <c r="DR5" s="9"/>
    </row>
    <row r="6" spans="1:140" s="5" customFormat="1" ht="17.25" customHeight="1" x14ac:dyDescent="0.3">
      <c r="A6" s="16"/>
      <c r="B6" s="1115" t="s">
        <v>4</v>
      </c>
      <c r="C6" s="1118" t="s">
        <v>5</v>
      </c>
      <c r="D6" s="1107" t="s">
        <v>6</v>
      </c>
      <c r="E6" s="1108"/>
      <c r="F6" s="1108"/>
      <c r="G6" s="1108"/>
      <c r="H6" s="1108"/>
      <c r="I6" s="1108"/>
      <c r="J6" s="1108"/>
      <c r="K6" s="1108"/>
      <c r="L6" s="1108"/>
      <c r="M6" s="1108"/>
      <c r="N6" s="1108"/>
      <c r="O6" s="1108"/>
      <c r="P6" s="1108"/>
      <c r="Q6" s="1108"/>
      <c r="R6" s="1108"/>
      <c r="S6" s="1108"/>
      <c r="T6" s="1108"/>
      <c r="U6" s="1108"/>
      <c r="V6" s="1108"/>
      <c r="W6" s="1121"/>
      <c r="X6" s="1107" t="s">
        <v>7</v>
      </c>
      <c r="Y6" s="1108"/>
      <c r="Z6" s="1108"/>
      <c r="AA6" s="1108"/>
      <c r="AB6" s="1108"/>
      <c r="AC6" s="1108"/>
      <c r="AD6" s="1108"/>
      <c r="AE6" s="1108"/>
      <c r="AF6" s="1108"/>
      <c r="AG6" s="1108"/>
      <c r="AH6" s="1108"/>
      <c r="AI6" s="1108"/>
      <c r="AJ6" s="1108"/>
      <c r="AK6" s="1108"/>
      <c r="AL6" s="1108"/>
      <c r="AM6" s="1108"/>
      <c r="AN6" s="1108"/>
      <c r="AO6" s="1108"/>
      <c r="AP6" s="1108"/>
      <c r="AQ6" s="1121"/>
      <c r="AR6" s="1107" t="s">
        <v>8</v>
      </c>
      <c r="AS6" s="1108"/>
      <c r="AT6" s="1108"/>
      <c r="AU6" s="1108"/>
      <c r="AV6" s="1108"/>
      <c r="AW6" s="1108"/>
      <c r="AX6" s="1108"/>
      <c r="AY6" s="1108"/>
      <c r="AZ6" s="1108"/>
      <c r="BA6" s="1108"/>
      <c r="BB6" s="1108"/>
      <c r="BC6" s="1108"/>
      <c r="BD6" s="1108"/>
      <c r="BE6" s="1108"/>
      <c r="BF6" s="1108"/>
      <c r="BG6" s="1108"/>
      <c r="BH6" s="1108"/>
      <c r="BI6" s="1108"/>
      <c r="BJ6" s="1108"/>
      <c r="BK6" s="18"/>
      <c r="BL6" s="1107" t="s">
        <v>9</v>
      </c>
      <c r="BM6" s="1108"/>
      <c r="BN6" s="1108"/>
      <c r="BO6" s="1108"/>
      <c r="BP6" s="1108"/>
      <c r="BQ6" s="1108"/>
      <c r="BR6" s="1108"/>
      <c r="BS6" s="1108"/>
      <c r="BT6" s="1108"/>
      <c r="BU6" s="1108"/>
      <c r="BV6" s="1108"/>
      <c r="BW6" s="1108"/>
      <c r="BX6" s="1108"/>
      <c r="BY6" s="1108"/>
      <c r="BZ6" s="1108"/>
      <c r="CA6" s="1108"/>
      <c r="CB6" s="1108"/>
      <c r="CC6" s="1109"/>
      <c r="CD6" s="17"/>
      <c r="CE6" s="18"/>
      <c r="CF6" s="1107" t="s">
        <v>10</v>
      </c>
      <c r="CG6" s="1108"/>
      <c r="CH6" s="1108"/>
      <c r="CI6" s="1108"/>
      <c r="CJ6" s="1108"/>
      <c r="CK6" s="1108"/>
      <c r="CL6" s="1108"/>
      <c r="CM6" s="1108"/>
      <c r="CN6" s="1108"/>
      <c r="CO6" s="1108"/>
      <c r="CP6" s="1108"/>
      <c r="CQ6" s="1108"/>
      <c r="CR6" s="1108"/>
      <c r="CS6" s="1108"/>
      <c r="CT6" s="1108"/>
      <c r="CU6" s="1108"/>
      <c r="CV6" s="1108"/>
      <c r="CW6" s="1109"/>
      <c r="CX6" s="19"/>
      <c r="CY6" s="18"/>
      <c r="CZ6" s="1110" t="s">
        <v>11</v>
      </c>
      <c r="DA6" s="1111"/>
      <c r="DB6" s="1111"/>
      <c r="DC6" s="1111"/>
      <c r="DD6" s="1111"/>
      <c r="DE6" s="1111"/>
      <c r="DF6" s="1111"/>
      <c r="DG6" s="1111"/>
      <c r="DH6" s="1111"/>
      <c r="DI6" s="1111"/>
      <c r="DJ6" s="1111"/>
      <c r="DK6" s="1111"/>
      <c r="DL6" s="1111"/>
      <c r="DM6" s="1111"/>
      <c r="DN6" s="1111"/>
      <c r="DO6" s="1111"/>
      <c r="DP6" s="21"/>
      <c r="DQ6" s="20"/>
      <c r="DR6" s="1110" t="s">
        <v>12</v>
      </c>
      <c r="DS6" s="1111"/>
      <c r="DT6" s="1111"/>
      <c r="DU6" s="1111"/>
      <c r="DV6" s="1111"/>
      <c r="DW6" s="1111"/>
      <c r="DX6" s="1111"/>
      <c r="DY6" s="1111"/>
      <c r="DZ6" s="1111"/>
      <c r="EA6" s="1111"/>
      <c r="EB6" s="1111"/>
      <c r="EC6" s="1111"/>
      <c r="ED6" s="1111"/>
      <c r="EE6" s="1111"/>
      <c r="EF6" s="1111"/>
      <c r="EG6" s="1111"/>
      <c r="EH6" s="1111"/>
      <c r="EI6" s="1112"/>
    </row>
    <row r="7" spans="1:140" ht="20.25" customHeight="1" x14ac:dyDescent="0.25">
      <c r="A7" s="1075" t="s">
        <v>13</v>
      </c>
      <c r="B7" s="1116"/>
      <c r="C7" s="1119"/>
      <c r="D7" s="1077" t="s">
        <v>14</v>
      </c>
      <c r="E7" s="1078"/>
      <c r="F7" s="1078"/>
      <c r="G7" s="1079"/>
      <c r="H7" s="1083" t="s">
        <v>15</v>
      </c>
      <c r="I7" s="1078"/>
      <c r="J7" s="1078"/>
      <c r="K7" s="1078"/>
      <c r="L7" s="1078"/>
      <c r="M7" s="1079"/>
      <c r="N7" s="1085"/>
      <c r="O7" s="1086"/>
      <c r="P7" s="1086"/>
      <c r="Q7" s="1086"/>
      <c r="R7" s="1086"/>
      <c r="S7" s="1086"/>
      <c r="T7" s="1086"/>
      <c r="U7" s="1086"/>
      <c r="V7" s="1086"/>
      <c r="W7" s="1087"/>
      <c r="X7" s="1077" t="s">
        <v>14</v>
      </c>
      <c r="Y7" s="1078"/>
      <c r="Z7" s="1078"/>
      <c r="AA7" s="1079"/>
      <c r="AB7" s="1083" t="s">
        <v>15</v>
      </c>
      <c r="AC7" s="1078"/>
      <c r="AD7" s="1078"/>
      <c r="AE7" s="1078"/>
      <c r="AF7" s="1078"/>
      <c r="AG7" s="1079"/>
      <c r="AH7" s="1085"/>
      <c r="AI7" s="1086"/>
      <c r="AJ7" s="1086"/>
      <c r="AK7" s="1086"/>
      <c r="AL7" s="1086"/>
      <c r="AM7" s="1086"/>
      <c r="AN7" s="1086"/>
      <c r="AO7" s="1086"/>
      <c r="AP7" s="1086"/>
      <c r="AQ7" s="1087"/>
      <c r="AR7" s="1077" t="s">
        <v>14</v>
      </c>
      <c r="AS7" s="1078"/>
      <c r="AT7" s="1078"/>
      <c r="AU7" s="1079"/>
      <c r="AV7" s="1083" t="s">
        <v>15</v>
      </c>
      <c r="AW7" s="1078"/>
      <c r="AX7" s="1078"/>
      <c r="AY7" s="1078"/>
      <c r="AZ7" s="1078"/>
      <c r="BA7" s="1079"/>
      <c r="BB7" s="1085"/>
      <c r="BC7" s="1086"/>
      <c r="BD7" s="1086"/>
      <c r="BE7" s="1086"/>
      <c r="BF7" s="1086"/>
      <c r="BG7" s="1086"/>
      <c r="BH7" s="1086"/>
      <c r="BI7" s="1086"/>
      <c r="BJ7" s="1086"/>
      <c r="BK7" s="1087"/>
      <c r="BL7" s="1077" t="s">
        <v>112</v>
      </c>
      <c r="BM7" s="1078"/>
      <c r="BN7" s="1078"/>
      <c r="BO7" s="1079"/>
      <c r="BP7" s="1083" t="s">
        <v>15</v>
      </c>
      <c r="BQ7" s="1078"/>
      <c r="BR7" s="1078"/>
      <c r="BS7" s="1078"/>
      <c r="BT7" s="1078"/>
      <c r="BU7" s="1079"/>
      <c r="BV7" s="1085"/>
      <c r="BW7" s="1086"/>
      <c r="BX7" s="1086"/>
      <c r="BY7" s="1086"/>
      <c r="BZ7" s="1086"/>
      <c r="CA7" s="1086"/>
      <c r="CB7" s="1086"/>
      <c r="CC7" s="1086"/>
      <c r="CD7" s="1086"/>
      <c r="CE7" s="1087"/>
      <c r="CF7" s="1077" t="s">
        <v>112</v>
      </c>
      <c r="CG7" s="1078"/>
      <c r="CH7" s="1078"/>
      <c r="CI7" s="1079"/>
      <c r="CJ7" s="1083" t="s">
        <v>15</v>
      </c>
      <c r="CK7" s="1078"/>
      <c r="CL7" s="1078"/>
      <c r="CM7" s="1078"/>
      <c r="CN7" s="1078"/>
      <c r="CO7" s="1079"/>
      <c r="CP7" s="1085"/>
      <c r="CQ7" s="1086"/>
      <c r="CR7" s="1086"/>
      <c r="CS7" s="1086"/>
      <c r="CT7" s="1086"/>
      <c r="CU7" s="1086"/>
      <c r="CV7" s="1086"/>
      <c r="CW7" s="1086"/>
      <c r="CX7" s="1086"/>
      <c r="CY7" s="1087"/>
      <c r="CZ7" s="1092" t="s">
        <v>16</v>
      </c>
      <c r="DA7" s="1067"/>
      <c r="DB7" s="1067"/>
      <c r="DC7" s="1093"/>
      <c r="DD7" s="1091" t="s">
        <v>15</v>
      </c>
      <c r="DE7" s="1067"/>
      <c r="DF7" s="1067"/>
      <c r="DG7" s="1093"/>
      <c r="DH7" s="1091" t="s">
        <v>17</v>
      </c>
      <c r="DI7" s="1067"/>
      <c r="DJ7" s="1067"/>
      <c r="DK7" s="1067"/>
      <c r="DL7" s="1067"/>
      <c r="DM7" s="1067"/>
      <c r="DN7" s="1067"/>
      <c r="DO7" s="1067"/>
      <c r="DP7" s="1083" t="s">
        <v>18</v>
      </c>
      <c r="DQ7" s="1098"/>
      <c r="DR7" s="1099" t="s">
        <v>16</v>
      </c>
      <c r="DS7" s="1095"/>
      <c r="DT7" s="1094" t="s">
        <v>15</v>
      </c>
      <c r="DU7" s="1095"/>
      <c r="DV7" s="1091" t="s">
        <v>17</v>
      </c>
      <c r="DW7" s="1067"/>
      <c r="DX7" s="1067"/>
      <c r="DY7" s="1067"/>
      <c r="DZ7" s="1067"/>
      <c r="EA7" s="1067"/>
      <c r="EB7" s="1067"/>
      <c r="EC7" s="1067"/>
      <c r="ED7" s="1067"/>
      <c r="EE7" s="1067"/>
      <c r="EF7" s="1067"/>
      <c r="EG7" s="1067"/>
      <c r="EH7" s="1083" t="s">
        <v>19</v>
      </c>
      <c r="EI7" s="1098"/>
    </row>
    <row r="8" spans="1:140" ht="20.25" customHeight="1" x14ac:dyDescent="0.25">
      <c r="A8" s="1075"/>
      <c r="B8" s="1116"/>
      <c r="C8" s="1119"/>
      <c r="D8" s="1080"/>
      <c r="E8" s="1081"/>
      <c r="F8" s="1081"/>
      <c r="G8" s="1082"/>
      <c r="H8" s="1084"/>
      <c r="I8" s="1081"/>
      <c r="J8" s="1081"/>
      <c r="K8" s="1081"/>
      <c r="L8" s="1081"/>
      <c r="M8" s="1082"/>
      <c r="N8" s="1084" t="s">
        <v>20</v>
      </c>
      <c r="O8" s="1081"/>
      <c r="P8" s="1081"/>
      <c r="Q8" s="1082"/>
      <c r="R8" s="1084" t="s">
        <v>21</v>
      </c>
      <c r="S8" s="1081"/>
      <c r="T8" s="1081"/>
      <c r="U8" s="1082"/>
      <c r="V8" s="1088" t="s">
        <v>22</v>
      </c>
      <c r="W8" s="1089"/>
      <c r="X8" s="1080"/>
      <c r="Y8" s="1081"/>
      <c r="Z8" s="1081"/>
      <c r="AA8" s="1082"/>
      <c r="AB8" s="1084"/>
      <c r="AC8" s="1081"/>
      <c r="AD8" s="1081"/>
      <c r="AE8" s="1081"/>
      <c r="AF8" s="1081"/>
      <c r="AG8" s="1082"/>
      <c r="AH8" s="1084" t="s">
        <v>20</v>
      </c>
      <c r="AI8" s="1081"/>
      <c r="AJ8" s="1081"/>
      <c r="AK8" s="1082"/>
      <c r="AL8" s="1084" t="s">
        <v>21</v>
      </c>
      <c r="AM8" s="1081"/>
      <c r="AN8" s="1081"/>
      <c r="AO8" s="1082"/>
      <c r="AP8" s="1088" t="s">
        <v>22</v>
      </c>
      <c r="AQ8" s="1089"/>
      <c r="AR8" s="1080"/>
      <c r="AS8" s="1081"/>
      <c r="AT8" s="1081"/>
      <c r="AU8" s="1082"/>
      <c r="AV8" s="1084"/>
      <c r="AW8" s="1081"/>
      <c r="AX8" s="1081"/>
      <c r="AY8" s="1081"/>
      <c r="AZ8" s="1081"/>
      <c r="BA8" s="1082"/>
      <c r="BB8" s="1084" t="s">
        <v>20</v>
      </c>
      <c r="BC8" s="1081"/>
      <c r="BD8" s="1081"/>
      <c r="BE8" s="1082"/>
      <c r="BF8" s="1084" t="s">
        <v>21</v>
      </c>
      <c r="BG8" s="1081"/>
      <c r="BH8" s="1081"/>
      <c r="BI8" s="1082"/>
      <c r="BJ8" s="1088" t="s">
        <v>22</v>
      </c>
      <c r="BK8" s="1089"/>
      <c r="BL8" s="1080"/>
      <c r="BM8" s="1081"/>
      <c r="BN8" s="1081"/>
      <c r="BO8" s="1082"/>
      <c r="BP8" s="1084"/>
      <c r="BQ8" s="1081"/>
      <c r="BR8" s="1081"/>
      <c r="BS8" s="1081"/>
      <c r="BT8" s="1081"/>
      <c r="BU8" s="1082"/>
      <c r="BV8" s="1084" t="s">
        <v>20</v>
      </c>
      <c r="BW8" s="1081"/>
      <c r="BX8" s="1081"/>
      <c r="BY8" s="1082"/>
      <c r="BZ8" s="1084" t="s">
        <v>21</v>
      </c>
      <c r="CA8" s="1081"/>
      <c r="CB8" s="1081"/>
      <c r="CC8" s="1082"/>
      <c r="CD8" s="1088" t="s">
        <v>22</v>
      </c>
      <c r="CE8" s="1089"/>
      <c r="CF8" s="1080"/>
      <c r="CG8" s="1081"/>
      <c r="CH8" s="1081"/>
      <c r="CI8" s="1082"/>
      <c r="CJ8" s="1084"/>
      <c r="CK8" s="1081"/>
      <c r="CL8" s="1081"/>
      <c r="CM8" s="1081"/>
      <c r="CN8" s="1081"/>
      <c r="CO8" s="1082"/>
      <c r="CP8" s="1084" t="s">
        <v>20</v>
      </c>
      <c r="CQ8" s="1081"/>
      <c r="CR8" s="1081"/>
      <c r="CS8" s="1082"/>
      <c r="CT8" s="1084" t="s">
        <v>21</v>
      </c>
      <c r="CU8" s="1081"/>
      <c r="CV8" s="1081"/>
      <c r="CW8" s="1082"/>
      <c r="CX8" s="1088" t="s">
        <v>22</v>
      </c>
      <c r="CY8" s="1089"/>
      <c r="CZ8" s="1099" t="s">
        <v>23</v>
      </c>
      <c r="DA8" s="1095"/>
      <c r="DB8" s="1094" t="s">
        <v>24</v>
      </c>
      <c r="DC8" s="1095"/>
      <c r="DD8" s="1094" t="s">
        <v>25</v>
      </c>
      <c r="DE8" s="1095"/>
      <c r="DF8" s="1094" t="s">
        <v>26</v>
      </c>
      <c r="DG8" s="1095"/>
      <c r="DH8" s="1091" t="s">
        <v>20</v>
      </c>
      <c r="DI8" s="1067"/>
      <c r="DJ8" s="1067"/>
      <c r="DK8" s="1093"/>
      <c r="DL8" s="1091" t="s">
        <v>27</v>
      </c>
      <c r="DM8" s="1067"/>
      <c r="DN8" s="1067"/>
      <c r="DO8" s="1067"/>
      <c r="DP8" s="1088"/>
      <c r="DQ8" s="1089"/>
      <c r="DR8" s="1100"/>
      <c r="DS8" s="1101"/>
      <c r="DT8" s="1103"/>
      <c r="DU8" s="1101"/>
      <c r="DV8" s="1094" t="s">
        <v>28</v>
      </c>
      <c r="DW8" s="1095"/>
      <c r="DX8" s="1094" t="s">
        <v>29</v>
      </c>
      <c r="DY8" s="1095"/>
      <c r="DZ8" s="1091" t="s">
        <v>20</v>
      </c>
      <c r="EA8" s="1067"/>
      <c r="EB8" s="1067"/>
      <c r="EC8" s="1093"/>
      <c r="ED8" s="1091" t="s">
        <v>27</v>
      </c>
      <c r="EE8" s="1067"/>
      <c r="EF8" s="1067"/>
      <c r="EG8" s="1067"/>
      <c r="EH8" s="1088"/>
      <c r="EI8" s="1089"/>
    </row>
    <row r="9" spans="1:140" ht="56.25" customHeight="1" x14ac:dyDescent="0.25">
      <c r="A9" s="1075"/>
      <c r="B9" s="1116"/>
      <c r="C9" s="1119"/>
      <c r="D9" s="1105" t="s">
        <v>23</v>
      </c>
      <c r="E9" s="1106"/>
      <c r="F9" s="1085" t="s">
        <v>24</v>
      </c>
      <c r="G9" s="1104"/>
      <c r="H9" s="1084" t="s">
        <v>30</v>
      </c>
      <c r="I9" s="1082"/>
      <c r="J9" s="1084" t="s">
        <v>25</v>
      </c>
      <c r="K9" s="1082"/>
      <c r="L9" s="1084" t="s">
        <v>26</v>
      </c>
      <c r="M9" s="1082"/>
      <c r="N9" s="1085" t="s">
        <v>25</v>
      </c>
      <c r="O9" s="1104"/>
      <c r="P9" s="1085" t="s">
        <v>26</v>
      </c>
      <c r="Q9" s="1104"/>
      <c r="R9" s="1085" t="s">
        <v>25</v>
      </c>
      <c r="S9" s="1104"/>
      <c r="T9" s="1085" t="s">
        <v>26</v>
      </c>
      <c r="U9" s="1104"/>
      <c r="V9" s="1084"/>
      <c r="W9" s="1090"/>
      <c r="X9" s="1105" t="s">
        <v>23</v>
      </c>
      <c r="Y9" s="1106"/>
      <c r="Z9" s="1085" t="s">
        <v>24</v>
      </c>
      <c r="AA9" s="1104"/>
      <c r="AB9" s="1084" t="s">
        <v>30</v>
      </c>
      <c r="AC9" s="1082"/>
      <c r="AD9" s="1084" t="s">
        <v>25</v>
      </c>
      <c r="AE9" s="1082"/>
      <c r="AF9" s="1084" t="s">
        <v>26</v>
      </c>
      <c r="AG9" s="1082"/>
      <c r="AH9" s="1085" t="s">
        <v>25</v>
      </c>
      <c r="AI9" s="1104"/>
      <c r="AJ9" s="1085" t="s">
        <v>26</v>
      </c>
      <c r="AK9" s="1104"/>
      <c r="AL9" s="1085" t="s">
        <v>25</v>
      </c>
      <c r="AM9" s="1104"/>
      <c r="AN9" s="1085" t="s">
        <v>26</v>
      </c>
      <c r="AO9" s="1104"/>
      <c r="AP9" s="1084"/>
      <c r="AQ9" s="1090"/>
      <c r="AR9" s="1105" t="s">
        <v>23</v>
      </c>
      <c r="AS9" s="1106"/>
      <c r="AT9" s="1085" t="s">
        <v>24</v>
      </c>
      <c r="AU9" s="1104"/>
      <c r="AV9" s="1084" t="s">
        <v>30</v>
      </c>
      <c r="AW9" s="1082"/>
      <c r="AX9" s="1084" t="s">
        <v>25</v>
      </c>
      <c r="AY9" s="1082"/>
      <c r="AZ9" s="1084" t="s">
        <v>26</v>
      </c>
      <c r="BA9" s="1082"/>
      <c r="BB9" s="1085" t="s">
        <v>25</v>
      </c>
      <c r="BC9" s="1104"/>
      <c r="BD9" s="1085" t="s">
        <v>26</v>
      </c>
      <c r="BE9" s="1104"/>
      <c r="BF9" s="1085" t="s">
        <v>25</v>
      </c>
      <c r="BG9" s="1104"/>
      <c r="BH9" s="1085" t="s">
        <v>26</v>
      </c>
      <c r="BI9" s="1104"/>
      <c r="BJ9" s="1084"/>
      <c r="BK9" s="1090"/>
      <c r="BL9" s="1105" t="s">
        <v>23</v>
      </c>
      <c r="BM9" s="1106"/>
      <c r="BN9" s="1085" t="s">
        <v>24</v>
      </c>
      <c r="BO9" s="1104"/>
      <c r="BP9" s="1084" t="s">
        <v>30</v>
      </c>
      <c r="BQ9" s="1082"/>
      <c r="BR9" s="1084" t="s">
        <v>25</v>
      </c>
      <c r="BS9" s="1082"/>
      <c r="BT9" s="1084" t="s">
        <v>26</v>
      </c>
      <c r="BU9" s="1082"/>
      <c r="BV9" s="1085" t="s">
        <v>25</v>
      </c>
      <c r="BW9" s="1104"/>
      <c r="BX9" s="1085" t="s">
        <v>26</v>
      </c>
      <c r="BY9" s="1104"/>
      <c r="BZ9" s="1085" t="s">
        <v>25</v>
      </c>
      <c r="CA9" s="1104"/>
      <c r="CB9" s="1085" t="s">
        <v>26</v>
      </c>
      <c r="CC9" s="1104"/>
      <c r="CD9" s="1084"/>
      <c r="CE9" s="1090"/>
      <c r="CF9" s="1105" t="s">
        <v>23</v>
      </c>
      <c r="CG9" s="1106"/>
      <c r="CH9" s="1085" t="s">
        <v>24</v>
      </c>
      <c r="CI9" s="1104"/>
      <c r="CJ9" s="1084" t="s">
        <v>30</v>
      </c>
      <c r="CK9" s="1082"/>
      <c r="CL9" s="1084" t="s">
        <v>25</v>
      </c>
      <c r="CM9" s="1082"/>
      <c r="CN9" s="1084" t="s">
        <v>26</v>
      </c>
      <c r="CO9" s="1082"/>
      <c r="CP9" s="1085" t="s">
        <v>25</v>
      </c>
      <c r="CQ9" s="1104"/>
      <c r="CR9" s="1085" t="s">
        <v>26</v>
      </c>
      <c r="CS9" s="1104"/>
      <c r="CT9" s="1085" t="s">
        <v>25</v>
      </c>
      <c r="CU9" s="1104"/>
      <c r="CV9" s="1085" t="s">
        <v>26</v>
      </c>
      <c r="CW9" s="1104"/>
      <c r="CX9" s="1084"/>
      <c r="CY9" s="1090"/>
      <c r="CZ9" s="1102"/>
      <c r="DA9" s="1097"/>
      <c r="DB9" s="1096"/>
      <c r="DC9" s="1097"/>
      <c r="DD9" s="1096"/>
      <c r="DE9" s="1097"/>
      <c r="DF9" s="1096"/>
      <c r="DG9" s="1097"/>
      <c r="DH9" s="1091" t="s">
        <v>25</v>
      </c>
      <c r="DI9" s="1093"/>
      <c r="DJ9" s="1091" t="s">
        <v>26</v>
      </c>
      <c r="DK9" s="1093"/>
      <c r="DL9" s="1091" t="s">
        <v>25</v>
      </c>
      <c r="DM9" s="1093"/>
      <c r="DN9" s="1091" t="s">
        <v>26</v>
      </c>
      <c r="DO9" s="1067"/>
      <c r="DP9" s="1084"/>
      <c r="DQ9" s="1090"/>
      <c r="DR9" s="1102"/>
      <c r="DS9" s="1097"/>
      <c r="DT9" s="1096"/>
      <c r="DU9" s="1097"/>
      <c r="DV9" s="1096"/>
      <c r="DW9" s="1097"/>
      <c r="DX9" s="1096"/>
      <c r="DY9" s="1097"/>
      <c r="DZ9" s="1091" t="s">
        <v>25</v>
      </c>
      <c r="EA9" s="1093"/>
      <c r="EB9" s="1091" t="s">
        <v>26</v>
      </c>
      <c r="EC9" s="1093"/>
      <c r="ED9" s="1091" t="s">
        <v>25</v>
      </c>
      <c r="EE9" s="1093"/>
      <c r="EF9" s="1091" t="s">
        <v>26</v>
      </c>
      <c r="EG9" s="1067"/>
      <c r="EH9" s="1084"/>
      <c r="EI9" s="1090"/>
    </row>
    <row r="10" spans="1:140" s="5" customFormat="1" ht="15.75" customHeight="1" x14ac:dyDescent="0.25">
      <c r="A10" s="1075"/>
      <c r="B10" s="1116"/>
      <c r="C10" s="1119"/>
      <c r="D10" s="32" t="s">
        <v>31</v>
      </c>
      <c r="E10" s="33" t="s">
        <v>32</v>
      </c>
      <c r="F10" s="34" t="s">
        <v>31</v>
      </c>
      <c r="G10" s="35" t="s">
        <v>32</v>
      </c>
      <c r="H10" s="25" t="s">
        <v>31</v>
      </c>
      <c r="I10" s="25" t="s">
        <v>33</v>
      </c>
      <c r="J10" s="25" t="s">
        <v>31</v>
      </c>
      <c r="K10" s="25" t="s">
        <v>33</v>
      </c>
      <c r="L10" s="25" t="s">
        <v>31</v>
      </c>
      <c r="M10" s="34" t="s">
        <v>33</v>
      </c>
      <c r="N10" s="25" t="s">
        <v>31</v>
      </c>
      <c r="O10" s="36" t="s">
        <v>33</v>
      </c>
      <c r="P10" s="25" t="s">
        <v>31</v>
      </c>
      <c r="Q10" s="34" t="s">
        <v>33</v>
      </c>
      <c r="R10" s="26" t="s">
        <v>31</v>
      </c>
      <c r="S10" s="25" t="s">
        <v>33</v>
      </c>
      <c r="T10" s="25" t="s">
        <v>31</v>
      </c>
      <c r="U10" s="37" t="s">
        <v>33</v>
      </c>
      <c r="V10" s="26" t="s">
        <v>31</v>
      </c>
      <c r="W10" s="38" t="s">
        <v>33</v>
      </c>
      <c r="X10" s="32" t="s">
        <v>31</v>
      </c>
      <c r="Y10" s="33" t="s">
        <v>32</v>
      </c>
      <c r="Z10" s="34" t="s">
        <v>31</v>
      </c>
      <c r="AA10" s="35" t="s">
        <v>32</v>
      </c>
      <c r="AB10" s="25" t="s">
        <v>31</v>
      </c>
      <c r="AC10" s="25" t="s">
        <v>33</v>
      </c>
      <c r="AD10" s="25" t="s">
        <v>31</v>
      </c>
      <c r="AE10" s="25" t="s">
        <v>33</v>
      </c>
      <c r="AF10" s="25" t="s">
        <v>31</v>
      </c>
      <c r="AG10" s="34" t="s">
        <v>33</v>
      </c>
      <c r="AH10" s="25" t="s">
        <v>31</v>
      </c>
      <c r="AI10" s="36" t="s">
        <v>33</v>
      </c>
      <c r="AJ10" s="25" t="s">
        <v>31</v>
      </c>
      <c r="AK10" s="34" t="s">
        <v>33</v>
      </c>
      <c r="AL10" s="26" t="s">
        <v>31</v>
      </c>
      <c r="AM10" s="25" t="s">
        <v>33</v>
      </c>
      <c r="AN10" s="25" t="s">
        <v>31</v>
      </c>
      <c r="AO10" s="37" t="s">
        <v>33</v>
      </c>
      <c r="AP10" s="26" t="s">
        <v>31</v>
      </c>
      <c r="AQ10" s="38" t="s">
        <v>33</v>
      </c>
      <c r="AR10" s="32" t="s">
        <v>31</v>
      </c>
      <c r="AS10" s="33" t="s">
        <v>32</v>
      </c>
      <c r="AT10" s="34" t="s">
        <v>31</v>
      </c>
      <c r="AU10" s="35" t="s">
        <v>32</v>
      </c>
      <c r="AV10" s="25" t="s">
        <v>31</v>
      </c>
      <c r="AW10" s="25" t="s">
        <v>33</v>
      </c>
      <c r="AX10" s="25" t="s">
        <v>31</v>
      </c>
      <c r="AY10" s="25" t="s">
        <v>33</v>
      </c>
      <c r="AZ10" s="25" t="s">
        <v>31</v>
      </c>
      <c r="BA10" s="34" t="s">
        <v>33</v>
      </c>
      <c r="BB10" s="25" t="s">
        <v>31</v>
      </c>
      <c r="BC10" s="36" t="s">
        <v>33</v>
      </c>
      <c r="BD10" s="25" t="s">
        <v>31</v>
      </c>
      <c r="BE10" s="34" t="s">
        <v>33</v>
      </c>
      <c r="BF10" s="26" t="s">
        <v>31</v>
      </c>
      <c r="BG10" s="25" t="s">
        <v>33</v>
      </c>
      <c r="BH10" s="25" t="s">
        <v>31</v>
      </c>
      <c r="BI10" s="37" t="s">
        <v>33</v>
      </c>
      <c r="BJ10" s="26" t="s">
        <v>31</v>
      </c>
      <c r="BK10" s="38" t="s">
        <v>33</v>
      </c>
      <c r="BL10" s="32" t="s">
        <v>31</v>
      </c>
      <c r="BM10" s="33" t="s">
        <v>32</v>
      </c>
      <c r="BN10" s="34" t="s">
        <v>31</v>
      </c>
      <c r="BO10" s="35" t="s">
        <v>32</v>
      </c>
      <c r="BP10" s="25" t="s">
        <v>31</v>
      </c>
      <c r="BQ10" s="25" t="s">
        <v>33</v>
      </c>
      <c r="BR10" s="25" t="s">
        <v>31</v>
      </c>
      <c r="BS10" s="25" t="s">
        <v>33</v>
      </c>
      <c r="BT10" s="25" t="s">
        <v>31</v>
      </c>
      <c r="BU10" s="34" t="s">
        <v>33</v>
      </c>
      <c r="BV10" s="25" t="s">
        <v>31</v>
      </c>
      <c r="BW10" s="36" t="s">
        <v>33</v>
      </c>
      <c r="BX10" s="25" t="s">
        <v>31</v>
      </c>
      <c r="BY10" s="34" t="s">
        <v>33</v>
      </c>
      <c r="BZ10" s="26" t="s">
        <v>31</v>
      </c>
      <c r="CA10" s="25" t="s">
        <v>33</v>
      </c>
      <c r="CB10" s="25" t="s">
        <v>31</v>
      </c>
      <c r="CC10" s="37" t="s">
        <v>33</v>
      </c>
      <c r="CD10" s="26" t="s">
        <v>31</v>
      </c>
      <c r="CE10" s="38" t="s">
        <v>33</v>
      </c>
      <c r="CF10" s="32" t="s">
        <v>31</v>
      </c>
      <c r="CG10" s="33" t="s">
        <v>32</v>
      </c>
      <c r="CH10" s="34" t="s">
        <v>31</v>
      </c>
      <c r="CI10" s="35" t="s">
        <v>32</v>
      </c>
      <c r="CJ10" s="25" t="s">
        <v>31</v>
      </c>
      <c r="CK10" s="25" t="s">
        <v>33</v>
      </c>
      <c r="CL10" s="25" t="s">
        <v>31</v>
      </c>
      <c r="CM10" s="25" t="s">
        <v>33</v>
      </c>
      <c r="CN10" s="25" t="s">
        <v>31</v>
      </c>
      <c r="CO10" s="34" t="s">
        <v>33</v>
      </c>
      <c r="CP10" s="25" t="s">
        <v>31</v>
      </c>
      <c r="CQ10" s="36" t="s">
        <v>33</v>
      </c>
      <c r="CR10" s="25" t="s">
        <v>31</v>
      </c>
      <c r="CS10" s="34" t="s">
        <v>33</v>
      </c>
      <c r="CT10" s="26" t="s">
        <v>31</v>
      </c>
      <c r="CU10" s="25" t="s">
        <v>33</v>
      </c>
      <c r="CV10" s="25" t="s">
        <v>31</v>
      </c>
      <c r="CW10" s="37" t="s">
        <v>33</v>
      </c>
      <c r="CX10" s="26" t="s">
        <v>31</v>
      </c>
      <c r="CY10" s="38" t="s">
        <v>33</v>
      </c>
      <c r="CZ10" s="39" t="s">
        <v>31</v>
      </c>
      <c r="DA10" s="40" t="s">
        <v>33</v>
      </c>
      <c r="DB10" s="41" t="s">
        <v>31</v>
      </c>
      <c r="DC10" s="41" t="s">
        <v>33</v>
      </c>
      <c r="DD10" s="31" t="s">
        <v>34</v>
      </c>
      <c r="DE10" s="31" t="s">
        <v>33</v>
      </c>
      <c r="DF10" s="31" t="s">
        <v>34</v>
      </c>
      <c r="DG10" s="31" t="s">
        <v>33</v>
      </c>
      <c r="DH10" s="27" t="s">
        <v>31</v>
      </c>
      <c r="DI10" s="42" t="s">
        <v>33</v>
      </c>
      <c r="DJ10" s="30" t="s">
        <v>31</v>
      </c>
      <c r="DK10" s="43" t="s">
        <v>33</v>
      </c>
      <c r="DL10" s="31" t="s">
        <v>31</v>
      </c>
      <c r="DM10" s="41" t="s">
        <v>33</v>
      </c>
      <c r="DN10" s="30" t="s">
        <v>31</v>
      </c>
      <c r="DO10" s="28" t="s">
        <v>33</v>
      </c>
      <c r="DP10" s="25" t="s">
        <v>31</v>
      </c>
      <c r="DQ10" s="38" t="s">
        <v>33</v>
      </c>
      <c r="DR10" s="1092" t="s">
        <v>35</v>
      </c>
      <c r="DS10" s="1093"/>
      <c r="DT10" s="1091" t="s">
        <v>35</v>
      </c>
      <c r="DU10" s="1093"/>
      <c r="DV10" s="1091" t="s">
        <v>35</v>
      </c>
      <c r="DW10" s="1093"/>
      <c r="DX10" s="1091" t="s">
        <v>35</v>
      </c>
      <c r="DY10" s="1093"/>
      <c r="DZ10" s="1091" t="s">
        <v>35</v>
      </c>
      <c r="EA10" s="1093"/>
      <c r="EB10" s="1091" t="s">
        <v>35</v>
      </c>
      <c r="EC10" s="1093"/>
      <c r="ED10" s="1091" t="s">
        <v>35</v>
      </c>
      <c r="EE10" s="1093"/>
      <c r="EF10" s="1091" t="s">
        <v>35</v>
      </c>
      <c r="EG10" s="1093"/>
      <c r="EH10" s="1067" t="s">
        <v>35</v>
      </c>
      <c r="EI10" s="1068"/>
      <c r="EJ10"/>
    </row>
    <row r="11" spans="1:140" s="5" customFormat="1" ht="25.5" thickBot="1" x14ac:dyDescent="0.3">
      <c r="A11" s="1076"/>
      <c r="B11" s="1117"/>
      <c r="C11" s="1120"/>
      <c r="D11" s="44" t="s">
        <v>36</v>
      </c>
      <c r="E11" s="45" t="s">
        <v>36</v>
      </c>
      <c r="F11" s="46" t="s">
        <v>37</v>
      </c>
      <c r="G11" s="47" t="s">
        <v>37</v>
      </c>
      <c r="H11" s="24" t="s">
        <v>38</v>
      </c>
      <c r="I11" s="48" t="s">
        <v>38</v>
      </c>
      <c r="J11" s="22" t="s">
        <v>38</v>
      </c>
      <c r="K11" s="24" t="s">
        <v>38</v>
      </c>
      <c r="L11" s="24" t="s">
        <v>38</v>
      </c>
      <c r="M11" s="48" t="s">
        <v>38</v>
      </c>
      <c r="N11" s="49" t="s">
        <v>38</v>
      </c>
      <c r="O11" s="50" t="s">
        <v>38</v>
      </c>
      <c r="P11" s="22" t="s">
        <v>38</v>
      </c>
      <c r="Q11" s="48" t="s">
        <v>38</v>
      </c>
      <c r="R11" s="22" t="s">
        <v>38</v>
      </c>
      <c r="S11" s="24" t="s">
        <v>38</v>
      </c>
      <c r="T11" s="24" t="s">
        <v>38</v>
      </c>
      <c r="U11" s="51" t="s">
        <v>38</v>
      </c>
      <c r="V11" s="23" t="s">
        <v>38</v>
      </c>
      <c r="W11" s="29" t="s">
        <v>38</v>
      </c>
      <c r="X11" s="44" t="s">
        <v>36</v>
      </c>
      <c r="Y11" s="45" t="s">
        <v>36</v>
      </c>
      <c r="Z11" s="46" t="s">
        <v>37</v>
      </c>
      <c r="AA11" s="47" t="s">
        <v>37</v>
      </c>
      <c r="AB11" s="24" t="s">
        <v>38</v>
      </c>
      <c r="AC11" s="48" t="s">
        <v>38</v>
      </c>
      <c r="AD11" s="22" t="s">
        <v>38</v>
      </c>
      <c r="AE11" s="24" t="s">
        <v>38</v>
      </c>
      <c r="AF11" s="24" t="s">
        <v>38</v>
      </c>
      <c r="AG11" s="48" t="s">
        <v>38</v>
      </c>
      <c r="AH11" s="49" t="s">
        <v>38</v>
      </c>
      <c r="AI11" s="50" t="s">
        <v>38</v>
      </c>
      <c r="AJ11" s="22" t="s">
        <v>38</v>
      </c>
      <c r="AK11" s="48" t="s">
        <v>38</v>
      </c>
      <c r="AL11" s="22" t="s">
        <v>38</v>
      </c>
      <c r="AM11" s="24" t="s">
        <v>38</v>
      </c>
      <c r="AN11" s="24" t="s">
        <v>38</v>
      </c>
      <c r="AO11" s="51" t="s">
        <v>38</v>
      </c>
      <c r="AP11" s="23" t="s">
        <v>38</v>
      </c>
      <c r="AQ11" s="29" t="s">
        <v>38</v>
      </c>
      <c r="AR11" s="44" t="s">
        <v>36</v>
      </c>
      <c r="AS11" s="45" t="s">
        <v>36</v>
      </c>
      <c r="AT11" s="46" t="s">
        <v>37</v>
      </c>
      <c r="AU11" s="47" t="s">
        <v>37</v>
      </c>
      <c r="AV11" s="24" t="s">
        <v>38</v>
      </c>
      <c r="AW11" s="48" t="s">
        <v>38</v>
      </c>
      <c r="AX11" s="22" t="s">
        <v>38</v>
      </c>
      <c r="AY11" s="24" t="s">
        <v>38</v>
      </c>
      <c r="AZ11" s="24" t="s">
        <v>38</v>
      </c>
      <c r="BA11" s="48" t="s">
        <v>38</v>
      </c>
      <c r="BB11" s="49" t="s">
        <v>38</v>
      </c>
      <c r="BC11" s="50" t="s">
        <v>38</v>
      </c>
      <c r="BD11" s="22" t="s">
        <v>38</v>
      </c>
      <c r="BE11" s="48" t="s">
        <v>38</v>
      </c>
      <c r="BF11" s="22" t="s">
        <v>38</v>
      </c>
      <c r="BG11" s="24" t="s">
        <v>38</v>
      </c>
      <c r="BH11" s="24" t="s">
        <v>38</v>
      </c>
      <c r="BI11" s="51" t="s">
        <v>38</v>
      </c>
      <c r="BJ11" s="23" t="s">
        <v>38</v>
      </c>
      <c r="BK11" s="29" t="s">
        <v>38</v>
      </c>
      <c r="BL11" s="44" t="s">
        <v>36</v>
      </c>
      <c r="BM11" s="45" t="s">
        <v>36</v>
      </c>
      <c r="BN11" s="46" t="s">
        <v>37</v>
      </c>
      <c r="BO11" s="47" t="s">
        <v>37</v>
      </c>
      <c r="BP11" s="24" t="s">
        <v>38</v>
      </c>
      <c r="BQ11" s="48" t="s">
        <v>38</v>
      </c>
      <c r="BR11" s="22" t="s">
        <v>38</v>
      </c>
      <c r="BS11" s="24" t="s">
        <v>38</v>
      </c>
      <c r="BT11" s="24" t="s">
        <v>38</v>
      </c>
      <c r="BU11" s="48" t="s">
        <v>38</v>
      </c>
      <c r="BV11" s="49" t="s">
        <v>38</v>
      </c>
      <c r="BW11" s="50" t="s">
        <v>38</v>
      </c>
      <c r="BX11" s="22" t="s">
        <v>38</v>
      </c>
      <c r="BY11" s="48" t="s">
        <v>38</v>
      </c>
      <c r="BZ11" s="22" t="s">
        <v>38</v>
      </c>
      <c r="CA11" s="24" t="s">
        <v>38</v>
      </c>
      <c r="CB11" s="24" t="s">
        <v>38</v>
      </c>
      <c r="CC11" s="51" t="s">
        <v>38</v>
      </c>
      <c r="CD11" s="23" t="s">
        <v>38</v>
      </c>
      <c r="CE11" s="29" t="s">
        <v>38</v>
      </c>
      <c r="CF11" s="44" t="s">
        <v>36</v>
      </c>
      <c r="CG11" s="45" t="s">
        <v>36</v>
      </c>
      <c r="CH11" s="46" t="s">
        <v>37</v>
      </c>
      <c r="CI11" s="47" t="s">
        <v>37</v>
      </c>
      <c r="CJ11" s="24" t="s">
        <v>38</v>
      </c>
      <c r="CK11" s="48" t="s">
        <v>38</v>
      </c>
      <c r="CL11" s="22" t="s">
        <v>38</v>
      </c>
      <c r="CM11" s="24" t="s">
        <v>38</v>
      </c>
      <c r="CN11" s="24" t="s">
        <v>38</v>
      </c>
      <c r="CO11" s="48" t="s">
        <v>38</v>
      </c>
      <c r="CP11" s="49" t="s">
        <v>38</v>
      </c>
      <c r="CQ11" s="50" t="s">
        <v>38</v>
      </c>
      <c r="CR11" s="22" t="s">
        <v>38</v>
      </c>
      <c r="CS11" s="48" t="s">
        <v>38</v>
      </c>
      <c r="CT11" s="22" t="s">
        <v>38</v>
      </c>
      <c r="CU11" s="24" t="s">
        <v>38</v>
      </c>
      <c r="CV11" s="24" t="s">
        <v>38</v>
      </c>
      <c r="CW11" s="51" t="s">
        <v>38</v>
      </c>
      <c r="CX11" s="23" t="s">
        <v>38</v>
      </c>
      <c r="CY11" s="29" t="s">
        <v>38</v>
      </c>
      <c r="CZ11" s="52" t="s">
        <v>39</v>
      </c>
      <c r="DA11" s="53" t="s">
        <v>39</v>
      </c>
      <c r="DB11" s="54" t="s">
        <v>37</v>
      </c>
      <c r="DC11" s="54" t="s">
        <v>37</v>
      </c>
      <c r="DD11" s="55" t="s">
        <v>40</v>
      </c>
      <c r="DE11" s="54" t="s">
        <v>40</v>
      </c>
      <c r="DF11" s="54" t="s">
        <v>40</v>
      </c>
      <c r="DG11" s="54" t="s">
        <v>40</v>
      </c>
      <c r="DH11" s="55" t="s">
        <v>40</v>
      </c>
      <c r="DI11" s="54" t="s">
        <v>40</v>
      </c>
      <c r="DJ11" s="54" t="s">
        <v>40</v>
      </c>
      <c r="DK11" s="54" t="s">
        <v>40</v>
      </c>
      <c r="DL11" s="55" t="s">
        <v>40</v>
      </c>
      <c r="DM11" s="54" t="s">
        <v>40</v>
      </c>
      <c r="DN11" s="54" t="s">
        <v>40</v>
      </c>
      <c r="DO11" s="56" t="s">
        <v>40</v>
      </c>
      <c r="DP11" s="48" t="s">
        <v>38</v>
      </c>
      <c r="DQ11" s="29" t="s">
        <v>38</v>
      </c>
      <c r="DR11" s="57" t="s">
        <v>41</v>
      </c>
      <c r="DS11" s="54" t="s">
        <v>37</v>
      </c>
      <c r="DT11" s="55" t="s">
        <v>40</v>
      </c>
      <c r="DU11" s="54" t="s">
        <v>37</v>
      </c>
      <c r="DV11" s="55" t="s">
        <v>40</v>
      </c>
      <c r="DW11" s="54" t="s">
        <v>37</v>
      </c>
      <c r="DX11" s="54" t="s">
        <v>40</v>
      </c>
      <c r="DY11" s="54" t="s">
        <v>37</v>
      </c>
      <c r="DZ11" s="55" t="s">
        <v>40</v>
      </c>
      <c r="EA11" s="54" t="s">
        <v>37</v>
      </c>
      <c r="EB11" s="54" t="s">
        <v>40</v>
      </c>
      <c r="EC11" s="54" t="s">
        <v>37</v>
      </c>
      <c r="ED11" s="55" t="s">
        <v>40</v>
      </c>
      <c r="EE11" s="54" t="s">
        <v>37</v>
      </c>
      <c r="EF11" s="54" t="s">
        <v>40</v>
      </c>
      <c r="EG11" s="56" t="s">
        <v>37</v>
      </c>
      <c r="EH11" s="56" t="s">
        <v>40</v>
      </c>
      <c r="EI11" s="58" t="s">
        <v>37</v>
      </c>
      <c r="EJ11"/>
    </row>
    <row r="12" spans="1:140" s="5" customFormat="1" ht="13" thickBot="1" x14ac:dyDescent="0.3">
      <c r="A12" s="797"/>
      <c r="B12" s="805"/>
      <c r="C12" s="806"/>
      <c r="D12" s="807"/>
      <c r="E12" s="808"/>
      <c r="F12" s="809"/>
      <c r="G12" s="810"/>
      <c r="H12" s="795"/>
      <c r="I12" s="811"/>
      <c r="J12" s="812"/>
      <c r="K12" s="812"/>
      <c r="L12" s="812"/>
      <c r="M12" s="811"/>
      <c r="N12" s="813"/>
      <c r="O12" s="814"/>
      <c r="P12" s="812"/>
      <c r="Q12" s="811"/>
      <c r="R12" s="812"/>
      <c r="S12" s="812"/>
      <c r="T12" s="795"/>
      <c r="U12" s="815"/>
      <c r="V12" s="812"/>
      <c r="W12" s="812"/>
      <c r="X12" s="807"/>
      <c r="Y12" s="808"/>
      <c r="Z12" s="809"/>
      <c r="AA12" s="810"/>
      <c r="AB12" s="795"/>
      <c r="AC12" s="811"/>
      <c r="AD12" s="812"/>
      <c r="AE12" s="812"/>
      <c r="AF12" s="812"/>
      <c r="AG12" s="811"/>
      <c r="AH12" s="813"/>
      <c r="AI12" s="814"/>
      <c r="AJ12" s="812"/>
      <c r="AK12" s="811"/>
      <c r="AL12" s="812"/>
      <c r="AM12" s="812"/>
      <c r="AN12" s="795"/>
      <c r="AO12" s="815"/>
      <c r="AP12" s="812"/>
      <c r="AQ12" s="812"/>
      <c r="AR12" s="807"/>
      <c r="AS12" s="808"/>
      <c r="AT12" s="809"/>
      <c r="AU12" s="810"/>
      <c r="AV12" s="795"/>
      <c r="AW12" s="811"/>
      <c r="AX12" s="812"/>
      <c r="AY12" s="812"/>
      <c r="AZ12" s="812"/>
      <c r="BA12" s="811"/>
      <c r="BB12" s="813"/>
      <c r="BC12" s="814"/>
      <c r="BD12" s="812"/>
      <c r="BE12" s="811"/>
      <c r="BF12" s="812"/>
      <c r="BG12" s="812"/>
      <c r="BH12" s="795"/>
      <c r="BI12" s="815"/>
      <c r="BJ12" s="812"/>
      <c r="BK12" s="812"/>
      <c r="BL12" s="807"/>
      <c r="BM12" s="808"/>
      <c r="BN12" s="809"/>
      <c r="BO12" s="810"/>
      <c r="BP12" s="795"/>
      <c r="BQ12" s="811"/>
      <c r="BR12" s="812"/>
      <c r="BS12" s="812"/>
      <c r="BT12" s="812"/>
      <c r="BU12" s="811"/>
      <c r="BV12" s="813"/>
      <c r="BW12" s="814"/>
      <c r="BX12" s="812"/>
      <c r="BY12" s="811"/>
      <c r="BZ12" s="812"/>
      <c r="CA12" s="812"/>
      <c r="CB12" s="795"/>
      <c r="CC12" s="815"/>
      <c r="CD12" s="812"/>
      <c r="CE12" s="812"/>
      <c r="CF12" s="807"/>
      <c r="CG12" s="808"/>
      <c r="CH12" s="809"/>
      <c r="CI12" s="979"/>
      <c r="CJ12" s="812"/>
      <c r="CK12" s="811"/>
      <c r="CL12" s="812"/>
      <c r="CM12" s="812"/>
      <c r="CN12" s="812"/>
      <c r="CO12" s="811"/>
      <c r="CP12" s="813"/>
      <c r="CQ12" s="814"/>
      <c r="CR12" s="812"/>
      <c r="CS12" s="811"/>
      <c r="CT12" s="812"/>
      <c r="CU12" s="812"/>
      <c r="CV12" s="812"/>
      <c r="CW12" s="815"/>
      <c r="CX12" s="812"/>
      <c r="CY12" s="796"/>
      <c r="CZ12" s="800"/>
      <c r="DA12" s="816"/>
      <c r="DB12" s="802"/>
      <c r="DC12" s="817"/>
      <c r="DD12" s="817"/>
      <c r="DE12" s="817"/>
      <c r="DF12" s="817"/>
      <c r="DG12" s="817"/>
      <c r="DH12" s="817"/>
      <c r="DI12" s="817"/>
      <c r="DJ12" s="817"/>
      <c r="DK12" s="817"/>
      <c r="DL12" s="817"/>
      <c r="DM12" s="817"/>
      <c r="DN12" s="817"/>
      <c r="DO12" s="817"/>
      <c r="DP12" s="795"/>
      <c r="DQ12" s="796"/>
      <c r="DR12" s="818"/>
      <c r="DS12" s="801"/>
      <c r="DT12" s="817"/>
      <c r="DU12" s="801"/>
      <c r="DV12" s="817"/>
      <c r="DW12" s="817"/>
      <c r="DX12" s="817"/>
      <c r="DY12" s="801"/>
      <c r="DZ12" s="817"/>
      <c r="EA12" s="817"/>
      <c r="EB12" s="817"/>
      <c r="EC12" s="801"/>
      <c r="ED12" s="817"/>
      <c r="EE12" s="817"/>
      <c r="EF12" s="817"/>
      <c r="EG12" s="817"/>
      <c r="EH12" s="802"/>
      <c r="EI12" s="819"/>
      <c r="EJ12"/>
    </row>
    <row r="13" spans="1:140" s="89" customFormat="1" ht="13" x14ac:dyDescent="0.25">
      <c r="A13" s="1069" t="s">
        <v>42</v>
      </c>
      <c r="B13" s="59" t="s">
        <v>43</v>
      </c>
      <c r="C13" s="60"/>
      <c r="D13" s="61">
        <v>873.2</v>
      </c>
      <c r="E13" s="62"/>
      <c r="F13" s="62">
        <v>8.0280226902885943</v>
      </c>
      <c r="G13" s="62"/>
      <c r="H13" s="63" t="s">
        <v>44</v>
      </c>
      <c r="I13" s="64" t="s">
        <v>44</v>
      </c>
      <c r="J13" s="65">
        <v>297590</v>
      </c>
      <c r="K13" s="66"/>
      <c r="L13" s="67" t="s">
        <v>44</v>
      </c>
      <c r="M13" s="68" t="s">
        <v>44</v>
      </c>
      <c r="N13" s="69">
        <v>291722</v>
      </c>
      <c r="O13" s="66"/>
      <c r="P13" s="63" t="s">
        <v>44</v>
      </c>
      <c r="Q13" s="64" t="s">
        <v>44</v>
      </c>
      <c r="R13" s="69">
        <v>5868</v>
      </c>
      <c r="S13" s="66"/>
      <c r="T13" s="63" t="s">
        <v>44</v>
      </c>
      <c r="U13" s="64" t="s">
        <v>44</v>
      </c>
      <c r="V13" s="70">
        <v>341</v>
      </c>
      <c r="W13" s="70"/>
      <c r="X13" s="61">
        <v>883.50000000000011</v>
      </c>
      <c r="Y13" s="62"/>
      <c r="Z13" s="62">
        <v>8.0487204948573829</v>
      </c>
      <c r="AA13" s="62"/>
      <c r="AB13" s="63" t="s">
        <v>44</v>
      </c>
      <c r="AC13" s="64" t="s">
        <v>44</v>
      </c>
      <c r="AD13" s="65">
        <v>309421</v>
      </c>
      <c r="AE13" s="66"/>
      <c r="AF13" s="67" t="s">
        <v>44</v>
      </c>
      <c r="AG13" s="68" t="s">
        <v>44</v>
      </c>
      <c r="AH13" s="69">
        <v>303488</v>
      </c>
      <c r="AI13" s="66"/>
      <c r="AJ13" s="63" t="s">
        <v>44</v>
      </c>
      <c r="AK13" s="64" t="s">
        <v>44</v>
      </c>
      <c r="AL13" s="69">
        <v>5933</v>
      </c>
      <c r="AM13" s="66"/>
      <c r="AN13" s="63" t="s">
        <v>44</v>
      </c>
      <c r="AO13" s="64" t="s">
        <v>44</v>
      </c>
      <c r="AP13" s="70">
        <v>350</v>
      </c>
      <c r="AQ13" s="70"/>
      <c r="AR13" s="61">
        <f>SUM(AR14:AR18)</f>
        <v>845.3</v>
      </c>
      <c r="AS13" s="62"/>
      <c r="AT13" s="821">
        <f>AR13/11040</f>
        <v>7.6567028985507241E-2</v>
      </c>
      <c r="AU13" s="62"/>
      <c r="AV13" s="63" t="s">
        <v>44</v>
      </c>
      <c r="AW13" s="64" t="s">
        <v>44</v>
      </c>
      <c r="AX13" s="65">
        <f t="shared" ref="AX13" si="0">BB13+BF13</f>
        <v>324113.60000000003</v>
      </c>
      <c r="AY13" s="66"/>
      <c r="AZ13" s="67" t="s">
        <v>44</v>
      </c>
      <c r="BA13" s="68" t="s">
        <v>44</v>
      </c>
      <c r="BB13" s="69">
        <f>SUM(BB14:BB18)</f>
        <v>318115.60000000003</v>
      </c>
      <c r="BC13" s="66"/>
      <c r="BD13" s="63" t="s">
        <v>44</v>
      </c>
      <c r="BE13" s="64" t="s">
        <v>44</v>
      </c>
      <c r="BF13" s="69">
        <f>SUM(BF14:BF18)</f>
        <v>5998</v>
      </c>
      <c r="BG13" s="66"/>
      <c r="BH13" s="63" t="s">
        <v>44</v>
      </c>
      <c r="BI13" s="64" t="s">
        <v>44</v>
      </c>
      <c r="BJ13" s="70">
        <f>AX13/AR13</f>
        <v>383.43026144564067</v>
      </c>
      <c r="BK13" s="70"/>
      <c r="BL13" s="61">
        <f>SUM(BL14:BL18)</f>
        <v>817.9</v>
      </c>
      <c r="BM13" s="62"/>
      <c r="BN13" s="821">
        <f>BL13/11156.9</f>
        <v>7.3308894047629719E-2</v>
      </c>
      <c r="BO13" s="62"/>
      <c r="BP13" s="63" t="s">
        <v>44</v>
      </c>
      <c r="BQ13" s="64" t="s">
        <v>44</v>
      </c>
      <c r="BR13" s="65">
        <f t="shared" ref="BR13" si="1">BV13+BZ13</f>
        <v>322835.40000000002</v>
      </c>
      <c r="BS13" s="66"/>
      <c r="BT13" s="67" t="s">
        <v>44</v>
      </c>
      <c r="BU13" s="68" t="s">
        <v>44</v>
      </c>
      <c r="BV13" s="69">
        <f>SUM(BV14:BV18)</f>
        <v>316837.40000000002</v>
      </c>
      <c r="BW13" s="66"/>
      <c r="BX13" s="63" t="s">
        <v>44</v>
      </c>
      <c r="BY13" s="64" t="s">
        <v>44</v>
      </c>
      <c r="BZ13" s="69">
        <f>SUM(BZ14:BZ18)</f>
        <v>5998</v>
      </c>
      <c r="CA13" s="66"/>
      <c r="CB13" s="63" t="s">
        <v>44</v>
      </c>
      <c r="CC13" s="64" t="s">
        <v>44</v>
      </c>
      <c r="CD13" s="70">
        <f>BR13/BL13</f>
        <v>394.71255654725519</v>
      </c>
      <c r="CE13" s="70"/>
      <c r="CF13" s="61">
        <f>BL13+AR13+X13+D13</f>
        <v>3419.8999999999996</v>
      </c>
      <c r="CG13" s="70"/>
      <c r="CH13" s="821">
        <f>CF13/44102.6</f>
        <v>7.7544181068689821E-2</v>
      </c>
      <c r="CI13" s="71"/>
      <c r="CJ13" s="67" t="s">
        <v>44</v>
      </c>
      <c r="CK13" s="68" t="s">
        <v>44</v>
      </c>
      <c r="CL13" s="69">
        <f>BR13+AX13+AD13+J13</f>
        <v>1253960</v>
      </c>
      <c r="CM13" s="72"/>
      <c r="CN13" s="73" t="s">
        <v>44</v>
      </c>
      <c r="CO13" s="68" t="s">
        <v>44</v>
      </c>
      <c r="CP13" s="69">
        <f>BV13+BB13+AH13+N13</f>
        <v>1230163</v>
      </c>
      <c r="CQ13" s="66"/>
      <c r="CR13" s="67" t="s">
        <v>44</v>
      </c>
      <c r="CS13" s="68" t="s">
        <v>44</v>
      </c>
      <c r="CT13" s="69">
        <f>BZ13+BF13+AL13+R13</f>
        <v>23797</v>
      </c>
      <c r="CU13" s="66"/>
      <c r="CV13" s="67" t="s">
        <v>44</v>
      </c>
      <c r="CW13" s="68" t="s">
        <v>44</v>
      </c>
      <c r="CX13" s="69">
        <f>CL13/CF13</f>
        <v>366.66569197929766</v>
      </c>
      <c r="CY13" s="74"/>
      <c r="CZ13" s="75">
        <f t="shared" ref="CZ13:DA44" si="2">D13+X13</f>
        <v>1756.7000000000003</v>
      </c>
      <c r="DA13" s="76">
        <f t="shared" si="2"/>
        <v>0</v>
      </c>
      <c r="DB13" s="77" t="e">
        <f>(CZ13/#REF!)*100</f>
        <v>#REF!</v>
      </c>
      <c r="DC13" s="78" t="e">
        <f>(DA13/#REF!)*100</f>
        <v>#REF!</v>
      </c>
      <c r="DD13" s="69">
        <f t="shared" ref="DD13:DO34" si="3">J13+AD13</f>
        <v>607011</v>
      </c>
      <c r="DE13" s="79">
        <f t="shared" si="3"/>
        <v>0</v>
      </c>
      <c r="DF13" s="79" t="e">
        <f t="shared" si="3"/>
        <v>#VALUE!</v>
      </c>
      <c r="DG13" s="80" t="e">
        <f t="shared" si="3"/>
        <v>#VALUE!</v>
      </c>
      <c r="DH13" s="69">
        <f t="shared" si="3"/>
        <v>595210</v>
      </c>
      <c r="DI13" s="66">
        <f t="shared" si="3"/>
        <v>0</v>
      </c>
      <c r="DJ13" s="66" t="e">
        <f t="shared" si="3"/>
        <v>#VALUE!</v>
      </c>
      <c r="DK13" s="66" t="e">
        <f t="shared" si="3"/>
        <v>#VALUE!</v>
      </c>
      <c r="DL13" s="69">
        <f t="shared" si="3"/>
        <v>11801</v>
      </c>
      <c r="DM13" s="66">
        <f t="shared" si="3"/>
        <v>0</v>
      </c>
      <c r="DN13" s="66" t="e">
        <f t="shared" si="3"/>
        <v>#VALUE!</v>
      </c>
      <c r="DO13" s="72" t="e">
        <f t="shared" si="3"/>
        <v>#VALUE!</v>
      </c>
      <c r="DP13" s="81">
        <f>DD13/CZ13</f>
        <v>345.54050207775936</v>
      </c>
      <c r="DQ13" s="82" t="e">
        <f>DE13/DA13</f>
        <v>#DIV/0!</v>
      </c>
      <c r="DR13" s="83">
        <f>CZ13-DA13</f>
        <v>1756.7000000000003</v>
      </c>
      <c r="DS13" s="84">
        <f t="shared" ref="DS13:DS62" si="4">ABS((DR13/CZ13)*100)</f>
        <v>100</v>
      </c>
      <c r="DT13" s="79" t="e">
        <f t="shared" ref="DT13:DT62" si="5">(DD13+DF13)-(DE13+DG13)</f>
        <v>#VALUE!</v>
      </c>
      <c r="DU13" s="84" t="e">
        <f t="shared" ref="DU13:DU62" si="6">ABS((DT13/(DD13+DF13)*100))</f>
        <v>#VALUE!</v>
      </c>
      <c r="DV13" s="79">
        <f t="shared" ref="DV13:DV62" si="7">DD13-DE13</f>
        <v>607011</v>
      </c>
      <c r="DW13" s="85">
        <f t="shared" ref="DW13:DW62" si="8">ABS((DV13/DD13)*100)</f>
        <v>100</v>
      </c>
      <c r="DX13" s="86" t="e">
        <f t="shared" ref="DX13:DX62" si="9">DF13-DG13</f>
        <v>#VALUE!</v>
      </c>
      <c r="DY13" s="84" t="e">
        <f t="shared" ref="DY13:DY62" si="10">ABS((DX13/DF13)*100)</f>
        <v>#VALUE!</v>
      </c>
      <c r="DZ13" s="79">
        <f t="shared" ref="DZ13:DZ62" si="11">DH13-DI13</f>
        <v>595210</v>
      </c>
      <c r="EA13" s="85">
        <f t="shared" ref="EA13:EA62" si="12">ABS((DZ13/DH13)*100)</f>
        <v>100</v>
      </c>
      <c r="EB13" s="86" t="e">
        <f t="shared" ref="EB13:EB62" si="13">DJ13-DK13</f>
        <v>#VALUE!</v>
      </c>
      <c r="EC13" s="84" t="e">
        <f t="shared" ref="EC13:EC62" si="14">ABS((EB13/DJ13)*100)</f>
        <v>#VALUE!</v>
      </c>
      <c r="ED13" s="79">
        <f t="shared" ref="ED13:ED62" si="15">DL13-DM13</f>
        <v>11801</v>
      </c>
      <c r="EE13" s="87">
        <v>0</v>
      </c>
      <c r="EF13" s="66" t="e">
        <f t="shared" ref="EF13:EF62" si="16">DN13-DO13</f>
        <v>#VALUE!</v>
      </c>
      <c r="EG13" s="87" t="e">
        <f t="shared" ref="EG13:EG62" si="17">ABS((EF13/DN13)*100)</f>
        <v>#VALUE!</v>
      </c>
      <c r="EH13" s="65" t="e">
        <f>DP13-DQ13</f>
        <v>#DIV/0!</v>
      </c>
      <c r="EI13" s="88" t="e">
        <f>ABS(EH13/DP13)*100</f>
        <v>#DIV/0!</v>
      </c>
    </row>
    <row r="14" spans="1:140" s="124" customFormat="1" ht="15.75" customHeight="1" x14ac:dyDescent="0.3">
      <c r="A14" s="1070"/>
      <c r="B14" s="90"/>
      <c r="C14" s="91" t="s">
        <v>45</v>
      </c>
      <c r="D14" s="92">
        <v>442.4</v>
      </c>
      <c r="E14" s="93"/>
      <c r="F14" s="93">
        <v>20.490968040759611</v>
      </c>
      <c r="G14" s="93"/>
      <c r="H14" s="94" t="s">
        <v>44</v>
      </c>
      <c r="I14" s="95" t="s">
        <v>44</v>
      </c>
      <c r="J14" s="96">
        <v>235499</v>
      </c>
      <c r="K14" s="97"/>
      <c r="L14" s="98" t="s">
        <v>44</v>
      </c>
      <c r="M14" s="99" t="s">
        <v>44</v>
      </c>
      <c r="N14" s="100">
        <v>229631</v>
      </c>
      <c r="O14" s="101"/>
      <c r="P14" s="94" t="s">
        <v>44</v>
      </c>
      <c r="Q14" s="95" t="s">
        <v>44</v>
      </c>
      <c r="R14" s="100">
        <v>5868</v>
      </c>
      <c r="S14" s="97"/>
      <c r="T14" s="94" t="s">
        <v>44</v>
      </c>
      <c r="U14" s="95" t="s">
        <v>44</v>
      </c>
      <c r="V14" s="102">
        <v>532</v>
      </c>
      <c r="W14" s="102"/>
      <c r="X14" s="92">
        <v>443.6</v>
      </c>
      <c r="Y14" s="93"/>
      <c r="Z14" s="93">
        <v>20.31135531135531</v>
      </c>
      <c r="AA14" s="93"/>
      <c r="AB14" s="94" t="s">
        <v>44</v>
      </c>
      <c r="AC14" s="95" t="s">
        <v>44</v>
      </c>
      <c r="AD14" s="96">
        <v>247032</v>
      </c>
      <c r="AE14" s="97"/>
      <c r="AF14" s="98" t="s">
        <v>44</v>
      </c>
      <c r="AG14" s="99" t="s">
        <v>44</v>
      </c>
      <c r="AH14" s="100">
        <v>241099</v>
      </c>
      <c r="AI14" s="101"/>
      <c r="AJ14" s="94" t="s">
        <v>44</v>
      </c>
      <c r="AK14" s="95" t="s">
        <v>44</v>
      </c>
      <c r="AL14" s="100">
        <v>5933</v>
      </c>
      <c r="AM14" s="97"/>
      <c r="AN14" s="94" t="s">
        <v>44</v>
      </c>
      <c r="AO14" s="95" t="s">
        <v>44</v>
      </c>
      <c r="AP14" s="102">
        <v>557</v>
      </c>
      <c r="AQ14" s="102"/>
      <c r="AR14" s="92">
        <v>449.5</v>
      </c>
      <c r="AS14" s="93"/>
      <c r="AT14" s="822">
        <f>AR14/2208</f>
        <v>0.20357789855072464</v>
      </c>
      <c r="AU14" s="93"/>
      <c r="AV14" s="94" t="s">
        <v>44</v>
      </c>
      <c r="AW14" s="95" t="s">
        <v>44</v>
      </c>
      <c r="AX14" s="96">
        <f>BB14+BF14</f>
        <v>257601.00000000003</v>
      </c>
      <c r="AY14" s="97"/>
      <c r="AZ14" s="98" t="s">
        <v>44</v>
      </c>
      <c r="BA14" s="99" t="s">
        <v>44</v>
      </c>
      <c r="BB14" s="100">
        <f>228730*1.1</f>
        <v>251603.00000000003</v>
      </c>
      <c r="BC14" s="101"/>
      <c r="BD14" s="94" t="s">
        <v>44</v>
      </c>
      <c r="BE14" s="95" t="s">
        <v>44</v>
      </c>
      <c r="BF14" s="100">
        <v>5998</v>
      </c>
      <c r="BG14" s="97"/>
      <c r="BH14" s="94" t="s">
        <v>44</v>
      </c>
      <c r="BI14" s="95" t="s">
        <v>44</v>
      </c>
      <c r="BJ14" s="102">
        <f>AX14/AR14</f>
        <v>573.08342602892105</v>
      </c>
      <c r="BK14" s="102"/>
      <c r="BL14" s="92">
        <f>448.2+2.9</f>
        <v>451.09999999999997</v>
      </c>
      <c r="BM14" s="93"/>
      <c r="BN14" s="822">
        <f>BL14/2209</f>
        <v>0.2042100497962879</v>
      </c>
      <c r="BO14" s="93"/>
      <c r="BP14" s="94" t="s">
        <v>44</v>
      </c>
      <c r="BQ14" s="95" t="s">
        <v>44</v>
      </c>
      <c r="BR14" s="96">
        <f>BV14+BZ14</f>
        <v>256712.2</v>
      </c>
      <c r="BS14" s="97"/>
      <c r="BT14" s="98" t="s">
        <v>44</v>
      </c>
      <c r="BU14" s="99" t="s">
        <v>44</v>
      </c>
      <c r="BV14" s="100">
        <f>(227809+113)*1.1</f>
        <v>250714.2</v>
      </c>
      <c r="BW14" s="101"/>
      <c r="BX14" s="94" t="s">
        <v>44</v>
      </c>
      <c r="BY14" s="95" t="s">
        <v>44</v>
      </c>
      <c r="BZ14" s="100">
        <v>5998</v>
      </c>
      <c r="CA14" s="97"/>
      <c r="CB14" s="94" t="s">
        <v>44</v>
      </c>
      <c r="CC14" s="95" t="s">
        <v>44</v>
      </c>
      <c r="CD14" s="102">
        <f>BR14/BL14</f>
        <v>569.0804699623144</v>
      </c>
      <c r="CE14" s="102"/>
      <c r="CF14" s="103">
        <f t="shared" ref="CF14:CF62" si="18">BL14+AR14+X14+D14</f>
        <v>1786.6</v>
      </c>
      <c r="CG14" s="104"/>
      <c r="CH14" s="832">
        <f>CF14/8760</f>
        <v>0.20394977168949771</v>
      </c>
      <c r="CI14" s="106"/>
      <c r="CJ14" s="98" t="s">
        <v>44</v>
      </c>
      <c r="CK14" s="99" t="s">
        <v>44</v>
      </c>
      <c r="CL14" s="100">
        <f t="shared" ref="CL14:CL62" si="19">BR14+AX14+AD14+J14</f>
        <v>996844.20000000007</v>
      </c>
      <c r="CM14" s="107"/>
      <c r="CN14" s="108" t="s">
        <v>44</v>
      </c>
      <c r="CO14" s="99" t="s">
        <v>44</v>
      </c>
      <c r="CP14" s="100">
        <f t="shared" ref="CP14:CP62" si="20">BV14+BB14+AH14+N14</f>
        <v>973047.20000000007</v>
      </c>
      <c r="CQ14" s="97"/>
      <c r="CR14" s="98" t="s">
        <v>44</v>
      </c>
      <c r="CS14" s="99" t="s">
        <v>44</v>
      </c>
      <c r="CT14" s="100">
        <f t="shared" ref="CT14:CT62" si="21">BZ14+BF14+AL14+R14</f>
        <v>23797</v>
      </c>
      <c r="CU14" s="97"/>
      <c r="CV14" s="98" t="s">
        <v>44</v>
      </c>
      <c r="CW14" s="99" t="s">
        <v>44</v>
      </c>
      <c r="CX14" s="100">
        <f t="shared" ref="CX14:CX62" si="22">CL14/CF14</f>
        <v>557.95600582111274</v>
      </c>
      <c r="CY14" s="980"/>
      <c r="CZ14" s="110">
        <f t="shared" si="2"/>
        <v>886</v>
      </c>
      <c r="DA14" s="111">
        <f t="shared" si="2"/>
        <v>0</v>
      </c>
      <c r="DB14" s="112">
        <f>(CZ14/4343)*100</f>
        <v>20.400644715634353</v>
      </c>
      <c r="DC14" s="113">
        <f>(DA14/4343)*100</f>
        <v>0</v>
      </c>
      <c r="DD14" s="100">
        <f t="shared" si="3"/>
        <v>482531</v>
      </c>
      <c r="DE14" s="102">
        <f t="shared" si="3"/>
        <v>0</v>
      </c>
      <c r="DF14" s="102" t="e">
        <f t="shared" si="3"/>
        <v>#VALUE!</v>
      </c>
      <c r="DG14" s="114" t="e">
        <f t="shared" si="3"/>
        <v>#VALUE!</v>
      </c>
      <c r="DH14" s="100">
        <f t="shared" si="3"/>
        <v>470730</v>
      </c>
      <c r="DI14" s="97">
        <f t="shared" si="3"/>
        <v>0</v>
      </c>
      <c r="DJ14" s="97" t="e">
        <f t="shared" si="3"/>
        <v>#VALUE!</v>
      </c>
      <c r="DK14" s="97" t="e">
        <f t="shared" si="3"/>
        <v>#VALUE!</v>
      </c>
      <c r="DL14" s="100">
        <f t="shared" si="3"/>
        <v>11801</v>
      </c>
      <c r="DM14" s="97">
        <f t="shared" si="3"/>
        <v>0</v>
      </c>
      <c r="DN14" s="97" t="e">
        <f t="shared" si="3"/>
        <v>#VALUE!</v>
      </c>
      <c r="DO14" s="115" t="e">
        <f t="shared" si="3"/>
        <v>#VALUE!</v>
      </c>
      <c r="DP14" s="100">
        <f>ROUND((DD14/CZ14),0)</f>
        <v>545</v>
      </c>
      <c r="DQ14" s="116" t="e">
        <f>ROUND((DE14/DA14),0)</f>
        <v>#DIV/0!</v>
      </c>
      <c r="DR14" s="117">
        <f>CZ14-DA14</f>
        <v>886</v>
      </c>
      <c r="DS14" s="118">
        <f t="shared" si="4"/>
        <v>100</v>
      </c>
      <c r="DT14" s="104" t="e">
        <f t="shared" si="5"/>
        <v>#VALUE!</v>
      </c>
      <c r="DU14" s="118" t="e">
        <f t="shared" si="6"/>
        <v>#VALUE!</v>
      </c>
      <c r="DV14" s="104">
        <f t="shared" si="7"/>
        <v>482531</v>
      </c>
      <c r="DW14" s="119">
        <f t="shared" si="8"/>
        <v>100</v>
      </c>
      <c r="DX14" s="120" t="e">
        <f t="shared" si="9"/>
        <v>#VALUE!</v>
      </c>
      <c r="DY14" s="118" t="e">
        <f t="shared" si="10"/>
        <v>#VALUE!</v>
      </c>
      <c r="DZ14" s="104">
        <f t="shared" si="11"/>
        <v>470730</v>
      </c>
      <c r="EA14" s="119">
        <f t="shared" si="12"/>
        <v>100</v>
      </c>
      <c r="EB14" s="120" t="e">
        <f t="shared" si="13"/>
        <v>#VALUE!</v>
      </c>
      <c r="EC14" s="118" t="e">
        <f t="shared" si="14"/>
        <v>#VALUE!</v>
      </c>
      <c r="ED14" s="104">
        <f t="shared" si="15"/>
        <v>11801</v>
      </c>
      <c r="EE14" s="121">
        <v>0</v>
      </c>
      <c r="EF14" s="120" t="e">
        <f t="shared" si="16"/>
        <v>#VALUE!</v>
      </c>
      <c r="EG14" s="121" t="e">
        <f t="shared" si="17"/>
        <v>#VALUE!</v>
      </c>
      <c r="EH14" s="122" t="e">
        <f>DP14-DQ14</f>
        <v>#DIV/0!</v>
      </c>
      <c r="EI14" s="123" t="e">
        <f>ABS(EH14/DP14)*100</f>
        <v>#DIV/0!</v>
      </c>
    </row>
    <row r="15" spans="1:140" ht="15.75" customHeight="1" x14ac:dyDescent="0.3">
      <c r="A15" s="1070"/>
      <c r="B15" s="90"/>
      <c r="C15" s="91" t="s">
        <v>46</v>
      </c>
      <c r="D15" s="92">
        <v>85</v>
      </c>
      <c r="E15" s="93"/>
      <c r="F15" s="93">
        <v>3.9370078740157481</v>
      </c>
      <c r="G15" s="93"/>
      <c r="H15" s="94" t="s">
        <v>44</v>
      </c>
      <c r="I15" s="95" t="s">
        <v>44</v>
      </c>
      <c r="J15" s="125">
        <v>0</v>
      </c>
      <c r="K15" s="120"/>
      <c r="L15" s="98" t="s">
        <v>44</v>
      </c>
      <c r="M15" s="99" t="s">
        <v>44</v>
      </c>
      <c r="N15" s="100">
        <v>0</v>
      </c>
      <c r="O15" s="126"/>
      <c r="P15" s="94" t="s">
        <v>44</v>
      </c>
      <c r="Q15" s="95" t="s">
        <v>44</v>
      </c>
      <c r="R15" s="100">
        <v>0</v>
      </c>
      <c r="S15" s="97"/>
      <c r="T15" s="94" t="s">
        <v>44</v>
      </c>
      <c r="U15" s="95" t="s">
        <v>44</v>
      </c>
      <c r="V15" s="102">
        <v>0</v>
      </c>
      <c r="W15" s="102"/>
      <c r="X15" s="92">
        <v>85.6</v>
      </c>
      <c r="Y15" s="93"/>
      <c r="Z15" s="93">
        <v>3.9194139194139193</v>
      </c>
      <c r="AA15" s="93"/>
      <c r="AB15" s="94" t="s">
        <v>44</v>
      </c>
      <c r="AC15" s="95" t="s">
        <v>44</v>
      </c>
      <c r="AD15" s="125">
        <v>0</v>
      </c>
      <c r="AE15" s="120"/>
      <c r="AF15" s="98" t="s">
        <v>44</v>
      </c>
      <c r="AG15" s="99" t="s">
        <v>44</v>
      </c>
      <c r="AH15" s="100">
        <v>0</v>
      </c>
      <c r="AI15" s="126"/>
      <c r="AJ15" s="94" t="s">
        <v>44</v>
      </c>
      <c r="AK15" s="95" t="s">
        <v>44</v>
      </c>
      <c r="AL15" s="100">
        <v>0</v>
      </c>
      <c r="AM15" s="97"/>
      <c r="AN15" s="94" t="s">
        <v>44</v>
      </c>
      <c r="AO15" s="95" t="s">
        <v>44</v>
      </c>
      <c r="AP15" s="102">
        <v>0</v>
      </c>
      <c r="AQ15" s="102"/>
      <c r="AR15" s="92">
        <v>85.7</v>
      </c>
      <c r="AS15" s="93"/>
      <c r="AT15" s="822">
        <f t="shared" ref="AT15:AT18" si="23">AR15/2208</f>
        <v>3.881340579710145E-2</v>
      </c>
      <c r="AU15" s="93"/>
      <c r="AV15" s="94" t="s">
        <v>44</v>
      </c>
      <c r="AW15" s="95" t="s">
        <v>44</v>
      </c>
      <c r="AX15" s="125">
        <f t="shared" ref="AX15:AX61" si="24">BB15+BF15</f>
        <v>0</v>
      </c>
      <c r="AY15" s="120"/>
      <c r="AZ15" s="98" t="s">
        <v>44</v>
      </c>
      <c r="BA15" s="99" t="s">
        <v>44</v>
      </c>
      <c r="BB15" s="100">
        <v>0</v>
      </c>
      <c r="BC15" s="126"/>
      <c r="BD15" s="94" t="s">
        <v>44</v>
      </c>
      <c r="BE15" s="95" t="s">
        <v>44</v>
      </c>
      <c r="BF15" s="100">
        <v>0</v>
      </c>
      <c r="BG15" s="97"/>
      <c r="BH15" s="94" t="s">
        <v>44</v>
      </c>
      <c r="BI15" s="95" t="s">
        <v>44</v>
      </c>
      <c r="BJ15" s="102">
        <f t="shared" ref="BJ15:BJ62" si="25">AX15/AR15</f>
        <v>0</v>
      </c>
      <c r="BK15" s="102"/>
      <c r="BL15" s="92">
        <v>86.2</v>
      </c>
      <c r="BM15" s="93"/>
      <c r="BN15" s="822">
        <f t="shared" ref="BN15:BN18" si="26">BL15/2209</f>
        <v>3.9022181982797645E-2</v>
      </c>
      <c r="BO15" s="93"/>
      <c r="BP15" s="94" t="s">
        <v>44</v>
      </c>
      <c r="BQ15" s="95" t="s">
        <v>44</v>
      </c>
      <c r="BR15" s="125">
        <f t="shared" ref="BR15:BR61" si="27">BV15+BZ15</f>
        <v>0</v>
      </c>
      <c r="BS15" s="120"/>
      <c r="BT15" s="98" t="s">
        <v>44</v>
      </c>
      <c r="BU15" s="99" t="s">
        <v>44</v>
      </c>
      <c r="BV15" s="100"/>
      <c r="BW15" s="126"/>
      <c r="BX15" s="94" t="s">
        <v>44</v>
      </c>
      <c r="BY15" s="95" t="s">
        <v>44</v>
      </c>
      <c r="BZ15" s="100"/>
      <c r="CA15" s="97"/>
      <c r="CB15" s="94" t="s">
        <v>44</v>
      </c>
      <c r="CC15" s="95" t="s">
        <v>44</v>
      </c>
      <c r="CD15" s="102">
        <f t="shared" ref="CD15:CD21" si="28">BR15/BL15</f>
        <v>0</v>
      </c>
      <c r="CE15" s="102"/>
      <c r="CF15" s="103">
        <f t="shared" si="18"/>
        <v>342.5</v>
      </c>
      <c r="CG15" s="102"/>
      <c r="CH15" s="832">
        <f t="shared" ref="CH15:CH18" si="29">CF15/8760</f>
        <v>3.9098173515981736E-2</v>
      </c>
      <c r="CI15" s="127"/>
      <c r="CJ15" s="98" t="s">
        <v>44</v>
      </c>
      <c r="CK15" s="99" t="s">
        <v>44</v>
      </c>
      <c r="CL15" s="100">
        <f t="shared" si="19"/>
        <v>0</v>
      </c>
      <c r="CM15" s="107"/>
      <c r="CN15" s="108" t="s">
        <v>44</v>
      </c>
      <c r="CO15" s="99" t="s">
        <v>44</v>
      </c>
      <c r="CP15" s="100">
        <f t="shared" si="20"/>
        <v>0</v>
      </c>
      <c r="CQ15" s="97"/>
      <c r="CR15" s="98" t="s">
        <v>44</v>
      </c>
      <c r="CS15" s="99" t="s">
        <v>44</v>
      </c>
      <c r="CT15" s="100">
        <f t="shared" si="21"/>
        <v>0</v>
      </c>
      <c r="CU15" s="97"/>
      <c r="CV15" s="98" t="s">
        <v>44</v>
      </c>
      <c r="CW15" s="99" t="s">
        <v>44</v>
      </c>
      <c r="CX15" s="100">
        <f t="shared" si="22"/>
        <v>0</v>
      </c>
      <c r="CY15" s="129"/>
      <c r="CZ15" s="110">
        <f t="shared" si="2"/>
        <v>170.6</v>
      </c>
      <c r="DA15" s="111">
        <f t="shared" si="2"/>
        <v>0</v>
      </c>
      <c r="DB15" s="112">
        <f t="shared" ref="DB15:DC18" si="30">(CZ15/4343)*100</f>
        <v>3.9281602578862533</v>
      </c>
      <c r="DC15" s="113">
        <f t="shared" si="30"/>
        <v>0</v>
      </c>
      <c r="DD15" s="100">
        <f t="shared" si="3"/>
        <v>0</v>
      </c>
      <c r="DE15" s="102">
        <f t="shared" si="3"/>
        <v>0</v>
      </c>
      <c r="DF15" s="102" t="e">
        <f t="shared" si="3"/>
        <v>#VALUE!</v>
      </c>
      <c r="DG15" s="114" t="e">
        <f t="shared" si="3"/>
        <v>#VALUE!</v>
      </c>
      <c r="DH15" s="100">
        <f t="shared" si="3"/>
        <v>0</v>
      </c>
      <c r="DI15" s="97">
        <f t="shared" si="3"/>
        <v>0</v>
      </c>
      <c r="DJ15" s="97" t="e">
        <f t="shared" si="3"/>
        <v>#VALUE!</v>
      </c>
      <c r="DK15" s="97" t="e">
        <f t="shared" si="3"/>
        <v>#VALUE!</v>
      </c>
      <c r="DL15" s="100">
        <f t="shared" si="3"/>
        <v>0</v>
      </c>
      <c r="DM15" s="97">
        <f t="shared" si="3"/>
        <v>0</v>
      </c>
      <c r="DN15" s="97" t="e">
        <f t="shared" si="3"/>
        <v>#VALUE!</v>
      </c>
      <c r="DO15" s="115" t="e">
        <f t="shared" si="3"/>
        <v>#VALUE!</v>
      </c>
      <c r="DP15" s="100">
        <f>ROUND((DD15/CZ15),0)</f>
        <v>0</v>
      </c>
      <c r="DQ15" s="116" t="e">
        <f t="shared" ref="DQ15:DQ18" si="31">ROUND((DE15/DA15),0)</f>
        <v>#DIV/0!</v>
      </c>
      <c r="DR15" s="117">
        <f t="shared" ref="DR15:DR82" si="32">CZ15-DA15</f>
        <v>170.6</v>
      </c>
      <c r="DS15" s="118">
        <f t="shared" si="4"/>
        <v>100</v>
      </c>
      <c r="DT15" s="104" t="e">
        <f t="shared" si="5"/>
        <v>#VALUE!</v>
      </c>
      <c r="DU15" s="118" t="e">
        <f t="shared" si="6"/>
        <v>#VALUE!</v>
      </c>
      <c r="DV15" s="104">
        <f t="shared" si="7"/>
        <v>0</v>
      </c>
      <c r="DW15" s="119" t="e">
        <f t="shared" si="8"/>
        <v>#DIV/0!</v>
      </c>
      <c r="DX15" s="120" t="e">
        <f t="shared" si="9"/>
        <v>#VALUE!</v>
      </c>
      <c r="DY15" s="118" t="e">
        <f t="shared" si="10"/>
        <v>#VALUE!</v>
      </c>
      <c r="DZ15" s="104">
        <f t="shared" si="11"/>
        <v>0</v>
      </c>
      <c r="EA15" s="119" t="e">
        <f t="shared" si="12"/>
        <v>#DIV/0!</v>
      </c>
      <c r="EB15" s="120" t="e">
        <f t="shared" si="13"/>
        <v>#VALUE!</v>
      </c>
      <c r="EC15" s="118" t="e">
        <f t="shared" si="14"/>
        <v>#VALUE!</v>
      </c>
      <c r="ED15" s="104">
        <f t="shared" si="15"/>
        <v>0</v>
      </c>
      <c r="EE15" s="121">
        <v>0</v>
      </c>
      <c r="EF15" s="120" t="e">
        <f t="shared" si="16"/>
        <v>#VALUE!</v>
      </c>
      <c r="EG15" s="121" t="e">
        <f t="shared" si="17"/>
        <v>#VALUE!</v>
      </c>
      <c r="EH15" s="122" t="e">
        <f t="shared" ref="EH15:EH82" si="33">DP15-DQ15</f>
        <v>#DIV/0!</v>
      </c>
      <c r="EI15" s="123" t="e">
        <f t="shared" ref="EI15:EI81" si="34">ABS(EH15/DP15)*100</f>
        <v>#DIV/0!</v>
      </c>
    </row>
    <row r="16" spans="1:140" ht="15.75" customHeight="1" x14ac:dyDescent="0.3">
      <c r="A16" s="1070"/>
      <c r="B16" s="90"/>
      <c r="C16" s="91" t="s">
        <v>47</v>
      </c>
      <c r="D16" s="92">
        <v>79.2</v>
      </c>
      <c r="E16" s="93"/>
      <c r="F16" s="93">
        <v>3.6683649837887913</v>
      </c>
      <c r="G16" s="93"/>
      <c r="H16" s="94" t="s">
        <v>44</v>
      </c>
      <c r="I16" s="95" t="s">
        <v>44</v>
      </c>
      <c r="J16" s="125">
        <v>0</v>
      </c>
      <c r="K16" s="120"/>
      <c r="L16" s="98" t="s">
        <v>44</v>
      </c>
      <c r="M16" s="99" t="s">
        <v>44</v>
      </c>
      <c r="N16" s="100">
        <v>0</v>
      </c>
      <c r="O16" s="126"/>
      <c r="P16" s="94" t="s">
        <v>44</v>
      </c>
      <c r="Q16" s="95" t="s">
        <v>44</v>
      </c>
      <c r="R16" s="100">
        <v>0</v>
      </c>
      <c r="S16" s="97"/>
      <c r="T16" s="94" t="s">
        <v>44</v>
      </c>
      <c r="U16" s="95" t="s">
        <v>44</v>
      </c>
      <c r="V16" s="102">
        <v>0</v>
      </c>
      <c r="W16" s="102"/>
      <c r="X16" s="92">
        <v>78.7</v>
      </c>
      <c r="Y16" s="93"/>
      <c r="Z16" s="93">
        <v>3.603479853479854</v>
      </c>
      <c r="AA16" s="93"/>
      <c r="AB16" s="94" t="s">
        <v>44</v>
      </c>
      <c r="AC16" s="95" t="s">
        <v>44</v>
      </c>
      <c r="AD16" s="125">
        <v>0</v>
      </c>
      <c r="AE16" s="120"/>
      <c r="AF16" s="98" t="s">
        <v>44</v>
      </c>
      <c r="AG16" s="99" t="s">
        <v>44</v>
      </c>
      <c r="AH16" s="100">
        <v>0</v>
      </c>
      <c r="AI16" s="126"/>
      <c r="AJ16" s="94" t="s">
        <v>44</v>
      </c>
      <c r="AK16" s="95" t="s">
        <v>44</v>
      </c>
      <c r="AL16" s="100">
        <v>0</v>
      </c>
      <c r="AM16" s="97"/>
      <c r="AN16" s="94" t="s">
        <v>44</v>
      </c>
      <c r="AO16" s="95" t="s">
        <v>44</v>
      </c>
      <c r="AP16" s="102">
        <v>0</v>
      </c>
      <c r="AQ16" s="102"/>
      <c r="AR16" s="92">
        <v>78.599999999999994</v>
      </c>
      <c r="AS16" s="93"/>
      <c r="AT16" s="822">
        <f t="shared" si="23"/>
        <v>3.5597826086956517E-2</v>
      </c>
      <c r="AU16" s="93"/>
      <c r="AV16" s="94" t="s">
        <v>44</v>
      </c>
      <c r="AW16" s="95" t="s">
        <v>44</v>
      </c>
      <c r="AX16" s="125">
        <f t="shared" si="24"/>
        <v>0</v>
      </c>
      <c r="AY16" s="120"/>
      <c r="AZ16" s="98" t="s">
        <v>44</v>
      </c>
      <c r="BA16" s="99" t="s">
        <v>44</v>
      </c>
      <c r="BB16" s="100">
        <v>0</v>
      </c>
      <c r="BC16" s="126"/>
      <c r="BD16" s="94" t="s">
        <v>44</v>
      </c>
      <c r="BE16" s="95" t="s">
        <v>44</v>
      </c>
      <c r="BF16" s="100">
        <v>0</v>
      </c>
      <c r="BG16" s="97"/>
      <c r="BH16" s="94" t="s">
        <v>44</v>
      </c>
      <c r="BI16" s="95" t="s">
        <v>44</v>
      </c>
      <c r="BJ16" s="102">
        <f t="shared" si="25"/>
        <v>0</v>
      </c>
      <c r="BK16" s="102"/>
      <c r="BL16" s="92">
        <v>80.099999999999994</v>
      </c>
      <c r="BM16" s="93"/>
      <c r="BN16" s="822">
        <f t="shared" si="26"/>
        <v>3.626075147125396E-2</v>
      </c>
      <c r="BO16" s="93"/>
      <c r="BP16" s="94" t="s">
        <v>44</v>
      </c>
      <c r="BQ16" s="95" t="s">
        <v>44</v>
      </c>
      <c r="BR16" s="125">
        <f t="shared" si="27"/>
        <v>0</v>
      </c>
      <c r="BS16" s="120"/>
      <c r="BT16" s="98" t="s">
        <v>44</v>
      </c>
      <c r="BU16" s="99" t="s">
        <v>44</v>
      </c>
      <c r="BV16" s="100"/>
      <c r="BW16" s="126"/>
      <c r="BX16" s="94" t="s">
        <v>44</v>
      </c>
      <c r="BY16" s="95" t="s">
        <v>44</v>
      </c>
      <c r="BZ16" s="100"/>
      <c r="CA16" s="97"/>
      <c r="CB16" s="94" t="s">
        <v>44</v>
      </c>
      <c r="CC16" s="95" t="s">
        <v>44</v>
      </c>
      <c r="CD16" s="102">
        <f t="shared" si="28"/>
        <v>0</v>
      </c>
      <c r="CE16" s="102"/>
      <c r="CF16" s="103">
        <f t="shared" si="18"/>
        <v>316.59999999999997</v>
      </c>
      <c r="CG16" s="102"/>
      <c r="CH16" s="832">
        <f t="shared" si="29"/>
        <v>3.6141552511415521E-2</v>
      </c>
      <c r="CI16" s="127"/>
      <c r="CJ16" s="98" t="s">
        <v>44</v>
      </c>
      <c r="CK16" s="99" t="s">
        <v>44</v>
      </c>
      <c r="CL16" s="100">
        <f t="shared" si="19"/>
        <v>0</v>
      </c>
      <c r="CM16" s="107"/>
      <c r="CN16" s="108" t="s">
        <v>44</v>
      </c>
      <c r="CO16" s="99" t="s">
        <v>44</v>
      </c>
      <c r="CP16" s="100">
        <f t="shared" si="20"/>
        <v>0</v>
      </c>
      <c r="CQ16" s="97"/>
      <c r="CR16" s="98" t="s">
        <v>44</v>
      </c>
      <c r="CS16" s="99" t="s">
        <v>44</v>
      </c>
      <c r="CT16" s="100">
        <f t="shared" si="21"/>
        <v>0</v>
      </c>
      <c r="CU16" s="97"/>
      <c r="CV16" s="98" t="s">
        <v>44</v>
      </c>
      <c r="CW16" s="99" t="s">
        <v>44</v>
      </c>
      <c r="CX16" s="100">
        <f t="shared" si="22"/>
        <v>0</v>
      </c>
      <c r="CY16" s="129"/>
      <c r="CZ16" s="110">
        <f t="shared" si="2"/>
        <v>157.9</v>
      </c>
      <c r="DA16" s="111">
        <f t="shared" si="2"/>
        <v>0</v>
      </c>
      <c r="DB16" s="112">
        <f t="shared" si="30"/>
        <v>3.6357356665899148</v>
      </c>
      <c r="DC16" s="113">
        <f t="shared" si="30"/>
        <v>0</v>
      </c>
      <c r="DD16" s="100">
        <f t="shared" si="3"/>
        <v>0</v>
      </c>
      <c r="DE16" s="102">
        <f t="shared" si="3"/>
        <v>0</v>
      </c>
      <c r="DF16" s="102" t="e">
        <f t="shared" si="3"/>
        <v>#VALUE!</v>
      </c>
      <c r="DG16" s="114" t="e">
        <f t="shared" si="3"/>
        <v>#VALUE!</v>
      </c>
      <c r="DH16" s="100">
        <f t="shared" si="3"/>
        <v>0</v>
      </c>
      <c r="DI16" s="97">
        <f t="shared" si="3"/>
        <v>0</v>
      </c>
      <c r="DJ16" s="97" t="e">
        <f t="shared" si="3"/>
        <v>#VALUE!</v>
      </c>
      <c r="DK16" s="97" t="e">
        <f t="shared" si="3"/>
        <v>#VALUE!</v>
      </c>
      <c r="DL16" s="100">
        <f t="shared" si="3"/>
        <v>0</v>
      </c>
      <c r="DM16" s="97">
        <f t="shared" si="3"/>
        <v>0</v>
      </c>
      <c r="DN16" s="97" t="e">
        <f t="shared" si="3"/>
        <v>#VALUE!</v>
      </c>
      <c r="DO16" s="115" t="e">
        <f t="shared" si="3"/>
        <v>#VALUE!</v>
      </c>
      <c r="DP16" s="100">
        <f t="shared" ref="DP16:DP18" si="35">ROUND((DD16/CZ16),0)</f>
        <v>0</v>
      </c>
      <c r="DQ16" s="116" t="e">
        <f t="shared" si="31"/>
        <v>#DIV/0!</v>
      </c>
      <c r="DR16" s="117">
        <f t="shared" si="32"/>
        <v>157.9</v>
      </c>
      <c r="DS16" s="118">
        <f t="shared" si="4"/>
        <v>100</v>
      </c>
      <c r="DT16" s="104" t="e">
        <f t="shared" si="5"/>
        <v>#VALUE!</v>
      </c>
      <c r="DU16" s="118" t="e">
        <f t="shared" si="6"/>
        <v>#VALUE!</v>
      </c>
      <c r="DV16" s="104">
        <f t="shared" si="7"/>
        <v>0</v>
      </c>
      <c r="DW16" s="119" t="e">
        <f t="shared" si="8"/>
        <v>#DIV/0!</v>
      </c>
      <c r="DX16" s="120" t="e">
        <f t="shared" si="9"/>
        <v>#VALUE!</v>
      </c>
      <c r="DY16" s="118" t="e">
        <f t="shared" si="10"/>
        <v>#VALUE!</v>
      </c>
      <c r="DZ16" s="104">
        <f t="shared" si="11"/>
        <v>0</v>
      </c>
      <c r="EA16" s="119" t="e">
        <f t="shared" si="12"/>
        <v>#DIV/0!</v>
      </c>
      <c r="EB16" s="120" t="e">
        <f t="shared" si="13"/>
        <v>#VALUE!</v>
      </c>
      <c r="EC16" s="118" t="e">
        <f t="shared" si="14"/>
        <v>#VALUE!</v>
      </c>
      <c r="ED16" s="104">
        <f t="shared" si="15"/>
        <v>0</v>
      </c>
      <c r="EE16" s="121">
        <v>0</v>
      </c>
      <c r="EF16" s="120" t="e">
        <f t="shared" si="16"/>
        <v>#VALUE!</v>
      </c>
      <c r="EG16" s="121" t="e">
        <f t="shared" si="17"/>
        <v>#VALUE!</v>
      </c>
      <c r="EH16" s="122" t="e">
        <f t="shared" si="33"/>
        <v>#DIV/0!</v>
      </c>
      <c r="EI16" s="123" t="e">
        <f t="shared" si="34"/>
        <v>#DIV/0!</v>
      </c>
    </row>
    <row r="17" spans="1:139" ht="15.75" customHeight="1" x14ac:dyDescent="0.3">
      <c r="A17" s="1070"/>
      <c r="B17" s="90"/>
      <c r="C17" s="91" t="s">
        <v>48</v>
      </c>
      <c r="D17" s="92">
        <v>186.4</v>
      </c>
      <c r="E17" s="93"/>
      <c r="F17" s="93">
        <v>8.6336266790180645</v>
      </c>
      <c r="G17" s="93"/>
      <c r="H17" s="94" t="s">
        <v>44</v>
      </c>
      <c r="I17" s="95" t="s">
        <v>44</v>
      </c>
      <c r="J17" s="125">
        <v>62091</v>
      </c>
      <c r="K17" s="120"/>
      <c r="L17" s="98" t="s">
        <v>44</v>
      </c>
      <c r="M17" s="99" t="s">
        <v>44</v>
      </c>
      <c r="N17" s="100">
        <v>62091</v>
      </c>
      <c r="O17" s="126"/>
      <c r="P17" s="94" t="s">
        <v>44</v>
      </c>
      <c r="Q17" s="95" t="s">
        <v>44</v>
      </c>
      <c r="R17" s="100">
        <v>0</v>
      </c>
      <c r="S17" s="97"/>
      <c r="T17" s="94" t="s">
        <v>44</v>
      </c>
      <c r="U17" s="95" t="s">
        <v>44</v>
      </c>
      <c r="V17" s="102">
        <v>333</v>
      </c>
      <c r="W17" s="102"/>
      <c r="X17" s="92">
        <v>186.9</v>
      </c>
      <c r="Y17" s="93"/>
      <c r="Z17" s="93">
        <v>8.5576923076923084</v>
      </c>
      <c r="AA17" s="93"/>
      <c r="AB17" s="94" t="s">
        <v>44</v>
      </c>
      <c r="AC17" s="95" t="s">
        <v>44</v>
      </c>
      <c r="AD17" s="125">
        <v>62389</v>
      </c>
      <c r="AE17" s="120"/>
      <c r="AF17" s="98" t="s">
        <v>44</v>
      </c>
      <c r="AG17" s="99" t="s">
        <v>44</v>
      </c>
      <c r="AH17" s="100">
        <v>62389</v>
      </c>
      <c r="AI17" s="126"/>
      <c r="AJ17" s="94" t="s">
        <v>44</v>
      </c>
      <c r="AK17" s="95" t="s">
        <v>44</v>
      </c>
      <c r="AL17" s="100">
        <v>0</v>
      </c>
      <c r="AM17" s="97"/>
      <c r="AN17" s="94" t="s">
        <v>44</v>
      </c>
      <c r="AO17" s="95" t="s">
        <v>44</v>
      </c>
      <c r="AP17" s="102">
        <v>334</v>
      </c>
      <c r="AQ17" s="102"/>
      <c r="AR17" s="92">
        <v>183.2</v>
      </c>
      <c r="AS17" s="93"/>
      <c r="AT17" s="822">
        <f t="shared" si="23"/>
        <v>8.2971014492753611E-2</v>
      </c>
      <c r="AU17" s="93"/>
      <c r="AV17" s="94" t="s">
        <v>44</v>
      </c>
      <c r="AW17" s="95" t="s">
        <v>44</v>
      </c>
      <c r="AX17" s="125">
        <f t="shared" si="24"/>
        <v>66512.600000000006</v>
      </c>
      <c r="AY17" s="120"/>
      <c r="AZ17" s="98" t="s">
        <v>44</v>
      </c>
      <c r="BA17" s="99" t="s">
        <v>44</v>
      </c>
      <c r="BB17" s="100">
        <f>60466*1.1</f>
        <v>66512.600000000006</v>
      </c>
      <c r="BC17" s="126"/>
      <c r="BD17" s="94" t="s">
        <v>44</v>
      </c>
      <c r="BE17" s="95" t="s">
        <v>44</v>
      </c>
      <c r="BF17" s="100">
        <v>0</v>
      </c>
      <c r="BG17" s="97"/>
      <c r="BH17" s="94" t="s">
        <v>44</v>
      </c>
      <c r="BI17" s="95" t="s">
        <v>44</v>
      </c>
      <c r="BJ17" s="102">
        <f t="shared" si="25"/>
        <v>363.06004366812232</v>
      </c>
      <c r="BK17" s="102"/>
      <c r="BL17" s="92">
        <v>182.9</v>
      </c>
      <c r="BM17" s="93"/>
      <c r="BN17" s="822">
        <f t="shared" si="26"/>
        <v>8.2797645993662294E-2</v>
      </c>
      <c r="BO17" s="93"/>
      <c r="BP17" s="94" t="s">
        <v>44</v>
      </c>
      <c r="BQ17" s="95" t="s">
        <v>44</v>
      </c>
      <c r="BR17" s="125">
        <f t="shared" si="27"/>
        <v>66123.200000000012</v>
      </c>
      <c r="BS17" s="120"/>
      <c r="BT17" s="98" t="s">
        <v>44</v>
      </c>
      <c r="BU17" s="99" t="s">
        <v>44</v>
      </c>
      <c r="BV17" s="100">
        <f>60112*1.1</f>
        <v>66123.200000000012</v>
      </c>
      <c r="BW17" s="126"/>
      <c r="BX17" s="94" t="s">
        <v>44</v>
      </c>
      <c r="BY17" s="95" t="s">
        <v>44</v>
      </c>
      <c r="BZ17" s="100"/>
      <c r="CA17" s="97"/>
      <c r="CB17" s="94" t="s">
        <v>44</v>
      </c>
      <c r="CC17" s="95" t="s">
        <v>44</v>
      </c>
      <c r="CD17" s="102">
        <f t="shared" si="28"/>
        <v>361.52651722252602</v>
      </c>
      <c r="CE17" s="102"/>
      <c r="CF17" s="103">
        <f t="shared" si="18"/>
        <v>739.4</v>
      </c>
      <c r="CG17" s="102"/>
      <c r="CH17" s="832">
        <f t="shared" si="29"/>
        <v>8.4406392694063928E-2</v>
      </c>
      <c r="CI17" s="127"/>
      <c r="CJ17" s="98" t="s">
        <v>44</v>
      </c>
      <c r="CK17" s="99" t="s">
        <v>44</v>
      </c>
      <c r="CL17" s="100">
        <f t="shared" si="19"/>
        <v>257115.80000000002</v>
      </c>
      <c r="CM17" s="107"/>
      <c r="CN17" s="108" t="s">
        <v>44</v>
      </c>
      <c r="CO17" s="99" t="s">
        <v>44</v>
      </c>
      <c r="CP17" s="100">
        <f t="shared" si="20"/>
        <v>257115.80000000002</v>
      </c>
      <c r="CQ17" s="97"/>
      <c r="CR17" s="98" t="s">
        <v>44</v>
      </c>
      <c r="CS17" s="99" t="s">
        <v>44</v>
      </c>
      <c r="CT17" s="100">
        <f t="shared" si="21"/>
        <v>0</v>
      </c>
      <c r="CU17" s="97"/>
      <c r="CV17" s="98" t="s">
        <v>44</v>
      </c>
      <c r="CW17" s="99" t="s">
        <v>44</v>
      </c>
      <c r="CX17" s="100">
        <f t="shared" si="22"/>
        <v>347.73573167433057</v>
      </c>
      <c r="CY17" s="129"/>
      <c r="CZ17" s="110">
        <f t="shared" si="2"/>
        <v>373.3</v>
      </c>
      <c r="DA17" s="111">
        <f t="shared" si="2"/>
        <v>0</v>
      </c>
      <c r="DB17" s="112">
        <f t="shared" si="30"/>
        <v>8.5954409394427813</v>
      </c>
      <c r="DC17" s="113">
        <f t="shared" si="30"/>
        <v>0</v>
      </c>
      <c r="DD17" s="100">
        <f t="shared" si="3"/>
        <v>124480</v>
      </c>
      <c r="DE17" s="102">
        <f t="shared" si="3"/>
        <v>0</v>
      </c>
      <c r="DF17" s="102" t="e">
        <f t="shared" si="3"/>
        <v>#VALUE!</v>
      </c>
      <c r="DG17" s="114" t="e">
        <f t="shared" si="3"/>
        <v>#VALUE!</v>
      </c>
      <c r="DH17" s="100">
        <f t="shared" si="3"/>
        <v>124480</v>
      </c>
      <c r="DI17" s="97">
        <f t="shared" si="3"/>
        <v>0</v>
      </c>
      <c r="DJ17" s="97" t="e">
        <f t="shared" si="3"/>
        <v>#VALUE!</v>
      </c>
      <c r="DK17" s="97" t="e">
        <f t="shared" si="3"/>
        <v>#VALUE!</v>
      </c>
      <c r="DL17" s="100">
        <f t="shared" si="3"/>
        <v>0</v>
      </c>
      <c r="DM17" s="97">
        <f t="shared" si="3"/>
        <v>0</v>
      </c>
      <c r="DN17" s="97" t="e">
        <f t="shared" si="3"/>
        <v>#VALUE!</v>
      </c>
      <c r="DO17" s="115" t="e">
        <f t="shared" si="3"/>
        <v>#VALUE!</v>
      </c>
      <c r="DP17" s="100">
        <f t="shared" si="35"/>
        <v>333</v>
      </c>
      <c r="DQ17" s="116" t="e">
        <f t="shared" si="31"/>
        <v>#DIV/0!</v>
      </c>
      <c r="DR17" s="117">
        <f t="shared" si="32"/>
        <v>373.3</v>
      </c>
      <c r="DS17" s="118">
        <f t="shared" si="4"/>
        <v>100</v>
      </c>
      <c r="DT17" s="104" t="e">
        <f t="shared" si="5"/>
        <v>#VALUE!</v>
      </c>
      <c r="DU17" s="118" t="e">
        <f t="shared" si="6"/>
        <v>#VALUE!</v>
      </c>
      <c r="DV17" s="104">
        <f t="shared" si="7"/>
        <v>124480</v>
      </c>
      <c r="DW17" s="119">
        <f t="shared" si="8"/>
        <v>100</v>
      </c>
      <c r="DX17" s="120" t="e">
        <f t="shared" si="9"/>
        <v>#VALUE!</v>
      </c>
      <c r="DY17" s="118" t="e">
        <f t="shared" si="10"/>
        <v>#VALUE!</v>
      </c>
      <c r="DZ17" s="104">
        <f t="shared" si="11"/>
        <v>124480</v>
      </c>
      <c r="EA17" s="119">
        <f t="shared" si="12"/>
        <v>100</v>
      </c>
      <c r="EB17" s="120" t="e">
        <f t="shared" si="13"/>
        <v>#VALUE!</v>
      </c>
      <c r="EC17" s="118" t="e">
        <f t="shared" si="14"/>
        <v>#VALUE!</v>
      </c>
      <c r="ED17" s="104">
        <f t="shared" si="15"/>
        <v>0</v>
      </c>
      <c r="EE17" s="121">
        <v>0</v>
      </c>
      <c r="EF17" s="120" t="e">
        <f t="shared" si="16"/>
        <v>#VALUE!</v>
      </c>
      <c r="EG17" s="121" t="e">
        <f t="shared" si="17"/>
        <v>#VALUE!</v>
      </c>
      <c r="EH17" s="122" t="e">
        <f t="shared" si="33"/>
        <v>#DIV/0!</v>
      </c>
      <c r="EI17" s="123" t="e">
        <f t="shared" si="34"/>
        <v>#DIV/0!</v>
      </c>
    </row>
    <row r="18" spans="1:139" ht="15.75" customHeight="1" x14ac:dyDescent="0.3">
      <c r="A18" s="1070"/>
      <c r="B18" s="90"/>
      <c r="C18" s="91" t="s">
        <v>49</v>
      </c>
      <c r="D18" s="92">
        <v>80.2</v>
      </c>
      <c r="E18" s="93"/>
      <c r="F18" s="93">
        <v>3.7146827234830941</v>
      </c>
      <c r="G18" s="93"/>
      <c r="H18" s="94" t="s">
        <v>44</v>
      </c>
      <c r="I18" s="95" t="s">
        <v>44</v>
      </c>
      <c r="J18" s="125">
        <v>0</v>
      </c>
      <c r="K18" s="120"/>
      <c r="L18" s="98" t="s">
        <v>44</v>
      </c>
      <c r="M18" s="99" t="s">
        <v>44</v>
      </c>
      <c r="N18" s="100">
        <v>0</v>
      </c>
      <c r="O18" s="126"/>
      <c r="P18" s="94" t="s">
        <v>44</v>
      </c>
      <c r="Q18" s="95" t="s">
        <v>44</v>
      </c>
      <c r="R18" s="100">
        <v>0</v>
      </c>
      <c r="S18" s="97"/>
      <c r="T18" s="94" t="s">
        <v>44</v>
      </c>
      <c r="U18" s="95" t="s">
        <v>44</v>
      </c>
      <c r="V18" s="102">
        <v>0</v>
      </c>
      <c r="W18" s="102"/>
      <c r="X18" s="92">
        <v>88.7</v>
      </c>
      <c r="Y18" s="93"/>
      <c r="Z18" s="93">
        <v>4.0613553113553111</v>
      </c>
      <c r="AA18" s="93"/>
      <c r="AB18" s="94" t="s">
        <v>44</v>
      </c>
      <c r="AC18" s="95" t="s">
        <v>44</v>
      </c>
      <c r="AD18" s="125">
        <v>0</v>
      </c>
      <c r="AE18" s="120"/>
      <c r="AF18" s="98" t="s">
        <v>44</v>
      </c>
      <c r="AG18" s="99" t="s">
        <v>44</v>
      </c>
      <c r="AH18" s="100">
        <v>0</v>
      </c>
      <c r="AI18" s="126"/>
      <c r="AJ18" s="94" t="s">
        <v>44</v>
      </c>
      <c r="AK18" s="95" t="s">
        <v>44</v>
      </c>
      <c r="AL18" s="100">
        <v>0</v>
      </c>
      <c r="AM18" s="97"/>
      <c r="AN18" s="94" t="s">
        <v>44</v>
      </c>
      <c r="AO18" s="95" t="s">
        <v>44</v>
      </c>
      <c r="AP18" s="102">
        <v>0</v>
      </c>
      <c r="AQ18" s="102"/>
      <c r="AR18" s="92">
        <v>48.3</v>
      </c>
      <c r="AS18" s="93"/>
      <c r="AT18" s="822">
        <f t="shared" si="23"/>
        <v>2.1874999999999999E-2</v>
      </c>
      <c r="AU18" s="93"/>
      <c r="AV18" s="94" t="s">
        <v>44</v>
      </c>
      <c r="AW18" s="95" t="s">
        <v>44</v>
      </c>
      <c r="AX18" s="125">
        <f t="shared" si="24"/>
        <v>0</v>
      </c>
      <c r="AY18" s="120"/>
      <c r="AZ18" s="98" t="s">
        <v>44</v>
      </c>
      <c r="BA18" s="99" t="s">
        <v>44</v>
      </c>
      <c r="BB18" s="100">
        <v>0</v>
      </c>
      <c r="BC18" s="126"/>
      <c r="BD18" s="94" t="s">
        <v>44</v>
      </c>
      <c r="BE18" s="95" t="s">
        <v>44</v>
      </c>
      <c r="BF18" s="100">
        <v>0</v>
      </c>
      <c r="BG18" s="97"/>
      <c r="BH18" s="94" t="s">
        <v>44</v>
      </c>
      <c r="BI18" s="95" t="s">
        <v>44</v>
      </c>
      <c r="BJ18" s="102">
        <f t="shared" si="25"/>
        <v>0</v>
      </c>
      <c r="BK18" s="102"/>
      <c r="BL18" s="92">
        <v>17.600000000000001</v>
      </c>
      <c r="BM18" s="93"/>
      <c r="BN18" s="822">
        <f t="shared" si="26"/>
        <v>7.9674060660932557E-3</v>
      </c>
      <c r="BO18" s="93"/>
      <c r="BP18" s="94" t="s">
        <v>44</v>
      </c>
      <c r="BQ18" s="95" t="s">
        <v>44</v>
      </c>
      <c r="BR18" s="125">
        <f t="shared" si="27"/>
        <v>0</v>
      </c>
      <c r="BS18" s="120"/>
      <c r="BT18" s="98" t="s">
        <v>44</v>
      </c>
      <c r="BU18" s="99" t="s">
        <v>44</v>
      </c>
      <c r="BV18" s="100"/>
      <c r="BW18" s="126"/>
      <c r="BX18" s="94" t="s">
        <v>44</v>
      </c>
      <c r="BY18" s="95" t="s">
        <v>44</v>
      </c>
      <c r="BZ18" s="100"/>
      <c r="CA18" s="97"/>
      <c r="CB18" s="94" t="s">
        <v>44</v>
      </c>
      <c r="CC18" s="95" t="s">
        <v>44</v>
      </c>
      <c r="CD18" s="102">
        <f t="shared" si="28"/>
        <v>0</v>
      </c>
      <c r="CE18" s="102"/>
      <c r="CF18" s="103">
        <f t="shared" si="18"/>
        <v>234.8</v>
      </c>
      <c r="CG18" s="102"/>
      <c r="CH18" s="832">
        <f t="shared" si="29"/>
        <v>2.680365296803653E-2</v>
      </c>
      <c r="CI18" s="127"/>
      <c r="CJ18" s="98" t="s">
        <v>44</v>
      </c>
      <c r="CK18" s="99" t="s">
        <v>44</v>
      </c>
      <c r="CL18" s="100">
        <f t="shared" si="19"/>
        <v>0</v>
      </c>
      <c r="CM18" s="107"/>
      <c r="CN18" s="108" t="s">
        <v>44</v>
      </c>
      <c r="CO18" s="99" t="s">
        <v>44</v>
      </c>
      <c r="CP18" s="100">
        <f t="shared" si="20"/>
        <v>0</v>
      </c>
      <c r="CQ18" s="97"/>
      <c r="CR18" s="98" t="s">
        <v>44</v>
      </c>
      <c r="CS18" s="99" t="s">
        <v>44</v>
      </c>
      <c r="CT18" s="100">
        <f t="shared" si="21"/>
        <v>0</v>
      </c>
      <c r="CU18" s="97"/>
      <c r="CV18" s="98" t="s">
        <v>44</v>
      </c>
      <c r="CW18" s="99" t="s">
        <v>44</v>
      </c>
      <c r="CX18" s="100">
        <f t="shared" si="22"/>
        <v>0</v>
      </c>
      <c r="CY18" s="129"/>
      <c r="CZ18" s="110">
        <f t="shared" si="2"/>
        <v>168.9</v>
      </c>
      <c r="DA18" s="111">
        <f t="shared" si="2"/>
        <v>0</v>
      </c>
      <c r="DB18" s="112">
        <f t="shared" si="30"/>
        <v>3.8890168086576105</v>
      </c>
      <c r="DC18" s="113">
        <f t="shared" si="30"/>
        <v>0</v>
      </c>
      <c r="DD18" s="100">
        <f t="shared" si="3"/>
        <v>0</v>
      </c>
      <c r="DE18" s="102">
        <f t="shared" si="3"/>
        <v>0</v>
      </c>
      <c r="DF18" s="102" t="e">
        <f t="shared" si="3"/>
        <v>#VALUE!</v>
      </c>
      <c r="DG18" s="114" t="e">
        <f t="shared" si="3"/>
        <v>#VALUE!</v>
      </c>
      <c r="DH18" s="100">
        <f t="shared" si="3"/>
        <v>0</v>
      </c>
      <c r="DI18" s="97">
        <f t="shared" si="3"/>
        <v>0</v>
      </c>
      <c r="DJ18" s="97" t="e">
        <f t="shared" si="3"/>
        <v>#VALUE!</v>
      </c>
      <c r="DK18" s="97" t="e">
        <f t="shared" si="3"/>
        <v>#VALUE!</v>
      </c>
      <c r="DL18" s="100">
        <f t="shared" si="3"/>
        <v>0</v>
      </c>
      <c r="DM18" s="97">
        <f t="shared" si="3"/>
        <v>0</v>
      </c>
      <c r="DN18" s="97" t="e">
        <f t="shared" si="3"/>
        <v>#VALUE!</v>
      </c>
      <c r="DO18" s="115" t="e">
        <f t="shared" si="3"/>
        <v>#VALUE!</v>
      </c>
      <c r="DP18" s="100">
        <f t="shared" si="35"/>
        <v>0</v>
      </c>
      <c r="DQ18" s="116" t="e">
        <f t="shared" si="31"/>
        <v>#DIV/0!</v>
      </c>
      <c r="DR18" s="117">
        <f t="shared" si="32"/>
        <v>168.9</v>
      </c>
      <c r="DS18" s="118">
        <f t="shared" si="4"/>
        <v>100</v>
      </c>
      <c r="DT18" s="104" t="e">
        <f t="shared" si="5"/>
        <v>#VALUE!</v>
      </c>
      <c r="DU18" s="118" t="e">
        <f t="shared" si="6"/>
        <v>#VALUE!</v>
      </c>
      <c r="DV18" s="104">
        <f t="shared" si="7"/>
        <v>0</v>
      </c>
      <c r="DW18" s="119" t="e">
        <f t="shared" si="8"/>
        <v>#DIV/0!</v>
      </c>
      <c r="DX18" s="120" t="e">
        <f t="shared" si="9"/>
        <v>#VALUE!</v>
      </c>
      <c r="DY18" s="118" t="e">
        <f t="shared" si="10"/>
        <v>#VALUE!</v>
      </c>
      <c r="DZ18" s="104">
        <f t="shared" si="11"/>
        <v>0</v>
      </c>
      <c r="EA18" s="119" t="e">
        <f t="shared" si="12"/>
        <v>#DIV/0!</v>
      </c>
      <c r="EB18" s="120" t="e">
        <f t="shared" si="13"/>
        <v>#VALUE!</v>
      </c>
      <c r="EC18" s="118" t="e">
        <f t="shared" si="14"/>
        <v>#VALUE!</v>
      </c>
      <c r="ED18" s="104">
        <f t="shared" si="15"/>
        <v>0</v>
      </c>
      <c r="EE18" s="121">
        <v>0</v>
      </c>
      <c r="EF18" s="120" t="e">
        <f t="shared" si="16"/>
        <v>#VALUE!</v>
      </c>
      <c r="EG18" s="121" t="e">
        <f t="shared" si="17"/>
        <v>#VALUE!</v>
      </c>
      <c r="EH18" s="122" t="e">
        <f>DP18-DQ18</f>
        <v>#DIV/0!</v>
      </c>
      <c r="EI18" s="123" t="e">
        <f>ABS(EH18/DP18)*100</f>
        <v>#DIV/0!</v>
      </c>
    </row>
    <row r="19" spans="1:139" s="157" customFormat="1" ht="26.25" customHeight="1" x14ac:dyDescent="0.3">
      <c r="A19" s="1070"/>
      <c r="B19" s="130" t="s">
        <v>50</v>
      </c>
      <c r="C19" s="131"/>
      <c r="D19" s="132">
        <v>1051.2</v>
      </c>
      <c r="E19" s="133"/>
      <c r="F19" s="133">
        <v>9.6645183829951566</v>
      </c>
      <c r="G19" s="133"/>
      <c r="H19" s="134" t="s">
        <v>44</v>
      </c>
      <c r="I19" s="135" t="s">
        <v>44</v>
      </c>
      <c r="J19" s="136">
        <v>278862</v>
      </c>
      <c r="K19" s="86"/>
      <c r="L19" s="137" t="s">
        <v>44</v>
      </c>
      <c r="M19" s="138" t="s">
        <v>44</v>
      </c>
      <c r="N19" s="139">
        <v>278862</v>
      </c>
      <c r="O19" s="140"/>
      <c r="P19" s="134" t="s">
        <v>44</v>
      </c>
      <c r="Q19" s="135" t="s">
        <v>44</v>
      </c>
      <c r="R19" s="139">
        <v>0</v>
      </c>
      <c r="S19" s="140"/>
      <c r="T19" s="134" t="s">
        <v>44</v>
      </c>
      <c r="U19" s="135" t="s">
        <v>44</v>
      </c>
      <c r="V19" s="141">
        <v>265</v>
      </c>
      <c r="W19" s="141"/>
      <c r="X19" s="132">
        <v>1010.9</v>
      </c>
      <c r="Y19" s="133"/>
      <c r="Z19" s="133">
        <v>9.2093396131876926</v>
      </c>
      <c r="AA19" s="133"/>
      <c r="AB19" s="134" t="s">
        <v>44</v>
      </c>
      <c r="AC19" s="135" t="s">
        <v>44</v>
      </c>
      <c r="AD19" s="136">
        <v>267508</v>
      </c>
      <c r="AE19" s="86"/>
      <c r="AF19" s="137" t="s">
        <v>44</v>
      </c>
      <c r="AG19" s="138" t="s">
        <v>44</v>
      </c>
      <c r="AH19" s="139">
        <v>267508</v>
      </c>
      <c r="AI19" s="140"/>
      <c r="AJ19" s="134" t="s">
        <v>44</v>
      </c>
      <c r="AK19" s="135" t="s">
        <v>44</v>
      </c>
      <c r="AL19" s="139">
        <v>0</v>
      </c>
      <c r="AM19" s="140"/>
      <c r="AN19" s="134" t="s">
        <v>44</v>
      </c>
      <c r="AO19" s="135" t="s">
        <v>44</v>
      </c>
      <c r="AP19" s="141">
        <v>265</v>
      </c>
      <c r="AQ19" s="141"/>
      <c r="AR19" s="132">
        <f>SUM(AR20:AR25)</f>
        <v>928.29</v>
      </c>
      <c r="AS19" s="133"/>
      <c r="AT19" s="823">
        <f>AR19/11040</f>
        <v>8.4084239130434779E-2</v>
      </c>
      <c r="AU19" s="133"/>
      <c r="AV19" s="134" t="s">
        <v>44</v>
      </c>
      <c r="AW19" s="135" t="s">
        <v>44</v>
      </c>
      <c r="AX19" s="136">
        <f t="shared" si="24"/>
        <v>235352.51</v>
      </c>
      <c r="AY19" s="86"/>
      <c r="AZ19" s="137" t="s">
        <v>44</v>
      </c>
      <c r="BA19" s="138" t="s">
        <v>44</v>
      </c>
      <c r="BB19" s="139">
        <f>SUM(BB20:BB25)</f>
        <v>235352.51</v>
      </c>
      <c r="BC19" s="140"/>
      <c r="BD19" s="134" t="s">
        <v>44</v>
      </c>
      <c r="BE19" s="135" t="s">
        <v>44</v>
      </c>
      <c r="BF19" s="139">
        <f>SUM(BF20:BF25)</f>
        <v>0</v>
      </c>
      <c r="BG19" s="140"/>
      <c r="BH19" s="134" t="s">
        <v>44</v>
      </c>
      <c r="BI19" s="135" t="s">
        <v>44</v>
      </c>
      <c r="BJ19" s="141">
        <f t="shared" si="25"/>
        <v>253.53338935031081</v>
      </c>
      <c r="BK19" s="141"/>
      <c r="BL19" s="132">
        <f>SUM(BL20:BL25)</f>
        <v>1215.3000000000002</v>
      </c>
      <c r="BM19" s="133"/>
      <c r="BN19" s="823">
        <f>BL19/11156.9</f>
        <v>0.10892810726994059</v>
      </c>
      <c r="BO19" s="133"/>
      <c r="BP19" s="134" t="s">
        <v>44</v>
      </c>
      <c r="BQ19" s="135" t="s">
        <v>44</v>
      </c>
      <c r="BR19" s="136">
        <f t="shared" si="27"/>
        <v>297834.16000000003</v>
      </c>
      <c r="BS19" s="86"/>
      <c r="BT19" s="137" t="s">
        <v>44</v>
      </c>
      <c r="BU19" s="138" t="s">
        <v>44</v>
      </c>
      <c r="BV19" s="139">
        <f>SUM(BV20:BV25)</f>
        <v>297834.16000000003</v>
      </c>
      <c r="BW19" s="140"/>
      <c r="BX19" s="134" t="s">
        <v>44</v>
      </c>
      <c r="BY19" s="135" t="s">
        <v>44</v>
      </c>
      <c r="BZ19" s="139">
        <f>SUM(BZ20:BZ25)</f>
        <v>0</v>
      </c>
      <c r="CA19" s="140"/>
      <c r="CB19" s="134" t="s">
        <v>44</v>
      </c>
      <c r="CC19" s="135" t="s">
        <v>44</v>
      </c>
      <c r="CD19" s="141">
        <f t="shared" si="28"/>
        <v>245.0704846539949</v>
      </c>
      <c r="CE19" s="141"/>
      <c r="CF19" s="142">
        <f t="shared" si="18"/>
        <v>4205.6900000000005</v>
      </c>
      <c r="CG19" s="141"/>
      <c r="CH19" s="823">
        <f>CF19/44102.6</f>
        <v>9.5361497961571437E-2</v>
      </c>
      <c r="CI19" s="143"/>
      <c r="CJ19" s="137" t="s">
        <v>44</v>
      </c>
      <c r="CK19" s="138" t="s">
        <v>44</v>
      </c>
      <c r="CL19" s="139">
        <f t="shared" si="19"/>
        <v>1079556.67</v>
      </c>
      <c r="CM19" s="144"/>
      <c r="CN19" s="145" t="s">
        <v>44</v>
      </c>
      <c r="CO19" s="138" t="s">
        <v>44</v>
      </c>
      <c r="CP19" s="139">
        <f t="shared" si="20"/>
        <v>1079556.67</v>
      </c>
      <c r="CQ19" s="140"/>
      <c r="CR19" s="137" t="s">
        <v>44</v>
      </c>
      <c r="CS19" s="138" t="s">
        <v>44</v>
      </c>
      <c r="CT19" s="139">
        <f t="shared" si="21"/>
        <v>0</v>
      </c>
      <c r="CU19" s="140"/>
      <c r="CV19" s="137" t="s">
        <v>44</v>
      </c>
      <c r="CW19" s="138" t="s">
        <v>44</v>
      </c>
      <c r="CX19" s="139">
        <f t="shared" si="22"/>
        <v>256.68954915840203</v>
      </c>
      <c r="CY19" s="146"/>
      <c r="CZ19" s="147">
        <f t="shared" si="2"/>
        <v>2062.1</v>
      </c>
      <c r="DA19" s="148">
        <f t="shared" si="2"/>
        <v>0</v>
      </c>
      <c r="DB19" s="149" t="e">
        <f>(CZ19/#REF!)*100</f>
        <v>#REF!</v>
      </c>
      <c r="DC19" s="150" t="e">
        <f>(DA19/#REF!)*100</f>
        <v>#REF!</v>
      </c>
      <c r="DD19" s="139">
        <f t="shared" si="3"/>
        <v>546370</v>
      </c>
      <c r="DE19" s="141">
        <f t="shared" si="3"/>
        <v>0</v>
      </c>
      <c r="DF19" s="141" t="e">
        <f t="shared" si="3"/>
        <v>#VALUE!</v>
      </c>
      <c r="DG19" s="151" t="e">
        <f t="shared" si="3"/>
        <v>#VALUE!</v>
      </c>
      <c r="DH19" s="139">
        <f t="shared" si="3"/>
        <v>546370</v>
      </c>
      <c r="DI19" s="140">
        <f t="shared" si="3"/>
        <v>0</v>
      </c>
      <c r="DJ19" s="140" t="e">
        <f t="shared" si="3"/>
        <v>#VALUE!</v>
      </c>
      <c r="DK19" s="140" t="e">
        <f t="shared" si="3"/>
        <v>#VALUE!</v>
      </c>
      <c r="DL19" s="139">
        <f t="shared" si="3"/>
        <v>0</v>
      </c>
      <c r="DM19" s="140">
        <f t="shared" si="3"/>
        <v>0</v>
      </c>
      <c r="DN19" s="140" t="e">
        <f t="shared" si="3"/>
        <v>#VALUE!</v>
      </c>
      <c r="DO19" s="152" t="e">
        <f t="shared" si="3"/>
        <v>#VALUE!</v>
      </c>
      <c r="DP19" s="139">
        <f t="shared" ref="DP19:DQ64" si="36">DD19/CZ19</f>
        <v>264.95805247078221</v>
      </c>
      <c r="DQ19" s="153" t="e">
        <f t="shared" si="36"/>
        <v>#DIV/0!</v>
      </c>
      <c r="DR19" s="154">
        <f t="shared" si="32"/>
        <v>2062.1</v>
      </c>
      <c r="DS19" s="84">
        <f t="shared" si="4"/>
        <v>100</v>
      </c>
      <c r="DT19" s="79" t="e">
        <f t="shared" si="5"/>
        <v>#VALUE!</v>
      </c>
      <c r="DU19" s="84" t="e">
        <f t="shared" si="6"/>
        <v>#VALUE!</v>
      </c>
      <c r="DV19" s="79">
        <f t="shared" si="7"/>
        <v>546370</v>
      </c>
      <c r="DW19" s="85">
        <f t="shared" si="8"/>
        <v>100</v>
      </c>
      <c r="DX19" s="86" t="e">
        <f t="shared" si="9"/>
        <v>#VALUE!</v>
      </c>
      <c r="DY19" s="84" t="e">
        <f t="shared" si="10"/>
        <v>#VALUE!</v>
      </c>
      <c r="DZ19" s="79">
        <f t="shared" si="11"/>
        <v>546370</v>
      </c>
      <c r="EA19" s="85">
        <f t="shared" si="12"/>
        <v>100</v>
      </c>
      <c r="EB19" s="86" t="e">
        <f t="shared" si="13"/>
        <v>#VALUE!</v>
      </c>
      <c r="EC19" s="84" t="e">
        <f t="shared" si="14"/>
        <v>#VALUE!</v>
      </c>
      <c r="ED19" s="79">
        <f t="shared" si="15"/>
        <v>0</v>
      </c>
      <c r="EE19" s="87">
        <v>0</v>
      </c>
      <c r="EF19" s="86" t="e">
        <f t="shared" si="16"/>
        <v>#VALUE!</v>
      </c>
      <c r="EG19" s="87" t="e">
        <f t="shared" si="17"/>
        <v>#VALUE!</v>
      </c>
      <c r="EH19" s="155" t="e">
        <f t="shared" si="33"/>
        <v>#DIV/0!</v>
      </c>
      <c r="EI19" s="156" t="e">
        <f t="shared" si="34"/>
        <v>#DIV/0!</v>
      </c>
    </row>
    <row r="20" spans="1:139" s="124" customFormat="1" ht="15.75" customHeight="1" x14ac:dyDescent="0.3">
      <c r="A20" s="1070"/>
      <c r="B20" s="90"/>
      <c r="C20" s="91" t="s">
        <v>45</v>
      </c>
      <c r="D20" s="92">
        <v>388</v>
      </c>
      <c r="E20" s="93"/>
      <c r="F20" s="93">
        <v>17.971283001389533</v>
      </c>
      <c r="G20" s="93"/>
      <c r="H20" s="158" t="s">
        <v>44</v>
      </c>
      <c r="I20" s="159" t="s">
        <v>44</v>
      </c>
      <c r="J20" s="96">
        <v>147615</v>
      </c>
      <c r="K20" s="97"/>
      <c r="L20" s="98" t="s">
        <v>44</v>
      </c>
      <c r="M20" s="99" t="s">
        <v>44</v>
      </c>
      <c r="N20" s="100">
        <v>147615</v>
      </c>
      <c r="O20" s="101"/>
      <c r="P20" s="158" t="s">
        <v>44</v>
      </c>
      <c r="Q20" s="159" t="s">
        <v>44</v>
      </c>
      <c r="R20" s="100">
        <v>0</v>
      </c>
      <c r="S20" s="97"/>
      <c r="T20" s="158" t="s">
        <v>44</v>
      </c>
      <c r="U20" s="159" t="s">
        <v>44</v>
      </c>
      <c r="V20" s="102">
        <v>380</v>
      </c>
      <c r="W20" s="102"/>
      <c r="X20" s="92">
        <v>360.09999999999997</v>
      </c>
      <c r="Y20" s="93"/>
      <c r="Z20" s="93">
        <v>16.488095238095237</v>
      </c>
      <c r="AA20" s="93"/>
      <c r="AB20" s="158" t="s">
        <v>44</v>
      </c>
      <c r="AC20" s="159" t="s">
        <v>44</v>
      </c>
      <c r="AD20" s="96">
        <v>138856</v>
      </c>
      <c r="AE20" s="97"/>
      <c r="AF20" s="98" t="s">
        <v>44</v>
      </c>
      <c r="AG20" s="99" t="s">
        <v>44</v>
      </c>
      <c r="AH20" s="100">
        <v>138856</v>
      </c>
      <c r="AI20" s="101"/>
      <c r="AJ20" s="158" t="s">
        <v>44</v>
      </c>
      <c r="AK20" s="159" t="s">
        <v>44</v>
      </c>
      <c r="AL20" s="100">
        <v>0</v>
      </c>
      <c r="AM20" s="97"/>
      <c r="AN20" s="158" t="s">
        <v>44</v>
      </c>
      <c r="AO20" s="159" t="s">
        <v>44</v>
      </c>
      <c r="AP20" s="102">
        <v>386</v>
      </c>
      <c r="AQ20" s="102"/>
      <c r="AR20" s="92">
        <f>322.3-AR25</f>
        <v>312.2</v>
      </c>
      <c r="AS20" s="93"/>
      <c r="AT20" s="822">
        <f t="shared" ref="AT20:AT24" si="37">AR20/2208</f>
        <v>0.14139492753623187</v>
      </c>
      <c r="AU20" s="93"/>
      <c r="AV20" s="158" t="s">
        <v>44</v>
      </c>
      <c r="AW20" s="159" t="s">
        <v>44</v>
      </c>
      <c r="AX20" s="96">
        <f t="shared" si="24"/>
        <v>109795.35</v>
      </c>
      <c r="AY20" s="97"/>
      <c r="AZ20" s="98" t="s">
        <v>44</v>
      </c>
      <c r="BA20" s="99" t="s">
        <v>44</v>
      </c>
      <c r="BB20" s="100">
        <f>(109498-BB25)*1.05</f>
        <v>109795.35</v>
      </c>
      <c r="BC20" s="101"/>
      <c r="BD20" s="158" t="s">
        <v>44</v>
      </c>
      <c r="BE20" s="159" t="s">
        <v>44</v>
      </c>
      <c r="BF20" s="100">
        <v>0</v>
      </c>
      <c r="BG20" s="97"/>
      <c r="BH20" s="158" t="s">
        <v>44</v>
      </c>
      <c r="BI20" s="159" t="s">
        <v>44</v>
      </c>
      <c r="BJ20" s="102">
        <f t="shared" si="25"/>
        <v>351.682735426009</v>
      </c>
      <c r="BK20" s="102"/>
      <c r="BL20" s="92">
        <f>407.6-BL25</f>
        <v>395.70000000000005</v>
      </c>
      <c r="BM20" s="93"/>
      <c r="BN20" s="822">
        <f t="shared" ref="BN20:BN24" si="38">BL20/2209</f>
        <v>0.17913082842915348</v>
      </c>
      <c r="BO20" s="93"/>
      <c r="BP20" s="158" t="s">
        <v>44</v>
      </c>
      <c r="BQ20" s="159" t="s">
        <v>44</v>
      </c>
      <c r="BR20" s="96">
        <f t="shared" si="27"/>
        <v>162359.4</v>
      </c>
      <c r="BS20" s="97"/>
      <c r="BT20" s="98" t="s">
        <v>44</v>
      </c>
      <c r="BU20" s="99" t="s">
        <v>44</v>
      </c>
      <c r="BV20" s="100">
        <f>(160228-BV25)*1.05</f>
        <v>162359.4</v>
      </c>
      <c r="BW20" s="101"/>
      <c r="BX20" s="158" t="s">
        <v>44</v>
      </c>
      <c r="BY20" s="159" t="s">
        <v>44</v>
      </c>
      <c r="BZ20" s="100">
        <v>0</v>
      </c>
      <c r="CA20" s="97"/>
      <c r="CB20" s="158" t="s">
        <v>44</v>
      </c>
      <c r="CC20" s="159" t="s">
        <v>44</v>
      </c>
      <c r="CD20" s="102">
        <f t="shared" si="28"/>
        <v>410.30932524639871</v>
      </c>
      <c r="CE20" s="102"/>
      <c r="CF20" s="103">
        <f t="shared" si="18"/>
        <v>1456</v>
      </c>
      <c r="CG20" s="102"/>
      <c r="CH20" s="822">
        <f t="shared" ref="CH20:CH61" si="39">CF20/8760</f>
        <v>0.16621004566210046</v>
      </c>
      <c r="CI20" s="127"/>
      <c r="CJ20" s="98" t="s">
        <v>44</v>
      </c>
      <c r="CK20" s="99" t="s">
        <v>44</v>
      </c>
      <c r="CL20" s="100">
        <f t="shared" si="19"/>
        <v>558625.75</v>
      </c>
      <c r="CM20" s="107"/>
      <c r="CN20" s="108" t="s">
        <v>44</v>
      </c>
      <c r="CO20" s="99" t="s">
        <v>44</v>
      </c>
      <c r="CP20" s="100">
        <f t="shared" si="20"/>
        <v>558625.75</v>
      </c>
      <c r="CQ20" s="97"/>
      <c r="CR20" s="98" t="s">
        <v>44</v>
      </c>
      <c r="CS20" s="99" t="s">
        <v>44</v>
      </c>
      <c r="CT20" s="100">
        <f t="shared" si="21"/>
        <v>0</v>
      </c>
      <c r="CU20" s="97"/>
      <c r="CV20" s="98" t="s">
        <v>44</v>
      </c>
      <c r="CW20" s="99" t="s">
        <v>44</v>
      </c>
      <c r="CX20" s="100">
        <f t="shared" si="22"/>
        <v>383.6715315934066</v>
      </c>
      <c r="CY20" s="129"/>
      <c r="CZ20" s="110">
        <f t="shared" si="2"/>
        <v>748.09999999999991</v>
      </c>
      <c r="DA20" s="111">
        <f t="shared" si="2"/>
        <v>0</v>
      </c>
      <c r="DB20" s="112">
        <f>(CZ20/4343)*100</f>
        <v>17.225420216440245</v>
      </c>
      <c r="DC20" s="113">
        <f>(DA20/4343)*100</f>
        <v>0</v>
      </c>
      <c r="DD20" s="100">
        <f t="shared" si="3"/>
        <v>286471</v>
      </c>
      <c r="DE20" s="102">
        <f t="shared" si="3"/>
        <v>0</v>
      </c>
      <c r="DF20" s="102" t="e">
        <f t="shared" si="3"/>
        <v>#VALUE!</v>
      </c>
      <c r="DG20" s="114" t="e">
        <f t="shared" si="3"/>
        <v>#VALUE!</v>
      </c>
      <c r="DH20" s="100">
        <f t="shared" si="3"/>
        <v>286471</v>
      </c>
      <c r="DI20" s="97">
        <f t="shared" si="3"/>
        <v>0</v>
      </c>
      <c r="DJ20" s="97" t="e">
        <f t="shared" si="3"/>
        <v>#VALUE!</v>
      </c>
      <c r="DK20" s="97" t="e">
        <f t="shared" si="3"/>
        <v>#VALUE!</v>
      </c>
      <c r="DL20" s="100">
        <f t="shared" si="3"/>
        <v>0</v>
      </c>
      <c r="DM20" s="97">
        <f t="shared" si="3"/>
        <v>0</v>
      </c>
      <c r="DN20" s="97" t="e">
        <f t="shared" si="3"/>
        <v>#VALUE!</v>
      </c>
      <c r="DO20" s="115" t="e">
        <f t="shared" si="3"/>
        <v>#VALUE!</v>
      </c>
      <c r="DP20" s="100">
        <f>ROUND((DD20/CZ20),0)</f>
        <v>383</v>
      </c>
      <c r="DQ20" s="116" t="e">
        <f>ROUND((DE20/DA20),0)</f>
        <v>#DIV/0!</v>
      </c>
      <c r="DR20" s="117">
        <f t="shared" si="32"/>
        <v>748.09999999999991</v>
      </c>
      <c r="DS20" s="118">
        <f t="shared" si="4"/>
        <v>100</v>
      </c>
      <c r="DT20" s="104" t="e">
        <f t="shared" si="5"/>
        <v>#VALUE!</v>
      </c>
      <c r="DU20" s="118" t="e">
        <f t="shared" si="6"/>
        <v>#VALUE!</v>
      </c>
      <c r="DV20" s="104">
        <f t="shared" si="7"/>
        <v>286471</v>
      </c>
      <c r="DW20" s="119">
        <f t="shared" si="8"/>
        <v>100</v>
      </c>
      <c r="DX20" s="120" t="e">
        <f t="shared" si="9"/>
        <v>#VALUE!</v>
      </c>
      <c r="DY20" s="118" t="e">
        <f t="shared" si="10"/>
        <v>#VALUE!</v>
      </c>
      <c r="DZ20" s="104">
        <f t="shared" si="11"/>
        <v>286471</v>
      </c>
      <c r="EA20" s="119">
        <f t="shared" si="12"/>
        <v>100</v>
      </c>
      <c r="EB20" s="120" t="e">
        <f t="shared" si="13"/>
        <v>#VALUE!</v>
      </c>
      <c r="EC20" s="118" t="e">
        <f t="shared" si="14"/>
        <v>#VALUE!</v>
      </c>
      <c r="ED20" s="104">
        <f t="shared" si="15"/>
        <v>0</v>
      </c>
      <c r="EE20" s="121">
        <v>0</v>
      </c>
      <c r="EF20" s="120" t="e">
        <f t="shared" si="16"/>
        <v>#VALUE!</v>
      </c>
      <c r="EG20" s="121" t="e">
        <f t="shared" si="17"/>
        <v>#VALUE!</v>
      </c>
      <c r="EH20" s="122" t="e">
        <f t="shared" si="33"/>
        <v>#DIV/0!</v>
      </c>
      <c r="EI20" s="123" t="e">
        <f t="shared" si="34"/>
        <v>#DIV/0!</v>
      </c>
    </row>
    <row r="21" spans="1:139" s="124" customFormat="1" ht="15.75" customHeight="1" x14ac:dyDescent="0.3">
      <c r="A21" s="1070"/>
      <c r="B21" s="90"/>
      <c r="C21" s="91" t="s">
        <v>46</v>
      </c>
      <c r="D21" s="92">
        <v>20.6</v>
      </c>
      <c r="E21" s="93"/>
      <c r="F21" s="93">
        <v>0.95414543770264015</v>
      </c>
      <c r="G21" s="93"/>
      <c r="H21" s="158" t="s">
        <v>44</v>
      </c>
      <c r="I21" s="159" t="s">
        <v>44</v>
      </c>
      <c r="J21" s="96">
        <v>6407</v>
      </c>
      <c r="K21" s="97"/>
      <c r="L21" s="98" t="s">
        <v>44</v>
      </c>
      <c r="M21" s="99" t="s">
        <v>44</v>
      </c>
      <c r="N21" s="100">
        <v>6407</v>
      </c>
      <c r="O21" s="101"/>
      <c r="P21" s="158" t="s">
        <v>44</v>
      </c>
      <c r="Q21" s="159" t="s">
        <v>44</v>
      </c>
      <c r="R21" s="100">
        <v>0</v>
      </c>
      <c r="S21" s="97"/>
      <c r="T21" s="158" t="s">
        <v>44</v>
      </c>
      <c r="U21" s="159" t="s">
        <v>44</v>
      </c>
      <c r="V21" s="102">
        <v>311</v>
      </c>
      <c r="W21" s="102"/>
      <c r="X21" s="92">
        <v>18.399999999999999</v>
      </c>
      <c r="Y21" s="93"/>
      <c r="Z21" s="93">
        <v>0.8424908424908425</v>
      </c>
      <c r="AA21" s="93"/>
      <c r="AB21" s="158" t="s">
        <v>44</v>
      </c>
      <c r="AC21" s="159" t="s">
        <v>44</v>
      </c>
      <c r="AD21" s="96">
        <v>5708</v>
      </c>
      <c r="AE21" s="97"/>
      <c r="AF21" s="98" t="s">
        <v>44</v>
      </c>
      <c r="AG21" s="99" t="s">
        <v>44</v>
      </c>
      <c r="AH21" s="100">
        <v>5708</v>
      </c>
      <c r="AI21" s="101"/>
      <c r="AJ21" s="158" t="s">
        <v>44</v>
      </c>
      <c r="AK21" s="159" t="s">
        <v>44</v>
      </c>
      <c r="AL21" s="100">
        <v>0</v>
      </c>
      <c r="AM21" s="97"/>
      <c r="AN21" s="158" t="s">
        <v>44</v>
      </c>
      <c r="AO21" s="159" t="s">
        <v>44</v>
      </c>
      <c r="AP21" s="102">
        <v>310</v>
      </c>
      <c r="AQ21" s="102"/>
      <c r="AR21" s="92">
        <v>19.8</v>
      </c>
      <c r="AS21" s="93"/>
      <c r="AT21" s="822">
        <f t="shared" si="37"/>
        <v>8.9673913043478264E-3</v>
      </c>
      <c r="AU21" s="93"/>
      <c r="AV21" s="158" t="s">
        <v>44</v>
      </c>
      <c r="AW21" s="159" t="s">
        <v>44</v>
      </c>
      <c r="AX21" s="96">
        <f t="shared" si="24"/>
        <v>6723.1500000000005</v>
      </c>
      <c r="AY21" s="97"/>
      <c r="AZ21" s="98" t="s">
        <v>44</v>
      </c>
      <c r="BA21" s="99" t="s">
        <v>44</v>
      </c>
      <c r="BB21" s="100">
        <f>6403*1.05</f>
        <v>6723.1500000000005</v>
      </c>
      <c r="BC21" s="101"/>
      <c r="BD21" s="158" t="s">
        <v>44</v>
      </c>
      <c r="BE21" s="159" t="s">
        <v>44</v>
      </c>
      <c r="BF21" s="100">
        <v>0</v>
      </c>
      <c r="BG21" s="97"/>
      <c r="BH21" s="158" t="s">
        <v>44</v>
      </c>
      <c r="BI21" s="159" t="s">
        <v>44</v>
      </c>
      <c r="BJ21" s="102">
        <f t="shared" si="25"/>
        <v>339.55303030303031</v>
      </c>
      <c r="BK21" s="102"/>
      <c r="BL21" s="92">
        <v>18.8</v>
      </c>
      <c r="BM21" s="93"/>
      <c r="BN21" s="822">
        <f t="shared" si="38"/>
        <v>8.5106382978723406E-3</v>
      </c>
      <c r="BO21" s="93"/>
      <c r="BP21" s="158" t="s">
        <v>44</v>
      </c>
      <c r="BQ21" s="159" t="s">
        <v>44</v>
      </c>
      <c r="BR21" s="96">
        <f t="shared" si="27"/>
        <v>6199.2</v>
      </c>
      <c r="BS21" s="97"/>
      <c r="BT21" s="98" t="s">
        <v>44</v>
      </c>
      <c r="BU21" s="99" t="s">
        <v>44</v>
      </c>
      <c r="BV21" s="100">
        <f>5904*1.05</f>
        <v>6199.2</v>
      </c>
      <c r="BW21" s="101"/>
      <c r="BX21" s="158" t="s">
        <v>44</v>
      </c>
      <c r="BY21" s="159" t="s">
        <v>44</v>
      </c>
      <c r="BZ21" s="100">
        <v>0</v>
      </c>
      <c r="CA21" s="97"/>
      <c r="CB21" s="158" t="s">
        <v>44</v>
      </c>
      <c r="CC21" s="159" t="s">
        <v>44</v>
      </c>
      <c r="CD21" s="102">
        <f t="shared" si="28"/>
        <v>329.74468085106383</v>
      </c>
      <c r="CE21" s="102"/>
      <c r="CF21" s="103">
        <f t="shared" si="18"/>
        <v>77.599999999999994</v>
      </c>
      <c r="CG21" s="102"/>
      <c r="CH21" s="822">
        <f t="shared" si="39"/>
        <v>8.8584474885844734E-3</v>
      </c>
      <c r="CI21" s="127"/>
      <c r="CJ21" s="98" t="s">
        <v>44</v>
      </c>
      <c r="CK21" s="99" t="s">
        <v>44</v>
      </c>
      <c r="CL21" s="100">
        <f t="shared" si="19"/>
        <v>25037.35</v>
      </c>
      <c r="CM21" s="107"/>
      <c r="CN21" s="108" t="s">
        <v>44</v>
      </c>
      <c r="CO21" s="99" t="s">
        <v>44</v>
      </c>
      <c r="CP21" s="100">
        <f t="shared" si="20"/>
        <v>25037.35</v>
      </c>
      <c r="CQ21" s="97"/>
      <c r="CR21" s="98" t="s">
        <v>44</v>
      </c>
      <c r="CS21" s="99" t="s">
        <v>44</v>
      </c>
      <c r="CT21" s="100">
        <f t="shared" si="21"/>
        <v>0</v>
      </c>
      <c r="CU21" s="97"/>
      <c r="CV21" s="98" t="s">
        <v>44</v>
      </c>
      <c r="CW21" s="99" t="s">
        <v>44</v>
      </c>
      <c r="CX21" s="100">
        <f t="shared" si="22"/>
        <v>322.64626288659792</v>
      </c>
      <c r="CY21" s="129"/>
      <c r="CZ21" s="110">
        <f t="shared" si="2"/>
        <v>39</v>
      </c>
      <c r="DA21" s="111">
        <f t="shared" si="2"/>
        <v>0</v>
      </c>
      <c r="DB21" s="112">
        <f t="shared" ref="DB21:DC24" si="40">(CZ21/4343)*100</f>
        <v>0.89799677642182829</v>
      </c>
      <c r="DC21" s="113">
        <f t="shared" si="40"/>
        <v>0</v>
      </c>
      <c r="DD21" s="100">
        <f t="shared" si="3"/>
        <v>12115</v>
      </c>
      <c r="DE21" s="102">
        <f t="shared" si="3"/>
        <v>0</v>
      </c>
      <c r="DF21" s="102" t="e">
        <f t="shared" si="3"/>
        <v>#VALUE!</v>
      </c>
      <c r="DG21" s="114" t="e">
        <f t="shared" si="3"/>
        <v>#VALUE!</v>
      </c>
      <c r="DH21" s="100">
        <f t="shared" si="3"/>
        <v>12115</v>
      </c>
      <c r="DI21" s="97">
        <f t="shared" si="3"/>
        <v>0</v>
      </c>
      <c r="DJ21" s="97" t="e">
        <f t="shared" si="3"/>
        <v>#VALUE!</v>
      </c>
      <c r="DK21" s="97" t="e">
        <f t="shared" si="3"/>
        <v>#VALUE!</v>
      </c>
      <c r="DL21" s="100">
        <f t="shared" si="3"/>
        <v>0</v>
      </c>
      <c r="DM21" s="97">
        <f t="shared" si="3"/>
        <v>0</v>
      </c>
      <c r="DN21" s="97" t="e">
        <f t="shared" si="3"/>
        <v>#VALUE!</v>
      </c>
      <c r="DO21" s="115" t="e">
        <f t="shared" si="3"/>
        <v>#VALUE!</v>
      </c>
      <c r="DP21" s="100">
        <f t="shared" ref="DP21:DQ25" si="41">ROUND((DD21/CZ21),0)</f>
        <v>311</v>
      </c>
      <c r="DQ21" s="116" t="e">
        <f t="shared" si="41"/>
        <v>#DIV/0!</v>
      </c>
      <c r="DR21" s="117">
        <f t="shared" si="32"/>
        <v>39</v>
      </c>
      <c r="DS21" s="118">
        <f t="shared" si="4"/>
        <v>100</v>
      </c>
      <c r="DT21" s="104" t="e">
        <f t="shared" si="5"/>
        <v>#VALUE!</v>
      </c>
      <c r="DU21" s="118" t="e">
        <f t="shared" si="6"/>
        <v>#VALUE!</v>
      </c>
      <c r="DV21" s="104">
        <f t="shared" si="7"/>
        <v>12115</v>
      </c>
      <c r="DW21" s="119">
        <f t="shared" si="8"/>
        <v>100</v>
      </c>
      <c r="DX21" s="120" t="e">
        <f t="shared" si="9"/>
        <v>#VALUE!</v>
      </c>
      <c r="DY21" s="118" t="e">
        <f t="shared" si="10"/>
        <v>#VALUE!</v>
      </c>
      <c r="DZ21" s="104">
        <f t="shared" si="11"/>
        <v>12115</v>
      </c>
      <c r="EA21" s="119">
        <f t="shared" si="12"/>
        <v>100</v>
      </c>
      <c r="EB21" s="120" t="e">
        <f t="shared" si="13"/>
        <v>#VALUE!</v>
      </c>
      <c r="EC21" s="118" t="e">
        <f t="shared" si="14"/>
        <v>#VALUE!</v>
      </c>
      <c r="ED21" s="104">
        <f t="shared" si="15"/>
        <v>0</v>
      </c>
      <c r="EE21" s="121">
        <v>0</v>
      </c>
      <c r="EF21" s="120" t="e">
        <f t="shared" si="16"/>
        <v>#VALUE!</v>
      </c>
      <c r="EG21" s="121" t="e">
        <f t="shared" si="17"/>
        <v>#VALUE!</v>
      </c>
      <c r="EH21" s="122" t="e">
        <f t="shared" si="33"/>
        <v>#DIV/0!</v>
      </c>
      <c r="EI21" s="123" t="e">
        <f t="shared" si="34"/>
        <v>#DIV/0!</v>
      </c>
    </row>
    <row r="22" spans="1:139" s="124" customFormat="1" ht="15.75" customHeight="1" x14ac:dyDescent="0.3">
      <c r="A22" s="1070"/>
      <c r="B22" s="90"/>
      <c r="C22" s="91" t="s">
        <v>47</v>
      </c>
      <c r="D22" s="92">
        <v>0</v>
      </c>
      <c r="E22" s="93"/>
      <c r="F22" s="93">
        <v>0</v>
      </c>
      <c r="G22" s="93"/>
      <c r="H22" s="158" t="s">
        <v>44</v>
      </c>
      <c r="I22" s="159" t="s">
        <v>44</v>
      </c>
      <c r="J22" s="96">
        <v>0</v>
      </c>
      <c r="K22" s="97"/>
      <c r="L22" s="98" t="s">
        <v>44</v>
      </c>
      <c r="M22" s="99" t="s">
        <v>44</v>
      </c>
      <c r="N22" s="100">
        <v>0</v>
      </c>
      <c r="O22" s="101"/>
      <c r="P22" s="158" t="s">
        <v>44</v>
      </c>
      <c r="Q22" s="159" t="s">
        <v>44</v>
      </c>
      <c r="R22" s="100">
        <v>0</v>
      </c>
      <c r="S22" s="97"/>
      <c r="T22" s="158" t="s">
        <v>44</v>
      </c>
      <c r="U22" s="159" t="s">
        <v>44</v>
      </c>
      <c r="V22" s="102">
        <v>0</v>
      </c>
      <c r="W22" s="102"/>
      <c r="X22" s="92">
        <v>0</v>
      </c>
      <c r="Y22" s="93"/>
      <c r="Z22" s="93">
        <v>0</v>
      </c>
      <c r="AA22" s="93"/>
      <c r="AB22" s="158" t="s">
        <v>44</v>
      </c>
      <c r="AC22" s="159" t="s">
        <v>44</v>
      </c>
      <c r="AD22" s="96">
        <v>0</v>
      </c>
      <c r="AE22" s="97"/>
      <c r="AF22" s="98" t="s">
        <v>44</v>
      </c>
      <c r="AG22" s="99" t="s">
        <v>44</v>
      </c>
      <c r="AH22" s="100">
        <v>0</v>
      </c>
      <c r="AI22" s="101"/>
      <c r="AJ22" s="158" t="s">
        <v>44</v>
      </c>
      <c r="AK22" s="159" t="s">
        <v>44</v>
      </c>
      <c r="AL22" s="100">
        <v>0</v>
      </c>
      <c r="AM22" s="97"/>
      <c r="AN22" s="158" t="s">
        <v>44</v>
      </c>
      <c r="AO22" s="159" t="s">
        <v>44</v>
      </c>
      <c r="AP22" s="102">
        <v>0</v>
      </c>
      <c r="AQ22" s="102"/>
      <c r="AR22" s="92">
        <v>0</v>
      </c>
      <c r="AS22" s="93"/>
      <c r="AT22" s="822">
        <f t="shared" si="37"/>
        <v>0</v>
      </c>
      <c r="AU22" s="93"/>
      <c r="AV22" s="158" t="s">
        <v>44</v>
      </c>
      <c r="AW22" s="159" t="s">
        <v>44</v>
      </c>
      <c r="AX22" s="96">
        <f t="shared" si="24"/>
        <v>0</v>
      </c>
      <c r="AY22" s="97"/>
      <c r="AZ22" s="98" t="s">
        <v>44</v>
      </c>
      <c r="BA22" s="99" t="s">
        <v>44</v>
      </c>
      <c r="BB22" s="100">
        <v>0</v>
      </c>
      <c r="BC22" s="101"/>
      <c r="BD22" s="158" t="s">
        <v>44</v>
      </c>
      <c r="BE22" s="159" t="s">
        <v>44</v>
      </c>
      <c r="BF22" s="100">
        <v>0</v>
      </c>
      <c r="BG22" s="97"/>
      <c r="BH22" s="158" t="s">
        <v>44</v>
      </c>
      <c r="BI22" s="159" t="s">
        <v>44</v>
      </c>
      <c r="BJ22" s="102">
        <v>0</v>
      </c>
      <c r="BK22" s="102"/>
      <c r="BL22" s="92">
        <v>0</v>
      </c>
      <c r="BM22" s="93"/>
      <c r="BN22" s="822">
        <f t="shared" si="38"/>
        <v>0</v>
      </c>
      <c r="BO22" s="93"/>
      <c r="BP22" s="158" t="s">
        <v>44</v>
      </c>
      <c r="BQ22" s="159" t="s">
        <v>44</v>
      </c>
      <c r="BR22" s="96">
        <f t="shared" si="27"/>
        <v>0</v>
      </c>
      <c r="BS22" s="97"/>
      <c r="BT22" s="98" t="s">
        <v>44</v>
      </c>
      <c r="BU22" s="99" t="s">
        <v>44</v>
      </c>
      <c r="BV22" s="100"/>
      <c r="BW22" s="101"/>
      <c r="BX22" s="158" t="s">
        <v>44</v>
      </c>
      <c r="BY22" s="159" t="s">
        <v>44</v>
      </c>
      <c r="BZ22" s="100">
        <v>0</v>
      </c>
      <c r="CA22" s="97"/>
      <c r="CB22" s="158" t="s">
        <v>44</v>
      </c>
      <c r="CC22" s="159" t="s">
        <v>44</v>
      </c>
      <c r="CD22" s="102">
        <v>0</v>
      </c>
      <c r="CE22" s="102"/>
      <c r="CF22" s="103">
        <f t="shared" si="18"/>
        <v>0</v>
      </c>
      <c r="CG22" s="102"/>
      <c r="CH22" s="822">
        <f t="shared" si="39"/>
        <v>0</v>
      </c>
      <c r="CI22" s="127"/>
      <c r="CJ22" s="98" t="s">
        <v>44</v>
      </c>
      <c r="CK22" s="99" t="s">
        <v>44</v>
      </c>
      <c r="CL22" s="100">
        <f t="shared" si="19"/>
        <v>0</v>
      </c>
      <c r="CM22" s="107"/>
      <c r="CN22" s="108" t="s">
        <v>44</v>
      </c>
      <c r="CO22" s="99" t="s">
        <v>44</v>
      </c>
      <c r="CP22" s="100">
        <f t="shared" si="20"/>
        <v>0</v>
      </c>
      <c r="CQ22" s="97"/>
      <c r="CR22" s="98" t="s">
        <v>44</v>
      </c>
      <c r="CS22" s="99" t="s">
        <v>44</v>
      </c>
      <c r="CT22" s="100">
        <f t="shared" si="21"/>
        <v>0</v>
      </c>
      <c r="CU22" s="97"/>
      <c r="CV22" s="98" t="s">
        <v>44</v>
      </c>
      <c r="CW22" s="99" t="s">
        <v>44</v>
      </c>
      <c r="CX22" s="100"/>
      <c r="CY22" s="129"/>
      <c r="CZ22" s="110">
        <f t="shared" si="2"/>
        <v>0</v>
      </c>
      <c r="DA22" s="111">
        <f t="shared" si="2"/>
        <v>0</v>
      </c>
      <c r="DB22" s="112">
        <f t="shared" si="40"/>
        <v>0</v>
      </c>
      <c r="DC22" s="113">
        <f t="shared" si="40"/>
        <v>0</v>
      </c>
      <c r="DD22" s="100">
        <f t="shared" si="3"/>
        <v>0</v>
      </c>
      <c r="DE22" s="102">
        <f t="shared" si="3"/>
        <v>0</v>
      </c>
      <c r="DF22" s="102" t="e">
        <f t="shared" si="3"/>
        <v>#VALUE!</v>
      </c>
      <c r="DG22" s="114" t="e">
        <f t="shared" si="3"/>
        <v>#VALUE!</v>
      </c>
      <c r="DH22" s="100">
        <f t="shared" si="3"/>
        <v>0</v>
      </c>
      <c r="DI22" s="97">
        <f t="shared" si="3"/>
        <v>0</v>
      </c>
      <c r="DJ22" s="97" t="e">
        <f t="shared" si="3"/>
        <v>#VALUE!</v>
      </c>
      <c r="DK22" s="97" t="e">
        <f t="shared" si="3"/>
        <v>#VALUE!</v>
      </c>
      <c r="DL22" s="100">
        <f t="shared" si="3"/>
        <v>0</v>
      </c>
      <c r="DM22" s="97">
        <f t="shared" si="3"/>
        <v>0</v>
      </c>
      <c r="DN22" s="97" t="e">
        <f t="shared" si="3"/>
        <v>#VALUE!</v>
      </c>
      <c r="DO22" s="115" t="e">
        <f t="shared" si="3"/>
        <v>#VALUE!</v>
      </c>
      <c r="DP22" s="100" t="e">
        <f t="shared" si="41"/>
        <v>#DIV/0!</v>
      </c>
      <c r="DQ22" s="116" t="e">
        <f t="shared" si="41"/>
        <v>#DIV/0!</v>
      </c>
      <c r="DR22" s="117">
        <f t="shared" si="32"/>
        <v>0</v>
      </c>
      <c r="DS22" s="118" t="e">
        <f t="shared" si="4"/>
        <v>#DIV/0!</v>
      </c>
      <c r="DT22" s="104" t="e">
        <f t="shared" si="5"/>
        <v>#VALUE!</v>
      </c>
      <c r="DU22" s="118" t="e">
        <f t="shared" si="6"/>
        <v>#VALUE!</v>
      </c>
      <c r="DV22" s="104">
        <f t="shared" si="7"/>
        <v>0</v>
      </c>
      <c r="DW22" s="119" t="e">
        <f t="shared" si="8"/>
        <v>#DIV/0!</v>
      </c>
      <c r="DX22" s="120" t="e">
        <f t="shared" si="9"/>
        <v>#VALUE!</v>
      </c>
      <c r="DY22" s="118" t="e">
        <f t="shared" si="10"/>
        <v>#VALUE!</v>
      </c>
      <c r="DZ22" s="104">
        <f t="shared" si="11"/>
        <v>0</v>
      </c>
      <c r="EA22" s="119" t="e">
        <f t="shared" si="12"/>
        <v>#DIV/0!</v>
      </c>
      <c r="EB22" s="120" t="e">
        <f t="shared" si="13"/>
        <v>#VALUE!</v>
      </c>
      <c r="EC22" s="118" t="e">
        <f t="shared" si="14"/>
        <v>#VALUE!</v>
      </c>
      <c r="ED22" s="104">
        <f t="shared" si="15"/>
        <v>0</v>
      </c>
      <c r="EE22" s="121">
        <v>0</v>
      </c>
      <c r="EF22" s="120" t="e">
        <f t="shared" si="16"/>
        <v>#VALUE!</v>
      </c>
      <c r="EG22" s="121" t="e">
        <f t="shared" si="17"/>
        <v>#VALUE!</v>
      </c>
      <c r="EH22" s="122" t="e">
        <f t="shared" si="33"/>
        <v>#DIV/0!</v>
      </c>
      <c r="EI22" s="123" t="e">
        <f t="shared" si="34"/>
        <v>#DIV/0!</v>
      </c>
    </row>
    <row r="23" spans="1:139" ht="15.75" customHeight="1" x14ac:dyDescent="0.3">
      <c r="A23" s="1070"/>
      <c r="B23" s="160"/>
      <c r="C23" s="91" t="s">
        <v>48</v>
      </c>
      <c r="D23" s="92">
        <v>614.5</v>
      </c>
      <c r="E23" s="93"/>
      <c r="F23" s="93">
        <v>28.462251042149145</v>
      </c>
      <c r="G23" s="93"/>
      <c r="H23" s="158" t="s">
        <v>44</v>
      </c>
      <c r="I23" s="159" t="s">
        <v>44</v>
      </c>
      <c r="J23" s="96">
        <v>115039</v>
      </c>
      <c r="K23" s="97"/>
      <c r="L23" s="98" t="s">
        <v>44</v>
      </c>
      <c r="M23" s="99" t="s">
        <v>44</v>
      </c>
      <c r="N23" s="100">
        <v>115039</v>
      </c>
      <c r="O23" s="126"/>
      <c r="P23" s="158" t="s">
        <v>44</v>
      </c>
      <c r="Q23" s="159" t="s">
        <v>44</v>
      </c>
      <c r="R23" s="100">
        <v>0</v>
      </c>
      <c r="S23" s="97"/>
      <c r="T23" s="158" t="s">
        <v>44</v>
      </c>
      <c r="U23" s="159" t="s">
        <v>44</v>
      </c>
      <c r="V23" s="102">
        <v>187</v>
      </c>
      <c r="W23" s="102"/>
      <c r="X23" s="92">
        <v>607.1</v>
      </c>
      <c r="Y23" s="93"/>
      <c r="Z23" s="93">
        <v>27.797619047619047</v>
      </c>
      <c r="AA23" s="93"/>
      <c r="AB23" s="158" t="s">
        <v>44</v>
      </c>
      <c r="AC23" s="159" t="s">
        <v>44</v>
      </c>
      <c r="AD23" s="96">
        <v>114030</v>
      </c>
      <c r="AE23" s="97"/>
      <c r="AF23" s="98" t="s">
        <v>44</v>
      </c>
      <c r="AG23" s="99" t="s">
        <v>44</v>
      </c>
      <c r="AH23" s="100">
        <v>114030</v>
      </c>
      <c r="AI23" s="126"/>
      <c r="AJ23" s="158" t="s">
        <v>44</v>
      </c>
      <c r="AK23" s="159" t="s">
        <v>44</v>
      </c>
      <c r="AL23" s="100">
        <v>0</v>
      </c>
      <c r="AM23" s="97"/>
      <c r="AN23" s="158" t="s">
        <v>44</v>
      </c>
      <c r="AO23" s="159" t="s">
        <v>44</v>
      </c>
      <c r="AP23" s="102">
        <v>188</v>
      </c>
      <c r="AQ23" s="102"/>
      <c r="AR23" s="92">
        <v>583.89</v>
      </c>
      <c r="AS23" s="93"/>
      <c r="AT23" s="822">
        <f t="shared" si="37"/>
        <v>0.26444293478260866</v>
      </c>
      <c r="AU23" s="93"/>
      <c r="AV23" s="158" t="s">
        <v>44</v>
      </c>
      <c r="AW23" s="159" t="s">
        <v>44</v>
      </c>
      <c r="AX23" s="96">
        <f t="shared" si="24"/>
        <v>112688.16</v>
      </c>
      <c r="AY23" s="97"/>
      <c r="AZ23" s="98" t="s">
        <v>44</v>
      </c>
      <c r="BA23" s="99" t="s">
        <v>44</v>
      </c>
      <c r="BB23" s="100">
        <f>108354*1.04</f>
        <v>112688.16</v>
      </c>
      <c r="BC23" s="126"/>
      <c r="BD23" s="158" t="s">
        <v>44</v>
      </c>
      <c r="BE23" s="159" t="s">
        <v>44</v>
      </c>
      <c r="BF23" s="100">
        <v>0</v>
      </c>
      <c r="BG23" s="97"/>
      <c r="BH23" s="158" t="s">
        <v>44</v>
      </c>
      <c r="BI23" s="159" t="s">
        <v>44</v>
      </c>
      <c r="BJ23" s="102">
        <f t="shared" si="25"/>
        <v>192.99552997996199</v>
      </c>
      <c r="BK23" s="102"/>
      <c r="BL23" s="92">
        <v>623.5</v>
      </c>
      <c r="BM23" s="93"/>
      <c r="BN23" s="822">
        <f t="shared" si="38"/>
        <v>0.2822544137618832</v>
      </c>
      <c r="BO23" s="93"/>
      <c r="BP23" s="158" t="s">
        <v>44</v>
      </c>
      <c r="BQ23" s="159" t="s">
        <v>44</v>
      </c>
      <c r="BR23" s="96">
        <f t="shared" si="27"/>
        <v>120202.16</v>
      </c>
      <c r="BS23" s="97"/>
      <c r="BT23" s="98" t="s">
        <v>44</v>
      </c>
      <c r="BU23" s="99" t="s">
        <v>44</v>
      </c>
      <c r="BV23" s="100">
        <f>115579*1.04</f>
        <v>120202.16</v>
      </c>
      <c r="BW23" s="126"/>
      <c r="BX23" s="158" t="s">
        <v>44</v>
      </c>
      <c r="BY23" s="159" t="s">
        <v>44</v>
      </c>
      <c r="BZ23" s="100">
        <v>0</v>
      </c>
      <c r="CA23" s="97"/>
      <c r="CB23" s="158" t="s">
        <v>44</v>
      </c>
      <c r="CC23" s="159" t="s">
        <v>44</v>
      </c>
      <c r="CD23" s="102">
        <f t="shared" ref="CD23:CD62" si="42">BR23/BL23</f>
        <v>192.7861427425822</v>
      </c>
      <c r="CE23" s="102"/>
      <c r="CF23" s="103">
        <f t="shared" si="18"/>
        <v>2428.9899999999998</v>
      </c>
      <c r="CG23" s="102"/>
      <c r="CH23" s="822">
        <f t="shared" si="39"/>
        <v>0.27728196347031964</v>
      </c>
      <c r="CI23" s="127"/>
      <c r="CJ23" s="98" t="s">
        <v>44</v>
      </c>
      <c r="CK23" s="99" t="s">
        <v>44</v>
      </c>
      <c r="CL23" s="100">
        <f t="shared" si="19"/>
        <v>461959.32</v>
      </c>
      <c r="CM23" s="107"/>
      <c r="CN23" s="108" t="s">
        <v>44</v>
      </c>
      <c r="CO23" s="99" t="s">
        <v>44</v>
      </c>
      <c r="CP23" s="100">
        <f t="shared" si="20"/>
        <v>461959.32</v>
      </c>
      <c r="CQ23" s="97"/>
      <c r="CR23" s="98" t="s">
        <v>44</v>
      </c>
      <c r="CS23" s="99" t="s">
        <v>44</v>
      </c>
      <c r="CT23" s="100">
        <f t="shared" si="21"/>
        <v>0</v>
      </c>
      <c r="CU23" s="97"/>
      <c r="CV23" s="98" t="s">
        <v>44</v>
      </c>
      <c r="CW23" s="99" t="s">
        <v>44</v>
      </c>
      <c r="CX23" s="100">
        <f t="shared" si="22"/>
        <v>190.18576445353833</v>
      </c>
      <c r="CY23" s="129"/>
      <c r="CZ23" s="110">
        <f t="shared" si="2"/>
        <v>1221.5999999999999</v>
      </c>
      <c r="DA23" s="111">
        <f t="shared" si="2"/>
        <v>0</v>
      </c>
      <c r="DB23" s="112">
        <f t="shared" si="40"/>
        <v>28.128022104536033</v>
      </c>
      <c r="DC23" s="113">
        <f t="shared" si="40"/>
        <v>0</v>
      </c>
      <c r="DD23" s="100">
        <f t="shared" si="3"/>
        <v>229069</v>
      </c>
      <c r="DE23" s="102">
        <f t="shared" si="3"/>
        <v>0</v>
      </c>
      <c r="DF23" s="102" t="e">
        <f t="shared" si="3"/>
        <v>#VALUE!</v>
      </c>
      <c r="DG23" s="114" t="e">
        <f t="shared" si="3"/>
        <v>#VALUE!</v>
      </c>
      <c r="DH23" s="100">
        <f t="shared" si="3"/>
        <v>229069</v>
      </c>
      <c r="DI23" s="97">
        <f t="shared" si="3"/>
        <v>0</v>
      </c>
      <c r="DJ23" s="97" t="e">
        <f t="shared" si="3"/>
        <v>#VALUE!</v>
      </c>
      <c r="DK23" s="97" t="e">
        <f t="shared" si="3"/>
        <v>#VALUE!</v>
      </c>
      <c r="DL23" s="100">
        <f t="shared" si="3"/>
        <v>0</v>
      </c>
      <c r="DM23" s="97">
        <f t="shared" si="3"/>
        <v>0</v>
      </c>
      <c r="DN23" s="97" t="e">
        <f t="shared" si="3"/>
        <v>#VALUE!</v>
      </c>
      <c r="DO23" s="115" t="e">
        <f t="shared" si="3"/>
        <v>#VALUE!</v>
      </c>
      <c r="DP23" s="100">
        <f t="shared" si="41"/>
        <v>188</v>
      </c>
      <c r="DQ23" s="116" t="e">
        <f t="shared" si="41"/>
        <v>#DIV/0!</v>
      </c>
      <c r="DR23" s="117">
        <f t="shared" si="32"/>
        <v>1221.5999999999999</v>
      </c>
      <c r="DS23" s="118">
        <f t="shared" si="4"/>
        <v>100</v>
      </c>
      <c r="DT23" s="104" t="e">
        <f t="shared" si="5"/>
        <v>#VALUE!</v>
      </c>
      <c r="DU23" s="118" t="e">
        <f t="shared" si="6"/>
        <v>#VALUE!</v>
      </c>
      <c r="DV23" s="104">
        <f t="shared" si="7"/>
        <v>229069</v>
      </c>
      <c r="DW23" s="119">
        <f t="shared" si="8"/>
        <v>100</v>
      </c>
      <c r="DX23" s="120" t="e">
        <f t="shared" si="9"/>
        <v>#VALUE!</v>
      </c>
      <c r="DY23" s="118" t="e">
        <f t="shared" si="10"/>
        <v>#VALUE!</v>
      </c>
      <c r="DZ23" s="104">
        <f t="shared" si="11"/>
        <v>229069</v>
      </c>
      <c r="EA23" s="119">
        <f t="shared" si="12"/>
        <v>100</v>
      </c>
      <c r="EB23" s="120" t="e">
        <f t="shared" si="13"/>
        <v>#VALUE!</v>
      </c>
      <c r="EC23" s="118" t="e">
        <f t="shared" si="14"/>
        <v>#VALUE!</v>
      </c>
      <c r="ED23" s="104">
        <f t="shared" si="15"/>
        <v>0</v>
      </c>
      <c r="EE23" s="121">
        <v>0</v>
      </c>
      <c r="EF23" s="120" t="e">
        <f t="shared" si="16"/>
        <v>#VALUE!</v>
      </c>
      <c r="EG23" s="121" t="e">
        <f t="shared" si="17"/>
        <v>#VALUE!</v>
      </c>
      <c r="EH23" s="122" t="e">
        <f t="shared" si="33"/>
        <v>#DIV/0!</v>
      </c>
      <c r="EI23" s="123" t="e">
        <f t="shared" si="34"/>
        <v>#DIV/0!</v>
      </c>
    </row>
    <row r="24" spans="1:139" ht="15.75" customHeight="1" x14ac:dyDescent="0.3">
      <c r="A24" s="1070"/>
      <c r="B24" s="160"/>
      <c r="C24" s="91" t="s">
        <v>49</v>
      </c>
      <c r="D24" s="92">
        <v>16.2</v>
      </c>
      <c r="E24" s="93"/>
      <c r="F24" s="93">
        <v>0.75034738304770721</v>
      </c>
      <c r="G24" s="93"/>
      <c r="H24" s="158" t="s">
        <v>44</v>
      </c>
      <c r="I24" s="159" t="s">
        <v>44</v>
      </c>
      <c r="J24" s="96">
        <v>4275</v>
      </c>
      <c r="K24" s="97"/>
      <c r="L24" s="98" t="s">
        <v>44</v>
      </c>
      <c r="M24" s="99" t="s">
        <v>44</v>
      </c>
      <c r="N24" s="100">
        <v>4275</v>
      </c>
      <c r="O24" s="126"/>
      <c r="P24" s="158" t="s">
        <v>44</v>
      </c>
      <c r="Q24" s="159" t="s">
        <v>44</v>
      </c>
      <c r="R24" s="100">
        <v>0</v>
      </c>
      <c r="S24" s="97"/>
      <c r="T24" s="158" t="s">
        <v>44</v>
      </c>
      <c r="U24" s="159" t="s">
        <v>44</v>
      </c>
      <c r="V24" s="102">
        <v>264</v>
      </c>
      <c r="W24" s="102"/>
      <c r="X24" s="92">
        <v>15.2</v>
      </c>
      <c r="Y24" s="93"/>
      <c r="Z24" s="93">
        <v>0.69597069597069594</v>
      </c>
      <c r="AA24" s="93"/>
      <c r="AB24" s="158" t="s">
        <v>44</v>
      </c>
      <c r="AC24" s="159" t="s">
        <v>44</v>
      </c>
      <c r="AD24" s="96">
        <v>4039</v>
      </c>
      <c r="AE24" s="97"/>
      <c r="AF24" s="98" t="s">
        <v>44</v>
      </c>
      <c r="AG24" s="99" t="s">
        <v>44</v>
      </c>
      <c r="AH24" s="100">
        <v>4039</v>
      </c>
      <c r="AI24" s="126"/>
      <c r="AJ24" s="158" t="s">
        <v>44</v>
      </c>
      <c r="AK24" s="159" t="s">
        <v>44</v>
      </c>
      <c r="AL24" s="100">
        <v>0</v>
      </c>
      <c r="AM24" s="97"/>
      <c r="AN24" s="158" t="s">
        <v>44</v>
      </c>
      <c r="AO24" s="159" t="s">
        <v>44</v>
      </c>
      <c r="AP24" s="102">
        <v>266</v>
      </c>
      <c r="AQ24" s="102"/>
      <c r="AR24" s="92">
        <v>2.2999999999999998</v>
      </c>
      <c r="AS24" s="93"/>
      <c r="AT24" s="822">
        <f t="shared" si="37"/>
        <v>1.0416666666666667E-3</v>
      </c>
      <c r="AU24" s="93"/>
      <c r="AV24" s="158" t="s">
        <v>44</v>
      </c>
      <c r="AW24" s="159" t="s">
        <v>44</v>
      </c>
      <c r="AX24" s="96">
        <f t="shared" si="24"/>
        <v>1214.8500000000001</v>
      </c>
      <c r="AY24" s="97"/>
      <c r="AZ24" s="98" t="s">
        <v>44</v>
      </c>
      <c r="BA24" s="99" t="s">
        <v>44</v>
      </c>
      <c r="BB24" s="100">
        <f>1157*1.05</f>
        <v>1214.8500000000001</v>
      </c>
      <c r="BC24" s="126"/>
      <c r="BD24" s="158" t="s">
        <v>44</v>
      </c>
      <c r="BE24" s="159" t="s">
        <v>44</v>
      </c>
      <c r="BF24" s="100">
        <v>0</v>
      </c>
      <c r="BG24" s="97"/>
      <c r="BH24" s="158" t="s">
        <v>44</v>
      </c>
      <c r="BI24" s="159" t="s">
        <v>44</v>
      </c>
      <c r="BJ24" s="102">
        <f t="shared" si="25"/>
        <v>528.19565217391312</v>
      </c>
      <c r="BK24" s="102"/>
      <c r="BL24" s="92">
        <v>165.4</v>
      </c>
      <c r="BM24" s="93"/>
      <c r="BN24" s="822">
        <f t="shared" si="38"/>
        <v>7.4875509280217301E-2</v>
      </c>
      <c r="BO24" s="93"/>
      <c r="BP24" s="158" t="s">
        <v>44</v>
      </c>
      <c r="BQ24" s="159" t="s">
        <v>44</v>
      </c>
      <c r="BR24" s="96">
        <f t="shared" si="27"/>
        <v>3473.4</v>
      </c>
      <c r="BS24" s="97"/>
      <c r="BT24" s="98" t="s">
        <v>44</v>
      </c>
      <c r="BU24" s="99" t="s">
        <v>44</v>
      </c>
      <c r="BV24" s="100">
        <f>3308*1.05</f>
        <v>3473.4</v>
      </c>
      <c r="BW24" s="126"/>
      <c r="BX24" s="158" t="s">
        <v>44</v>
      </c>
      <c r="BY24" s="159" t="s">
        <v>44</v>
      </c>
      <c r="BZ24" s="100">
        <v>0</v>
      </c>
      <c r="CA24" s="97"/>
      <c r="CB24" s="158" t="s">
        <v>44</v>
      </c>
      <c r="CC24" s="159" t="s">
        <v>44</v>
      </c>
      <c r="CD24" s="102">
        <f t="shared" si="42"/>
        <v>21</v>
      </c>
      <c r="CE24" s="102"/>
      <c r="CF24" s="103">
        <f t="shared" si="18"/>
        <v>199.1</v>
      </c>
      <c r="CG24" s="102"/>
      <c r="CH24" s="822">
        <f t="shared" si="39"/>
        <v>2.2728310502283106E-2</v>
      </c>
      <c r="CI24" s="127"/>
      <c r="CJ24" s="98" t="s">
        <v>44</v>
      </c>
      <c r="CK24" s="99" t="s">
        <v>44</v>
      </c>
      <c r="CL24" s="100">
        <f t="shared" si="19"/>
        <v>13002.25</v>
      </c>
      <c r="CM24" s="107"/>
      <c r="CN24" s="108" t="s">
        <v>44</v>
      </c>
      <c r="CO24" s="99" t="s">
        <v>44</v>
      </c>
      <c r="CP24" s="100">
        <f t="shared" si="20"/>
        <v>13002.25</v>
      </c>
      <c r="CQ24" s="97"/>
      <c r="CR24" s="98" t="s">
        <v>44</v>
      </c>
      <c r="CS24" s="99" t="s">
        <v>44</v>
      </c>
      <c r="CT24" s="100">
        <f t="shared" si="21"/>
        <v>0</v>
      </c>
      <c r="CU24" s="97"/>
      <c r="CV24" s="98" t="s">
        <v>44</v>
      </c>
      <c r="CW24" s="99" t="s">
        <v>44</v>
      </c>
      <c r="CX24" s="100">
        <f t="shared" si="22"/>
        <v>65.305123053741838</v>
      </c>
      <c r="CY24" s="129"/>
      <c r="CZ24" s="110">
        <f t="shared" si="2"/>
        <v>31.4</v>
      </c>
      <c r="DA24" s="111">
        <f t="shared" si="2"/>
        <v>0</v>
      </c>
      <c r="DB24" s="112">
        <f t="shared" si="40"/>
        <v>0.72300253281142057</v>
      </c>
      <c r="DC24" s="113">
        <f t="shared" si="40"/>
        <v>0</v>
      </c>
      <c r="DD24" s="100">
        <f t="shared" si="3"/>
        <v>8314</v>
      </c>
      <c r="DE24" s="102">
        <f t="shared" si="3"/>
        <v>0</v>
      </c>
      <c r="DF24" s="102" t="e">
        <f t="shared" si="3"/>
        <v>#VALUE!</v>
      </c>
      <c r="DG24" s="114" t="e">
        <f t="shared" si="3"/>
        <v>#VALUE!</v>
      </c>
      <c r="DH24" s="100">
        <f t="shared" si="3"/>
        <v>8314</v>
      </c>
      <c r="DI24" s="97">
        <f t="shared" si="3"/>
        <v>0</v>
      </c>
      <c r="DJ24" s="97" t="e">
        <f t="shared" si="3"/>
        <v>#VALUE!</v>
      </c>
      <c r="DK24" s="97" t="e">
        <f t="shared" si="3"/>
        <v>#VALUE!</v>
      </c>
      <c r="DL24" s="100">
        <f t="shared" si="3"/>
        <v>0</v>
      </c>
      <c r="DM24" s="97">
        <f t="shared" si="3"/>
        <v>0</v>
      </c>
      <c r="DN24" s="97" t="e">
        <f t="shared" si="3"/>
        <v>#VALUE!</v>
      </c>
      <c r="DO24" s="115" t="e">
        <f t="shared" si="3"/>
        <v>#VALUE!</v>
      </c>
      <c r="DP24" s="100">
        <f t="shared" si="41"/>
        <v>265</v>
      </c>
      <c r="DQ24" s="116" t="e">
        <f t="shared" si="41"/>
        <v>#DIV/0!</v>
      </c>
      <c r="DR24" s="117">
        <f t="shared" si="32"/>
        <v>31.4</v>
      </c>
      <c r="DS24" s="118">
        <f t="shared" si="4"/>
        <v>100</v>
      </c>
      <c r="DT24" s="104" t="e">
        <f t="shared" si="5"/>
        <v>#VALUE!</v>
      </c>
      <c r="DU24" s="118" t="e">
        <f t="shared" si="6"/>
        <v>#VALUE!</v>
      </c>
      <c r="DV24" s="104">
        <f t="shared" si="7"/>
        <v>8314</v>
      </c>
      <c r="DW24" s="119">
        <f t="shared" si="8"/>
        <v>100</v>
      </c>
      <c r="DX24" s="120" t="e">
        <f t="shared" si="9"/>
        <v>#VALUE!</v>
      </c>
      <c r="DY24" s="118" t="e">
        <f t="shared" si="10"/>
        <v>#VALUE!</v>
      </c>
      <c r="DZ24" s="104">
        <f t="shared" si="11"/>
        <v>8314</v>
      </c>
      <c r="EA24" s="119">
        <f t="shared" si="12"/>
        <v>100</v>
      </c>
      <c r="EB24" s="120" t="e">
        <f t="shared" si="13"/>
        <v>#VALUE!</v>
      </c>
      <c r="EC24" s="118" t="e">
        <f t="shared" si="14"/>
        <v>#VALUE!</v>
      </c>
      <c r="ED24" s="104">
        <f t="shared" si="15"/>
        <v>0</v>
      </c>
      <c r="EE24" s="121">
        <v>0</v>
      </c>
      <c r="EF24" s="120" t="e">
        <f t="shared" si="16"/>
        <v>#VALUE!</v>
      </c>
      <c r="EG24" s="121" t="e">
        <f t="shared" si="17"/>
        <v>#VALUE!</v>
      </c>
      <c r="EH24" s="122" t="e">
        <f t="shared" si="33"/>
        <v>#DIV/0!</v>
      </c>
      <c r="EI24" s="123" t="e">
        <f t="shared" si="34"/>
        <v>#DIV/0!</v>
      </c>
    </row>
    <row r="25" spans="1:139" ht="15.75" customHeight="1" x14ac:dyDescent="0.3">
      <c r="A25" s="1070"/>
      <c r="B25" s="160"/>
      <c r="C25" s="161" t="s">
        <v>51</v>
      </c>
      <c r="D25" s="92">
        <v>11.9</v>
      </c>
      <c r="E25" s="93"/>
      <c r="F25" s="93">
        <v>100</v>
      </c>
      <c r="G25" s="93"/>
      <c r="H25" s="158" t="s">
        <v>44</v>
      </c>
      <c r="I25" s="159" t="s">
        <v>44</v>
      </c>
      <c r="J25" s="96">
        <v>5526</v>
      </c>
      <c r="K25" s="97"/>
      <c r="L25" s="98" t="s">
        <v>44</v>
      </c>
      <c r="M25" s="99" t="s">
        <v>44</v>
      </c>
      <c r="N25" s="100">
        <v>5526</v>
      </c>
      <c r="O25" s="126"/>
      <c r="P25" s="158" t="s">
        <v>44</v>
      </c>
      <c r="Q25" s="159" t="s">
        <v>44</v>
      </c>
      <c r="R25" s="100">
        <v>0</v>
      </c>
      <c r="S25" s="97"/>
      <c r="T25" s="158" t="s">
        <v>44</v>
      </c>
      <c r="U25" s="159" t="s">
        <v>44</v>
      </c>
      <c r="V25" s="102">
        <v>464</v>
      </c>
      <c r="W25" s="102"/>
      <c r="X25" s="92">
        <v>10.1</v>
      </c>
      <c r="Y25" s="93"/>
      <c r="Z25" s="93">
        <v>100</v>
      </c>
      <c r="AA25" s="93"/>
      <c r="AB25" s="158" t="s">
        <v>44</v>
      </c>
      <c r="AC25" s="159" t="s">
        <v>44</v>
      </c>
      <c r="AD25" s="96">
        <v>4875</v>
      </c>
      <c r="AE25" s="97"/>
      <c r="AF25" s="98" t="s">
        <v>44</v>
      </c>
      <c r="AG25" s="99" t="s">
        <v>44</v>
      </c>
      <c r="AH25" s="100">
        <v>4875</v>
      </c>
      <c r="AI25" s="126"/>
      <c r="AJ25" s="158" t="s">
        <v>44</v>
      </c>
      <c r="AK25" s="159" t="s">
        <v>44</v>
      </c>
      <c r="AL25" s="100">
        <v>0</v>
      </c>
      <c r="AM25" s="97"/>
      <c r="AN25" s="158" t="s">
        <v>44</v>
      </c>
      <c r="AO25" s="159" t="s">
        <v>44</v>
      </c>
      <c r="AP25" s="102">
        <v>483</v>
      </c>
      <c r="AQ25" s="102"/>
      <c r="AR25" s="92">
        <v>10.1</v>
      </c>
      <c r="AS25" s="93"/>
      <c r="AT25" s="822">
        <f>AR25/11.9</f>
        <v>0.84873949579831931</v>
      </c>
      <c r="AU25" s="93"/>
      <c r="AV25" s="158" t="s">
        <v>44</v>
      </c>
      <c r="AW25" s="159" t="s">
        <v>44</v>
      </c>
      <c r="AX25" s="96">
        <f t="shared" si="24"/>
        <v>4931</v>
      </c>
      <c r="AY25" s="97"/>
      <c r="AZ25" s="98" t="s">
        <v>44</v>
      </c>
      <c r="BA25" s="99" t="s">
        <v>44</v>
      </c>
      <c r="BB25" s="100">
        <v>4931</v>
      </c>
      <c r="BC25" s="97"/>
      <c r="BD25" s="158" t="s">
        <v>44</v>
      </c>
      <c r="BE25" s="159" t="s">
        <v>44</v>
      </c>
      <c r="BF25" s="100">
        <v>0</v>
      </c>
      <c r="BG25" s="97"/>
      <c r="BH25" s="158" t="s">
        <v>44</v>
      </c>
      <c r="BI25" s="159" t="s">
        <v>44</v>
      </c>
      <c r="BJ25" s="102">
        <f t="shared" si="25"/>
        <v>488.21782178217825</v>
      </c>
      <c r="BK25" s="102"/>
      <c r="BL25" s="92">
        <v>11.9</v>
      </c>
      <c r="BM25" s="93"/>
      <c r="BN25" s="822">
        <f>11.9/11.9</f>
        <v>1</v>
      </c>
      <c r="BO25" s="93"/>
      <c r="BP25" s="158" t="s">
        <v>44</v>
      </c>
      <c r="BQ25" s="159" t="s">
        <v>44</v>
      </c>
      <c r="BR25" s="96">
        <f t="shared" si="27"/>
        <v>5600</v>
      </c>
      <c r="BS25" s="97"/>
      <c r="BT25" s="98" t="s">
        <v>44</v>
      </c>
      <c r="BU25" s="99" t="s">
        <v>44</v>
      </c>
      <c r="BV25" s="100">
        <v>5600</v>
      </c>
      <c r="BW25" s="126"/>
      <c r="BX25" s="158" t="s">
        <v>44</v>
      </c>
      <c r="BY25" s="159" t="s">
        <v>44</v>
      </c>
      <c r="BZ25" s="100">
        <v>0</v>
      </c>
      <c r="CA25" s="97"/>
      <c r="CB25" s="158" t="s">
        <v>44</v>
      </c>
      <c r="CC25" s="159" t="s">
        <v>44</v>
      </c>
      <c r="CD25" s="102">
        <f t="shared" si="42"/>
        <v>470.58823529411762</v>
      </c>
      <c r="CE25" s="102"/>
      <c r="CF25" s="103">
        <f t="shared" si="18"/>
        <v>44</v>
      </c>
      <c r="CG25" s="102"/>
      <c r="CH25" s="822">
        <f>CF25/CF102</f>
        <v>0.9243697478991596</v>
      </c>
      <c r="CI25" s="127"/>
      <c r="CJ25" s="98" t="s">
        <v>44</v>
      </c>
      <c r="CK25" s="99" t="s">
        <v>44</v>
      </c>
      <c r="CL25" s="100">
        <f t="shared" si="19"/>
        <v>20932</v>
      </c>
      <c r="CM25" s="107"/>
      <c r="CN25" s="108" t="s">
        <v>44</v>
      </c>
      <c r="CO25" s="99" t="s">
        <v>44</v>
      </c>
      <c r="CP25" s="100">
        <f t="shared" si="20"/>
        <v>20932</v>
      </c>
      <c r="CQ25" s="97"/>
      <c r="CR25" s="98" t="s">
        <v>44</v>
      </c>
      <c r="CS25" s="99" t="s">
        <v>44</v>
      </c>
      <c r="CT25" s="100">
        <f t="shared" si="21"/>
        <v>0</v>
      </c>
      <c r="CU25" s="97"/>
      <c r="CV25" s="98" t="s">
        <v>44</v>
      </c>
      <c r="CW25" s="99" t="s">
        <v>44</v>
      </c>
      <c r="CX25" s="100">
        <f t="shared" si="22"/>
        <v>475.72727272727275</v>
      </c>
      <c r="CY25" s="129"/>
      <c r="CZ25" s="162">
        <f t="shared" si="2"/>
        <v>22</v>
      </c>
      <c r="DA25" s="111">
        <f t="shared" si="2"/>
        <v>0</v>
      </c>
      <c r="DB25" s="112">
        <f>(CZ25/22.9)*100</f>
        <v>96.069868995633186</v>
      </c>
      <c r="DC25" s="113">
        <f>(DA25/CZ25)*100</f>
        <v>0</v>
      </c>
      <c r="DD25" s="100">
        <f t="shared" si="3"/>
        <v>10401</v>
      </c>
      <c r="DE25" s="102">
        <f t="shared" si="3"/>
        <v>0</v>
      </c>
      <c r="DF25" s="102" t="e">
        <f t="shared" si="3"/>
        <v>#VALUE!</v>
      </c>
      <c r="DG25" s="114" t="e">
        <f t="shared" si="3"/>
        <v>#VALUE!</v>
      </c>
      <c r="DH25" s="100">
        <f t="shared" si="3"/>
        <v>10401</v>
      </c>
      <c r="DI25" s="97">
        <f t="shared" si="3"/>
        <v>0</v>
      </c>
      <c r="DJ25" s="97" t="e">
        <f t="shared" si="3"/>
        <v>#VALUE!</v>
      </c>
      <c r="DK25" s="97" t="e">
        <f t="shared" si="3"/>
        <v>#VALUE!</v>
      </c>
      <c r="DL25" s="100">
        <f t="shared" si="3"/>
        <v>0</v>
      </c>
      <c r="DM25" s="97">
        <f t="shared" si="3"/>
        <v>0</v>
      </c>
      <c r="DN25" s="97" t="e">
        <f t="shared" si="3"/>
        <v>#VALUE!</v>
      </c>
      <c r="DO25" s="115" t="e">
        <f t="shared" si="3"/>
        <v>#VALUE!</v>
      </c>
      <c r="DP25" s="100">
        <f t="shared" si="41"/>
        <v>473</v>
      </c>
      <c r="DQ25" s="116" t="e">
        <f t="shared" si="41"/>
        <v>#DIV/0!</v>
      </c>
      <c r="DR25" s="117">
        <f t="shared" si="32"/>
        <v>22</v>
      </c>
      <c r="DS25" s="118">
        <f t="shared" si="4"/>
        <v>100</v>
      </c>
      <c r="DT25" s="104" t="e">
        <f t="shared" si="5"/>
        <v>#VALUE!</v>
      </c>
      <c r="DU25" s="118" t="e">
        <f t="shared" si="6"/>
        <v>#VALUE!</v>
      </c>
      <c r="DV25" s="104">
        <f t="shared" si="7"/>
        <v>10401</v>
      </c>
      <c r="DW25" s="119">
        <f t="shared" si="8"/>
        <v>100</v>
      </c>
      <c r="DX25" s="120" t="e">
        <f t="shared" si="9"/>
        <v>#VALUE!</v>
      </c>
      <c r="DY25" s="118" t="e">
        <f t="shared" si="10"/>
        <v>#VALUE!</v>
      </c>
      <c r="DZ25" s="104">
        <f t="shared" si="11"/>
        <v>10401</v>
      </c>
      <c r="EA25" s="119">
        <f t="shared" si="12"/>
        <v>100</v>
      </c>
      <c r="EB25" s="120" t="e">
        <f t="shared" si="13"/>
        <v>#VALUE!</v>
      </c>
      <c r="EC25" s="118" t="e">
        <f t="shared" si="14"/>
        <v>#VALUE!</v>
      </c>
      <c r="ED25" s="104">
        <f t="shared" si="15"/>
        <v>0</v>
      </c>
      <c r="EE25" s="121">
        <v>0</v>
      </c>
      <c r="EF25" s="120" t="e">
        <f t="shared" si="16"/>
        <v>#VALUE!</v>
      </c>
      <c r="EG25" s="121" t="e">
        <f t="shared" si="17"/>
        <v>#VALUE!</v>
      </c>
      <c r="EH25" s="122" t="e">
        <f t="shared" si="33"/>
        <v>#DIV/0!</v>
      </c>
      <c r="EI25" s="123" t="e">
        <f t="shared" si="34"/>
        <v>#DIV/0!</v>
      </c>
    </row>
    <row r="26" spans="1:139" s="157" customFormat="1" ht="26.25" customHeight="1" x14ac:dyDescent="0.3">
      <c r="A26" s="1070"/>
      <c r="B26" s="130" t="s">
        <v>52</v>
      </c>
      <c r="C26" s="131"/>
      <c r="D26" s="132">
        <v>12.2</v>
      </c>
      <c r="E26" s="133"/>
      <c r="F26" s="133">
        <v>0.11216431152258456</v>
      </c>
      <c r="G26" s="133"/>
      <c r="H26" s="134" t="s">
        <v>44</v>
      </c>
      <c r="I26" s="135" t="s">
        <v>44</v>
      </c>
      <c r="J26" s="136">
        <v>48615</v>
      </c>
      <c r="K26" s="86"/>
      <c r="L26" s="137" t="s">
        <v>44</v>
      </c>
      <c r="M26" s="138" t="s">
        <v>44</v>
      </c>
      <c r="N26" s="139">
        <v>48615</v>
      </c>
      <c r="O26" s="140"/>
      <c r="P26" s="134" t="s">
        <v>44</v>
      </c>
      <c r="Q26" s="135" t="s">
        <v>44</v>
      </c>
      <c r="R26" s="139">
        <v>0</v>
      </c>
      <c r="S26" s="140"/>
      <c r="T26" s="134" t="s">
        <v>44</v>
      </c>
      <c r="U26" s="135" t="s">
        <v>44</v>
      </c>
      <c r="V26" s="141">
        <v>3985</v>
      </c>
      <c r="W26" s="141"/>
      <c r="X26" s="132">
        <v>10.199999999999999</v>
      </c>
      <c r="Y26" s="133"/>
      <c r="Z26" s="133">
        <v>9.2922409787827148E-2</v>
      </c>
      <c r="AA26" s="133"/>
      <c r="AB26" s="134" t="s">
        <v>44</v>
      </c>
      <c r="AC26" s="135" t="s">
        <v>44</v>
      </c>
      <c r="AD26" s="136">
        <v>48222</v>
      </c>
      <c r="AE26" s="86"/>
      <c r="AF26" s="137" t="s">
        <v>44</v>
      </c>
      <c r="AG26" s="138" t="s">
        <v>44</v>
      </c>
      <c r="AH26" s="139">
        <v>48222</v>
      </c>
      <c r="AI26" s="140"/>
      <c r="AJ26" s="134" t="s">
        <v>44</v>
      </c>
      <c r="AK26" s="135" t="s">
        <v>44</v>
      </c>
      <c r="AL26" s="139">
        <v>0</v>
      </c>
      <c r="AM26" s="140"/>
      <c r="AN26" s="134" t="s">
        <v>44</v>
      </c>
      <c r="AO26" s="135" t="s">
        <v>44</v>
      </c>
      <c r="AP26" s="141">
        <v>4728</v>
      </c>
      <c r="AQ26" s="141"/>
      <c r="AR26" s="132">
        <f>AR27</f>
        <v>3.8</v>
      </c>
      <c r="AS26" s="133"/>
      <c r="AT26" s="823">
        <f>AR26/11040</f>
        <v>3.442028985507246E-4</v>
      </c>
      <c r="AU26" s="133"/>
      <c r="AV26" s="134" t="s">
        <v>44</v>
      </c>
      <c r="AW26" s="135" t="s">
        <v>44</v>
      </c>
      <c r="AX26" s="136">
        <f t="shared" si="24"/>
        <v>44721.600000000006</v>
      </c>
      <c r="AY26" s="86"/>
      <c r="AZ26" s="137" t="s">
        <v>44</v>
      </c>
      <c r="BA26" s="138" t="s">
        <v>44</v>
      </c>
      <c r="BB26" s="139">
        <f>BB27</f>
        <v>44721.600000000006</v>
      </c>
      <c r="BC26" s="140"/>
      <c r="BD26" s="134" t="s">
        <v>44</v>
      </c>
      <c r="BE26" s="135" t="s">
        <v>44</v>
      </c>
      <c r="BF26" s="139">
        <v>0</v>
      </c>
      <c r="BG26" s="140"/>
      <c r="BH26" s="134" t="s">
        <v>44</v>
      </c>
      <c r="BI26" s="135" t="s">
        <v>44</v>
      </c>
      <c r="BJ26" s="141">
        <f t="shared" si="25"/>
        <v>11768.84210526316</v>
      </c>
      <c r="BK26" s="141"/>
      <c r="BL26" s="132">
        <f>BL27</f>
        <v>12.2</v>
      </c>
      <c r="BM26" s="133"/>
      <c r="BN26" s="823">
        <f>BL26/11156.9</f>
        <v>1.0934937124111536E-3</v>
      </c>
      <c r="BO26" s="133"/>
      <c r="BP26" s="134" t="s">
        <v>44</v>
      </c>
      <c r="BQ26" s="135" t="s">
        <v>44</v>
      </c>
      <c r="BR26" s="136">
        <f t="shared" si="27"/>
        <v>45392.600000000006</v>
      </c>
      <c r="BS26" s="86"/>
      <c r="BT26" s="137" t="s">
        <v>44</v>
      </c>
      <c r="BU26" s="138" t="s">
        <v>44</v>
      </c>
      <c r="BV26" s="139">
        <f>BV27</f>
        <v>45392.600000000006</v>
      </c>
      <c r="BW26" s="140"/>
      <c r="BX26" s="134" t="s">
        <v>44</v>
      </c>
      <c r="BY26" s="135" t="s">
        <v>44</v>
      </c>
      <c r="BZ26" s="139">
        <v>0</v>
      </c>
      <c r="CA26" s="140"/>
      <c r="CB26" s="134" t="s">
        <v>44</v>
      </c>
      <c r="CC26" s="135" t="s">
        <v>44</v>
      </c>
      <c r="CD26" s="141">
        <f t="shared" si="42"/>
        <v>3720.7049180327876</v>
      </c>
      <c r="CE26" s="141"/>
      <c r="CF26" s="142">
        <f t="shared" si="18"/>
        <v>38.4</v>
      </c>
      <c r="CG26" s="141"/>
      <c r="CH26" s="823">
        <f>CF26/44102.6</f>
        <v>8.7069696571177206E-4</v>
      </c>
      <c r="CI26" s="143"/>
      <c r="CJ26" s="137" t="s">
        <v>44</v>
      </c>
      <c r="CK26" s="138" t="s">
        <v>44</v>
      </c>
      <c r="CL26" s="139">
        <f t="shared" si="19"/>
        <v>186951.2</v>
      </c>
      <c r="CM26" s="144"/>
      <c r="CN26" s="145" t="s">
        <v>44</v>
      </c>
      <c r="CO26" s="138" t="s">
        <v>44</v>
      </c>
      <c r="CP26" s="139">
        <f t="shared" si="20"/>
        <v>186951.2</v>
      </c>
      <c r="CQ26" s="140"/>
      <c r="CR26" s="137" t="s">
        <v>44</v>
      </c>
      <c r="CS26" s="138" t="s">
        <v>44</v>
      </c>
      <c r="CT26" s="139">
        <f t="shared" si="21"/>
        <v>0</v>
      </c>
      <c r="CU26" s="140"/>
      <c r="CV26" s="137" t="s">
        <v>44</v>
      </c>
      <c r="CW26" s="138" t="s">
        <v>44</v>
      </c>
      <c r="CX26" s="139">
        <f t="shared" si="22"/>
        <v>4868.5208333333339</v>
      </c>
      <c r="CY26" s="146"/>
      <c r="CZ26" s="147">
        <f t="shared" si="2"/>
        <v>22.4</v>
      </c>
      <c r="DA26" s="148">
        <f t="shared" si="2"/>
        <v>0</v>
      </c>
      <c r="DB26" s="149" t="e">
        <f>(CZ26/#REF!)*100</f>
        <v>#REF!</v>
      </c>
      <c r="DC26" s="150" t="e">
        <f>(DA26/#REF!)*100</f>
        <v>#REF!</v>
      </c>
      <c r="DD26" s="139">
        <f t="shared" si="3"/>
        <v>96837</v>
      </c>
      <c r="DE26" s="141">
        <f t="shared" si="3"/>
        <v>0</v>
      </c>
      <c r="DF26" s="141" t="e">
        <f t="shared" si="3"/>
        <v>#VALUE!</v>
      </c>
      <c r="DG26" s="151" t="e">
        <f t="shared" si="3"/>
        <v>#VALUE!</v>
      </c>
      <c r="DH26" s="139">
        <f t="shared" si="3"/>
        <v>96837</v>
      </c>
      <c r="DI26" s="140">
        <f t="shared" si="3"/>
        <v>0</v>
      </c>
      <c r="DJ26" s="140" t="e">
        <f t="shared" si="3"/>
        <v>#VALUE!</v>
      </c>
      <c r="DK26" s="140" t="e">
        <f t="shared" si="3"/>
        <v>#VALUE!</v>
      </c>
      <c r="DL26" s="139">
        <f t="shared" si="3"/>
        <v>0</v>
      </c>
      <c r="DM26" s="140">
        <f t="shared" si="3"/>
        <v>0</v>
      </c>
      <c r="DN26" s="140" t="e">
        <f t="shared" si="3"/>
        <v>#VALUE!</v>
      </c>
      <c r="DO26" s="152" t="e">
        <f t="shared" si="3"/>
        <v>#VALUE!</v>
      </c>
      <c r="DP26" s="139">
        <f>ROUND((DD26/CZ26),0)</f>
        <v>4323</v>
      </c>
      <c r="DQ26" s="153" t="e">
        <f>ROUND((DE26/DA26),0)</f>
        <v>#DIV/0!</v>
      </c>
      <c r="DR26" s="154">
        <f t="shared" si="32"/>
        <v>22.4</v>
      </c>
      <c r="DS26" s="84">
        <f t="shared" si="4"/>
        <v>100</v>
      </c>
      <c r="DT26" s="79" t="e">
        <f t="shared" si="5"/>
        <v>#VALUE!</v>
      </c>
      <c r="DU26" s="84" t="e">
        <f t="shared" si="6"/>
        <v>#VALUE!</v>
      </c>
      <c r="DV26" s="79">
        <f t="shared" si="7"/>
        <v>96837</v>
      </c>
      <c r="DW26" s="85">
        <f t="shared" si="8"/>
        <v>100</v>
      </c>
      <c r="DX26" s="86" t="e">
        <f t="shared" si="9"/>
        <v>#VALUE!</v>
      </c>
      <c r="DY26" s="84" t="e">
        <f t="shared" si="10"/>
        <v>#VALUE!</v>
      </c>
      <c r="DZ26" s="79">
        <f t="shared" si="11"/>
        <v>96837</v>
      </c>
      <c r="EA26" s="85">
        <f t="shared" si="12"/>
        <v>100</v>
      </c>
      <c r="EB26" s="86" t="e">
        <f t="shared" si="13"/>
        <v>#VALUE!</v>
      </c>
      <c r="EC26" s="84" t="e">
        <f t="shared" si="14"/>
        <v>#VALUE!</v>
      </c>
      <c r="ED26" s="79">
        <f t="shared" si="15"/>
        <v>0</v>
      </c>
      <c r="EE26" s="87">
        <v>0</v>
      </c>
      <c r="EF26" s="86" t="e">
        <f t="shared" si="16"/>
        <v>#VALUE!</v>
      </c>
      <c r="EG26" s="87" t="e">
        <f t="shared" si="17"/>
        <v>#VALUE!</v>
      </c>
      <c r="EH26" s="155" t="e">
        <f t="shared" si="33"/>
        <v>#DIV/0!</v>
      </c>
      <c r="EI26" s="156" t="e">
        <f t="shared" si="34"/>
        <v>#DIV/0!</v>
      </c>
    </row>
    <row r="27" spans="1:139" s="124" customFormat="1" ht="15.75" customHeight="1" x14ac:dyDescent="0.3">
      <c r="A27" s="1070"/>
      <c r="B27" s="90"/>
      <c r="C27" s="91" t="s">
        <v>45</v>
      </c>
      <c r="D27" s="92">
        <v>12.2</v>
      </c>
      <c r="E27" s="93"/>
      <c r="F27" s="93">
        <v>0.56507642427049554</v>
      </c>
      <c r="G27" s="93"/>
      <c r="H27" s="163" t="s">
        <v>44</v>
      </c>
      <c r="I27" s="159" t="s">
        <v>44</v>
      </c>
      <c r="J27" s="96">
        <v>48615</v>
      </c>
      <c r="K27" s="97"/>
      <c r="L27" s="98" t="s">
        <v>44</v>
      </c>
      <c r="M27" s="99" t="s">
        <v>44</v>
      </c>
      <c r="N27" s="100">
        <v>48615</v>
      </c>
      <c r="O27" s="101"/>
      <c r="P27" s="163" t="s">
        <v>44</v>
      </c>
      <c r="Q27" s="159" t="s">
        <v>44</v>
      </c>
      <c r="R27" s="100">
        <v>0</v>
      </c>
      <c r="S27" s="97"/>
      <c r="T27" s="163" t="s">
        <v>44</v>
      </c>
      <c r="U27" s="159" t="s">
        <v>44</v>
      </c>
      <c r="V27" s="102">
        <v>3985</v>
      </c>
      <c r="W27" s="102"/>
      <c r="X27" s="92">
        <v>10.199999999999999</v>
      </c>
      <c r="Y27" s="93"/>
      <c r="Z27" s="93">
        <v>0.46703296703296704</v>
      </c>
      <c r="AA27" s="93"/>
      <c r="AB27" s="163" t="s">
        <v>44</v>
      </c>
      <c r="AC27" s="159" t="s">
        <v>44</v>
      </c>
      <c r="AD27" s="96">
        <v>48222</v>
      </c>
      <c r="AE27" s="97"/>
      <c r="AF27" s="98" t="s">
        <v>44</v>
      </c>
      <c r="AG27" s="99" t="s">
        <v>44</v>
      </c>
      <c r="AH27" s="100">
        <v>48222</v>
      </c>
      <c r="AI27" s="101"/>
      <c r="AJ27" s="163" t="s">
        <v>44</v>
      </c>
      <c r="AK27" s="159" t="s">
        <v>44</v>
      </c>
      <c r="AL27" s="100">
        <v>0</v>
      </c>
      <c r="AM27" s="97"/>
      <c r="AN27" s="163" t="s">
        <v>44</v>
      </c>
      <c r="AO27" s="159" t="s">
        <v>44</v>
      </c>
      <c r="AP27" s="102">
        <v>4728</v>
      </c>
      <c r="AQ27" s="102"/>
      <c r="AR27" s="92">
        <v>3.8</v>
      </c>
      <c r="AS27" s="93"/>
      <c r="AT27" s="822">
        <f>AR27/2208</f>
        <v>1.7210144927536232E-3</v>
      </c>
      <c r="AU27" s="93"/>
      <c r="AV27" s="163" t="s">
        <v>44</v>
      </c>
      <c r="AW27" s="159" t="s">
        <v>44</v>
      </c>
      <c r="AX27" s="96">
        <f t="shared" si="24"/>
        <v>44721.600000000006</v>
      </c>
      <c r="AY27" s="97"/>
      <c r="AZ27" s="98" t="s">
        <v>44</v>
      </c>
      <c r="BA27" s="99" t="s">
        <v>44</v>
      </c>
      <c r="BB27" s="100">
        <f>40656*1.1</f>
        <v>44721.600000000006</v>
      </c>
      <c r="BC27" s="101"/>
      <c r="BD27" s="163" t="s">
        <v>44</v>
      </c>
      <c r="BE27" s="159" t="s">
        <v>44</v>
      </c>
      <c r="BF27" s="100">
        <v>0</v>
      </c>
      <c r="BG27" s="97"/>
      <c r="BH27" s="163" t="s">
        <v>44</v>
      </c>
      <c r="BI27" s="159" t="s">
        <v>44</v>
      </c>
      <c r="BJ27" s="102">
        <f t="shared" si="25"/>
        <v>11768.84210526316</v>
      </c>
      <c r="BK27" s="102"/>
      <c r="BL27" s="92">
        <v>12.2</v>
      </c>
      <c r="BM27" s="93"/>
      <c r="BN27" s="822">
        <f>BL27/2209</f>
        <v>5.5228610230873693E-3</v>
      </c>
      <c r="BO27" s="93"/>
      <c r="BP27" s="163" t="s">
        <v>44</v>
      </c>
      <c r="BQ27" s="159" t="s">
        <v>44</v>
      </c>
      <c r="BR27" s="96">
        <f t="shared" si="27"/>
        <v>45392.600000000006</v>
      </c>
      <c r="BS27" s="97"/>
      <c r="BT27" s="98" t="s">
        <v>44</v>
      </c>
      <c r="BU27" s="99" t="s">
        <v>44</v>
      </c>
      <c r="BV27" s="100">
        <f>41266*1.1</f>
        <v>45392.600000000006</v>
      </c>
      <c r="BW27" s="101"/>
      <c r="BX27" s="163" t="s">
        <v>44</v>
      </c>
      <c r="BY27" s="159" t="s">
        <v>44</v>
      </c>
      <c r="BZ27" s="100">
        <v>0</v>
      </c>
      <c r="CA27" s="97"/>
      <c r="CB27" s="163" t="s">
        <v>44</v>
      </c>
      <c r="CC27" s="159" t="s">
        <v>44</v>
      </c>
      <c r="CD27" s="102">
        <f t="shared" si="42"/>
        <v>3720.7049180327876</v>
      </c>
      <c r="CE27" s="102"/>
      <c r="CF27" s="103">
        <f t="shared" si="18"/>
        <v>38.4</v>
      </c>
      <c r="CG27" s="102"/>
      <c r="CH27" s="822">
        <f t="shared" si="39"/>
        <v>4.3835616438356161E-3</v>
      </c>
      <c r="CI27" s="127"/>
      <c r="CJ27" s="98" t="s">
        <v>44</v>
      </c>
      <c r="CK27" s="99" t="s">
        <v>44</v>
      </c>
      <c r="CL27" s="100">
        <f t="shared" si="19"/>
        <v>186951.2</v>
      </c>
      <c r="CM27" s="107"/>
      <c r="CN27" s="108" t="s">
        <v>44</v>
      </c>
      <c r="CO27" s="99" t="s">
        <v>44</v>
      </c>
      <c r="CP27" s="100">
        <f t="shared" si="20"/>
        <v>186951.2</v>
      </c>
      <c r="CQ27" s="97"/>
      <c r="CR27" s="98" t="s">
        <v>44</v>
      </c>
      <c r="CS27" s="99" t="s">
        <v>44</v>
      </c>
      <c r="CT27" s="100">
        <f t="shared" si="21"/>
        <v>0</v>
      </c>
      <c r="CU27" s="97"/>
      <c r="CV27" s="98" t="s">
        <v>44</v>
      </c>
      <c r="CW27" s="99" t="s">
        <v>44</v>
      </c>
      <c r="CX27" s="100">
        <f t="shared" si="22"/>
        <v>4868.5208333333339</v>
      </c>
      <c r="CY27" s="129"/>
      <c r="CZ27" s="110">
        <f t="shared" si="2"/>
        <v>22.4</v>
      </c>
      <c r="DA27" s="111">
        <f t="shared" si="2"/>
        <v>0</v>
      </c>
      <c r="DB27" s="112">
        <f>(CZ27/4343)*100</f>
        <v>0.51577250748330639</v>
      </c>
      <c r="DC27" s="113">
        <f>(DA27/4343)*100</f>
        <v>0</v>
      </c>
      <c r="DD27" s="100">
        <f t="shared" si="3"/>
        <v>96837</v>
      </c>
      <c r="DE27" s="102">
        <f t="shared" si="3"/>
        <v>0</v>
      </c>
      <c r="DF27" s="102" t="e">
        <f t="shared" si="3"/>
        <v>#VALUE!</v>
      </c>
      <c r="DG27" s="114" t="e">
        <f t="shared" si="3"/>
        <v>#VALUE!</v>
      </c>
      <c r="DH27" s="100">
        <f t="shared" si="3"/>
        <v>96837</v>
      </c>
      <c r="DI27" s="97">
        <f t="shared" si="3"/>
        <v>0</v>
      </c>
      <c r="DJ27" s="97" t="e">
        <f t="shared" si="3"/>
        <v>#VALUE!</v>
      </c>
      <c r="DK27" s="97" t="e">
        <f t="shared" si="3"/>
        <v>#VALUE!</v>
      </c>
      <c r="DL27" s="100">
        <f t="shared" si="3"/>
        <v>0</v>
      </c>
      <c r="DM27" s="97">
        <f t="shared" si="3"/>
        <v>0</v>
      </c>
      <c r="DN27" s="97" t="e">
        <f t="shared" si="3"/>
        <v>#VALUE!</v>
      </c>
      <c r="DO27" s="115" t="e">
        <f t="shared" si="3"/>
        <v>#VALUE!</v>
      </c>
      <c r="DP27" s="100">
        <f>ROUND((DD27/CZ27),0)</f>
        <v>4323</v>
      </c>
      <c r="DQ27" s="116" t="e">
        <f t="shared" si="36"/>
        <v>#DIV/0!</v>
      </c>
      <c r="DR27" s="117">
        <f t="shared" si="32"/>
        <v>22.4</v>
      </c>
      <c r="DS27" s="118">
        <f t="shared" si="4"/>
        <v>100</v>
      </c>
      <c r="DT27" s="104" t="e">
        <f t="shared" si="5"/>
        <v>#VALUE!</v>
      </c>
      <c r="DU27" s="118" t="e">
        <f t="shared" si="6"/>
        <v>#VALUE!</v>
      </c>
      <c r="DV27" s="104">
        <f t="shared" si="7"/>
        <v>96837</v>
      </c>
      <c r="DW27" s="119">
        <f t="shared" si="8"/>
        <v>100</v>
      </c>
      <c r="DX27" s="120" t="e">
        <f t="shared" si="9"/>
        <v>#VALUE!</v>
      </c>
      <c r="DY27" s="118" t="e">
        <f t="shared" si="10"/>
        <v>#VALUE!</v>
      </c>
      <c r="DZ27" s="104">
        <f t="shared" si="11"/>
        <v>96837</v>
      </c>
      <c r="EA27" s="119">
        <f t="shared" si="12"/>
        <v>100</v>
      </c>
      <c r="EB27" s="120" t="e">
        <f t="shared" si="13"/>
        <v>#VALUE!</v>
      </c>
      <c r="EC27" s="118" t="e">
        <f t="shared" si="14"/>
        <v>#VALUE!</v>
      </c>
      <c r="ED27" s="104">
        <f t="shared" si="15"/>
        <v>0</v>
      </c>
      <c r="EE27" s="121">
        <v>0</v>
      </c>
      <c r="EF27" s="120" t="e">
        <f t="shared" si="16"/>
        <v>#VALUE!</v>
      </c>
      <c r="EG27" s="121" t="e">
        <f t="shared" si="17"/>
        <v>#VALUE!</v>
      </c>
      <c r="EH27" s="122" t="e">
        <f t="shared" si="33"/>
        <v>#DIV/0!</v>
      </c>
      <c r="EI27" s="123" t="e">
        <f t="shared" si="34"/>
        <v>#DIV/0!</v>
      </c>
    </row>
    <row r="28" spans="1:139" s="157" customFormat="1" ht="15.75" customHeight="1" x14ac:dyDescent="0.3">
      <c r="A28" s="1070"/>
      <c r="B28" s="164" t="s">
        <v>53</v>
      </c>
      <c r="C28" s="165"/>
      <c r="D28" s="132">
        <v>66.100000000000009</v>
      </c>
      <c r="E28" s="133"/>
      <c r="F28" s="133">
        <v>0.6077099173477738</v>
      </c>
      <c r="G28" s="133"/>
      <c r="H28" s="134" t="s">
        <v>44</v>
      </c>
      <c r="I28" s="135" t="s">
        <v>44</v>
      </c>
      <c r="J28" s="136">
        <v>22521</v>
      </c>
      <c r="K28" s="86"/>
      <c r="L28" s="137" t="s">
        <v>44</v>
      </c>
      <c r="M28" s="138" t="s">
        <v>44</v>
      </c>
      <c r="N28" s="139">
        <v>22521</v>
      </c>
      <c r="O28" s="140"/>
      <c r="P28" s="134" t="s">
        <v>44</v>
      </c>
      <c r="Q28" s="135" t="s">
        <v>44</v>
      </c>
      <c r="R28" s="139">
        <v>0</v>
      </c>
      <c r="S28" s="140"/>
      <c r="T28" s="134" t="s">
        <v>44</v>
      </c>
      <c r="U28" s="135" t="s">
        <v>44</v>
      </c>
      <c r="V28" s="141">
        <v>341</v>
      </c>
      <c r="W28" s="141"/>
      <c r="X28" s="132">
        <v>64.8</v>
      </c>
      <c r="Y28" s="133"/>
      <c r="Z28" s="133">
        <v>0.59033060335796061</v>
      </c>
      <c r="AA28" s="133"/>
      <c r="AB28" s="134" t="s">
        <v>44</v>
      </c>
      <c r="AC28" s="135" t="s">
        <v>44</v>
      </c>
      <c r="AD28" s="136">
        <v>22506</v>
      </c>
      <c r="AE28" s="86"/>
      <c r="AF28" s="137" t="s">
        <v>44</v>
      </c>
      <c r="AG28" s="138" t="s">
        <v>44</v>
      </c>
      <c r="AH28" s="139">
        <v>22506</v>
      </c>
      <c r="AI28" s="140"/>
      <c r="AJ28" s="134" t="s">
        <v>44</v>
      </c>
      <c r="AK28" s="135" t="s">
        <v>44</v>
      </c>
      <c r="AL28" s="139">
        <v>0</v>
      </c>
      <c r="AM28" s="140"/>
      <c r="AN28" s="134" t="s">
        <v>44</v>
      </c>
      <c r="AO28" s="135" t="s">
        <v>44</v>
      </c>
      <c r="AP28" s="141">
        <v>347</v>
      </c>
      <c r="AQ28" s="141"/>
      <c r="AR28" s="132">
        <f>SUM(AR29:AR32)</f>
        <v>60.8</v>
      </c>
      <c r="AS28" s="133"/>
      <c r="AT28" s="823">
        <f>AR28/11040</f>
        <v>5.5072463768115936E-3</v>
      </c>
      <c r="AU28" s="133"/>
      <c r="AV28" s="134" t="s">
        <v>44</v>
      </c>
      <c r="AW28" s="135" t="s">
        <v>44</v>
      </c>
      <c r="AX28" s="136">
        <f t="shared" si="24"/>
        <v>22978.75</v>
      </c>
      <c r="AY28" s="86"/>
      <c r="AZ28" s="137" t="s">
        <v>44</v>
      </c>
      <c r="BA28" s="138" t="s">
        <v>44</v>
      </c>
      <c r="BB28" s="139">
        <f>SUM(BB29:BB32)</f>
        <v>22978.75</v>
      </c>
      <c r="BC28" s="140"/>
      <c r="BD28" s="134" t="s">
        <v>44</v>
      </c>
      <c r="BE28" s="135" t="s">
        <v>44</v>
      </c>
      <c r="BF28" s="139">
        <v>0</v>
      </c>
      <c r="BG28" s="140"/>
      <c r="BH28" s="134" t="s">
        <v>44</v>
      </c>
      <c r="BI28" s="135" t="s">
        <v>44</v>
      </c>
      <c r="BJ28" s="141">
        <f t="shared" si="25"/>
        <v>377.93996710526318</v>
      </c>
      <c r="BK28" s="141"/>
      <c r="BL28" s="132">
        <f>SUM(BL29:BL32)</f>
        <v>61.2</v>
      </c>
      <c r="BM28" s="133"/>
      <c r="BN28" s="823">
        <f>BL28/11156.9</f>
        <v>5.4853946884887385E-3</v>
      </c>
      <c r="BO28" s="133"/>
      <c r="BP28" s="134" t="s">
        <v>44</v>
      </c>
      <c r="BQ28" s="135" t="s">
        <v>44</v>
      </c>
      <c r="BR28" s="136">
        <f t="shared" si="27"/>
        <v>23381.25</v>
      </c>
      <c r="BS28" s="86"/>
      <c r="BT28" s="137" t="s">
        <v>44</v>
      </c>
      <c r="BU28" s="138" t="s">
        <v>44</v>
      </c>
      <c r="BV28" s="139">
        <f>SUM(BV29:BV32)</f>
        <v>23381.25</v>
      </c>
      <c r="BW28" s="140"/>
      <c r="BX28" s="134" t="s">
        <v>44</v>
      </c>
      <c r="BY28" s="135" t="s">
        <v>44</v>
      </c>
      <c r="BZ28" s="139">
        <v>0</v>
      </c>
      <c r="CA28" s="140"/>
      <c r="CB28" s="134" t="s">
        <v>44</v>
      </c>
      <c r="CC28" s="135" t="s">
        <v>44</v>
      </c>
      <c r="CD28" s="141">
        <f t="shared" si="42"/>
        <v>382.04656862745094</v>
      </c>
      <c r="CE28" s="141"/>
      <c r="CF28" s="142">
        <f t="shared" si="18"/>
        <v>252.90000000000003</v>
      </c>
      <c r="CG28" s="141"/>
      <c r="CH28" s="823">
        <f>CF28/44102.6</f>
        <v>5.7343557976173749E-3</v>
      </c>
      <c r="CI28" s="143"/>
      <c r="CJ28" s="137" t="s">
        <v>44</v>
      </c>
      <c r="CK28" s="138" t="s">
        <v>44</v>
      </c>
      <c r="CL28" s="139">
        <f t="shared" si="19"/>
        <v>91387</v>
      </c>
      <c r="CM28" s="144"/>
      <c r="CN28" s="145" t="s">
        <v>44</v>
      </c>
      <c r="CO28" s="138" t="s">
        <v>44</v>
      </c>
      <c r="CP28" s="139">
        <f t="shared" si="20"/>
        <v>91387</v>
      </c>
      <c r="CQ28" s="140"/>
      <c r="CR28" s="137" t="s">
        <v>44</v>
      </c>
      <c r="CS28" s="138" t="s">
        <v>44</v>
      </c>
      <c r="CT28" s="139">
        <f t="shared" si="21"/>
        <v>0</v>
      </c>
      <c r="CU28" s="140"/>
      <c r="CV28" s="137" t="s">
        <v>44</v>
      </c>
      <c r="CW28" s="138" t="s">
        <v>44</v>
      </c>
      <c r="CX28" s="139">
        <f t="shared" si="22"/>
        <v>361.35626729932773</v>
      </c>
      <c r="CY28" s="146"/>
      <c r="CZ28" s="147">
        <f t="shared" si="2"/>
        <v>130.9</v>
      </c>
      <c r="DA28" s="148">
        <f t="shared" si="2"/>
        <v>0</v>
      </c>
      <c r="DB28" s="149" t="e">
        <f>(CZ28/#REF!)*100</f>
        <v>#REF!</v>
      </c>
      <c r="DC28" s="150" t="e">
        <f>(DA28/#REF!)*100</f>
        <v>#REF!</v>
      </c>
      <c r="DD28" s="139">
        <f t="shared" si="3"/>
        <v>45027</v>
      </c>
      <c r="DE28" s="141">
        <f t="shared" si="3"/>
        <v>0</v>
      </c>
      <c r="DF28" s="141" t="e">
        <f t="shared" si="3"/>
        <v>#VALUE!</v>
      </c>
      <c r="DG28" s="151" t="e">
        <f t="shared" si="3"/>
        <v>#VALUE!</v>
      </c>
      <c r="DH28" s="139">
        <f t="shared" si="3"/>
        <v>45027</v>
      </c>
      <c r="DI28" s="140">
        <f t="shared" si="3"/>
        <v>0</v>
      </c>
      <c r="DJ28" s="140" t="e">
        <f t="shared" si="3"/>
        <v>#VALUE!</v>
      </c>
      <c r="DK28" s="140" t="e">
        <f t="shared" si="3"/>
        <v>#VALUE!</v>
      </c>
      <c r="DL28" s="139">
        <f t="shared" si="3"/>
        <v>0</v>
      </c>
      <c r="DM28" s="140">
        <f t="shared" si="3"/>
        <v>0</v>
      </c>
      <c r="DN28" s="140" t="e">
        <f t="shared" si="3"/>
        <v>#VALUE!</v>
      </c>
      <c r="DO28" s="152" t="e">
        <f t="shared" si="3"/>
        <v>#VALUE!</v>
      </c>
      <c r="DP28" s="139">
        <f>ROUND((DD28/CZ28),0)</f>
        <v>344</v>
      </c>
      <c r="DQ28" s="153" t="e">
        <f>ROUND((DE28/DA28),0)</f>
        <v>#DIV/0!</v>
      </c>
      <c r="DR28" s="154">
        <f t="shared" si="32"/>
        <v>130.9</v>
      </c>
      <c r="DS28" s="84">
        <f t="shared" si="4"/>
        <v>100</v>
      </c>
      <c r="DT28" s="79" t="e">
        <f t="shared" si="5"/>
        <v>#VALUE!</v>
      </c>
      <c r="DU28" s="84" t="e">
        <f t="shared" si="6"/>
        <v>#VALUE!</v>
      </c>
      <c r="DV28" s="79">
        <f t="shared" si="7"/>
        <v>45027</v>
      </c>
      <c r="DW28" s="85">
        <f t="shared" si="8"/>
        <v>100</v>
      </c>
      <c r="DX28" s="86" t="e">
        <f t="shared" si="9"/>
        <v>#VALUE!</v>
      </c>
      <c r="DY28" s="84" t="e">
        <f t="shared" si="10"/>
        <v>#VALUE!</v>
      </c>
      <c r="DZ28" s="79">
        <f t="shared" si="11"/>
        <v>45027</v>
      </c>
      <c r="EA28" s="85">
        <f t="shared" si="12"/>
        <v>100</v>
      </c>
      <c r="EB28" s="86" t="e">
        <f t="shared" si="13"/>
        <v>#VALUE!</v>
      </c>
      <c r="EC28" s="84" t="e">
        <f t="shared" si="14"/>
        <v>#VALUE!</v>
      </c>
      <c r="ED28" s="79">
        <f t="shared" si="15"/>
        <v>0</v>
      </c>
      <c r="EE28" s="87">
        <v>0</v>
      </c>
      <c r="EF28" s="86" t="e">
        <f t="shared" si="16"/>
        <v>#VALUE!</v>
      </c>
      <c r="EG28" s="87" t="e">
        <f t="shared" si="17"/>
        <v>#VALUE!</v>
      </c>
      <c r="EH28" s="155" t="e">
        <f t="shared" si="33"/>
        <v>#DIV/0!</v>
      </c>
      <c r="EI28" s="156" t="e">
        <f t="shared" si="34"/>
        <v>#DIV/0!</v>
      </c>
    </row>
    <row r="29" spans="1:139" s="124" customFormat="1" ht="15.75" customHeight="1" x14ac:dyDescent="0.3">
      <c r="A29" s="1070"/>
      <c r="B29" s="90"/>
      <c r="C29" s="91" t="s">
        <v>45</v>
      </c>
      <c r="D29" s="92">
        <v>37.6</v>
      </c>
      <c r="E29" s="93"/>
      <c r="F29" s="93">
        <v>1.7415470125057897</v>
      </c>
      <c r="G29" s="93"/>
      <c r="H29" s="158" t="s">
        <v>44</v>
      </c>
      <c r="I29" s="159" t="s">
        <v>44</v>
      </c>
      <c r="J29" s="96">
        <v>19227</v>
      </c>
      <c r="K29" s="97"/>
      <c r="L29" s="166" t="s">
        <v>44</v>
      </c>
      <c r="M29" s="167" t="s">
        <v>44</v>
      </c>
      <c r="N29" s="100">
        <v>19227</v>
      </c>
      <c r="O29" s="101"/>
      <c r="P29" s="158" t="s">
        <v>44</v>
      </c>
      <c r="Q29" s="159" t="s">
        <v>44</v>
      </c>
      <c r="R29" s="100">
        <v>0</v>
      </c>
      <c r="S29" s="97"/>
      <c r="T29" s="158" t="s">
        <v>44</v>
      </c>
      <c r="U29" s="159" t="s">
        <v>44</v>
      </c>
      <c r="V29" s="102">
        <v>511</v>
      </c>
      <c r="W29" s="102"/>
      <c r="X29" s="92">
        <v>37.4</v>
      </c>
      <c r="Y29" s="93"/>
      <c r="Z29" s="93">
        <v>1.7124542124542124</v>
      </c>
      <c r="AA29" s="93"/>
      <c r="AB29" s="158" t="s">
        <v>44</v>
      </c>
      <c r="AC29" s="159" t="s">
        <v>44</v>
      </c>
      <c r="AD29" s="96">
        <v>19531</v>
      </c>
      <c r="AE29" s="97"/>
      <c r="AF29" s="166" t="s">
        <v>44</v>
      </c>
      <c r="AG29" s="167" t="s">
        <v>44</v>
      </c>
      <c r="AH29" s="100">
        <v>19531</v>
      </c>
      <c r="AI29" s="101"/>
      <c r="AJ29" s="158" t="s">
        <v>44</v>
      </c>
      <c r="AK29" s="159" t="s">
        <v>44</v>
      </c>
      <c r="AL29" s="100">
        <v>0</v>
      </c>
      <c r="AM29" s="97"/>
      <c r="AN29" s="158" t="s">
        <v>44</v>
      </c>
      <c r="AO29" s="159" t="s">
        <v>44</v>
      </c>
      <c r="AP29" s="102">
        <v>522</v>
      </c>
      <c r="AQ29" s="102"/>
      <c r="AR29" s="92">
        <v>37.9</v>
      </c>
      <c r="AS29" s="93"/>
      <c r="AT29" s="822">
        <f t="shared" ref="AT29:AT32" si="43">AR29/2208</f>
        <v>1.7164855072463767E-2</v>
      </c>
      <c r="AU29" s="93"/>
      <c r="AV29" s="158" t="s">
        <v>44</v>
      </c>
      <c r="AW29" s="159" t="s">
        <v>44</v>
      </c>
      <c r="AX29" s="96">
        <f t="shared" si="24"/>
        <v>20217.75</v>
      </c>
      <c r="AY29" s="97"/>
      <c r="AZ29" s="166" t="s">
        <v>44</v>
      </c>
      <c r="BA29" s="167" t="s">
        <v>44</v>
      </c>
      <c r="BB29" s="100">
        <f>19255*1.05</f>
        <v>20217.75</v>
      </c>
      <c r="BC29" s="101"/>
      <c r="BD29" s="158" t="s">
        <v>44</v>
      </c>
      <c r="BE29" s="159" t="s">
        <v>44</v>
      </c>
      <c r="BF29" s="100">
        <v>0</v>
      </c>
      <c r="BG29" s="97"/>
      <c r="BH29" s="158" t="s">
        <v>44</v>
      </c>
      <c r="BI29" s="159" t="s">
        <v>44</v>
      </c>
      <c r="BJ29" s="102">
        <f t="shared" si="25"/>
        <v>533.44986807387863</v>
      </c>
      <c r="BK29" s="102"/>
      <c r="BL29" s="92">
        <v>38.5</v>
      </c>
      <c r="BM29" s="93"/>
      <c r="BN29" s="822">
        <f t="shared" ref="BN29:BN32" si="44">BL29/2209</f>
        <v>1.7428700769578996E-2</v>
      </c>
      <c r="BO29" s="93"/>
      <c r="BP29" s="158" t="s">
        <v>44</v>
      </c>
      <c r="BQ29" s="159" t="s">
        <v>44</v>
      </c>
      <c r="BR29" s="96">
        <f t="shared" si="27"/>
        <v>20635.650000000001</v>
      </c>
      <c r="BS29" s="97"/>
      <c r="BT29" s="166" t="s">
        <v>44</v>
      </c>
      <c r="BU29" s="167" t="s">
        <v>44</v>
      </c>
      <c r="BV29" s="100">
        <f>19653*1.05</f>
        <v>20635.650000000001</v>
      </c>
      <c r="BW29" s="101"/>
      <c r="BX29" s="158" t="s">
        <v>44</v>
      </c>
      <c r="BY29" s="159" t="s">
        <v>44</v>
      </c>
      <c r="BZ29" s="100">
        <v>0</v>
      </c>
      <c r="CA29" s="97"/>
      <c r="CB29" s="158" t="s">
        <v>44</v>
      </c>
      <c r="CC29" s="159" t="s">
        <v>44</v>
      </c>
      <c r="CD29" s="102">
        <f t="shared" si="42"/>
        <v>535.9909090909091</v>
      </c>
      <c r="CE29" s="102"/>
      <c r="CF29" s="103">
        <f t="shared" si="18"/>
        <v>151.4</v>
      </c>
      <c r="CG29" s="102"/>
      <c r="CH29" s="822">
        <f t="shared" si="39"/>
        <v>1.728310502283105E-2</v>
      </c>
      <c r="CI29" s="127"/>
      <c r="CJ29" s="166" t="s">
        <v>44</v>
      </c>
      <c r="CK29" s="167" t="s">
        <v>44</v>
      </c>
      <c r="CL29" s="100">
        <f t="shared" si="19"/>
        <v>79611.399999999994</v>
      </c>
      <c r="CM29" s="107"/>
      <c r="CN29" s="168" t="s">
        <v>44</v>
      </c>
      <c r="CO29" s="167" t="s">
        <v>44</v>
      </c>
      <c r="CP29" s="100">
        <f t="shared" si="20"/>
        <v>79611.399999999994</v>
      </c>
      <c r="CQ29" s="97"/>
      <c r="CR29" s="166" t="s">
        <v>44</v>
      </c>
      <c r="CS29" s="167" t="s">
        <v>44</v>
      </c>
      <c r="CT29" s="100">
        <f t="shared" si="21"/>
        <v>0</v>
      </c>
      <c r="CU29" s="97"/>
      <c r="CV29" s="166" t="s">
        <v>44</v>
      </c>
      <c r="CW29" s="167" t="s">
        <v>44</v>
      </c>
      <c r="CX29" s="100">
        <f t="shared" si="22"/>
        <v>525.83487450462349</v>
      </c>
      <c r="CY29" s="129"/>
      <c r="CZ29" s="110">
        <f t="shared" si="2"/>
        <v>75</v>
      </c>
      <c r="DA29" s="111">
        <f t="shared" si="2"/>
        <v>0</v>
      </c>
      <c r="DB29" s="112">
        <f>(CZ29/4343)*100</f>
        <v>1.7269168777342851</v>
      </c>
      <c r="DC29" s="113">
        <f>(DA29/4343)*100</f>
        <v>0</v>
      </c>
      <c r="DD29" s="100">
        <f t="shared" si="3"/>
        <v>38758</v>
      </c>
      <c r="DE29" s="102">
        <f t="shared" si="3"/>
        <v>0</v>
      </c>
      <c r="DF29" s="102" t="e">
        <f t="shared" si="3"/>
        <v>#VALUE!</v>
      </c>
      <c r="DG29" s="114" t="e">
        <f t="shared" si="3"/>
        <v>#VALUE!</v>
      </c>
      <c r="DH29" s="100">
        <f t="shared" si="3"/>
        <v>38758</v>
      </c>
      <c r="DI29" s="97">
        <f t="shared" si="3"/>
        <v>0</v>
      </c>
      <c r="DJ29" s="97" t="e">
        <f t="shared" si="3"/>
        <v>#VALUE!</v>
      </c>
      <c r="DK29" s="97" t="e">
        <f t="shared" si="3"/>
        <v>#VALUE!</v>
      </c>
      <c r="DL29" s="100">
        <f t="shared" si="3"/>
        <v>0</v>
      </c>
      <c r="DM29" s="97">
        <f t="shared" si="3"/>
        <v>0</v>
      </c>
      <c r="DN29" s="97" t="e">
        <f t="shared" si="3"/>
        <v>#VALUE!</v>
      </c>
      <c r="DO29" s="115" t="e">
        <f t="shared" si="3"/>
        <v>#VALUE!</v>
      </c>
      <c r="DP29" s="100">
        <f>ROUND((DD29/CZ29),0)</f>
        <v>517</v>
      </c>
      <c r="DQ29" s="116" t="e">
        <f>ROUND((DE29/DA29),0)</f>
        <v>#DIV/0!</v>
      </c>
      <c r="DR29" s="117">
        <f t="shared" si="32"/>
        <v>75</v>
      </c>
      <c r="DS29" s="118">
        <f t="shared" si="4"/>
        <v>100</v>
      </c>
      <c r="DT29" s="104" t="e">
        <f t="shared" si="5"/>
        <v>#VALUE!</v>
      </c>
      <c r="DU29" s="118" t="e">
        <f t="shared" si="6"/>
        <v>#VALUE!</v>
      </c>
      <c r="DV29" s="104">
        <f t="shared" si="7"/>
        <v>38758</v>
      </c>
      <c r="DW29" s="119">
        <f t="shared" si="8"/>
        <v>100</v>
      </c>
      <c r="DX29" s="120" t="e">
        <f t="shared" si="9"/>
        <v>#VALUE!</v>
      </c>
      <c r="DY29" s="118" t="e">
        <f t="shared" si="10"/>
        <v>#VALUE!</v>
      </c>
      <c r="DZ29" s="104">
        <f t="shared" si="11"/>
        <v>38758</v>
      </c>
      <c r="EA29" s="119">
        <f t="shared" si="12"/>
        <v>100</v>
      </c>
      <c r="EB29" s="120" t="e">
        <f t="shared" si="13"/>
        <v>#VALUE!</v>
      </c>
      <c r="EC29" s="118" t="e">
        <f t="shared" si="14"/>
        <v>#VALUE!</v>
      </c>
      <c r="ED29" s="104">
        <f t="shared" si="15"/>
        <v>0</v>
      </c>
      <c r="EE29" s="121">
        <v>0</v>
      </c>
      <c r="EF29" s="120" t="e">
        <f t="shared" si="16"/>
        <v>#VALUE!</v>
      </c>
      <c r="EG29" s="121" t="e">
        <f t="shared" si="17"/>
        <v>#VALUE!</v>
      </c>
      <c r="EH29" s="122" t="e">
        <f t="shared" si="33"/>
        <v>#DIV/0!</v>
      </c>
      <c r="EI29" s="123" t="e">
        <f t="shared" si="34"/>
        <v>#DIV/0!</v>
      </c>
    </row>
    <row r="30" spans="1:139" s="124" customFormat="1" ht="15.75" customHeight="1" x14ac:dyDescent="0.3">
      <c r="A30" s="1070"/>
      <c r="B30" s="90"/>
      <c r="C30" s="91" t="s">
        <v>46</v>
      </c>
      <c r="D30" s="92">
        <v>3.2</v>
      </c>
      <c r="E30" s="93"/>
      <c r="F30" s="93">
        <v>0.14821676702176934</v>
      </c>
      <c r="G30" s="93"/>
      <c r="H30" s="158" t="s">
        <v>44</v>
      </c>
      <c r="I30" s="159" t="s">
        <v>44</v>
      </c>
      <c r="J30" s="96">
        <v>858</v>
      </c>
      <c r="K30" s="97"/>
      <c r="L30" s="166" t="s">
        <v>44</v>
      </c>
      <c r="M30" s="167" t="s">
        <v>44</v>
      </c>
      <c r="N30" s="100">
        <v>858</v>
      </c>
      <c r="O30" s="101"/>
      <c r="P30" s="158" t="s">
        <v>44</v>
      </c>
      <c r="Q30" s="159" t="s">
        <v>44</v>
      </c>
      <c r="R30" s="100">
        <v>0</v>
      </c>
      <c r="S30" s="97"/>
      <c r="T30" s="158" t="s">
        <v>44</v>
      </c>
      <c r="U30" s="159" t="s">
        <v>44</v>
      </c>
      <c r="V30" s="102">
        <v>268</v>
      </c>
      <c r="W30" s="102"/>
      <c r="X30" s="92">
        <v>3</v>
      </c>
      <c r="Y30" s="93"/>
      <c r="Z30" s="93">
        <v>0.13736263736263737</v>
      </c>
      <c r="AA30" s="93"/>
      <c r="AB30" s="158" t="s">
        <v>44</v>
      </c>
      <c r="AC30" s="159" t="s">
        <v>44</v>
      </c>
      <c r="AD30" s="96">
        <v>792</v>
      </c>
      <c r="AE30" s="97"/>
      <c r="AF30" s="166" t="s">
        <v>44</v>
      </c>
      <c r="AG30" s="167" t="s">
        <v>44</v>
      </c>
      <c r="AH30" s="100">
        <v>792</v>
      </c>
      <c r="AI30" s="101"/>
      <c r="AJ30" s="158" t="s">
        <v>44</v>
      </c>
      <c r="AK30" s="159" t="s">
        <v>44</v>
      </c>
      <c r="AL30" s="100">
        <v>0</v>
      </c>
      <c r="AM30" s="97"/>
      <c r="AN30" s="158" t="s">
        <v>44</v>
      </c>
      <c r="AO30" s="159" t="s">
        <v>44</v>
      </c>
      <c r="AP30" s="102">
        <v>264</v>
      </c>
      <c r="AQ30" s="102"/>
      <c r="AR30" s="92">
        <v>3.2</v>
      </c>
      <c r="AS30" s="93"/>
      <c r="AT30" s="822">
        <f t="shared" si="43"/>
        <v>1.4492753623188406E-3</v>
      </c>
      <c r="AU30" s="93"/>
      <c r="AV30" s="158" t="s">
        <v>44</v>
      </c>
      <c r="AW30" s="159" t="s">
        <v>44</v>
      </c>
      <c r="AX30" s="96">
        <f t="shared" si="24"/>
        <v>968.00000000000011</v>
      </c>
      <c r="AY30" s="97"/>
      <c r="AZ30" s="166" t="s">
        <v>44</v>
      </c>
      <c r="BA30" s="167" t="s">
        <v>44</v>
      </c>
      <c r="BB30" s="100">
        <f>880*1.1</f>
        <v>968.00000000000011</v>
      </c>
      <c r="BC30" s="101"/>
      <c r="BD30" s="158" t="s">
        <v>44</v>
      </c>
      <c r="BE30" s="159" t="s">
        <v>44</v>
      </c>
      <c r="BF30" s="100">
        <v>0</v>
      </c>
      <c r="BG30" s="97"/>
      <c r="BH30" s="158" t="s">
        <v>44</v>
      </c>
      <c r="BI30" s="159" t="s">
        <v>44</v>
      </c>
      <c r="BJ30" s="102">
        <f t="shared" si="25"/>
        <v>302.5</v>
      </c>
      <c r="BK30" s="102"/>
      <c r="BL30" s="92">
        <v>3.1</v>
      </c>
      <c r="BM30" s="93"/>
      <c r="BN30" s="822">
        <f t="shared" si="44"/>
        <v>1.4033499320959711E-3</v>
      </c>
      <c r="BO30" s="93"/>
      <c r="BP30" s="158" t="s">
        <v>44</v>
      </c>
      <c r="BQ30" s="159" t="s">
        <v>44</v>
      </c>
      <c r="BR30" s="96">
        <f t="shared" si="27"/>
        <v>910.80000000000007</v>
      </c>
      <c r="BS30" s="97"/>
      <c r="BT30" s="166" t="s">
        <v>44</v>
      </c>
      <c r="BU30" s="167" t="s">
        <v>44</v>
      </c>
      <c r="BV30" s="100">
        <f>828*1.1</f>
        <v>910.80000000000007</v>
      </c>
      <c r="BW30" s="101"/>
      <c r="BX30" s="158" t="s">
        <v>44</v>
      </c>
      <c r="BY30" s="159" t="s">
        <v>44</v>
      </c>
      <c r="BZ30" s="100">
        <v>0</v>
      </c>
      <c r="CA30" s="97"/>
      <c r="CB30" s="158" t="s">
        <v>44</v>
      </c>
      <c r="CC30" s="159" t="s">
        <v>44</v>
      </c>
      <c r="CD30" s="102">
        <f t="shared" si="42"/>
        <v>293.80645161290323</v>
      </c>
      <c r="CE30" s="102"/>
      <c r="CF30" s="103">
        <f t="shared" si="18"/>
        <v>12.5</v>
      </c>
      <c r="CG30" s="102"/>
      <c r="CH30" s="822">
        <f t="shared" si="39"/>
        <v>1.4269406392694063E-3</v>
      </c>
      <c r="CI30" s="127"/>
      <c r="CJ30" s="166" t="s">
        <v>44</v>
      </c>
      <c r="CK30" s="167" t="s">
        <v>44</v>
      </c>
      <c r="CL30" s="100">
        <f t="shared" si="19"/>
        <v>3528.8</v>
      </c>
      <c r="CM30" s="107"/>
      <c r="CN30" s="168" t="s">
        <v>44</v>
      </c>
      <c r="CO30" s="167" t="s">
        <v>44</v>
      </c>
      <c r="CP30" s="100">
        <f t="shared" si="20"/>
        <v>3528.8</v>
      </c>
      <c r="CQ30" s="97"/>
      <c r="CR30" s="166" t="s">
        <v>44</v>
      </c>
      <c r="CS30" s="167" t="s">
        <v>44</v>
      </c>
      <c r="CT30" s="100">
        <f t="shared" si="21"/>
        <v>0</v>
      </c>
      <c r="CU30" s="97"/>
      <c r="CV30" s="166" t="s">
        <v>44</v>
      </c>
      <c r="CW30" s="167" t="s">
        <v>44</v>
      </c>
      <c r="CX30" s="100">
        <f t="shared" si="22"/>
        <v>282.30400000000003</v>
      </c>
      <c r="CY30" s="129"/>
      <c r="CZ30" s="110">
        <f t="shared" si="2"/>
        <v>6.2</v>
      </c>
      <c r="DA30" s="111">
        <f t="shared" si="2"/>
        <v>0</v>
      </c>
      <c r="DB30" s="112">
        <f t="shared" ref="DB30:DC32" si="45">(CZ30/4343)*100</f>
        <v>0.14275846189270089</v>
      </c>
      <c r="DC30" s="113">
        <f t="shared" si="45"/>
        <v>0</v>
      </c>
      <c r="DD30" s="100">
        <f t="shared" si="3"/>
        <v>1650</v>
      </c>
      <c r="DE30" s="102">
        <f t="shared" si="3"/>
        <v>0</v>
      </c>
      <c r="DF30" s="102" t="e">
        <f t="shared" si="3"/>
        <v>#VALUE!</v>
      </c>
      <c r="DG30" s="114" t="e">
        <f t="shared" si="3"/>
        <v>#VALUE!</v>
      </c>
      <c r="DH30" s="100">
        <f t="shared" si="3"/>
        <v>1650</v>
      </c>
      <c r="DI30" s="97">
        <f t="shared" si="3"/>
        <v>0</v>
      </c>
      <c r="DJ30" s="97" t="e">
        <f t="shared" si="3"/>
        <v>#VALUE!</v>
      </c>
      <c r="DK30" s="97" t="e">
        <f t="shared" si="3"/>
        <v>#VALUE!</v>
      </c>
      <c r="DL30" s="100">
        <f t="shared" si="3"/>
        <v>0</v>
      </c>
      <c r="DM30" s="97">
        <f t="shared" si="3"/>
        <v>0</v>
      </c>
      <c r="DN30" s="97" t="e">
        <f t="shared" si="3"/>
        <v>#VALUE!</v>
      </c>
      <c r="DO30" s="115" t="e">
        <f t="shared" si="3"/>
        <v>#VALUE!</v>
      </c>
      <c r="DP30" s="100">
        <f t="shared" ref="DP30:DQ32" si="46">ROUND((DD30/CZ30),0)</f>
        <v>266</v>
      </c>
      <c r="DQ30" s="116" t="e">
        <f t="shared" si="46"/>
        <v>#DIV/0!</v>
      </c>
      <c r="DR30" s="117">
        <f t="shared" si="32"/>
        <v>6.2</v>
      </c>
      <c r="DS30" s="118">
        <f t="shared" si="4"/>
        <v>100</v>
      </c>
      <c r="DT30" s="104" t="e">
        <f t="shared" si="5"/>
        <v>#VALUE!</v>
      </c>
      <c r="DU30" s="118" t="e">
        <f t="shared" si="6"/>
        <v>#VALUE!</v>
      </c>
      <c r="DV30" s="104">
        <f t="shared" si="7"/>
        <v>1650</v>
      </c>
      <c r="DW30" s="119">
        <f t="shared" si="8"/>
        <v>100</v>
      </c>
      <c r="DX30" s="120" t="e">
        <f t="shared" si="9"/>
        <v>#VALUE!</v>
      </c>
      <c r="DY30" s="118" t="e">
        <f t="shared" si="10"/>
        <v>#VALUE!</v>
      </c>
      <c r="DZ30" s="104">
        <f t="shared" si="11"/>
        <v>1650</v>
      </c>
      <c r="EA30" s="119">
        <f t="shared" si="12"/>
        <v>100</v>
      </c>
      <c r="EB30" s="120" t="e">
        <f t="shared" si="13"/>
        <v>#VALUE!</v>
      </c>
      <c r="EC30" s="118" t="e">
        <f t="shared" si="14"/>
        <v>#VALUE!</v>
      </c>
      <c r="ED30" s="104">
        <f t="shared" si="15"/>
        <v>0</v>
      </c>
      <c r="EE30" s="121">
        <v>0</v>
      </c>
      <c r="EF30" s="120" t="e">
        <f t="shared" si="16"/>
        <v>#VALUE!</v>
      </c>
      <c r="EG30" s="121" t="e">
        <f t="shared" si="17"/>
        <v>#VALUE!</v>
      </c>
      <c r="EH30" s="122" t="e">
        <f t="shared" si="33"/>
        <v>#DIV/0!</v>
      </c>
      <c r="EI30" s="123" t="e">
        <f t="shared" si="34"/>
        <v>#DIV/0!</v>
      </c>
    </row>
    <row r="31" spans="1:139" ht="15.75" customHeight="1" x14ac:dyDescent="0.3">
      <c r="A31" s="1070"/>
      <c r="B31" s="169"/>
      <c r="C31" s="91" t="s">
        <v>48</v>
      </c>
      <c r="D31" s="92">
        <v>18.8</v>
      </c>
      <c r="E31" s="93"/>
      <c r="F31" s="93">
        <v>0.87077350625289485</v>
      </c>
      <c r="G31" s="93"/>
      <c r="H31" s="158" t="s">
        <v>44</v>
      </c>
      <c r="I31" s="159" t="s">
        <v>44</v>
      </c>
      <c r="J31" s="96">
        <v>1687</v>
      </c>
      <c r="K31" s="97"/>
      <c r="L31" s="166" t="s">
        <v>44</v>
      </c>
      <c r="M31" s="167" t="s">
        <v>44</v>
      </c>
      <c r="N31" s="100">
        <v>1687</v>
      </c>
      <c r="O31" s="126"/>
      <c r="P31" s="158" t="s">
        <v>44</v>
      </c>
      <c r="Q31" s="159" t="s">
        <v>44</v>
      </c>
      <c r="R31" s="100">
        <v>0</v>
      </c>
      <c r="S31" s="97"/>
      <c r="T31" s="158" t="s">
        <v>44</v>
      </c>
      <c r="U31" s="159" t="s">
        <v>44</v>
      </c>
      <c r="V31" s="102">
        <v>90</v>
      </c>
      <c r="W31" s="102"/>
      <c r="X31" s="92">
        <v>17.899999999999999</v>
      </c>
      <c r="Y31" s="93"/>
      <c r="Z31" s="93">
        <v>0.81959706959706946</v>
      </c>
      <c r="AA31" s="93"/>
      <c r="AB31" s="158" t="s">
        <v>44</v>
      </c>
      <c r="AC31" s="159" t="s">
        <v>44</v>
      </c>
      <c r="AD31" s="96">
        <v>1436</v>
      </c>
      <c r="AE31" s="97"/>
      <c r="AF31" s="166" t="s">
        <v>44</v>
      </c>
      <c r="AG31" s="167" t="s">
        <v>44</v>
      </c>
      <c r="AH31" s="100">
        <v>1436</v>
      </c>
      <c r="AI31" s="126"/>
      <c r="AJ31" s="158" t="s">
        <v>44</v>
      </c>
      <c r="AK31" s="159" t="s">
        <v>44</v>
      </c>
      <c r="AL31" s="100">
        <v>0</v>
      </c>
      <c r="AM31" s="97"/>
      <c r="AN31" s="158" t="s">
        <v>44</v>
      </c>
      <c r="AO31" s="159" t="s">
        <v>44</v>
      </c>
      <c r="AP31" s="102">
        <v>80</v>
      </c>
      <c r="AQ31" s="102"/>
      <c r="AR31" s="92">
        <v>18.7</v>
      </c>
      <c r="AS31" s="93"/>
      <c r="AT31" s="822">
        <f t="shared" si="43"/>
        <v>8.4692028985507237E-3</v>
      </c>
      <c r="AU31" s="93"/>
      <c r="AV31" s="158" t="s">
        <v>44</v>
      </c>
      <c r="AW31" s="159" t="s">
        <v>44</v>
      </c>
      <c r="AX31" s="96">
        <f t="shared" si="24"/>
        <v>1683.0000000000002</v>
      </c>
      <c r="AY31" s="97"/>
      <c r="AZ31" s="166" t="s">
        <v>44</v>
      </c>
      <c r="BA31" s="167" t="s">
        <v>44</v>
      </c>
      <c r="BB31" s="100">
        <f>1530*1.1</f>
        <v>1683.0000000000002</v>
      </c>
      <c r="BC31" s="126"/>
      <c r="BD31" s="158" t="s">
        <v>44</v>
      </c>
      <c r="BE31" s="159" t="s">
        <v>44</v>
      </c>
      <c r="BF31" s="100">
        <v>0</v>
      </c>
      <c r="BG31" s="97"/>
      <c r="BH31" s="158" t="s">
        <v>44</v>
      </c>
      <c r="BI31" s="159" t="s">
        <v>44</v>
      </c>
      <c r="BJ31" s="102">
        <f t="shared" si="25"/>
        <v>90.000000000000014</v>
      </c>
      <c r="BK31" s="102"/>
      <c r="BL31" s="92">
        <v>19.600000000000001</v>
      </c>
      <c r="BM31" s="93"/>
      <c r="BN31" s="822">
        <f t="shared" si="44"/>
        <v>8.8727931190583989E-3</v>
      </c>
      <c r="BO31" s="93"/>
      <c r="BP31" s="158" t="s">
        <v>44</v>
      </c>
      <c r="BQ31" s="159" t="s">
        <v>44</v>
      </c>
      <c r="BR31" s="96">
        <f t="shared" si="27"/>
        <v>1834.8000000000002</v>
      </c>
      <c r="BS31" s="97"/>
      <c r="BT31" s="166" t="s">
        <v>44</v>
      </c>
      <c r="BU31" s="167" t="s">
        <v>44</v>
      </c>
      <c r="BV31" s="100">
        <f>1668*1.1</f>
        <v>1834.8000000000002</v>
      </c>
      <c r="BW31" s="126"/>
      <c r="BX31" s="158" t="s">
        <v>44</v>
      </c>
      <c r="BY31" s="159" t="s">
        <v>44</v>
      </c>
      <c r="BZ31" s="100">
        <v>0</v>
      </c>
      <c r="CA31" s="97"/>
      <c r="CB31" s="158" t="s">
        <v>44</v>
      </c>
      <c r="CC31" s="159" t="s">
        <v>44</v>
      </c>
      <c r="CD31" s="102">
        <f t="shared" si="42"/>
        <v>93.612244897959187</v>
      </c>
      <c r="CE31" s="102"/>
      <c r="CF31" s="103">
        <f t="shared" si="18"/>
        <v>75</v>
      </c>
      <c r="CG31" s="102"/>
      <c r="CH31" s="822">
        <f t="shared" si="39"/>
        <v>8.5616438356164379E-3</v>
      </c>
      <c r="CI31" s="127"/>
      <c r="CJ31" s="166" t="s">
        <v>44</v>
      </c>
      <c r="CK31" s="167" t="s">
        <v>44</v>
      </c>
      <c r="CL31" s="100">
        <f t="shared" si="19"/>
        <v>6640.8</v>
      </c>
      <c r="CM31" s="107"/>
      <c r="CN31" s="168" t="s">
        <v>44</v>
      </c>
      <c r="CO31" s="167" t="s">
        <v>44</v>
      </c>
      <c r="CP31" s="100">
        <f t="shared" si="20"/>
        <v>6640.8</v>
      </c>
      <c r="CQ31" s="97"/>
      <c r="CR31" s="166" t="s">
        <v>44</v>
      </c>
      <c r="CS31" s="167" t="s">
        <v>44</v>
      </c>
      <c r="CT31" s="100">
        <f t="shared" si="21"/>
        <v>0</v>
      </c>
      <c r="CU31" s="97"/>
      <c r="CV31" s="166" t="s">
        <v>44</v>
      </c>
      <c r="CW31" s="167" t="s">
        <v>44</v>
      </c>
      <c r="CX31" s="100">
        <f t="shared" si="22"/>
        <v>88.543999999999997</v>
      </c>
      <c r="CY31" s="129"/>
      <c r="CZ31" s="110">
        <f t="shared" si="2"/>
        <v>36.700000000000003</v>
      </c>
      <c r="DA31" s="111">
        <f t="shared" si="2"/>
        <v>0</v>
      </c>
      <c r="DB31" s="112">
        <f t="shared" si="45"/>
        <v>0.84503799217131026</v>
      </c>
      <c r="DC31" s="113">
        <f t="shared" si="45"/>
        <v>0</v>
      </c>
      <c r="DD31" s="100">
        <f t="shared" si="3"/>
        <v>3123</v>
      </c>
      <c r="DE31" s="102">
        <f t="shared" si="3"/>
        <v>0</v>
      </c>
      <c r="DF31" s="102" t="e">
        <f t="shared" si="3"/>
        <v>#VALUE!</v>
      </c>
      <c r="DG31" s="114" t="e">
        <f t="shared" si="3"/>
        <v>#VALUE!</v>
      </c>
      <c r="DH31" s="100">
        <f t="shared" si="3"/>
        <v>3123</v>
      </c>
      <c r="DI31" s="97">
        <f t="shared" si="3"/>
        <v>0</v>
      </c>
      <c r="DJ31" s="97" t="e">
        <f t="shared" si="3"/>
        <v>#VALUE!</v>
      </c>
      <c r="DK31" s="97" t="e">
        <f t="shared" si="3"/>
        <v>#VALUE!</v>
      </c>
      <c r="DL31" s="100">
        <f t="shared" si="3"/>
        <v>0</v>
      </c>
      <c r="DM31" s="97">
        <f t="shared" si="3"/>
        <v>0</v>
      </c>
      <c r="DN31" s="97" t="e">
        <f t="shared" si="3"/>
        <v>#VALUE!</v>
      </c>
      <c r="DO31" s="115" t="e">
        <f t="shared" si="3"/>
        <v>#VALUE!</v>
      </c>
      <c r="DP31" s="100">
        <f t="shared" si="46"/>
        <v>85</v>
      </c>
      <c r="DQ31" s="116" t="e">
        <f t="shared" si="46"/>
        <v>#DIV/0!</v>
      </c>
      <c r="DR31" s="117">
        <f t="shared" si="32"/>
        <v>36.700000000000003</v>
      </c>
      <c r="DS31" s="118">
        <f t="shared" si="4"/>
        <v>100</v>
      </c>
      <c r="DT31" s="104" t="e">
        <f t="shared" si="5"/>
        <v>#VALUE!</v>
      </c>
      <c r="DU31" s="118" t="e">
        <f t="shared" si="6"/>
        <v>#VALUE!</v>
      </c>
      <c r="DV31" s="104">
        <f t="shared" si="7"/>
        <v>3123</v>
      </c>
      <c r="DW31" s="119">
        <f t="shared" si="8"/>
        <v>100</v>
      </c>
      <c r="DX31" s="120" t="e">
        <f t="shared" si="9"/>
        <v>#VALUE!</v>
      </c>
      <c r="DY31" s="118" t="e">
        <f t="shared" si="10"/>
        <v>#VALUE!</v>
      </c>
      <c r="DZ31" s="104">
        <f t="shared" si="11"/>
        <v>3123</v>
      </c>
      <c r="EA31" s="119">
        <f t="shared" si="12"/>
        <v>100</v>
      </c>
      <c r="EB31" s="120" t="e">
        <f t="shared" si="13"/>
        <v>#VALUE!</v>
      </c>
      <c r="EC31" s="118" t="e">
        <f t="shared" si="14"/>
        <v>#VALUE!</v>
      </c>
      <c r="ED31" s="104">
        <f t="shared" si="15"/>
        <v>0</v>
      </c>
      <c r="EE31" s="121">
        <v>0</v>
      </c>
      <c r="EF31" s="120" t="e">
        <f t="shared" si="16"/>
        <v>#VALUE!</v>
      </c>
      <c r="EG31" s="121" t="e">
        <f t="shared" si="17"/>
        <v>#VALUE!</v>
      </c>
      <c r="EH31" s="122" t="e">
        <f t="shared" si="33"/>
        <v>#DIV/0!</v>
      </c>
      <c r="EI31" s="123" t="e">
        <f t="shared" si="34"/>
        <v>#DIV/0!</v>
      </c>
    </row>
    <row r="32" spans="1:139" ht="15.75" customHeight="1" x14ac:dyDescent="0.3">
      <c r="A32" s="1070"/>
      <c r="B32" s="169"/>
      <c r="C32" s="91" t="s">
        <v>49</v>
      </c>
      <c r="D32" s="92">
        <v>6.5</v>
      </c>
      <c r="E32" s="93"/>
      <c r="F32" s="93">
        <v>0.30106530801296894</v>
      </c>
      <c r="G32" s="93"/>
      <c r="H32" s="158" t="s">
        <v>44</v>
      </c>
      <c r="I32" s="159" t="s">
        <v>44</v>
      </c>
      <c r="J32" s="96">
        <v>749</v>
      </c>
      <c r="K32" s="97"/>
      <c r="L32" s="166" t="s">
        <v>44</v>
      </c>
      <c r="M32" s="167" t="s">
        <v>44</v>
      </c>
      <c r="N32" s="100">
        <v>749</v>
      </c>
      <c r="O32" s="126"/>
      <c r="P32" s="158" t="s">
        <v>44</v>
      </c>
      <c r="Q32" s="159" t="s">
        <v>44</v>
      </c>
      <c r="R32" s="100">
        <v>0</v>
      </c>
      <c r="S32" s="97"/>
      <c r="T32" s="158" t="s">
        <v>44</v>
      </c>
      <c r="U32" s="159" t="s">
        <v>44</v>
      </c>
      <c r="V32" s="102">
        <v>115</v>
      </c>
      <c r="W32" s="102"/>
      <c r="X32" s="92">
        <v>6.5</v>
      </c>
      <c r="Y32" s="93"/>
      <c r="Z32" s="93">
        <v>0.29761904761904762</v>
      </c>
      <c r="AA32" s="93"/>
      <c r="AB32" s="158" t="s">
        <v>44</v>
      </c>
      <c r="AC32" s="159" t="s">
        <v>44</v>
      </c>
      <c r="AD32" s="96">
        <v>747</v>
      </c>
      <c r="AE32" s="97"/>
      <c r="AF32" s="166" t="s">
        <v>44</v>
      </c>
      <c r="AG32" s="167" t="s">
        <v>44</v>
      </c>
      <c r="AH32" s="100">
        <v>747</v>
      </c>
      <c r="AI32" s="126"/>
      <c r="AJ32" s="158" t="s">
        <v>44</v>
      </c>
      <c r="AK32" s="159" t="s">
        <v>44</v>
      </c>
      <c r="AL32" s="100">
        <v>0</v>
      </c>
      <c r="AM32" s="97"/>
      <c r="AN32" s="158" t="s">
        <v>44</v>
      </c>
      <c r="AO32" s="159" t="s">
        <v>44</v>
      </c>
      <c r="AP32" s="102">
        <v>115</v>
      </c>
      <c r="AQ32" s="102"/>
      <c r="AR32" s="92">
        <v>1</v>
      </c>
      <c r="AS32" s="93"/>
      <c r="AT32" s="822">
        <f t="shared" si="43"/>
        <v>4.5289855072463769E-4</v>
      </c>
      <c r="AU32" s="93"/>
      <c r="AV32" s="158" t="s">
        <v>44</v>
      </c>
      <c r="AW32" s="159" t="s">
        <v>44</v>
      </c>
      <c r="AX32" s="96">
        <f t="shared" si="24"/>
        <v>110</v>
      </c>
      <c r="AY32" s="97"/>
      <c r="AZ32" s="166" t="s">
        <v>44</v>
      </c>
      <c r="BA32" s="167" t="s">
        <v>44</v>
      </c>
      <c r="BB32" s="100">
        <v>110</v>
      </c>
      <c r="BC32" s="126"/>
      <c r="BD32" s="158" t="s">
        <v>44</v>
      </c>
      <c r="BE32" s="159" t="s">
        <v>44</v>
      </c>
      <c r="BF32" s="100">
        <v>0</v>
      </c>
      <c r="BG32" s="97"/>
      <c r="BH32" s="158" t="s">
        <v>44</v>
      </c>
      <c r="BI32" s="159" t="s">
        <v>44</v>
      </c>
      <c r="BJ32" s="102">
        <f t="shared" si="25"/>
        <v>110</v>
      </c>
      <c r="BK32" s="102"/>
      <c r="BL32" s="92">
        <v>0</v>
      </c>
      <c r="BM32" s="93"/>
      <c r="BN32" s="822">
        <f t="shared" si="44"/>
        <v>0</v>
      </c>
      <c r="BO32" s="93"/>
      <c r="BP32" s="158" t="s">
        <v>44</v>
      </c>
      <c r="BQ32" s="159" t="s">
        <v>44</v>
      </c>
      <c r="BR32" s="96">
        <f t="shared" si="27"/>
        <v>0</v>
      </c>
      <c r="BS32" s="97"/>
      <c r="BT32" s="166" t="s">
        <v>44</v>
      </c>
      <c r="BU32" s="167" t="s">
        <v>44</v>
      </c>
      <c r="BV32" s="100">
        <v>0</v>
      </c>
      <c r="BW32" s="126"/>
      <c r="BX32" s="158" t="s">
        <v>44</v>
      </c>
      <c r="BY32" s="159" t="s">
        <v>44</v>
      </c>
      <c r="BZ32" s="100">
        <v>0</v>
      </c>
      <c r="CA32" s="97"/>
      <c r="CB32" s="158" t="s">
        <v>44</v>
      </c>
      <c r="CC32" s="159" t="s">
        <v>44</v>
      </c>
      <c r="CD32" s="102"/>
      <c r="CE32" s="102"/>
      <c r="CF32" s="103">
        <f t="shared" si="18"/>
        <v>14</v>
      </c>
      <c r="CG32" s="102"/>
      <c r="CH32" s="822">
        <f t="shared" si="39"/>
        <v>1.5981735159817352E-3</v>
      </c>
      <c r="CI32" s="127"/>
      <c r="CJ32" s="166" t="s">
        <v>44</v>
      </c>
      <c r="CK32" s="167" t="s">
        <v>44</v>
      </c>
      <c r="CL32" s="100">
        <f t="shared" si="19"/>
        <v>1606</v>
      </c>
      <c r="CM32" s="107"/>
      <c r="CN32" s="168" t="s">
        <v>44</v>
      </c>
      <c r="CO32" s="167" t="s">
        <v>44</v>
      </c>
      <c r="CP32" s="100">
        <f t="shared" si="20"/>
        <v>1606</v>
      </c>
      <c r="CQ32" s="97"/>
      <c r="CR32" s="166" t="s">
        <v>44</v>
      </c>
      <c r="CS32" s="167" t="s">
        <v>44</v>
      </c>
      <c r="CT32" s="100">
        <f t="shared" si="21"/>
        <v>0</v>
      </c>
      <c r="CU32" s="97"/>
      <c r="CV32" s="166" t="s">
        <v>44</v>
      </c>
      <c r="CW32" s="167" t="s">
        <v>44</v>
      </c>
      <c r="CX32" s="100">
        <f t="shared" si="22"/>
        <v>114.71428571428571</v>
      </c>
      <c r="CY32" s="129"/>
      <c r="CZ32" s="110">
        <f t="shared" si="2"/>
        <v>13</v>
      </c>
      <c r="DA32" s="111">
        <f t="shared" si="2"/>
        <v>0</v>
      </c>
      <c r="DB32" s="112">
        <f t="shared" si="45"/>
        <v>0.2993322588072761</v>
      </c>
      <c r="DC32" s="113">
        <f t="shared" si="45"/>
        <v>0</v>
      </c>
      <c r="DD32" s="100">
        <f t="shared" si="3"/>
        <v>1496</v>
      </c>
      <c r="DE32" s="102">
        <f t="shared" si="3"/>
        <v>0</v>
      </c>
      <c r="DF32" s="102" t="e">
        <f t="shared" si="3"/>
        <v>#VALUE!</v>
      </c>
      <c r="DG32" s="114" t="e">
        <f t="shared" si="3"/>
        <v>#VALUE!</v>
      </c>
      <c r="DH32" s="100">
        <f t="shared" si="3"/>
        <v>1496</v>
      </c>
      <c r="DI32" s="97">
        <f t="shared" si="3"/>
        <v>0</v>
      </c>
      <c r="DJ32" s="97" t="e">
        <f t="shared" si="3"/>
        <v>#VALUE!</v>
      </c>
      <c r="DK32" s="97" t="e">
        <f t="shared" si="3"/>
        <v>#VALUE!</v>
      </c>
      <c r="DL32" s="100">
        <f t="shared" si="3"/>
        <v>0</v>
      </c>
      <c r="DM32" s="97">
        <f t="shared" si="3"/>
        <v>0</v>
      </c>
      <c r="DN32" s="97" t="e">
        <f t="shared" si="3"/>
        <v>#VALUE!</v>
      </c>
      <c r="DO32" s="115" t="e">
        <f t="shared" si="3"/>
        <v>#VALUE!</v>
      </c>
      <c r="DP32" s="100">
        <f t="shared" si="46"/>
        <v>115</v>
      </c>
      <c r="DQ32" s="116" t="e">
        <f t="shared" si="46"/>
        <v>#DIV/0!</v>
      </c>
      <c r="DR32" s="117">
        <f t="shared" si="32"/>
        <v>13</v>
      </c>
      <c r="DS32" s="118">
        <f t="shared" si="4"/>
        <v>100</v>
      </c>
      <c r="DT32" s="104" t="e">
        <f t="shared" si="5"/>
        <v>#VALUE!</v>
      </c>
      <c r="DU32" s="118" t="e">
        <f t="shared" si="6"/>
        <v>#VALUE!</v>
      </c>
      <c r="DV32" s="104">
        <f t="shared" si="7"/>
        <v>1496</v>
      </c>
      <c r="DW32" s="119">
        <f t="shared" si="8"/>
        <v>100</v>
      </c>
      <c r="DX32" s="120" t="e">
        <f t="shared" si="9"/>
        <v>#VALUE!</v>
      </c>
      <c r="DY32" s="118" t="e">
        <f t="shared" si="10"/>
        <v>#VALUE!</v>
      </c>
      <c r="DZ32" s="104">
        <f t="shared" si="11"/>
        <v>1496</v>
      </c>
      <c r="EA32" s="119">
        <f t="shared" si="12"/>
        <v>100</v>
      </c>
      <c r="EB32" s="120" t="e">
        <f t="shared" si="13"/>
        <v>#VALUE!</v>
      </c>
      <c r="EC32" s="118" t="e">
        <f t="shared" si="14"/>
        <v>#VALUE!</v>
      </c>
      <c r="ED32" s="104">
        <f t="shared" si="15"/>
        <v>0</v>
      </c>
      <c r="EE32" s="121">
        <v>0</v>
      </c>
      <c r="EF32" s="120" t="e">
        <f t="shared" si="16"/>
        <v>#VALUE!</v>
      </c>
      <c r="EG32" s="121" t="e">
        <f t="shared" si="17"/>
        <v>#VALUE!</v>
      </c>
      <c r="EH32" s="122" t="e">
        <f t="shared" si="33"/>
        <v>#DIV/0!</v>
      </c>
      <c r="EI32" s="123" t="e">
        <f t="shared" si="34"/>
        <v>#DIV/0!</v>
      </c>
    </row>
    <row r="33" spans="1:139" s="157" customFormat="1" ht="29.25" customHeight="1" x14ac:dyDescent="0.3">
      <c r="A33" s="1070"/>
      <c r="B33" s="164" t="s">
        <v>54</v>
      </c>
      <c r="C33" s="165"/>
      <c r="D33" s="132">
        <v>555.4</v>
      </c>
      <c r="E33" s="133"/>
      <c r="F33" s="133">
        <v>5.1062343130855306</v>
      </c>
      <c r="G33" s="133"/>
      <c r="H33" s="134" t="s">
        <v>44</v>
      </c>
      <c r="I33" s="135" t="s">
        <v>44</v>
      </c>
      <c r="J33" s="136">
        <v>43611</v>
      </c>
      <c r="K33" s="86"/>
      <c r="L33" s="170" t="s">
        <v>44</v>
      </c>
      <c r="M33" s="171" t="s">
        <v>44</v>
      </c>
      <c r="N33" s="139">
        <v>43611</v>
      </c>
      <c r="O33" s="140"/>
      <c r="P33" s="134" t="s">
        <v>44</v>
      </c>
      <c r="Q33" s="135" t="s">
        <v>44</v>
      </c>
      <c r="R33" s="139">
        <v>0</v>
      </c>
      <c r="S33" s="140"/>
      <c r="T33" s="134" t="s">
        <v>44</v>
      </c>
      <c r="U33" s="135" t="s">
        <v>44</v>
      </c>
      <c r="V33" s="141">
        <v>79</v>
      </c>
      <c r="W33" s="141"/>
      <c r="X33" s="132">
        <v>524.70000000000005</v>
      </c>
      <c r="Y33" s="133"/>
      <c r="Z33" s="133">
        <v>4.780038079967933</v>
      </c>
      <c r="AA33" s="133"/>
      <c r="AB33" s="134" t="s">
        <v>44</v>
      </c>
      <c r="AC33" s="135" t="s">
        <v>44</v>
      </c>
      <c r="AD33" s="136">
        <v>41713</v>
      </c>
      <c r="AE33" s="86"/>
      <c r="AF33" s="170" t="s">
        <v>44</v>
      </c>
      <c r="AG33" s="171" t="s">
        <v>44</v>
      </c>
      <c r="AH33" s="139">
        <v>41713</v>
      </c>
      <c r="AI33" s="140"/>
      <c r="AJ33" s="134" t="s">
        <v>44</v>
      </c>
      <c r="AK33" s="135" t="s">
        <v>44</v>
      </c>
      <c r="AL33" s="139">
        <v>0</v>
      </c>
      <c r="AM33" s="140"/>
      <c r="AN33" s="134" t="s">
        <v>44</v>
      </c>
      <c r="AO33" s="135" t="s">
        <v>44</v>
      </c>
      <c r="AP33" s="141">
        <v>79</v>
      </c>
      <c r="AQ33" s="141"/>
      <c r="AR33" s="132">
        <f>SUM(AR34:AR38)</f>
        <v>414</v>
      </c>
      <c r="AS33" s="133"/>
      <c r="AT33" s="823">
        <f>AR33/11040</f>
        <v>3.7499999999999999E-2</v>
      </c>
      <c r="AU33" s="133"/>
      <c r="AV33" s="134" t="s">
        <v>44</v>
      </c>
      <c r="AW33" s="135" t="s">
        <v>44</v>
      </c>
      <c r="AX33" s="136">
        <f t="shared" si="24"/>
        <v>28109.75</v>
      </c>
      <c r="AY33" s="86"/>
      <c r="AZ33" s="170" t="s">
        <v>44</v>
      </c>
      <c r="BA33" s="171" t="s">
        <v>44</v>
      </c>
      <c r="BB33" s="139">
        <f>SUM(BB34:BB38)</f>
        <v>28109.75</v>
      </c>
      <c r="BC33" s="140"/>
      <c r="BD33" s="134" t="s">
        <v>44</v>
      </c>
      <c r="BE33" s="135" t="s">
        <v>44</v>
      </c>
      <c r="BF33" s="139">
        <v>0</v>
      </c>
      <c r="BG33" s="140"/>
      <c r="BH33" s="134" t="s">
        <v>44</v>
      </c>
      <c r="BI33" s="135" t="s">
        <v>44</v>
      </c>
      <c r="BJ33" s="141">
        <f t="shared" si="25"/>
        <v>67.897946859903385</v>
      </c>
      <c r="BK33" s="141"/>
      <c r="BL33" s="132">
        <f>SUM(BL34:BL38)</f>
        <v>514.29999999999995</v>
      </c>
      <c r="BM33" s="133"/>
      <c r="BN33" s="823">
        <f>BL33/11156.9</f>
        <v>4.6097034122381662E-2</v>
      </c>
      <c r="BO33" s="133"/>
      <c r="BP33" s="134" t="s">
        <v>44</v>
      </c>
      <c r="BQ33" s="135" t="s">
        <v>44</v>
      </c>
      <c r="BR33" s="136">
        <f t="shared" si="27"/>
        <v>37901.9</v>
      </c>
      <c r="BS33" s="86"/>
      <c r="BT33" s="170" t="s">
        <v>44</v>
      </c>
      <c r="BU33" s="171" t="s">
        <v>44</v>
      </c>
      <c r="BV33" s="139">
        <f>SUM(BV34:BV38)</f>
        <v>37901.9</v>
      </c>
      <c r="BW33" s="140"/>
      <c r="BX33" s="134" t="s">
        <v>44</v>
      </c>
      <c r="BY33" s="135" t="s">
        <v>44</v>
      </c>
      <c r="BZ33" s="139">
        <v>0</v>
      </c>
      <c r="CA33" s="140"/>
      <c r="CB33" s="134" t="s">
        <v>44</v>
      </c>
      <c r="CC33" s="135" t="s">
        <v>44</v>
      </c>
      <c r="CD33" s="141">
        <f t="shared" si="42"/>
        <v>73.696091775228481</v>
      </c>
      <c r="CE33" s="141"/>
      <c r="CF33" s="142">
        <f t="shared" si="18"/>
        <v>2008.4</v>
      </c>
      <c r="CG33" s="141"/>
      <c r="CH33" s="823">
        <f>CF33/44102.6</f>
        <v>4.5539265258737582E-2</v>
      </c>
      <c r="CI33" s="143"/>
      <c r="CJ33" s="170" t="s">
        <v>44</v>
      </c>
      <c r="CK33" s="171" t="s">
        <v>44</v>
      </c>
      <c r="CL33" s="139">
        <f t="shared" si="19"/>
        <v>151335.65</v>
      </c>
      <c r="CM33" s="144"/>
      <c r="CN33" s="172" t="s">
        <v>44</v>
      </c>
      <c r="CO33" s="171" t="s">
        <v>44</v>
      </c>
      <c r="CP33" s="139">
        <f t="shared" si="20"/>
        <v>151335.65</v>
      </c>
      <c r="CQ33" s="140"/>
      <c r="CR33" s="170" t="s">
        <v>44</v>
      </c>
      <c r="CS33" s="171" t="s">
        <v>44</v>
      </c>
      <c r="CT33" s="139">
        <f t="shared" si="21"/>
        <v>0</v>
      </c>
      <c r="CU33" s="140"/>
      <c r="CV33" s="170" t="s">
        <v>44</v>
      </c>
      <c r="CW33" s="171" t="s">
        <v>44</v>
      </c>
      <c r="CX33" s="139">
        <f t="shared" si="22"/>
        <v>75.351349332802229</v>
      </c>
      <c r="CY33" s="146"/>
      <c r="CZ33" s="147">
        <f t="shared" si="2"/>
        <v>1080.0999999999999</v>
      </c>
      <c r="DA33" s="148">
        <f t="shared" si="2"/>
        <v>0</v>
      </c>
      <c r="DB33" s="149" t="e">
        <f>(CZ33/#REF!)*100</f>
        <v>#REF!</v>
      </c>
      <c r="DC33" s="150" t="e">
        <f>(DA33/#REF!)*100</f>
        <v>#REF!</v>
      </c>
      <c r="DD33" s="139">
        <f t="shared" si="3"/>
        <v>85324</v>
      </c>
      <c r="DE33" s="141">
        <f t="shared" si="3"/>
        <v>0</v>
      </c>
      <c r="DF33" s="141" t="e">
        <f t="shared" si="3"/>
        <v>#VALUE!</v>
      </c>
      <c r="DG33" s="151" t="e">
        <f t="shared" si="3"/>
        <v>#VALUE!</v>
      </c>
      <c r="DH33" s="139">
        <f t="shared" si="3"/>
        <v>85324</v>
      </c>
      <c r="DI33" s="140">
        <f t="shared" si="3"/>
        <v>0</v>
      </c>
      <c r="DJ33" s="140" t="e">
        <f t="shared" si="3"/>
        <v>#VALUE!</v>
      </c>
      <c r="DK33" s="140" t="e">
        <f t="shared" si="3"/>
        <v>#VALUE!</v>
      </c>
      <c r="DL33" s="139">
        <f t="shared" si="3"/>
        <v>0</v>
      </c>
      <c r="DM33" s="140">
        <f t="shared" si="3"/>
        <v>0</v>
      </c>
      <c r="DN33" s="140" t="e">
        <f t="shared" si="3"/>
        <v>#VALUE!</v>
      </c>
      <c r="DO33" s="152" t="e">
        <f t="shared" si="3"/>
        <v>#VALUE!</v>
      </c>
      <c r="DP33" s="139">
        <f>ROUND((DD33/CZ33),0)</f>
        <v>79</v>
      </c>
      <c r="DQ33" s="153" t="e">
        <f>ROUND((DE33/DA33),0)</f>
        <v>#DIV/0!</v>
      </c>
      <c r="DR33" s="154">
        <f t="shared" si="32"/>
        <v>1080.0999999999999</v>
      </c>
      <c r="DS33" s="84">
        <f t="shared" si="4"/>
        <v>100</v>
      </c>
      <c r="DT33" s="79" t="e">
        <f t="shared" si="5"/>
        <v>#VALUE!</v>
      </c>
      <c r="DU33" s="84" t="e">
        <f t="shared" si="6"/>
        <v>#VALUE!</v>
      </c>
      <c r="DV33" s="79">
        <f t="shared" si="7"/>
        <v>85324</v>
      </c>
      <c r="DW33" s="85">
        <f t="shared" si="8"/>
        <v>100</v>
      </c>
      <c r="DX33" s="86" t="e">
        <f t="shared" si="9"/>
        <v>#VALUE!</v>
      </c>
      <c r="DY33" s="84" t="e">
        <f t="shared" si="10"/>
        <v>#VALUE!</v>
      </c>
      <c r="DZ33" s="79">
        <f t="shared" si="11"/>
        <v>85324</v>
      </c>
      <c r="EA33" s="85">
        <f t="shared" si="12"/>
        <v>100</v>
      </c>
      <c r="EB33" s="86" t="e">
        <f t="shared" si="13"/>
        <v>#VALUE!</v>
      </c>
      <c r="EC33" s="84" t="e">
        <f t="shared" si="14"/>
        <v>#VALUE!</v>
      </c>
      <c r="ED33" s="79">
        <f t="shared" si="15"/>
        <v>0</v>
      </c>
      <c r="EE33" s="87">
        <v>0</v>
      </c>
      <c r="EF33" s="86" t="e">
        <f t="shared" si="16"/>
        <v>#VALUE!</v>
      </c>
      <c r="EG33" s="87" t="e">
        <f t="shared" si="17"/>
        <v>#VALUE!</v>
      </c>
      <c r="EH33" s="155" t="e">
        <f t="shared" si="33"/>
        <v>#DIV/0!</v>
      </c>
      <c r="EI33" s="156" t="e">
        <f t="shared" si="34"/>
        <v>#DIV/0!</v>
      </c>
    </row>
    <row r="34" spans="1:139" ht="15.75" customHeight="1" x14ac:dyDescent="0.3">
      <c r="A34" s="1070"/>
      <c r="B34" s="160"/>
      <c r="C34" s="91" t="s">
        <v>45</v>
      </c>
      <c r="D34" s="92">
        <v>31.8</v>
      </c>
      <c r="E34" s="93"/>
      <c r="F34" s="93">
        <v>1.4729041222788328</v>
      </c>
      <c r="G34" s="93"/>
      <c r="H34" s="158" t="s">
        <v>44</v>
      </c>
      <c r="I34" s="159" t="s">
        <v>44</v>
      </c>
      <c r="J34" s="96">
        <v>12294</v>
      </c>
      <c r="K34" s="97"/>
      <c r="L34" s="98" t="s">
        <v>44</v>
      </c>
      <c r="M34" s="99" t="s">
        <v>44</v>
      </c>
      <c r="N34" s="100">
        <v>12294</v>
      </c>
      <c r="O34" s="126"/>
      <c r="P34" s="158" t="s">
        <v>44</v>
      </c>
      <c r="Q34" s="159" t="s">
        <v>44</v>
      </c>
      <c r="R34" s="100">
        <v>0</v>
      </c>
      <c r="S34" s="97"/>
      <c r="T34" s="158" t="s">
        <v>44</v>
      </c>
      <c r="U34" s="159" t="s">
        <v>44</v>
      </c>
      <c r="V34" s="102">
        <v>387</v>
      </c>
      <c r="W34" s="102"/>
      <c r="X34" s="92">
        <v>34.5</v>
      </c>
      <c r="Y34" s="93"/>
      <c r="Z34" s="93">
        <v>1.5796703296703296</v>
      </c>
      <c r="AA34" s="93"/>
      <c r="AB34" s="158" t="s">
        <v>44</v>
      </c>
      <c r="AC34" s="159" t="s">
        <v>44</v>
      </c>
      <c r="AD34" s="96">
        <v>12674</v>
      </c>
      <c r="AE34" s="97"/>
      <c r="AF34" s="98" t="s">
        <v>44</v>
      </c>
      <c r="AG34" s="99" t="s">
        <v>44</v>
      </c>
      <c r="AH34" s="100">
        <v>12674</v>
      </c>
      <c r="AI34" s="126"/>
      <c r="AJ34" s="158" t="s">
        <v>44</v>
      </c>
      <c r="AK34" s="159" t="s">
        <v>44</v>
      </c>
      <c r="AL34" s="100">
        <v>0</v>
      </c>
      <c r="AM34" s="97"/>
      <c r="AN34" s="158" t="s">
        <v>44</v>
      </c>
      <c r="AO34" s="159" t="s">
        <v>44</v>
      </c>
      <c r="AP34" s="102">
        <v>367</v>
      </c>
      <c r="AQ34" s="102"/>
      <c r="AR34" s="92">
        <v>22.1</v>
      </c>
      <c r="AS34" s="93"/>
      <c r="AT34" s="822">
        <f t="shared" ref="AT34:AT38" si="47">AR34/2208</f>
        <v>1.0009057971014493E-2</v>
      </c>
      <c r="AU34" s="93"/>
      <c r="AV34" s="158" t="s">
        <v>44</v>
      </c>
      <c r="AW34" s="159" t="s">
        <v>44</v>
      </c>
      <c r="AX34" s="96">
        <f t="shared" si="24"/>
        <v>10360.35</v>
      </c>
      <c r="AY34" s="97"/>
      <c r="AZ34" s="98" t="s">
        <v>44</v>
      </c>
      <c r="BA34" s="99" t="s">
        <v>44</v>
      </c>
      <c r="BB34" s="100">
        <f>9867*1.05</f>
        <v>10360.35</v>
      </c>
      <c r="BC34" s="126"/>
      <c r="BD34" s="158" t="s">
        <v>44</v>
      </c>
      <c r="BE34" s="159" t="s">
        <v>44</v>
      </c>
      <c r="BF34" s="100">
        <v>0</v>
      </c>
      <c r="BG34" s="97"/>
      <c r="BH34" s="158" t="s">
        <v>44</v>
      </c>
      <c r="BI34" s="159" t="s">
        <v>44</v>
      </c>
      <c r="BJ34" s="102">
        <f t="shared" si="25"/>
        <v>468.79411764705878</v>
      </c>
      <c r="BK34" s="102"/>
      <c r="BL34" s="92">
        <f>31.9-2.3</f>
        <v>29.599999999999998</v>
      </c>
      <c r="BM34" s="93"/>
      <c r="BN34" s="822">
        <f t="shared" ref="BN34:BN38" si="48">BL34/2209</f>
        <v>1.339972838388411E-2</v>
      </c>
      <c r="BO34" s="93"/>
      <c r="BP34" s="158" t="s">
        <v>44</v>
      </c>
      <c r="BQ34" s="159" t="s">
        <v>44</v>
      </c>
      <c r="BR34" s="96">
        <f t="shared" si="27"/>
        <v>13882</v>
      </c>
      <c r="BS34" s="97"/>
      <c r="BT34" s="98" t="s">
        <v>44</v>
      </c>
      <c r="BU34" s="99" t="s">
        <v>44</v>
      </c>
      <c r="BV34" s="100">
        <f>16153-2271</f>
        <v>13882</v>
      </c>
      <c r="BW34" s="126"/>
      <c r="BX34" s="158" t="s">
        <v>44</v>
      </c>
      <c r="BY34" s="159" t="s">
        <v>44</v>
      </c>
      <c r="BZ34" s="100">
        <v>0</v>
      </c>
      <c r="CA34" s="97"/>
      <c r="CB34" s="158" t="s">
        <v>44</v>
      </c>
      <c r="CC34" s="159" t="s">
        <v>44</v>
      </c>
      <c r="CD34" s="102">
        <f t="shared" si="42"/>
        <v>468.98648648648651</v>
      </c>
      <c r="CE34" s="102"/>
      <c r="CF34" s="103">
        <f t="shared" si="18"/>
        <v>118</v>
      </c>
      <c r="CG34" s="102"/>
      <c r="CH34" s="822">
        <f t="shared" si="39"/>
        <v>1.3470319634703196E-2</v>
      </c>
      <c r="CI34" s="127"/>
      <c r="CJ34" s="98" t="s">
        <v>44</v>
      </c>
      <c r="CK34" s="99" t="s">
        <v>44</v>
      </c>
      <c r="CL34" s="100">
        <f t="shared" si="19"/>
        <v>49210.35</v>
      </c>
      <c r="CM34" s="107"/>
      <c r="CN34" s="108" t="s">
        <v>44</v>
      </c>
      <c r="CO34" s="99" t="s">
        <v>44</v>
      </c>
      <c r="CP34" s="100">
        <f t="shared" si="20"/>
        <v>49210.35</v>
      </c>
      <c r="CQ34" s="97"/>
      <c r="CR34" s="98" t="s">
        <v>44</v>
      </c>
      <c r="CS34" s="99" t="s">
        <v>44</v>
      </c>
      <c r="CT34" s="100">
        <f t="shared" si="21"/>
        <v>0</v>
      </c>
      <c r="CU34" s="97"/>
      <c r="CV34" s="98" t="s">
        <v>44</v>
      </c>
      <c r="CW34" s="99" t="s">
        <v>44</v>
      </c>
      <c r="CX34" s="100">
        <f t="shared" si="22"/>
        <v>417.03686440677967</v>
      </c>
      <c r="CY34" s="129"/>
      <c r="CZ34" s="110">
        <f t="shared" si="2"/>
        <v>66.3</v>
      </c>
      <c r="DA34" s="111">
        <f t="shared" si="2"/>
        <v>0</v>
      </c>
      <c r="DB34" s="112">
        <f>(CZ34/4343)*100</f>
        <v>1.5265945199171078</v>
      </c>
      <c r="DC34" s="113">
        <f>(DA34/4343)*100</f>
        <v>0</v>
      </c>
      <c r="DD34" s="100">
        <f t="shared" si="3"/>
        <v>24968</v>
      </c>
      <c r="DE34" s="102">
        <f t="shared" si="3"/>
        <v>0</v>
      </c>
      <c r="DF34" s="102" t="e">
        <f t="shared" si="3"/>
        <v>#VALUE!</v>
      </c>
      <c r="DG34" s="114" t="e">
        <f t="shared" ref="DG34:DO62" si="49">M34+AG34</f>
        <v>#VALUE!</v>
      </c>
      <c r="DH34" s="100">
        <f t="shared" si="49"/>
        <v>24968</v>
      </c>
      <c r="DI34" s="97">
        <f t="shared" si="49"/>
        <v>0</v>
      </c>
      <c r="DJ34" s="97" t="e">
        <f t="shared" si="49"/>
        <v>#VALUE!</v>
      </c>
      <c r="DK34" s="97" t="e">
        <f t="shared" si="49"/>
        <v>#VALUE!</v>
      </c>
      <c r="DL34" s="100">
        <f t="shared" si="49"/>
        <v>0</v>
      </c>
      <c r="DM34" s="97">
        <f t="shared" si="49"/>
        <v>0</v>
      </c>
      <c r="DN34" s="97" t="e">
        <f t="shared" si="49"/>
        <v>#VALUE!</v>
      </c>
      <c r="DO34" s="115" t="e">
        <f t="shared" si="49"/>
        <v>#VALUE!</v>
      </c>
      <c r="DP34" s="100">
        <f t="shared" ref="DP34:DQ62" si="50">ROUND((DD34/CZ34),0)</f>
        <v>377</v>
      </c>
      <c r="DQ34" s="116" t="e">
        <f t="shared" si="50"/>
        <v>#DIV/0!</v>
      </c>
      <c r="DR34" s="117">
        <f t="shared" si="32"/>
        <v>66.3</v>
      </c>
      <c r="DS34" s="118">
        <f t="shared" si="4"/>
        <v>100</v>
      </c>
      <c r="DT34" s="104" t="e">
        <f t="shared" si="5"/>
        <v>#VALUE!</v>
      </c>
      <c r="DU34" s="118" t="e">
        <f t="shared" si="6"/>
        <v>#VALUE!</v>
      </c>
      <c r="DV34" s="104">
        <f t="shared" si="7"/>
        <v>24968</v>
      </c>
      <c r="DW34" s="119">
        <f t="shared" si="8"/>
        <v>100</v>
      </c>
      <c r="DX34" s="120" t="e">
        <f t="shared" si="9"/>
        <v>#VALUE!</v>
      </c>
      <c r="DY34" s="118" t="e">
        <f t="shared" si="10"/>
        <v>#VALUE!</v>
      </c>
      <c r="DZ34" s="104">
        <f t="shared" si="11"/>
        <v>24968</v>
      </c>
      <c r="EA34" s="119">
        <f t="shared" si="12"/>
        <v>100</v>
      </c>
      <c r="EB34" s="120" t="e">
        <f t="shared" si="13"/>
        <v>#VALUE!</v>
      </c>
      <c r="EC34" s="118" t="e">
        <f t="shared" si="14"/>
        <v>#VALUE!</v>
      </c>
      <c r="ED34" s="104">
        <f t="shared" si="15"/>
        <v>0</v>
      </c>
      <c r="EE34" s="121">
        <v>0</v>
      </c>
      <c r="EF34" s="120" t="e">
        <f t="shared" si="16"/>
        <v>#VALUE!</v>
      </c>
      <c r="EG34" s="121" t="e">
        <f t="shared" si="17"/>
        <v>#VALUE!</v>
      </c>
      <c r="EH34" s="122" t="e">
        <f t="shared" si="33"/>
        <v>#DIV/0!</v>
      </c>
      <c r="EI34" s="123" t="e">
        <f t="shared" si="34"/>
        <v>#DIV/0!</v>
      </c>
    </row>
    <row r="35" spans="1:139" ht="15.75" customHeight="1" x14ac:dyDescent="0.3">
      <c r="A35" s="1070"/>
      <c r="B35" s="160"/>
      <c r="C35" s="91" t="s">
        <v>46</v>
      </c>
      <c r="D35" s="92">
        <v>0</v>
      </c>
      <c r="E35" s="93"/>
      <c r="F35" s="93">
        <v>0</v>
      </c>
      <c r="G35" s="93"/>
      <c r="H35" s="158" t="s">
        <v>44</v>
      </c>
      <c r="I35" s="159" t="s">
        <v>44</v>
      </c>
      <c r="J35" s="96">
        <v>0</v>
      </c>
      <c r="K35" s="97"/>
      <c r="L35" s="98" t="s">
        <v>44</v>
      </c>
      <c r="M35" s="99" t="s">
        <v>44</v>
      </c>
      <c r="N35" s="100">
        <v>0</v>
      </c>
      <c r="O35" s="126"/>
      <c r="P35" s="158" t="s">
        <v>44</v>
      </c>
      <c r="Q35" s="159" t="s">
        <v>44</v>
      </c>
      <c r="R35" s="100">
        <v>0</v>
      </c>
      <c r="S35" s="97"/>
      <c r="T35" s="158" t="s">
        <v>44</v>
      </c>
      <c r="U35" s="159" t="s">
        <v>44</v>
      </c>
      <c r="V35" s="102">
        <v>0</v>
      </c>
      <c r="W35" s="102"/>
      <c r="X35" s="92">
        <v>0</v>
      </c>
      <c r="Y35" s="93"/>
      <c r="Z35" s="93">
        <v>0</v>
      </c>
      <c r="AA35" s="93"/>
      <c r="AB35" s="158" t="s">
        <v>44</v>
      </c>
      <c r="AC35" s="159" t="s">
        <v>44</v>
      </c>
      <c r="AD35" s="96">
        <v>0</v>
      </c>
      <c r="AE35" s="97"/>
      <c r="AF35" s="98" t="s">
        <v>44</v>
      </c>
      <c r="AG35" s="99" t="s">
        <v>44</v>
      </c>
      <c r="AH35" s="100">
        <v>0</v>
      </c>
      <c r="AI35" s="126"/>
      <c r="AJ35" s="158" t="s">
        <v>44</v>
      </c>
      <c r="AK35" s="159" t="s">
        <v>44</v>
      </c>
      <c r="AL35" s="100">
        <v>0</v>
      </c>
      <c r="AM35" s="97"/>
      <c r="AN35" s="158" t="s">
        <v>44</v>
      </c>
      <c r="AO35" s="159" t="s">
        <v>44</v>
      </c>
      <c r="AP35" s="102">
        <v>0</v>
      </c>
      <c r="AQ35" s="102"/>
      <c r="AR35" s="92">
        <v>0</v>
      </c>
      <c r="AS35" s="93"/>
      <c r="AT35" s="822">
        <f t="shared" si="47"/>
        <v>0</v>
      </c>
      <c r="AU35" s="93"/>
      <c r="AV35" s="158" t="s">
        <v>44</v>
      </c>
      <c r="AW35" s="159" t="s">
        <v>44</v>
      </c>
      <c r="AX35" s="96">
        <f t="shared" si="24"/>
        <v>0</v>
      </c>
      <c r="AY35" s="97"/>
      <c r="AZ35" s="98" t="s">
        <v>44</v>
      </c>
      <c r="BA35" s="99" t="s">
        <v>44</v>
      </c>
      <c r="BB35" s="100">
        <v>0</v>
      </c>
      <c r="BC35" s="126"/>
      <c r="BD35" s="158" t="s">
        <v>44</v>
      </c>
      <c r="BE35" s="159" t="s">
        <v>44</v>
      </c>
      <c r="BF35" s="100">
        <v>0</v>
      </c>
      <c r="BG35" s="97"/>
      <c r="BH35" s="158" t="s">
        <v>44</v>
      </c>
      <c r="BI35" s="159" t="s">
        <v>44</v>
      </c>
      <c r="BJ35" s="102"/>
      <c r="BK35" s="102"/>
      <c r="BL35" s="92"/>
      <c r="BM35" s="93"/>
      <c r="BN35" s="822">
        <f t="shared" si="48"/>
        <v>0</v>
      </c>
      <c r="BO35" s="93"/>
      <c r="BP35" s="158" t="s">
        <v>44</v>
      </c>
      <c r="BQ35" s="159" t="s">
        <v>44</v>
      </c>
      <c r="BR35" s="96">
        <f t="shared" si="27"/>
        <v>0</v>
      </c>
      <c r="BS35" s="97"/>
      <c r="BT35" s="98" t="s">
        <v>44</v>
      </c>
      <c r="BU35" s="99" t="s">
        <v>44</v>
      </c>
      <c r="BV35" s="100"/>
      <c r="BW35" s="126"/>
      <c r="BX35" s="158" t="s">
        <v>44</v>
      </c>
      <c r="BY35" s="159" t="s">
        <v>44</v>
      </c>
      <c r="BZ35" s="100">
        <v>0</v>
      </c>
      <c r="CA35" s="97"/>
      <c r="CB35" s="158" t="s">
        <v>44</v>
      </c>
      <c r="CC35" s="159" t="s">
        <v>44</v>
      </c>
      <c r="CD35" s="102"/>
      <c r="CE35" s="102"/>
      <c r="CF35" s="103">
        <f t="shared" si="18"/>
        <v>0</v>
      </c>
      <c r="CG35" s="102"/>
      <c r="CH35" s="822">
        <f t="shared" si="39"/>
        <v>0</v>
      </c>
      <c r="CI35" s="127"/>
      <c r="CJ35" s="98" t="s">
        <v>44</v>
      </c>
      <c r="CK35" s="99" t="s">
        <v>44</v>
      </c>
      <c r="CL35" s="100">
        <f t="shared" si="19"/>
        <v>0</v>
      </c>
      <c r="CM35" s="107"/>
      <c r="CN35" s="108" t="s">
        <v>44</v>
      </c>
      <c r="CO35" s="99" t="s">
        <v>44</v>
      </c>
      <c r="CP35" s="100">
        <f t="shared" si="20"/>
        <v>0</v>
      </c>
      <c r="CQ35" s="97"/>
      <c r="CR35" s="98" t="s">
        <v>44</v>
      </c>
      <c r="CS35" s="99" t="s">
        <v>44</v>
      </c>
      <c r="CT35" s="100">
        <f t="shared" si="21"/>
        <v>0</v>
      </c>
      <c r="CU35" s="97"/>
      <c r="CV35" s="98" t="s">
        <v>44</v>
      </c>
      <c r="CW35" s="99" t="s">
        <v>44</v>
      </c>
      <c r="CX35" s="100"/>
      <c r="CY35" s="129"/>
      <c r="CZ35" s="110">
        <f t="shared" si="2"/>
        <v>0</v>
      </c>
      <c r="DA35" s="111">
        <f t="shared" si="2"/>
        <v>0</v>
      </c>
      <c r="DB35" s="112">
        <f t="shared" ref="DB35:DC38" si="51">(CZ35/4343)*100</f>
        <v>0</v>
      </c>
      <c r="DC35" s="113">
        <f t="shared" si="51"/>
        <v>0</v>
      </c>
      <c r="DD35" s="100">
        <f t="shared" ref="DD35:DF62" si="52">J35+AD35</f>
        <v>0</v>
      </c>
      <c r="DE35" s="102">
        <f t="shared" si="52"/>
        <v>0</v>
      </c>
      <c r="DF35" s="102" t="e">
        <f t="shared" si="52"/>
        <v>#VALUE!</v>
      </c>
      <c r="DG35" s="114" t="e">
        <f t="shared" si="49"/>
        <v>#VALUE!</v>
      </c>
      <c r="DH35" s="100">
        <f t="shared" si="49"/>
        <v>0</v>
      </c>
      <c r="DI35" s="97">
        <f t="shared" si="49"/>
        <v>0</v>
      </c>
      <c r="DJ35" s="97" t="e">
        <f t="shared" si="49"/>
        <v>#VALUE!</v>
      </c>
      <c r="DK35" s="97" t="e">
        <f t="shared" si="49"/>
        <v>#VALUE!</v>
      </c>
      <c r="DL35" s="100">
        <f t="shared" si="49"/>
        <v>0</v>
      </c>
      <c r="DM35" s="97">
        <f t="shared" si="49"/>
        <v>0</v>
      </c>
      <c r="DN35" s="97" t="e">
        <f t="shared" si="49"/>
        <v>#VALUE!</v>
      </c>
      <c r="DO35" s="115" t="e">
        <f t="shared" si="49"/>
        <v>#VALUE!</v>
      </c>
      <c r="DP35" s="100" t="e">
        <f t="shared" si="50"/>
        <v>#DIV/0!</v>
      </c>
      <c r="DQ35" s="116" t="e">
        <f t="shared" si="50"/>
        <v>#DIV/0!</v>
      </c>
      <c r="DR35" s="117">
        <f t="shared" si="32"/>
        <v>0</v>
      </c>
      <c r="DS35" s="118" t="e">
        <f t="shared" si="4"/>
        <v>#DIV/0!</v>
      </c>
      <c r="DT35" s="104" t="e">
        <f t="shared" si="5"/>
        <v>#VALUE!</v>
      </c>
      <c r="DU35" s="118" t="e">
        <f t="shared" si="6"/>
        <v>#VALUE!</v>
      </c>
      <c r="DV35" s="104">
        <f t="shared" si="7"/>
        <v>0</v>
      </c>
      <c r="DW35" s="119" t="e">
        <f t="shared" si="8"/>
        <v>#DIV/0!</v>
      </c>
      <c r="DX35" s="120" t="e">
        <f t="shared" si="9"/>
        <v>#VALUE!</v>
      </c>
      <c r="DY35" s="118" t="e">
        <f t="shared" si="10"/>
        <v>#VALUE!</v>
      </c>
      <c r="DZ35" s="104">
        <f t="shared" si="11"/>
        <v>0</v>
      </c>
      <c r="EA35" s="119" t="e">
        <f t="shared" si="12"/>
        <v>#DIV/0!</v>
      </c>
      <c r="EB35" s="120" t="e">
        <f t="shared" si="13"/>
        <v>#VALUE!</v>
      </c>
      <c r="EC35" s="118" t="e">
        <f t="shared" si="14"/>
        <v>#VALUE!</v>
      </c>
      <c r="ED35" s="104">
        <f t="shared" si="15"/>
        <v>0</v>
      </c>
      <c r="EE35" s="121">
        <v>0</v>
      </c>
      <c r="EF35" s="120" t="e">
        <f t="shared" si="16"/>
        <v>#VALUE!</v>
      </c>
      <c r="EG35" s="121" t="e">
        <f t="shared" si="17"/>
        <v>#VALUE!</v>
      </c>
      <c r="EH35" s="122" t="e">
        <f t="shared" si="33"/>
        <v>#DIV/0!</v>
      </c>
      <c r="EI35" s="123" t="e">
        <f t="shared" si="34"/>
        <v>#DIV/0!</v>
      </c>
    </row>
    <row r="36" spans="1:139" ht="15.75" customHeight="1" x14ac:dyDescent="0.25">
      <c r="A36" s="1070"/>
      <c r="B36" s="173"/>
      <c r="C36" s="91" t="s">
        <v>47</v>
      </c>
      <c r="D36" s="92">
        <v>9.5</v>
      </c>
      <c r="E36" s="93"/>
      <c r="F36" s="93">
        <v>0.44001852709587774</v>
      </c>
      <c r="G36" s="93"/>
      <c r="H36" s="158" t="s">
        <v>44</v>
      </c>
      <c r="I36" s="159" t="s">
        <v>44</v>
      </c>
      <c r="J36" s="96">
        <v>3664</v>
      </c>
      <c r="K36" s="97"/>
      <c r="L36" s="98" t="s">
        <v>44</v>
      </c>
      <c r="M36" s="99" t="s">
        <v>44</v>
      </c>
      <c r="N36" s="100">
        <v>3664</v>
      </c>
      <c r="O36" s="126"/>
      <c r="P36" s="158" t="s">
        <v>44</v>
      </c>
      <c r="Q36" s="159" t="s">
        <v>44</v>
      </c>
      <c r="R36" s="100">
        <v>0</v>
      </c>
      <c r="S36" s="97"/>
      <c r="T36" s="158" t="s">
        <v>44</v>
      </c>
      <c r="U36" s="159" t="s">
        <v>44</v>
      </c>
      <c r="V36" s="102">
        <v>386</v>
      </c>
      <c r="W36" s="102"/>
      <c r="X36" s="92">
        <v>12</v>
      </c>
      <c r="Y36" s="93"/>
      <c r="Z36" s="93">
        <v>0.5494505494505495</v>
      </c>
      <c r="AA36" s="93"/>
      <c r="AB36" s="158" t="s">
        <v>44</v>
      </c>
      <c r="AC36" s="159" t="s">
        <v>44</v>
      </c>
      <c r="AD36" s="96">
        <v>4395</v>
      </c>
      <c r="AE36" s="97"/>
      <c r="AF36" s="98" t="s">
        <v>44</v>
      </c>
      <c r="AG36" s="99" t="s">
        <v>44</v>
      </c>
      <c r="AH36" s="100">
        <v>4395</v>
      </c>
      <c r="AI36" s="126"/>
      <c r="AJ36" s="158" t="s">
        <v>44</v>
      </c>
      <c r="AK36" s="159" t="s">
        <v>44</v>
      </c>
      <c r="AL36" s="100">
        <v>0</v>
      </c>
      <c r="AM36" s="97"/>
      <c r="AN36" s="158" t="s">
        <v>44</v>
      </c>
      <c r="AO36" s="159" t="s">
        <v>44</v>
      </c>
      <c r="AP36" s="102">
        <v>366</v>
      </c>
      <c r="AQ36" s="102"/>
      <c r="AR36" s="92">
        <v>3</v>
      </c>
      <c r="AS36" s="93"/>
      <c r="AT36" s="822">
        <f t="shared" si="47"/>
        <v>1.358695652173913E-3</v>
      </c>
      <c r="AU36" s="93"/>
      <c r="AV36" s="158" t="s">
        <v>44</v>
      </c>
      <c r="AW36" s="159" t="s">
        <v>44</v>
      </c>
      <c r="AX36" s="96">
        <f t="shared" si="24"/>
        <v>815</v>
      </c>
      <c r="AY36" s="97"/>
      <c r="AZ36" s="98" t="s">
        <v>44</v>
      </c>
      <c r="BA36" s="99" t="s">
        <v>44</v>
      </c>
      <c r="BB36" s="100">
        <v>815</v>
      </c>
      <c r="BC36" s="126"/>
      <c r="BD36" s="158" t="s">
        <v>44</v>
      </c>
      <c r="BE36" s="159" t="s">
        <v>44</v>
      </c>
      <c r="BF36" s="100">
        <v>0</v>
      </c>
      <c r="BG36" s="97"/>
      <c r="BH36" s="158" t="s">
        <v>44</v>
      </c>
      <c r="BI36" s="159" t="s">
        <v>44</v>
      </c>
      <c r="BJ36" s="102">
        <f t="shared" si="25"/>
        <v>271.66666666666669</v>
      </c>
      <c r="BK36" s="102"/>
      <c r="BL36" s="92">
        <v>12</v>
      </c>
      <c r="BM36" s="93"/>
      <c r="BN36" s="822">
        <f t="shared" si="48"/>
        <v>5.432322317790856E-3</v>
      </c>
      <c r="BO36" s="93"/>
      <c r="BP36" s="158" t="s">
        <v>44</v>
      </c>
      <c r="BQ36" s="159" t="s">
        <v>44</v>
      </c>
      <c r="BR36" s="96">
        <f t="shared" si="27"/>
        <v>5107</v>
      </c>
      <c r="BS36" s="97"/>
      <c r="BT36" s="98" t="s">
        <v>44</v>
      </c>
      <c r="BU36" s="99" t="s">
        <v>44</v>
      </c>
      <c r="BV36" s="100">
        <v>5107</v>
      </c>
      <c r="BW36" s="126"/>
      <c r="BX36" s="158" t="s">
        <v>44</v>
      </c>
      <c r="BY36" s="159" t="s">
        <v>44</v>
      </c>
      <c r="BZ36" s="100">
        <v>0</v>
      </c>
      <c r="CA36" s="97"/>
      <c r="CB36" s="158" t="s">
        <v>44</v>
      </c>
      <c r="CC36" s="159" t="s">
        <v>44</v>
      </c>
      <c r="CD36" s="102">
        <f t="shared" si="42"/>
        <v>425.58333333333331</v>
      </c>
      <c r="CE36" s="102"/>
      <c r="CF36" s="103">
        <f t="shared" si="18"/>
        <v>36.5</v>
      </c>
      <c r="CG36" s="102"/>
      <c r="CH36" s="822">
        <f t="shared" si="39"/>
        <v>4.1666666666666666E-3</v>
      </c>
      <c r="CI36" s="127"/>
      <c r="CJ36" s="98" t="s">
        <v>44</v>
      </c>
      <c r="CK36" s="99" t="s">
        <v>44</v>
      </c>
      <c r="CL36" s="100">
        <f t="shared" si="19"/>
        <v>13981</v>
      </c>
      <c r="CM36" s="107"/>
      <c r="CN36" s="108" t="s">
        <v>44</v>
      </c>
      <c r="CO36" s="99" t="s">
        <v>44</v>
      </c>
      <c r="CP36" s="100">
        <f t="shared" si="20"/>
        <v>13981</v>
      </c>
      <c r="CQ36" s="97"/>
      <c r="CR36" s="98" t="s">
        <v>44</v>
      </c>
      <c r="CS36" s="99" t="s">
        <v>44</v>
      </c>
      <c r="CT36" s="100">
        <f t="shared" si="21"/>
        <v>0</v>
      </c>
      <c r="CU36" s="97"/>
      <c r="CV36" s="98" t="s">
        <v>44</v>
      </c>
      <c r="CW36" s="99" t="s">
        <v>44</v>
      </c>
      <c r="CX36" s="100">
        <f t="shared" si="22"/>
        <v>383.04109589041099</v>
      </c>
      <c r="CY36" s="174"/>
      <c r="CZ36" s="110">
        <f t="shared" si="2"/>
        <v>21.5</v>
      </c>
      <c r="DA36" s="111">
        <f t="shared" si="2"/>
        <v>0</v>
      </c>
      <c r="DB36" s="112">
        <f t="shared" si="51"/>
        <v>0.49504950495049505</v>
      </c>
      <c r="DC36" s="113">
        <f t="shared" si="51"/>
        <v>0</v>
      </c>
      <c r="DD36" s="100">
        <f t="shared" si="52"/>
        <v>8059</v>
      </c>
      <c r="DE36" s="102">
        <f t="shared" si="52"/>
        <v>0</v>
      </c>
      <c r="DF36" s="102" t="e">
        <f t="shared" si="52"/>
        <v>#VALUE!</v>
      </c>
      <c r="DG36" s="114" t="e">
        <f t="shared" si="49"/>
        <v>#VALUE!</v>
      </c>
      <c r="DH36" s="100">
        <f t="shared" si="49"/>
        <v>8059</v>
      </c>
      <c r="DI36" s="97">
        <f t="shared" si="49"/>
        <v>0</v>
      </c>
      <c r="DJ36" s="97" t="e">
        <f t="shared" si="49"/>
        <v>#VALUE!</v>
      </c>
      <c r="DK36" s="97" t="e">
        <f t="shared" si="49"/>
        <v>#VALUE!</v>
      </c>
      <c r="DL36" s="100">
        <f t="shared" si="49"/>
        <v>0</v>
      </c>
      <c r="DM36" s="97">
        <f t="shared" si="49"/>
        <v>0</v>
      </c>
      <c r="DN36" s="97" t="e">
        <f t="shared" si="49"/>
        <v>#VALUE!</v>
      </c>
      <c r="DO36" s="115" t="e">
        <f t="shared" si="49"/>
        <v>#VALUE!</v>
      </c>
      <c r="DP36" s="100">
        <f t="shared" si="50"/>
        <v>375</v>
      </c>
      <c r="DQ36" s="116" t="e">
        <f t="shared" si="50"/>
        <v>#DIV/0!</v>
      </c>
      <c r="DR36" s="117">
        <f t="shared" si="32"/>
        <v>21.5</v>
      </c>
      <c r="DS36" s="118">
        <f t="shared" si="4"/>
        <v>100</v>
      </c>
      <c r="DT36" s="104" t="e">
        <f t="shared" si="5"/>
        <v>#VALUE!</v>
      </c>
      <c r="DU36" s="118" t="e">
        <f t="shared" si="6"/>
        <v>#VALUE!</v>
      </c>
      <c r="DV36" s="104">
        <f t="shared" si="7"/>
        <v>8059</v>
      </c>
      <c r="DW36" s="119">
        <f t="shared" si="8"/>
        <v>100</v>
      </c>
      <c r="DX36" s="120" t="e">
        <f t="shared" si="9"/>
        <v>#VALUE!</v>
      </c>
      <c r="DY36" s="118" t="e">
        <f t="shared" si="10"/>
        <v>#VALUE!</v>
      </c>
      <c r="DZ36" s="104">
        <f t="shared" si="11"/>
        <v>8059</v>
      </c>
      <c r="EA36" s="119">
        <f t="shared" si="12"/>
        <v>100</v>
      </c>
      <c r="EB36" s="120" t="e">
        <f t="shared" si="13"/>
        <v>#VALUE!</v>
      </c>
      <c r="EC36" s="118" t="e">
        <f t="shared" si="14"/>
        <v>#VALUE!</v>
      </c>
      <c r="ED36" s="104">
        <f t="shared" si="15"/>
        <v>0</v>
      </c>
      <c r="EE36" s="121">
        <v>0</v>
      </c>
      <c r="EF36" s="120" t="e">
        <f t="shared" si="16"/>
        <v>#VALUE!</v>
      </c>
      <c r="EG36" s="121" t="e">
        <f t="shared" si="17"/>
        <v>#VALUE!</v>
      </c>
      <c r="EH36" s="122" t="e">
        <f t="shared" si="33"/>
        <v>#DIV/0!</v>
      </c>
      <c r="EI36" s="123" t="e">
        <f t="shared" si="34"/>
        <v>#DIV/0!</v>
      </c>
    </row>
    <row r="37" spans="1:139" ht="15.75" customHeight="1" x14ac:dyDescent="0.25">
      <c r="A37" s="1070"/>
      <c r="B37" s="173"/>
      <c r="C37" s="91" t="s">
        <v>48</v>
      </c>
      <c r="D37" s="92">
        <v>18.399999999999999</v>
      </c>
      <c r="E37" s="93"/>
      <c r="F37" s="93">
        <v>0.85224641037517368</v>
      </c>
      <c r="G37" s="93"/>
      <c r="H37" s="158" t="s">
        <v>44</v>
      </c>
      <c r="I37" s="159" t="s">
        <v>44</v>
      </c>
      <c r="J37" s="96">
        <v>9835</v>
      </c>
      <c r="K37" s="97"/>
      <c r="L37" s="98" t="s">
        <v>44</v>
      </c>
      <c r="M37" s="99" t="s">
        <v>44</v>
      </c>
      <c r="N37" s="100">
        <v>9835</v>
      </c>
      <c r="O37" s="126"/>
      <c r="P37" s="158" t="s">
        <v>44</v>
      </c>
      <c r="Q37" s="159" t="s">
        <v>44</v>
      </c>
      <c r="R37" s="100">
        <v>0</v>
      </c>
      <c r="S37" s="97"/>
      <c r="T37" s="158" t="s">
        <v>44</v>
      </c>
      <c r="U37" s="159" t="s">
        <v>44</v>
      </c>
      <c r="V37" s="102">
        <v>535</v>
      </c>
      <c r="W37" s="102"/>
      <c r="X37" s="92">
        <v>18.399999999999999</v>
      </c>
      <c r="Y37" s="93"/>
      <c r="Z37" s="93">
        <v>0.8424908424908425</v>
      </c>
      <c r="AA37" s="93"/>
      <c r="AB37" s="158" t="s">
        <v>44</v>
      </c>
      <c r="AC37" s="159" t="s">
        <v>44</v>
      </c>
      <c r="AD37" s="96">
        <v>9870</v>
      </c>
      <c r="AE37" s="97"/>
      <c r="AF37" s="98" t="s">
        <v>44</v>
      </c>
      <c r="AG37" s="99" t="s">
        <v>44</v>
      </c>
      <c r="AH37" s="100">
        <v>9870</v>
      </c>
      <c r="AI37" s="126"/>
      <c r="AJ37" s="158" t="s">
        <v>44</v>
      </c>
      <c r="AK37" s="159" t="s">
        <v>44</v>
      </c>
      <c r="AL37" s="100">
        <v>0</v>
      </c>
      <c r="AM37" s="97"/>
      <c r="AN37" s="158" t="s">
        <v>44</v>
      </c>
      <c r="AO37" s="159" t="s">
        <v>44</v>
      </c>
      <c r="AP37" s="102">
        <v>536</v>
      </c>
      <c r="AQ37" s="102"/>
      <c r="AR37" s="92">
        <v>18.399999999999999</v>
      </c>
      <c r="AS37" s="93"/>
      <c r="AT37" s="822">
        <f t="shared" si="47"/>
        <v>8.3333333333333332E-3</v>
      </c>
      <c r="AU37" s="93"/>
      <c r="AV37" s="158" t="s">
        <v>44</v>
      </c>
      <c r="AW37" s="159" t="s">
        <v>44</v>
      </c>
      <c r="AX37" s="96">
        <f t="shared" si="24"/>
        <v>5598.6</v>
      </c>
      <c r="AY37" s="97"/>
      <c r="AZ37" s="98" t="s">
        <v>44</v>
      </c>
      <c r="BA37" s="99" t="s">
        <v>44</v>
      </c>
      <c r="BB37" s="100">
        <f>5332*1.05</f>
        <v>5598.6</v>
      </c>
      <c r="BC37" s="126"/>
      <c r="BD37" s="158" t="s">
        <v>44</v>
      </c>
      <c r="BE37" s="159" t="s">
        <v>44</v>
      </c>
      <c r="BF37" s="100">
        <v>0</v>
      </c>
      <c r="BG37" s="97"/>
      <c r="BH37" s="158" t="s">
        <v>44</v>
      </c>
      <c r="BI37" s="159" t="s">
        <v>44</v>
      </c>
      <c r="BJ37" s="102">
        <f t="shared" si="25"/>
        <v>304.27173913043481</v>
      </c>
      <c r="BK37" s="102"/>
      <c r="BL37" s="92">
        <f>19.1+2.3</f>
        <v>21.400000000000002</v>
      </c>
      <c r="BM37" s="93"/>
      <c r="BN37" s="822">
        <f t="shared" si="48"/>
        <v>9.6876414667270271E-3</v>
      </c>
      <c r="BO37" s="93"/>
      <c r="BP37" s="158" t="s">
        <v>44</v>
      </c>
      <c r="BQ37" s="159" t="s">
        <v>44</v>
      </c>
      <c r="BR37" s="96">
        <f t="shared" si="27"/>
        <v>4635</v>
      </c>
      <c r="BS37" s="97"/>
      <c r="BT37" s="98" t="s">
        <v>44</v>
      </c>
      <c r="BU37" s="99" t="s">
        <v>44</v>
      </c>
      <c r="BV37" s="100">
        <f>2364+2271</f>
        <v>4635</v>
      </c>
      <c r="BW37" s="126"/>
      <c r="BX37" s="158" t="s">
        <v>44</v>
      </c>
      <c r="BY37" s="159" t="s">
        <v>44</v>
      </c>
      <c r="BZ37" s="100">
        <v>0</v>
      </c>
      <c r="CA37" s="97"/>
      <c r="CB37" s="158" t="s">
        <v>44</v>
      </c>
      <c r="CC37" s="159" t="s">
        <v>44</v>
      </c>
      <c r="CD37" s="102">
        <f t="shared" si="42"/>
        <v>216.58878504672896</v>
      </c>
      <c r="CE37" s="102"/>
      <c r="CF37" s="103">
        <f t="shared" si="18"/>
        <v>76.599999999999994</v>
      </c>
      <c r="CG37" s="102"/>
      <c r="CH37" s="822">
        <f t="shared" si="39"/>
        <v>8.744292237442922E-3</v>
      </c>
      <c r="CI37" s="127"/>
      <c r="CJ37" s="98" t="s">
        <v>44</v>
      </c>
      <c r="CK37" s="99" t="s">
        <v>44</v>
      </c>
      <c r="CL37" s="100">
        <f t="shared" si="19"/>
        <v>29938.6</v>
      </c>
      <c r="CM37" s="107"/>
      <c r="CN37" s="108" t="s">
        <v>44</v>
      </c>
      <c r="CO37" s="99" t="s">
        <v>44</v>
      </c>
      <c r="CP37" s="100">
        <f t="shared" si="20"/>
        <v>29938.6</v>
      </c>
      <c r="CQ37" s="97"/>
      <c r="CR37" s="98" t="s">
        <v>44</v>
      </c>
      <c r="CS37" s="99" t="s">
        <v>44</v>
      </c>
      <c r="CT37" s="100">
        <f t="shared" si="21"/>
        <v>0</v>
      </c>
      <c r="CU37" s="97"/>
      <c r="CV37" s="98" t="s">
        <v>44</v>
      </c>
      <c r="CW37" s="99" t="s">
        <v>44</v>
      </c>
      <c r="CX37" s="100">
        <f t="shared" si="22"/>
        <v>390.84334203655351</v>
      </c>
      <c r="CY37" s="174"/>
      <c r="CZ37" s="110">
        <f t="shared" si="2"/>
        <v>36.799999999999997</v>
      </c>
      <c r="DA37" s="111">
        <f t="shared" si="2"/>
        <v>0</v>
      </c>
      <c r="DB37" s="112">
        <f t="shared" si="51"/>
        <v>0.84734054800828917</v>
      </c>
      <c r="DC37" s="113">
        <f t="shared" si="51"/>
        <v>0</v>
      </c>
      <c r="DD37" s="100">
        <f t="shared" si="52"/>
        <v>19705</v>
      </c>
      <c r="DE37" s="102">
        <f t="shared" si="52"/>
        <v>0</v>
      </c>
      <c r="DF37" s="102" t="e">
        <f t="shared" si="52"/>
        <v>#VALUE!</v>
      </c>
      <c r="DG37" s="114" t="e">
        <f t="shared" si="49"/>
        <v>#VALUE!</v>
      </c>
      <c r="DH37" s="100">
        <f t="shared" si="49"/>
        <v>19705</v>
      </c>
      <c r="DI37" s="97">
        <f t="shared" si="49"/>
        <v>0</v>
      </c>
      <c r="DJ37" s="97" t="e">
        <f t="shared" si="49"/>
        <v>#VALUE!</v>
      </c>
      <c r="DK37" s="97" t="e">
        <f t="shared" si="49"/>
        <v>#VALUE!</v>
      </c>
      <c r="DL37" s="100">
        <f t="shared" si="49"/>
        <v>0</v>
      </c>
      <c r="DM37" s="97">
        <f t="shared" si="49"/>
        <v>0</v>
      </c>
      <c r="DN37" s="97" t="e">
        <f t="shared" si="49"/>
        <v>#VALUE!</v>
      </c>
      <c r="DO37" s="115" t="e">
        <f t="shared" si="49"/>
        <v>#VALUE!</v>
      </c>
      <c r="DP37" s="100">
        <f t="shared" si="50"/>
        <v>535</v>
      </c>
      <c r="DQ37" s="116" t="e">
        <f t="shared" si="50"/>
        <v>#DIV/0!</v>
      </c>
      <c r="DR37" s="117">
        <f t="shared" si="32"/>
        <v>36.799999999999997</v>
      </c>
      <c r="DS37" s="118">
        <f t="shared" si="4"/>
        <v>100</v>
      </c>
      <c r="DT37" s="104" t="e">
        <f t="shared" si="5"/>
        <v>#VALUE!</v>
      </c>
      <c r="DU37" s="118" t="e">
        <f t="shared" si="6"/>
        <v>#VALUE!</v>
      </c>
      <c r="DV37" s="104">
        <f t="shared" si="7"/>
        <v>19705</v>
      </c>
      <c r="DW37" s="119">
        <f t="shared" si="8"/>
        <v>100</v>
      </c>
      <c r="DX37" s="120" t="e">
        <f t="shared" si="9"/>
        <v>#VALUE!</v>
      </c>
      <c r="DY37" s="118" t="e">
        <f t="shared" si="10"/>
        <v>#VALUE!</v>
      </c>
      <c r="DZ37" s="104">
        <f t="shared" si="11"/>
        <v>19705</v>
      </c>
      <c r="EA37" s="119">
        <f t="shared" si="12"/>
        <v>100</v>
      </c>
      <c r="EB37" s="120" t="e">
        <f t="shared" si="13"/>
        <v>#VALUE!</v>
      </c>
      <c r="EC37" s="118" t="e">
        <f t="shared" si="14"/>
        <v>#VALUE!</v>
      </c>
      <c r="ED37" s="104">
        <f t="shared" si="15"/>
        <v>0</v>
      </c>
      <c r="EE37" s="121">
        <v>0</v>
      </c>
      <c r="EF37" s="120" t="e">
        <f t="shared" si="16"/>
        <v>#VALUE!</v>
      </c>
      <c r="EG37" s="121" t="e">
        <f t="shared" si="17"/>
        <v>#VALUE!</v>
      </c>
      <c r="EH37" s="122" t="e">
        <f t="shared" si="33"/>
        <v>#DIV/0!</v>
      </c>
      <c r="EI37" s="123" t="e">
        <f t="shared" si="34"/>
        <v>#DIV/0!</v>
      </c>
    </row>
    <row r="38" spans="1:139" ht="15.75" customHeight="1" x14ac:dyDescent="0.25">
      <c r="A38" s="1070"/>
      <c r="B38" s="169"/>
      <c r="C38" s="91" t="s">
        <v>49</v>
      </c>
      <c r="D38" s="92">
        <v>495.7</v>
      </c>
      <c r="E38" s="93"/>
      <c r="F38" s="93">
        <v>22.959703566465954</v>
      </c>
      <c r="G38" s="93"/>
      <c r="H38" s="158" t="s">
        <v>44</v>
      </c>
      <c r="I38" s="159" t="s">
        <v>44</v>
      </c>
      <c r="J38" s="96">
        <v>17818</v>
      </c>
      <c r="K38" s="97"/>
      <c r="L38" s="98" t="s">
        <v>44</v>
      </c>
      <c r="M38" s="99" t="s">
        <v>44</v>
      </c>
      <c r="N38" s="100">
        <v>17818</v>
      </c>
      <c r="O38" s="126"/>
      <c r="P38" s="158" t="s">
        <v>44</v>
      </c>
      <c r="Q38" s="159" t="s">
        <v>44</v>
      </c>
      <c r="R38" s="100">
        <v>0</v>
      </c>
      <c r="S38" s="97"/>
      <c r="T38" s="158" t="s">
        <v>44</v>
      </c>
      <c r="U38" s="159" t="s">
        <v>44</v>
      </c>
      <c r="V38" s="102">
        <v>36</v>
      </c>
      <c r="W38" s="102"/>
      <c r="X38" s="92">
        <v>459.8</v>
      </c>
      <c r="Y38" s="93"/>
      <c r="Z38" s="93">
        <v>21.053113553113555</v>
      </c>
      <c r="AA38" s="93"/>
      <c r="AB38" s="158" t="s">
        <v>44</v>
      </c>
      <c r="AC38" s="159" t="s">
        <v>44</v>
      </c>
      <c r="AD38" s="96">
        <v>14774</v>
      </c>
      <c r="AE38" s="97"/>
      <c r="AF38" s="98" t="s">
        <v>44</v>
      </c>
      <c r="AG38" s="99" t="s">
        <v>44</v>
      </c>
      <c r="AH38" s="100">
        <v>14774</v>
      </c>
      <c r="AI38" s="126"/>
      <c r="AJ38" s="158" t="s">
        <v>44</v>
      </c>
      <c r="AK38" s="159" t="s">
        <v>44</v>
      </c>
      <c r="AL38" s="100">
        <v>0</v>
      </c>
      <c r="AM38" s="97"/>
      <c r="AN38" s="158" t="s">
        <v>44</v>
      </c>
      <c r="AO38" s="159" t="s">
        <v>44</v>
      </c>
      <c r="AP38" s="102">
        <v>32</v>
      </c>
      <c r="AQ38" s="102"/>
      <c r="AR38" s="92">
        <v>370.5</v>
      </c>
      <c r="AS38" s="93"/>
      <c r="AT38" s="822">
        <f t="shared" si="47"/>
        <v>0.16779891304347827</v>
      </c>
      <c r="AU38" s="93"/>
      <c r="AV38" s="158" t="s">
        <v>44</v>
      </c>
      <c r="AW38" s="159" t="s">
        <v>44</v>
      </c>
      <c r="AX38" s="96">
        <f t="shared" si="24"/>
        <v>11335.800000000001</v>
      </c>
      <c r="AY38" s="97"/>
      <c r="AZ38" s="98" t="s">
        <v>44</v>
      </c>
      <c r="BA38" s="99" t="s">
        <v>44</v>
      </c>
      <c r="BB38" s="100">
        <f>10796*1.05</f>
        <v>11335.800000000001</v>
      </c>
      <c r="BC38" s="126"/>
      <c r="BD38" s="158" t="s">
        <v>44</v>
      </c>
      <c r="BE38" s="159" t="s">
        <v>44</v>
      </c>
      <c r="BF38" s="100">
        <v>0</v>
      </c>
      <c r="BG38" s="97"/>
      <c r="BH38" s="158" t="s">
        <v>44</v>
      </c>
      <c r="BI38" s="159" t="s">
        <v>44</v>
      </c>
      <c r="BJ38" s="102">
        <f t="shared" si="25"/>
        <v>30.595951417004052</v>
      </c>
      <c r="BK38" s="102"/>
      <c r="BL38" s="92">
        <v>451.3</v>
      </c>
      <c r="BM38" s="93"/>
      <c r="BN38" s="822">
        <f t="shared" si="48"/>
        <v>0.20430058850158445</v>
      </c>
      <c r="BO38" s="93"/>
      <c r="BP38" s="158" t="s">
        <v>44</v>
      </c>
      <c r="BQ38" s="159" t="s">
        <v>44</v>
      </c>
      <c r="BR38" s="96">
        <f t="shared" si="27"/>
        <v>14277.900000000001</v>
      </c>
      <c r="BS38" s="97"/>
      <c r="BT38" s="98" t="s">
        <v>44</v>
      </c>
      <c r="BU38" s="99" t="s">
        <v>44</v>
      </c>
      <c r="BV38" s="100">
        <f>13598*1.05</f>
        <v>14277.900000000001</v>
      </c>
      <c r="BW38" s="126"/>
      <c r="BX38" s="158" t="s">
        <v>44</v>
      </c>
      <c r="BY38" s="159" t="s">
        <v>44</v>
      </c>
      <c r="BZ38" s="100">
        <v>0</v>
      </c>
      <c r="CA38" s="97"/>
      <c r="CB38" s="158" t="s">
        <v>44</v>
      </c>
      <c r="CC38" s="159" t="s">
        <v>44</v>
      </c>
      <c r="CD38" s="102">
        <f t="shared" si="42"/>
        <v>31.63727010857523</v>
      </c>
      <c r="CE38" s="102"/>
      <c r="CF38" s="103">
        <f t="shared" si="18"/>
        <v>1777.3</v>
      </c>
      <c r="CG38" s="102"/>
      <c r="CH38" s="822">
        <f t="shared" si="39"/>
        <v>0.20288812785388127</v>
      </c>
      <c r="CI38" s="127"/>
      <c r="CJ38" s="98" t="s">
        <v>44</v>
      </c>
      <c r="CK38" s="99" t="s">
        <v>44</v>
      </c>
      <c r="CL38" s="100">
        <f t="shared" si="19"/>
        <v>58205.700000000004</v>
      </c>
      <c r="CM38" s="107"/>
      <c r="CN38" s="108" t="s">
        <v>44</v>
      </c>
      <c r="CO38" s="99" t="s">
        <v>44</v>
      </c>
      <c r="CP38" s="100">
        <f t="shared" si="20"/>
        <v>58205.700000000004</v>
      </c>
      <c r="CQ38" s="97"/>
      <c r="CR38" s="98" t="s">
        <v>44</v>
      </c>
      <c r="CS38" s="99" t="s">
        <v>44</v>
      </c>
      <c r="CT38" s="100">
        <f t="shared" si="21"/>
        <v>0</v>
      </c>
      <c r="CU38" s="97"/>
      <c r="CV38" s="98" t="s">
        <v>44</v>
      </c>
      <c r="CW38" s="99" t="s">
        <v>44</v>
      </c>
      <c r="CX38" s="100">
        <f t="shared" si="22"/>
        <v>32.749507680189055</v>
      </c>
      <c r="CY38" s="174"/>
      <c r="CZ38" s="110">
        <f t="shared" si="2"/>
        <v>955.5</v>
      </c>
      <c r="DA38" s="111">
        <f t="shared" si="2"/>
        <v>0</v>
      </c>
      <c r="DB38" s="112">
        <f t="shared" si="51"/>
        <v>22.00092102233479</v>
      </c>
      <c r="DC38" s="113">
        <f t="shared" si="51"/>
        <v>0</v>
      </c>
      <c r="DD38" s="100">
        <f t="shared" si="52"/>
        <v>32592</v>
      </c>
      <c r="DE38" s="102">
        <f t="shared" si="52"/>
        <v>0</v>
      </c>
      <c r="DF38" s="102" t="e">
        <f t="shared" si="52"/>
        <v>#VALUE!</v>
      </c>
      <c r="DG38" s="114" t="e">
        <f t="shared" si="49"/>
        <v>#VALUE!</v>
      </c>
      <c r="DH38" s="100">
        <f t="shared" si="49"/>
        <v>32592</v>
      </c>
      <c r="DI38" s="97">
        <f t="shared" si="49"/>
        <v>0</v>
      </c>
      <c r="DJ38" s="97" t="e">
        <f t="shared" si="49"/>
        <v>#VALUE!</v>
      </c>
      <c r="DK38" s="97" t="e">
        <f t="shared" si="49"/>
        <v>#VALUE!</v>
      </c>
      <c r="DL38" s="100">
        <f t="shared" si="49"/>
        <v>0</v>
      </c>
      <c r="DM38" s="97">
        <f t="shared" si="49"/>
        <v>0</v>
      </c>
      <c r="DN38" s="97" t="e">
        <f t="shared" si="49"/>
        <v>#VALUE!</v>
      </c>
      <c r="DO38" s="115" t="e">
        <f t="shared" si="49"/>
        <v>#VALUE!</v>
      </c>
      <c r="DP38" s="100">
        <f t="shared" si="50"/>
        <v>34</v>
      </c>
      <c r="DQ38" s="116" t="e">
        <f t="shared" si="50"/>
        <v>#DIV/0!</v>
      </c>
      <c r="DR38" s="117">
        <f t="shared" si="32"/>
        <v>955.5</v>
      </c>
      <c r="DS38" s="118">
        <f t="shared" si="4"/>
        <v>100</v>
      </c>
      <c r="DT38" s="104" t="e">
        <f t="shared" si="5"/>
        <v>#VALUE!</v>
      </c>
      <c r="DU38" s="118" t="e">
        <f t="shared" si="6"/>
        <v>#VALUE!</v>
      </c>
      <c r="DV38" s="104">
        <f t="shared" si="7"/>
        <v>32592</v>
      </c>
      <c r="DW38" s="119">
        <f t="shared" si="8"/>
        <v>100</v>
      </c>
      <c r="DX38" s="120" t="e">
        <f t="shared" si="9"/>
        <v>#VALUE!</v>
      </c>
      <c r="DY38" s="118" t="e">
        <f t="shared" si="10"/>
        <v>#VALUE!</v>
      </c>
      <c r="DZ38" s="104">
        <f t="shared" si="11"/>
        <v>32592</v>
      </c>
      <c r="EA38" s="119">
        <f t="shared" si="12"/>
        <v>100</v>
      </c>
      <c r="EB38" s="120" t="e">
        <f t="shared" si="13"/>
        <v>#VALUE!</v>
      </c>
      <c r="EC38" s="118" t="e">
        <f t="shared" si="14"/>
        <v>#VALUE!</v>
      </c>
      <c r="ED38" s="104">
        <f t="shared" si="15"/>
        <v>0</v>
      </c>
      <c r="EE38" s="121">
        <v>0</v>
      </c>
      <c r="EF38" s="120" t="e">
        <f t="shared" si="16"/>
        <v>#VALUE!</v>
      </c>
      <c r="EG38" s="121" t="e">
        <f t="shared" si="17"/>
        <v>#VALUE!</v>
      </c>
      <c r="EH38" s="122" t="e">
        <f t="shared" si="33"/>
        <v>#DIV/0!</v>
      </c>
      <c r="EI38" s="123" t="e">
        <f t="shared" si="34"/>
        <v>#DIV/0!</v>
      </c>
    </row>
    <row r="39" spans="1:139" s="157" customFormat="1" ht="27" customHeight="1" x14ac:dyDescent="0.25">
      <c r="A39" s="1070"/>
      <c r="B39" s="164" t="s">
        <v>55</v>
      </c>
      <c r="C39" s="165"/>
      <c r="D39" s="132">
        <v>1115.6999999999998</v>
      </c>
      <c r="E39" s="133"/>
      <c r="F39" s="133">
        <v>10.25751822670062</v>
      </c>
      <c r="G39" s="133"/>
      <c r="H39" s="134" t="s">
        <v>44</v>
      </c>
      <c r="I39" s="135" t="s">
        <v>44</v>
      </c>
      <c r="J39" s="136">
        <v>170139</v>
      </c>
      <c r="K39" s="86"/>
      <c r="L39" s="137" t="s">
        <v>44</v>
      </c>
      <c r="M39" s="138" t="s">
        <v>44</v>
      </c>
      <c r="N39" s="139">
        <v>157376</v>
      </c>
      <c r="O39" s="140"/>
      <c r="P39" s="134" t="s">
        <v>44</v>
      </c>
      <c r="Q39" s="135" t="s">
        <v>44</v>
      </c>
      <c r="R39" s="139">
        <v>12763</v>
      </c>
      <c r="S39" s="140"/>
      <c r="T39" s="134" t="s">
        <v>44</v>
      </c>
      <c r="U39" s="135" t="s">
        <v>44</v>
      </c>
      <c r="V39" s="141">
        <v>152</v>
      </c>
      <c r="W39" s="141"/>
      <c r="X39" s="132">
        <v>1118.8999999999999</v>
      </c>
      <c r="Y39" s="133"/>
      <c r="Z39" s="133">
        <v>10.193223952117627</v>
      </c>
      <c r="AA39" s="133"/>
      <c r="AB39" s="134" t="s">
        <v>44</v>
      </c>
      <c r="AC39" s="135" t="s">
        <v>44</v>
      </c>
      <c r="AD39" s="136">
        <v>155810</v>
      </c>
      <c r="AE39" s="86"/>
      <c r="AF39" s="137" t="s">
        <v>44</v>
      </c>
      <c r="AG39" s="138" t="s">
        <v>44</v>
      </c>
      <c r="AH39" s="139">
        <v>146660</v>
      </c>
      <c r="AI39" s="140"/>
      <c r="AJ39" s="134" t="s">
        <v>44</v>
      </c>
      <c r="AK39" s="135" t="s">
        <v>44</v>
      </c>
      <c r="AL39" s="139">
        <v>9150</v>
      </c>
      <c r="AM39" s="140"/>
      <c r="AN39" s="134" t="s">
        <v>44</v>
      </c>
      <c r="AO39" s="135" t="s">
        <v>44</v>
      </c>
      <c r="AP39" s="141">
        <v>139</v>
      </c>
      <c r="AQ39" s="141"/>
      <c r="AR39" s="132">
        <f>SUM(AR40:AR44)</f>
        <v>1034.3699999999999</v>
      </c>
      <c r="AS39" s="133"/>
      <c r="AT39" s="823">
        <f>AR39/11040</f>
        <v>9.3692934782608692E-2</v>
      </c>
      <c r="AU39" s="133"/>
      <c r="AV39" s="134" t="s">
        <v>44</v>
      </c>
      <c r="AW39" s="135" t="s">
        <v>44</v>
      </c>
      <c r="AX39" s="136">
        <f t="shared" si="24"/>
        <v>152260.80000000002</v>
      </c>
      <c r="AY39" s="86"/>
      <c r="AZ39" s="137" t="s">
        <v>44</v>
      </c>
      <c r="BA39" s="138" t="s">
        <v>44</v>
      </c>
      <c r="BB39" s="139">
        <f>SUM(BB40:BB44)</f>
        <v>141572.80000000002</v>
      </c>
      <c r="BC39" s="140"/>
      <c r="BD39" s="134" t="s">
        <v>44</v>
      </c>
      <c r="BE39" s="135" t="s">
        <v>44</v>
      </c>
      <c r="BF39" s="139">
        <f>SUM(BF40:BF44)</f>
        <v>10688</v>
      </c>
      <c r="BG39" s="140"/>
      <c r="BH39" s="134" t="s">
        <v>44</v>
      </c>
      <c r="BI39" s="135" t="s">
        <v>44</v>
      </c>
      <c r="BJ39" s="141">
        <f t="shared" si="25"/>
        <v>147.20148496186087</v>
      </c>
      <c r="BK39" s="141"/>
      <c r="BL39" s="132">
        <f>SUM(BL40:BL44)</f>
        <v>1170.9000000000001</v>
      </c>
      <c r="BM39" s="133"/>
      <c r="BN39" s="823">
        <f>BL39/11156.9</f>
        <v>0.10494850720182131</v>
      </c>
      <c r="BO39" s="133"/>
      <c r="BP39" s="134" t="s">
        <v>44</v>
      </c>
      <c r="BQ39" s="135" t="s">
        <v>44</v>
      </c>
      <c r="BR39" s="136">
        <f t="shared" si="27"/>
        <v>196747.81</v>
      </c>
      <c r="BS39" s="86"/>
      <c r="BT39" s="137" t="s">
        <v>44</v>
      </c>
      <c r="BU39" s="138" t="s">
        <v>44</v>
      </c>
      <c r="BV39" s="139">
        <f>SUM(BV40:BV44)</f>
        <v>183352.81</v>
      </c>
      <c r="BW39" s="140"/>
      <c r="BX39" s="134" t="s">
        <v>44</v>
      </c>
      <c r="BY39" s="135" t="s">
        <v>44</v>
      </c>
      <c r="BZ39" s="139">
        <f>SUM(BZ40:BZ44)</f>
        <v>13395</v>
      </c>
      <c r="CA39" s="140"/>
      <c r="CB39" s="134" t="s">
        <v>44</v>
      </c>
      <c r="CC39" s="135" t="s">
        <v>44</v>
      </c>
      <c r="CD39" s="141">
        <f t="shared" si="42"/>
        <v>168.0312665471005</v>
      </c>
      <c r="CE39" s="141"/>
      <c r="CF39" s="142">
        <f t="shared" si="18"/>
        <v>4439.87</v>
      </c>
      <c r="CG39" s="141"/>
      <c r="CH39" s="823">
        <f>CF39/44102.6</f>
        <v>0.10067138898840432</v>
      </c>
      <c r="CI39" s="143"/>
      <c r="CJ39" s="137" t="s">
        <v>44</v>
      </c>
      <c r="CK39" s="138" t="s">
        <v>44</v>
      </c>
      <c r="CL39" s="139">
        <f t="shared" si="19"/>
        <v>674957.61</v>
      </c>
      <c r="CM39" s="144"/>
      <c r="CN39" s="145" t="s">
        <v>44</v>
      </c>
      <c r="CO39" s="138" t="s">
        <v>44</v>
      </c>
      <c r="CP39" s="139">
        <f t="shared" si="20"/>
        <v>628961.61</v>
      </c>
      <c r="CQ39" s="140"/>
      <c r="CR39" s="137" t="s">
        <v>44</v>
      </c>
      <c r="CS39" s="138" t="s">
        <v>44</v>
      </c>
      <c r="CT39" s="139">
        <f t="shared" si="21"/>
        <v>45996</v>
      </c>
      <c r="CU39" s="140"/>
      <c r="CV39" s="137" t="s">
        <v>44</v>
      </c>
      <c r="CW39" s="138" t="s">
        <v>44</v>
      </c>
      <c r="CX39" s="139">
        <f t="shared" si="22"/>
        <v>152.02193082229886</v>
      </c>
      <c r="CY39" s="175"/>
      <c r="CZ39" s="147">
        <f t="shared" si="2"/>
        <v>2234.5999999999995</v>
      </c>
      <c r="DA39" s="148">
        <f t="shared" si="2"/>
        <v>0</v>
      </c>
      <c r="DB39" s="149" t="e">
        <f>(CZ39/#REF!)*100</f>
        <v>#REF!</v>
      </c>
      <c r="DC39" s="150" t="e">
        <f>(DA39/#REF!)*100</f>
        <v>#REF!</v>
      </c>
      <c r="DD39" s="139">
        <f t="shared" si="52"/>
        <v>325949</v>
      </c>
      <c r="DE39" s="141">
        <f t="shared" si="52"/>
        <v>0</v>
      </c>
      <c r="DF39" s="141" t="e">
        <f t="shared" si="52"/>
        <v>#VALUE!</v>
      </c>
      <c r="DG39" s="151" t="e">
        <f t="shared" si="49"/>
        <v>#VALUE!</v>
      </c>
      <c r="DH39" s="139">
        <f t="shared" si="49"/>
        <v>304036</v>
      </c>
      <c r="DI39" s="140">
        <f t="shared" si="49"/>
        <v>0</v>
      </c>
      <c r="DJ39" s="140" t="e">
        <f t="shared" si="49"/>
        <v>#VALUE!</v>
      </c>
      <c r="DK39" s="140" t="e">
        <f t="shared" si="49"/>
        <v>#VALUE!</v>
      </c>
      <c r="DL39" s="139">
        <f t="shared" si="49"/>
        <v>21913</v>
      </c>
      <c r="DM39" s="140">
        <f t="shared" si="49"/>
        <v>0</v>
      </c>
      <c r="DN39" s="140" t="e">
        <f t="shared" si="49"/>
        <v>#VALUE!</v>
      </c>
      <c r="DO39" s="152" t="e">
        <f t="shared" si="49"/>
        <v>#VALUE!</v>
      </c>
      <c r="DP39" s="139">
        <f t="shared" si="50"/>
        <v>146</v>
      </c>
      <c r="DQ39" s="153" t="e">
        <f t="shared" si="50"/>
        <v>#DIV/0!</v>
      </c>
      <c r="DR39" s="154">
        <f t="shared" si="32"/>
        <v>2234.5999999999995</v>
      </c>
      <c r="DS39" s="84">
        <f t="shared" si="4"/>
        <v>100</v>
      </c>
      <c r="DT39" s="79" t="e">
        <f t="shared" si="5"/>
        <v>#VALUE!</v>
      </c>
      <c r="DU39" s="84" t="e">
        <f t="shared" si="6"/>
        <v>#VALUE!</v>
      </c>
      <c r="DV39" s="79">
        <f t="shared" si="7"/>
        <v>325949</v>
      </c>
      <c r="DW39" s="85">
        <f t="shared" si="8"/>
        <v>100</v>
      </c>
      <c r="DX39" s="86" t="e">
        <f t="shared" si="9"/>
        <v>#VALUE!</v>
      </c>
      <c r="DY39" s="84" t="e">
        <f t="shared" si="10"/>
        <v>#VALUE!</v>
      </c>
      <c r="DZ39" s="79">
        <f t="shared" si="11"/>
        <v>304036</v>
      </c>
      <c r="EA39" s="85">
        <f t="shared" si="12"/>
        <v>100</v>
      </c>
      <c r="EB39" s="86" t="e">
        <f t="shared" si="13"/>
        <v>#VALUE!</v>
      </c>
      <c r="EC39" s="84" t="e">
        <f t="shared" si="14"/>
        <v>#VALUE!</v>
      </c>
      <c r="ED39" s="79">
        <f t="shared" si="15"/>
        <v>21913</v>
      </c>
      <c r="EE39" s="87">
        <f t="shared" ref="EE39:EE62" si="53">ABS((ED39/DL39)*100)</f>
        <v>100</v>
      </c>
      <c r="EF39" s="86" t="e">
        <f t="shared" si="16"/>
        <v>#VALUE!</v>
      </c>
      <c r="EG39" s="87" t="e">
        <f t="shared" si="17"/>
        <v>#VALUE!</v>
      </c>
      <c r="EH39" s="155" t="e">
        <f t="shared" si="33"/>
        <v>#DIV/0!</v>
      </c>
      <c r="EI39" s="156" t="e">
        <f t="shared" si="34"/>
        <v>#DIV/0!</v>
      </c>
    </row>
    <row r="40" spans="1:139" s="124" customFormat="1" ht="15.75" customHeight="1" x14ac:dyDescent="0.25">
      <c r="A40" s="1070"/>
      <c r="B40" s="90"/>
      <c r="C40" s="91" t="s">
        <v>45</v>
      </c>
      <c r="D40" s="92">
        <v>245.39999999999998</v>
      </c>
      <c r="E40" s="93"/>
      <c r="F40" s="93">
        <v>11.366373320981934</v>
      </c>
      <c r="G40" s="93"/>
      <c r="H40" s="158" t="s">
        <v>44</v>
      </c>
      <c r="I40" s="159" t="s">
        <v>44</v>
      </c>
      <c r="J40" s="96">
        <v>56468</v>
      </c>
      <c r="K40" s="97"/>
      <c r="L40" s="98" t="s">
        <v>44</v>
      </c>
      <c r="M40" s="99" t="s">
        <v>44</v>
      </c>
      <c r="N40" s="100">
        <v>52627</v>
      </c>
      <c r="O40" s="101"/>
      <c r="P40" s="158" t="s">
        <v>44</v>
      </c>
      <c r="Q40" s="159" t="s">
        <v>44</v>
      </c>
      <c r="R40" s="100">
        <v>3841</v>
      </c>
      <c r="S40" s="97"/>
      <c r="T40" s="158" t="s">
        <v>44</v>
      </c>
      <c r="U40" s="159" t="s">
        <v>44</v>
      </c>
      <c r="V40" s="102">
        <v>230</v>
      </c>
      <c r="W40" s="102"/>
      <c r="X40" s="92">
        <v>253.59999999999997</v>
      </c>
      <c r="Y40" s="93"/>
      <c r="Z40" s="93">
        <v>11.611721611721611</v>
      </c>
      <c r="AA40" s="93"/>
      <c r="AB40" s="158" t="s">
        <v>44</v>
      </c>
      <c r="AC40" s="159" t="s">
        <v>44</v>
      </c>
      <c r="AD40" s="96">
        <v>55033</v>
      </c>
      <c r="AE40" s="97"/>
      <c r="AF40" s="98" t="s">
        <v>44</v>
      </c>
      <c r="AG40" s="99" t="s">
        <v>44</v>
      </c>
      <c r="AH40" s="100">
        <v>51102</v>
      </c>
      <c r="AI40" s="101"/>
      <c r="AJ40" s="158" t="s">
        <v>44</v>
      </c>
      <c r="AK40" s="159" t="s">
        <v>44</v>
      </c>
      <c r="AL40" s="100">
        <v>3931</v>
      </c>
      <c r="AM40" s="97"/>
      <c r="AN40" s="158" t="s">
        <v>44</v>
      </c>
      <c r="AO40" s="159" t="s">
        <v>44</v>
      </c>
      <c r="AP40" s="102">
        <v>217</v>
      </c>
      <c r="AQ40" s="102"/>
      <c r="AR40" s="92">
        <v>217.8</v>
      </c>
      <c r="AS40" s="93"/>
      <c r="AT40" s="822">
        <f t="shared" ref="AT40:AT42" si="54">AR40/2208</f>
        <v>9.8641304347826086E-2</v>
      </c>
      <c r="AU40" s="93"/>
      <c r="AV40" s="158" t="s">
        <v>44</v>
      </c>
      <c r="AW40" s="159" t="s">
        <v>44</v>
      </c>
      <c r="AX40" s="96">
        <f t="shared" si="24"/>
        <v>50914.3</v>
      </c>
      <c r="AY40" s="97"/>
      <c r="AZ40" s="98" t="s">
        <v>44</v>
      </c>
      <c r="BA40" s="99" t="s">
        <v>44</v>
      </c>
      <c r="BB40" s="100">
        <f>43455*1.06</f>
        <v>46062.3</v>
      </c>
      <c r="BC40" s="101"/>
      <c r="BD40" s="158" t="s">
        <v>44</v>
      </c>
      <c r="BE40" s="159" t="s">
        <v>44</v>
      </c>
      <c r="BF40" s="100">
        <v>4852</v>
      </c>
      <c r="BG40" s="97"/>
      <c r="BH40" s="158" t="s">
        <v>44</v>
      </c>
      <c r="BI40" s="159" t="s">
        <v>44</v>
      </c>
      <c r="BJ40" s="102">
        <f t="shared" si="25"/>
        <v>233.76629935720845</v>
      </c>
      <c r="BK40" s="102"/>
      <c r="BL40" s="92">
        <v>271.39999999999998</v>
      </c>
      <c r="BM40" s="93"/>
      <c r="BN40" s="822">
        <f t="shared" ref="BN40:BN44" si="55">BL40/2209</f>
        <v>0.12286102308736985</v>
      </c>
      <c r="BO40" s="93"/>
      <c r="BP40" s="158" t="s">
        <v>44</v>
      </c>
      <c r="BQ40" s="159" t="s">
        <v>44</v>
      </c>
      <c r="BR40" s="96">
        <f t="shared" si="27"/>
        <v>77963.86</v>
      </c>
      <c r="BS40" s="97"/>
      <c r="BT40" s="98" t="s">
        <v>44</v>
      </c>
      <c r="BU40" s="99" t="s">
        <v>44</v>
      </c>
      <c r="BV40" s="100">
        <f>69331*1.06</f>
        <v>73490.86</v>
      </c>
      <c r="BW40" s="101"/>
      <c r="BX40" s="158" t="s">
        <v>44</v>
      </c>
      <c r="BY40" s="159" t="s">
        <v>44</v>
      </c>
      <c r="BZ40" s="100">
        <v>4473</v>
      </c>
      <c r="CA40" s="97"/>
      <c r="CB40" s="158" t="s">
        <v>44</v>
      </c>
      <c r="CC40" s="159" t="s">
        <v>44</v>
      </c>
      <c r="CD40" s="102">
        <f t="shared" si="42"/>
        <v>287.26551215917465</v>
      </c>
      <c r="CE40" s="102"/>
      <c r="CF40" s="103">
        <f t="shared" si="18"/>
        <v>988.19999999999993</v>
      </c>
      <c r="CG40" s="102"/>
      <c r="CH40" s="822">
        <f t="shared" si="39"/>
        <v>0.11280821917808219</v>
      </c>
      <c r="CI40" s="127"/>
      <c r="CJ40" s="98" t="s">
        <v>44</v>
      </c>
      <c r="CK40" s="99" t="s">
        <v>44</v>
      </c>
      <c r="CL40" s="100">
        <f t="shared" si="19"/>
        <v>240379.16</v>
      </c>
      <c r="CM40" s="107"/>
      <c r="CN40" s="108" t="s">
        <v>44</v>
      </c>
      <c r="CO40" s="99" t="s">
        <v>44</v>
      </c>
      <c r="CP40" s="100">
        <f t="shared" si="20"/>
        <v>223282.16</v>
      </c>
      <c r="CQ40" s="97"/>
      <c r="CR40" s="98" t="s">
        <v>44</v>
      </c>
      <c r="CS40" s="99" t="s">
        <v>44</v>
      </c>
      <c r="CT40" s="100">
        <f t="shared" si="21"/>
        <v>17097</v>
      </c>
      <c r="CU40" s="97"/>
      <c r="CV40" s="98" t="s">
        <v>44</v>
      </c>
      <c r="CW40" s="99" t="s">
        <v>44</v>
      </c>
      <c r="CX40" s="100">
        <f t="shared" si="22"/>
        <v>243.24950414895773</v>
      </c>
      <c r="CY40" s="174"/>
      <c r="CZ40" s="110">
        <f t="shared" si="2"/>
        <v>498.99999999999994</v>
      </c>
      <c r="DA40" s="111">
        <f t="shared" si="2"/>
        <v>0</v>
      </c>
      <c r="DB40" s="112">
        <f>(CZ40/4343)*100</f>
        <v>11.489753626525442</v>
      </c>
      <c r="DC40" s="113">
        <f>(DA40/4343)*100</f>
        <v>0</v>
      </c>
      <c r="DD40" s="100">
        <f t="shared" si="52"/>
        <v>111501</v>
      </c>
      <c r="DE40" s="102">
        <f t="shared" si="52"/>
        <v>0</v>
      </c>
      <c r="DF40" s="102" t="e">
        <f t="shared" si="52"/>
        <v>#VALUE!</v>
      </c>
      <c r="DG40" s="114" t="e">
        <f t="shared" si="49"/>
        <v>#VALUE!</v>
      </c>
      <c r="DH40" s="100">
        <f t="shared" si="49"/>
        <v>103729</v>
      </c>
      <c r="DI40" s="97">
        <f t="shared" si="49"/>
        <v>0</v>
      </c>
      <c r="DJ40" s="97" t="e">
        <f t="shared" si="49"/>
        <v>#VALUE!</v>
      </c>
      <c r="DK40" s="97" t="e">
        <f t="shared" si="49"/>
        <v>#VALUE!</v>
      </c>
      <c r="DL40" s="100">
        <f t="shared" si="49"/>
        <v>7772</v>
      </c>
      <c r="DM40" s="97">
        <f t="shared" si="49"/>
        <v>0</v>
      </c>
      <c r="DN40" s="97" t="e">
        <f t="shared" si="49"/>
        <v>#VALUE!</v>
      </c>
      <c r="DO40" s="115" t="e">
        <f t="shared" si="49"/>
        <v>#VALUE!</v>
      </c>
      <c r="DP40" s="100">
        <f t="shared" si="50"/>
        <v>223</v>
      </c>
      <c r="DQ40" s="116" t="e">
        <f t="shared" si="50"/>
        <v>#DIV/0!</v>
      </c>
      <c r="DR40" s="117">
        <f t="shared" si="32"/>
        <v>498.99999999999994</v>
      </c>
      <c r="DS40" s="118">
        <f t="shared" si="4"/>
        <v>100</v>
      </c>
      <c r="DT40" s="104" t="e">
        <f t="shared" si="5"/>
        <v>#VALUE!</v>
      </c>
      <c r="DU40" s="118" t="e">
        <f t="shared" si="6"/>
        <v>#VALUE!</v>
      </c>
      <c r="DV40" s="104">
        <f t="shared" si="7"/>
        <v>111501</v>
      </c>
      <c r="DW40" s="119">
        <f t="shared" si="8"/>
        <v>100</v>
      </c>
      <c r="DX40" s="120" t="e">
        <f t="shared" si="9"/>
        <v>#VALUE!</v>
      </c>
      <c r="DY40" s="118" t="e">
        <f t="shared" si="10"/>
        <v>#VALUE!</v>
      </c>
      <c r="DZ40" s="104">
        <f t="shared" si="11"/>
        <v>103729</v>
      </c>
      <c r="EA40" s="119">
        <f t="shared" si="12"/>
        <v>100</v>
      </c>
      <c r="EB40" s="120" t="e">
        <f t="shared" si="13"/>
        <v>#VALUE!</v>
      </c>
      <c r="EC40" s="118" t="e">
        <f t="shared" si="14"/>
        <v>#VALUE!</v>
      </c>
      <c r="ED40" s="104">
        <f t="shared" si="15"/>
        <v>7772</v>
      </c>
      <c r="EE40" s="121">
        <f t="shared" si="53"/>
        <v>100</v>
      </c>
      <c r="EF40" s="120" t="e">
        <f t="shared" si="16"/>
        <v>#VALUE!</v>
      </c>
      <c r="EG40" s="121" t="e">
        <f t="shared" si="17"/>
        <v>#VALUE!</v>
      </c>
      <c r="EH40" s="122" t="e">
        <f t="shared" si="33"/>
        <v>#DIV/0!</v>
      </c>
      <c r="EI40" s="123" t="e">
        <f t="shared" si="34"/>
        <v>#DIV/0!</v>
      </c>
    </row>
    <row r="41" spans="1:139" ht="15.75" customHeight="1" x14ac:dyDescent="0.25">
      <c r="A41" s="1070"/>
      <c r="B41" s="169"/>
      <c r="C41" s="91" t="s">
        <v>46</v>
      </c>
      <c r="D41" s="92">
        <v>151.69999999999999</v>
      </c>
      <c r="E41" s="93"/>
      <c r="F41" s="93">
        <v>7.0264011116257521</v>
      </c>
      <c r="G41" s="93"/>
      <c r="H41" s="158" t="s">
        <v>44</v>
      </c>
      <c r="I41" s="159" t="s">
        <v>44</v>
      </c>
      <c r="J41" s="96">
        <v>11845</v>
      </c>
      <c r="K41" s="97"/>
      <c r="L41" s="98" t="s">
        <v>44</v>
      </c>
      <c r="M41" s="99" t="s">
        <v>44</v>
      </c>
      <c r="N41" s="100">
        <v>11845</v>
      </c>
      <c r="O41" s="126"/>
      <c r="P41" s="158" t="s">
        <v>44</v>
      </c>
      <c r="Q41" s="159" t="s">
        <v>44</v>
      </c>
      <c r="R41" s="100">
        <v>0</v>
      </c>
      <c r="S41" s="97"/>
      <c r="T41" s="158" t="s">
        <v>44</v>
      </c>
      <c r="U41" s="159" t="s">
        <v>44</v>
      </c>
      <c r="V41" s="102">
        <v>78</v>
      </c>
      <c r="W41" s="102"/>
      <c r="X41" s="92">
        <v>164.3</v>
      </c>
      <c r="Y41" s="93"/>
      <c r="Z41" s="93">
        <v>7.5228937728937737</v>
      </c>
      <c r="AA41" s="93"/>
      <c r="AB41" s="158" t="s">
        <v>44</v>
      </c>
      <c r="AC41" s="159" t="s">
        <v>44</v>
      </c>
      <c r="AD41" s="96">
        <v>14098</v>
      </c>
      <c r="AE41" s="97"/>
      <c r="AF41" s="98" t="s">
        <v>44</v>
      </c>
      <c r="AG41" s="99" t="s">
        <v>44</v>
      </c>
      <c r="AH41" s="100">
        <v>14098</v>
      </c>
      <c r="AI41" s="126"/>
      <c r="AJ41" s="158" t="s">
        <v>44</v>
      </c>
      <c r="AK41" s="159" t="s">
        <v>44</v>
      </c>
      <c r="AL41" s="100">
        <v>0</v>
      </c>
      <c r="AM41" s="97"/>
      <c r="AN41" s="158" t="s">
        <v>44</v>
      </c>
      <c r="AO41" s="159" t="s">
        <v>44</v>
      </c>
      <c r="AP41" s="102">
        <v>86</v>
      </c>
      <c r="AQ41" s="102"/>
      <c r="AR41" s="92">
        <v>146.6</v>
      </c>
      <c r="AS41" s="93"/>
      <c r="AT41" s="822">
        <f t="shared" si="54"/>
        <v>6.6394927536231885E-2</v>
      </c>
      <c r="AU41" s="93"/>
      <c r="AV41" s="158" t="s">
        <v>44</v>
      </c>
      <c r="AW41" s="159" t="s">
        <v>44</v>
      </c>
      <c r="AX41" s="96">
        <f t="shared" si="24"/>
        <v>14066.800000000001</v>
      </c>
      <c r="AY41" s="97"/>
      <c r="AZ41" s="98" t="s">
        <v>44</v>
      </c>
      <c r="BA41" s="99" t="s">
        <v>44</v>
      </c>
      <c r="BB41" s="100">
        <f>12788*1.1</f>
        <v>14066.800000000001</v>
      </c>
      <c r="BC41" s="126"/>
      <c r="BD41" s="158" t="s">
        <v>44</v>
      </c>
      <c r="BE41" s="159" t="s">
        <v>44</v>
      </c>
      <c r="BF41" s="100">
        <v>0</v>
      </c>
      <c r="BG41" s="97"/>
      <c r="BH41" s="158" t="s">
        <v>44</v>
      </c>
      <c r="BI41" s="159" t="s">
        <v>44</v>
      </c>
      <c r="BJ41" s="102">
        <f t="shared" si="25"/>
        <v>95.95361527967259</v>
      </c>
      <c r="BK41" s="102"/>
      <c r="BL41" s="92">
        <v>155.1</v>
      </c>
      <c r="BM41" s="93"/>
      <c r="BN41" s="822">
        <f t="shared" si="55"/>
        <v>7.0212765957446813E-2</v>
      </c>
      <c r="BO41" s="93"/>
      <c r="BP41" s="158" t="s">
        <v>44</v>
      </c>
      <c r="BQ41" s="159" t="s">
        <v>44</v>
      </c>
      <c r="BR41" s="96">
        <f t="shared" si="27"/>
        <v>13688.400000000001</v>
      </c>
      <c r="BS41" s="97"/>
      <c r="BT41" s="98" t="s">
        <v>44</v>
      </c>
      <c r="BU41" s="99" t="s">
        <v>44</v>
      </c>
      <c r="BV41" s="100">
        <f>12444*1.1</f>
        <v>13688.400000000001</v>
      </c>
      <c r="BW41" s="126"/>
      <c r="BX41" s="158" t="s">
        <v>44</v>
      </c>
      <c r="BY41" s="159" t="s">
        <v>44</v>
      </c>
      <c r="BZ41" s="100"/>
      <c r="CA41" s="97"/>
      <c r="CB41" s="158" t="s">
        <v>44</v>
      </c>
      <c r="CC41" s="159" t="s">
        <v>44</v>
      </c>
      <c r="CD41" s="102">
        <f t="shared" si="42"/>
        <v>88.255319148936181</v>
      </c>
      <c r="CE41" s="102"/>
      <c r="CF41" s="103">
        <f t="shared" si="18"/>
        <v>617.70000000000005</v>
      </c>
      <c r="CG41" s="102"/>
      <c r="CH41" s="822">
        <f t="shared" si="39"/>
        <v>7.0513698630136998E-2</v>
      </c>
      <c r="CI41" s="127"/>
      <c r="CJ41" s="98" t="s">
        <v>44</v>
      </c>
      <c r="CK41" s="99" t="s">
        <v>44</v>
      </c>
      <c r="CL41" s="100">
        <f t="shared" si="19"/>
        <v>53698.200000000004</v>
      </c>
      <c r="CM41" s="107"/>
      <c r="CN41" s="108" t="s">
        <v>44</v>
      </c>
      <c r="CO41" s="99" t="s">
        <v>44</v>
      </c>
      <c r="CP41" s="100">
        <f t="shared" si="20"/>
        <v>53698.200000000004</v>
      </c>
      <c r="CQ41" s="97"/>
      <c r="CR41" s="98" t="s">
        <v>44</v>
      </c>
      <c r="CS41" s="99" t="s">
        <v>44</v>
      </c>
      <c r="CT41" s="100">
        <f t="shared" si="21"/>
        <v>0</v>
      </c>
      <c r="CU41" s="97"/>
      <c r="CV41" s="98" t="s">
        <v>44</v>
      </c>
      <c r="CW41" s="99" t="s">
        <v>44</v>
      </c>
      <c r="CX41" s="100">
        <f t="shared" si="22"/>
        <v>86.932491500728503</v>
      </c>
      <c r="CY41" s="174"/>
      <c r="CZ41" s="110">
        <f t="shared" si="2"/>
        <v>316</v>
      </c>
      <c r="DA41" s="111">
        <f t="shared" si="2"/>
        <v>0</v>
      </c>
      <c r="DB41" s="112">
        <f t="shared" ref="DB41:DC44" si="56">(CZ41/4343)*100</f>
        <v>7.2760764448537882</v>
      </c>
      <c r="DC41" s="113">
        <f t="shared" si="56"/>
        <v>0</v>
      </c>
      <c r="DD41" s="100">
        <f t="shared" si="52"/>
        <v>25943</v>
      </c>
      <c r="DE41" s="102">
        <f t="shared" si="52"/>
        <v>0</v>
      </c>
      <c r="DF41" s="102" t="e">
        <f t="shared" si="52"/>
        <v>#VALUE!</v>
      </c>
      <c r="DG41" s="114" t="e">
        <f t="shared" si="49"/>
        <v>#VALUE!</v>
      </c>
      <c r="DH41" s="100">
        <f t="shared" si="49"/>
        <v>25943</v>
      </c>
      <c r="DI41" s="97">
        <f t="shared" si="49"/>
        <v>0</v>
      </c>
      <c r="DJ41" s="97" t="e">
        <f t="shared" si="49"/>
        <v>#VALUE!</v>
      </c>
      <c r="DK41" s="97" t="e">
        <f t="shared" si="49"/>
        <v>#VALUE!</v>
      </c>
      <c r="DL41" s="100">
        <f t="shared" si="49"/>
        <v>0</v>
      </c>
      <c r="DM41" s="97">
        <f t="shared" si="49"/>
        <v>0</v>
      </c>
      <c r="DN41" s="97" t="e">
        <f t="shared" si="49"/>
        <v>#VALUE!</v>
      </c>
      <c r="DO41" s="115" t="e">
        <f t="shared" si="49"/>
        <v>#VALUE!</v>
      </c>
      <c r="DP41" s="100">
        <f t="shared" si="50"/>
        <v>82</v>
      </c>
      <c r="DQ41" s="116" t="e">
        <f t="shared" si="50"/>
        <v>#DIV/0!</v>
      </c>
      <c r="DR41" s="117">
        <f t="shared" si="32"/>
        <v>316</v>
      </c>
      <c r="DS41" s="118">
        <f t="shared" si="4"/>
        <v>100</v>
      </c>
      <c r="DT41" s="104" t="e">
        <f t="shared" si="5"/>
        <v>#VALUE!</v>
      </c>
      <c r="DU41" s="118" t="e">
        <f t="shared" si="6"/>
        <v>#VALUE!</v>
      </c>
      <c r="DV41" s="104">
        <f t="shared" si="7"/>
        <v>25943</v>
      </c>
      <c r="DW41" s="119">
        <f t="shared" si="8"/>
        <v>100</v>
      </c>
      <c r="DX41" s="120" t="e">
        <f t="shared" si="9"/>
        <v>#VALUE!</v>
      </c>
      <c r="DY41" s="118" t="e">
        <f t="shared" si="10"/>
        <v>#VALUE!</v>
      </c>
      <c r="DZ41" s="104">
        <f t="shared" si="11"/>
        <v>25943</v>
      </c>
      <c r="EA41" s="119">
        <f t="shared" si="12"/>
        <v>100</v>
      </c>
      <c r="EB41" s="120" t="e">
        <f t="shared" si="13"/>
        <v>#VALUE!</v>
      </c>
      <c r="EC41" s="118" t="e">
        <f t="shared" si="14"/>
        <v>#VALUE!</v>
      </c>
      <c r="ED41" s="104">
        <f t="shared" si="15"/>
        <v>0</v>
      </c>
      <c r="EE41" s="121">
        <v>0</v>
      </c>
      <c r="EF41" s="120" t="e">
        <f t="shared" si="16"/>
        <v>#VALUE!</v>
      </c>
      <c r="EG41" s="121" t="e">
        <f t="shared" si="17"/>
        <v>#VALUE!</v>
      </c>
      <c r="EH41" s="122" t="e">
        <f t="shared" si="33"/>
        <v>#DIV/0!</v>
      </c>
      <c r="EI41" s="123" t="e">
        <f t="shared" si="34"/>
        <v>#DIV/0!</v>
      </c>
    </row>
    <row r="42" spans="1:139" ht="15.75" customHeight="1" x14ac:dyDescent="0.25">
      <c r="A42" s="1070"/>
      <c r="B42" s="169"/>
      <c r="C42" s="91" t="s">
        <v>47</v>
      </c>
      <c r="D42" s="92">
        <v>541.70000000000005</v>
      </c>
      <c r="E42" s="93"/>
      <c r="F42" s="93">
        <v>25.090319592403894</v>
      </c>
      <c r="G42" s="93"/>
      <c r="H42" s="158" t="s">
        <v>44</v>
      </c>
      <c r="I42" s="159" t="s">
        <v>44</v>
      </c>
      <c r="J42" s="96">
        <v>73969</v>
      </c>
      <c r="K42" s="97"/>
      <c r="L42" s="98" t="s">
        <v>44</v>
      </c>
      <c r="M42" s="99" t="s">
        <v>44</v>
      </c>
      <c r="N42" s="100">
        <v>73969</v>
      </c>
      <c r="O42" s="126"/>
      <c r="P42" s="158" t="s">
        <v>44</v>
      </c>
      <c r="Q42" s="159" t="s">
        <v>44</v>
      </c>
      <c r="R42" s="100">
        <v>0</v>
      </c>
      <c r="S42" s="97"/>
      <c r="T42" s="158" t="s">
        <v>44</v>
      </c>
      <c r="U42" s="159" t="s">
        <v>44</v>
      </c>
      <c r="V42" s="102">
        <v>137</v>
      </c>
      <c r="W42" s="102"/>
      <c r="X42" s="92">
        <v>533.9</v>
      </c>
      <c r="Y42" s="93"/>
      <c r="Z42" s="93">
        <v>24.445970695970693</v>
      </c>
      <c r="AA42" s="93"/>
      <c r="AB42" s="158" t="s">
        <v>44</v>
      </c>
      <c r="AC42" s="159" t="s">
        <v>44</v>
      </c>
      <c r="AD42" s="96">
        <v>62675</v>
      </c>
      <c r="AE42" s="97"/>
      <c r="AF42" s="98" t="s">
        <v>44</v>
      </c>
      <c r="AG42" s="99" t="s">
        <v>44</v>
      </c>
      <c r="AH42" s="100">
        <v>62675</v>
      </c>
      <c r="AI42" s="126"/>
      <c r="AJ42" s="158" t="s">
        <v>44</v>
      </c>
      <c r="AK42" s="159" t="s">
        <v>44</v>
      </c>
      <c r="AL42" s="100">
        <v>0</v>
      </c>
      <c r="AM42" s="97"/>
      <c r="AN42" s="158" t="s">
        <v>44</v>
      </c>
      <c r="AO42" s="159" t="s">
        <v>44</v>
      </c>
      <c r="AP42" s="102">
        <v>117</v>
      </c>
      <c r="AQ42" s="102"/>
      <c r="AR42" s="92">
        <v>519.9</v>
      </c>
      <c r="AS42" s="93"/>
      <c r="AT42" s="822">
        <f t="shared" si="54"/>
        <v>0.23546195652173912</v>
      </c>
      <c r="AU42" s="93"/>
      <c r="AV42" s="158" t="s">
        <v>44</v>
      </c>
      <c r="AW42" s="159" t="s">
        <v>44</v>
      </c>
      <c r="AX42" s="96">
        <f t="shared" si="24"/>
        <v>63957.249999999993</v>
      </c>
      <c r="AY42" s="97"/>
      <c r="AZ42" s="98" t="s">
        <v>44</v>
      </c>
      <c r="BA42" s="99" t="s">
        <v>44</v>
      </c>
      <c r="BB42" s="100">
        <f>55615*1.15</f>
        <v>63957.249999999993</v>
      </c>
      <c r="BC42" s="126"/>
      <c r="BD42" s="158" t="s">
        <v>44</v>
      </c>
      <c r="BE42" s="159" t="s">
        <v>44</v>
      </c>
      <c r="BF42" s="100">
        <v>0</v>
      </c>
      <c r="BG42" s="97"/>
      <c r="BH42" s="158" t="s">
        <v>44</v>
      </c>
      <c r="BI42" s="159" t="s">
        <v>44</v>
      </c>
      <c r="BJ42" s="102">
        <f t="shared" si="25"/>
        <v>123.01836891709944</v>
      </c>
      <c r="BK42" s="102"/>
      <c r="BL42" s="92">
        <v>576.1</v>
      </c>
      <c r="BM42" s="93"/>
      <c r="BN42" s="822">
        <f t="shared" si="55"/>
        <v>0.26079674060660935</v>
      </c>
      <c r="BO42" s="93"/>
      <c r="BP42" s="158" t="s">
        <v>44</v>
      </c>
      <c r="BQ42" s="159" t="s">
        <v>44</v>
      </c>
      <c r="BR42" s="96">
        <f t="shared" si="27"/>
        <v>77338.649999999994</v>
      </c>
      <c r="BS42" s="97"/>
      <c r="BT42" s="98" t="s">
        <v>44</v>
      </c>
      <c r="BU42" s="99" t="s">
        <v>44</v>
      </c>
      <c r="BV42" s="100">
        <f>67251*1.15</f>
        <v>77338.649999999994</v>
      </c>
      <c r="BW42" s="126"/>
      <c r="BX42" s="158" t="s">
        <v>44</v>
      </c>
      <c r="BY42" s="159" t="s">
        <v>44</v>
      </c>
      <c r="BZ42" s="100"/>
      <c r="CA42" s="97"/>
      <c r="CB42" s="158" t="s">
        <v>44</v>
      </c>
      <c r="CC42" s="159" t="s">
        <v>44</v>
      </c>
      <c r="CD42" s="102">
        <f t="shared" si="42"/>
        <v>134.24518312792915</v>
      </c>
      <c r="CE42" s="102"/>
      <c r="CF42" s="103">
        <f t="shared" si="18"/>
        <v>2171.6000000000004</v>
      </c>
      <c r="CG42" s="102"/>
      <c r="CH42" s="822">
        <f t="shared" si="39"/>
        <v>0.24789954337899547</v>
      </c>
      <c r="CI42" s="127"/>
      <c r="CJ42" s="98" t="s">
        <v>44</v>
      </c>
      <c r="CK42" s="99" t="s">
        <v>44</v>
      </c>
      <c r="CL42" s="100">
        <f t="shared" si="19"/>
        <v>277939.90000000002</v>
      </c>
      <c r="CM42" s="107"/>
      <c r="CN42" s="108" t="s">
        <v>44</v>
      </c>
      <c r="CO42" s="99" t="s">
        <v>44</v>
      </c>
      <c r="CP42" s="100">
        <f t="shared" si="20"/>
        <v>277939.90000000002</v>
      </c>
      <c r="CQ42" s="97"/>
      <c r="CR42" s="98" t="s">
        <v>44</v>
      </c>
      <c r="CS42" s="99" t="s">
        <v>44</v>
      </c>
      <c r="CT42" s="100">
        <f t="shared" si="21"/>
        <v>0</v>
      </c>
      <c r="CU42" s="97"/>
      <c r="CV42" s="98" t="s">
        <v>44</v>
      </c>
      <c r="CW42" s="99" t="s">
        <v>44</v>
      </c>
      <c r="CX42" s="100">
        <f t="shared" si="22"/>
        <v>127.98853379996315</v>
      </c>
      <c r="CY42" s="174"/>
      <c r="CZ42" s="110">
        <f t="shared" si="2"/>
        <v>1075.5999999999999</v>
      </c>
      <c r="DA42" s="111">
        <f t="shared" si="2"/>
        <v>0</v>
      </c>
      <c r="DB42" s="176">
        <f t="shared" si="56"/>
        <v>24.766290582546624</v>
      </c>
      <c r="DC42" s="113">
        <f t="shared" si="56"/>
        <v>0</v>
      </c>
      <c r="DD42" s="100">
        <f t="shared" si="52"/>
        <v>136644</v>
      </c>
      <c r="DE42" s="102">
        <f t="shared" si="52"/>
        <v>0</v>
      </c>
      <c r="DF42" s="102" t="e">
        <f t="shared" si="52"/>
        <v>#VALUE!</v>
      </c>
      <c r="DG42" s="114" t="e">
        <f t="shared" si="49"/>
        <v>#VALUE!</v>
      </c>
      <c r="DH42" s="100">
        <f t="shared" si="49"/>
        <v>136644</v>
      </c>
      <c r="DI42" s="97">
        <f t="shared" si="49"/>
        <v>0</v>
      </c>
      <c r="DJ42" s="97" t="e">
        <f t="shared" si="49"/>
        <v>#VALUE!</v>
      </c>
      <c r="DK42" s="97" t="e">
        <f t="shared" si="49"/>
        <v>#VALUE!</v>
      </c>
      <c r="DL42" s="100">
        <f t="shared" si="49"/>
        <v>0</v>
      </c>
      <c r="DM42" s="97">
        <f t="shared" si="49"/>
        <v>0</v>
      </c>
      <c r="DN42" s="97" t="e">
        <f t="shared" si="49"/>
        <v>#VALUE!</v>
      </c>
      <c r="DO42" s="115" t="e">
        <f t="shared" si="49"/>
        <v>#VALUE!</v>
      </c>
      <c r="DP42" s="100">
        <f t="shared" si="50"/>
        <v>127</v>
      </c>
      <c r="DQ42" s="116" t="e">
        <f t="shared" si="50"/>
        <v>#DIV/0!</v>
      </c>
      <c r="DR42" s="117">
        <f t="shared" si="32"/>
        <v>1075.5999999999999</v>
      </c>
      <c r="DS42" s="118">
        <f t="shared" si="4"/>
        <v>100</v>
      </c>
      <c r="DT42" s="104" t="e">
        <f t="shared" si="5"/>
        <v>#VALUE!</v>
      </c>
      <c r="DU42" s="118" t="e">
        <f t="shared" si="6"/>
        <v>#VALUE!</v>
      </c>
      <c r="DV42" s="104">
        <f t="shared" si="7"/>
        <v>136644</v>
      </c>
      <c r="DW42" s="119">
        <f t="shared" si="8"/>
        <v>100</v>
      </c>
      <c r="DX42" s="120" t="e">
        <f t="shared" si="9"/>
        <v>#VALUE!</v>
      </c>
      <c r="DY42" s="118" t="e">
        <f t="shared" si="10"/>
        <v>#VALUE!</v>
      </c>
      <c r="DZ42" s="104">
        <f t="shared" si="11"/>
        <v>136644</v>
      </c>
      <c r="EA42" s="119">
        <f t="shared" si="12"/>
        <v>100</v>
      </c>
      <c r="EB42" s="120" t="e">
        <f t="shared" si="13"/>
        <v>#VALUE!</v>
      </c>
      <c r="EC42" s="118" t="e">
        <f t="shared" si="14"/>
        <v>#VALUE!</v>
      </c>
      <c r="ED42" s="104">
        <f t="shared" si="15"/>
        <v>0</v>
      </c>
      <c r="EE42" s="121">
        <v>0</v>
      </c>
      <c r="EF42" s="120" t="e">
        <f t="shared" si="16"/>
        <v>#VALUE!</v>
      </c>
      <c r="EG42" s="121" t="e">
        <f t="shared" si="17"/>
        <v>#VALUE!</v>
      </c>
      <c r="EH42" s="122" t="e">
        <f t="shared" si="33"/>
        <v>#DIV/0!</v>
      </c>
      <c r="EI42" s="123" t="e">
        <f t="shared" si="34"/>
        <v>#DIV/0!</v>
      </c>
    </row>
    <row r="43" spans="1:139" ht="15.75" customHeight="1" x14ac:dyDescent="0.25">
      <c r="A43" s="1070"/>
      <c r="B43" s="169"/>
      <c r="C43" s="91" t="s">
        <v>48</v>
      </c>
      <c r="D43" s="92">
        <v>170.39999999999998</v>
      </c>
      <c r="E43" s="93"/>
      <c r="F43" s="93">
        <v>7.892542843909216</v>
      </c>
      <c r="G43" s="93"/>
      <c r="H43" s="158" t="s">
        <v>44</v>
      </c>
      <c r="I43" s="159" t="s">
        <v>44</v>
      </c>
      <c r="J43" s="96">
        <v>27108</v>
      </c>
      <c r="K43" s="97"/>
      <c r="L43" s="98" t="s">
        <v>44</v>
      </c>
      <c r="M43" s="99" t="s">
        <v>44</v>
      </c>
      <c r="N43" s="100">
        <v>18186</v>
      </c>
      <c r="O43" s="126"/>
      <c r="P43" s="158" t="s">
        <v>44</v>
      </c>
      <c r="Q43" s="159" t="s">
        <v>44</v>
      </c>
      <c r="R43" s="100">
        <v>8922</v>
      </c>
      <c r="S43" s="97"/>
      <c r="T43" s="158" t="s">
        <v>44</v>
      </c>
      <c r="U43" s="159" t="s">
        <v>44</v>
      </c>
      <c r="V43" s="102">
        <v>159</v>
      </c>
      <c r="W43" s="102"/>
      <c r="X43" s="92">
        <v>162.1</v>
      </c>
      <c r="Y43" s="93"/>
      <c r="Z43" s="93">
        <v>7.4221611721611724</v>
      </c>
      <c r="AA43" s="93"/>
      <c r="AB43" s="158" t="s">
        <v>44</v>
      </c>
      <c r="AC43" s="159" t="s">
        <v>44</v>
      </c>
      <c r="AD43" s="96">
        <v>23415</v>
      </c>
      <c r="AE43" s="97"/>
      <c r="AF43" s="98" t="s">
        <v>44</v>
      </c>
      <c r="AG43" s="99" t="s">
        <v>44</v>
      </c>
      <c r="AH43" s="100">
        <v>18196</v>
      </c>
      <c r="AI43" s="126"/>
      <c r="AJ43" s="158" t="s">
        <v>44</v>
      </c>
      <c r="AK43" s="159" t="s">
        <v>44</v>
      </c>
      <c r="AL43" s="100">
        <v>5219</v>
      </c>
      <c r="AM43" s="97"/>
      <c r="AN43" s="158" t="s">
        <v>44</v>
      </c>
      <c r="AO43" s="159" t="s">
        <v>44</v>
      </c>
      <c r="AP43" s="102">
        <v>144</v>
      </c>
      <c r="AQ43" s="102"/>
      <c r="AR43" s="92">
        <f>135.6+13.47</f>
        <v>149.07</v>
      </c>
      <c r="AS43" s="820"/>
      <c r="AT43" s="822">
        <f>AR43/2208</f>
        <v>6.7513586956521737E-2</v>
      </c>
      <c r="AU43" s="93"/>
      <c r="AV43" s="158" t="s">
        <v>44</v>
      </c>
      <c r="AW43" s="159" t="s">
        <v>44</v>
      </c>
      <c r="AX43" s="96">
        <f t="shared" si="24"/>
        <v>23212.45</v>
      </c>
      <c r="AY43" s="97"/>
      <c r="AZ43" s="98" t="s">
        <v>44</v>
      </c>
      <c r="BA43" s="99" t="s">
        <v>44</v>
      </c>
      <c r="BB43" s="100">
        <f>(15016+1533)*1.05</f>
        <v>17376.45</v>
      </c>
      <c r="BC43" s="126"/>
      <c r="BD43" s="158" t="s">
        <v>44</v>
      </c>
      <c r="BE43" s="159" t="s">
        <v>44</v>
      </c>
      <c r="BF43" s="100">
        <v>5836</v>
      </c>
      <c r="BG43" s="97"/>
      <c r="BH43" s="158" t="s">
        <v>44</v>
      </c>
      <c r="BI43" s="159" t="s">
        <v>44</v>
      </c>
      <c r="BJ43" s="102">
        <f t="shared" si="25"/>
        <v>155.71510028845509</v>
      </c>
      <c r="BK43" s="102"/>
      <c r="BL43" s="92">
        <v>168.3</v>
      </c>
      <c r="BM43" s="820"/>
      <c r="BN43" s="822">
        <f t="shared" si="55"/>
        <v>7.6188320507016752E-2</v>
      </c>
      <c r="BO43" s="93"/>
      <c r="BP43" s="158" t="s">
        <v>44</v>
      </c>
      <c r="BQ43" s="159" t="s">
        <v>44</v>
      </c>
      <c r="BR43" s="96">
        <f t="shared" si="27"/>
        <v>27756.9</v>
      </c>
      <c r="BS43" s="97"/>
      <c r="BT43" s="98" t="s">
        <v>44</v>
      </c>
      <c r="BU43" s="99" t="s">
        <v>44</v>
      </c>
      <c r="BV43" s="100">
        <f>17938*1.05</f>
        <v>18834.900000000001</v>
      </c>
      <c r="BW43" s="126"/>
      <c r="BX43" s="158" t="s">
        <v>44</v>
      </c>
      <c r="BY43" s="159" t="s">
        <v>44</v>
      </c>
      <c r="BZ43" s="100">
        <f>8922</f>
        <v>8922</v>
      </c>
      <c r="CA43" s="97"/>
      <c r="CB43" s="158" t="s">
        <v>44</v>
      </c>
      <c r="CC43" s="159" t="s">
        <v>44</v>
      </c>
      <c r="CD43" s="102">
        <f t="shared" si="42"/>
        <v>164.92513368983958</v>
      </c>
      <c r="CE43" s="102"/>
      <c r="CF43" s="103">
        <f t="shared" si="18"/>
        <v>649.87</v>
      </c>
      <c r="CG43" s="102"/>
      <c r="CH43" s="822">
        <f t="shared" si="39"/>
        <v>7.418607305936073E-2</v>
      </c>
      <c r="CI43" s="127"/>
      <c r="CJ43" s="98" t="s">
        <v>44</v>
      </c>
      <c r="CK43" s="99" t="s">
        <v>44</v>
      </c>
      <c r="CL43" s="100">
        <f t="shared" si="19"/>
        <v>101492.35</v>
      </c>
      <c r="CM43" s="107"/>
      <c r="CN43" s="108" t="s">
        <v>44</v>
      </c>
      <c r="CO43" s="99" t="s">
        <v>44</v>
      </c>
      <c r="CP43" s="100">
        <f t="shared" si="20"/>
        <v>72593.350000000006</v>
      </c>
      <c r="CQ43" s="97"/>
      <c r="CR43" s="98" t="s">
        <v>44</v>
      </c>
      <c r="CS43" s="99" t="s">
        <v>44</v>
      </c>
      <c r="CT43" s="100">
        <f t="shared" si="21"/>
        <v>28899</v>
      </c>
      <c r="CU43" s="97"/>
      <c r="CV43" s="98" t="s">
        <v>44</v>
      </c>
      <c r="CW43" s="99" t="s">
        <v>44</v>
      </c>
      <c r="CX43" s="100">
        <f t="shared" si="22"/>
        <v>156.173311585394</v>
      </c>
      <c r="CY43" s="174"/>
      <c r="CZ43" s="110">
        <f t="shared" si="2"/>
        <v>332.5</v>
      </c>
      <c r="DA43" s="111">
        <f t="shared" si="2"/>
        <v>0</v>
      </c>
      <c r="DB43" s="176">
        <f t="shared" si="56"/>
        <v>7.6559981579553309</v>
      </c>
      <c r="DC43" s="113">
        <f t="shared" si="56"/>
        <v>0</v>
      </c>
      <c r="DD43" s="100">
        <f t="shared" si="52"/>
        <v>50523</v>
      </c>
      <c r="DE43" s="102">
        <f t="shared" si="52"/>
        <v>0</v>
      </c>
      <c r="DF43" s="102" t="e">
        <f t="shared" si="52"/>
        <v>#VALUE!</v>
      </c>
      <c r="DG43" s="114" t="e">
        <f t="shared" si="49"/>
        <v>#VALUE!</v>
      </c>
      <c r="DH43" s="100">
        <f t="shared" si="49"/>
        <v>36382</v>
      </c>
      <c r="DI43" s="97">
        <f t="shared" si="49"/>
        <v>0</v>
      </c>
      <c r="DJ43" s="97" t="e">
        <f t="shared" si="49"/>
        <v>#VALUE!</v>
      </c>
      <c r="DK43" s="97" t="e">
        <f t="shared" si="49"/>
        <v>#VALUE!</v>
      </c>
      <c r="DL43" s="100">
        <f t="shared" si="49"/>
        <v>14141</v>
      </c>
      <c r="DM43" s="97">
        <f t="shared" si="49"/>
        <v>0</v>
      </c>
      <c r="DN43" s="97" t="e">
        <f t="shared" si="49"/>
        <v>#VALUE!</v>
      </c>
      <c r="DO43" s="115" t="e">
        <f t="shared" si="49"/>
        <v>#VALUE!</v>
      </c>
      <c r="DP43" s="100">
        <f t="shared" si="50"/>
        <v>152</v>
      </c>
      <c r="DQ43" s="116" t="e">
        <f t="shared" si="50"/>
        <v>#DIV/0!</v>
      </c>
      <c r="DR43" s="117">
        <f t="shared" si="32"/>
        <v>332.5</v>
      </c>
      <c r="DS43" s="118">
        <f t="shared" si="4"/>
        <v>100</v>
      </c>
      <c r="DT43" s="104" t="e">
        <f t="shared" si="5"/>
        <v>#VALUE!</v>
      </c>
      <c r="DU43" s="118" t="e">
        <f t="shared" si="6"/>
        <v>#VALUE!</v>
      </c>
      <c r="DV43" s="104">
        <f t="shared" si="7"/>
        <v>50523</v>
      </c>
      <c r="DW43" s="119">
        <f t="shared" si="8"/>
        <v>100</v>
      </c>
      <c r="DX43" s="120" t="e">
        <f t="shared" si="9"/>
        <v>#VALUE!</v>
      </c>
      <c r="DY43" s="118" t="e">
        <f t="shared" si="10"/>
        <v>#VALUE!</v>
      </c>
      <c r="DZ43" s="104">
        <f t="shared" si="11"/>
        <v>36382</v>
      </c>
      <c r="EA43" s="119">
        <f t="shared" si="12"/>
        <v>100</v>
      </c>
      <c r="EB43" s="120" t="e">
        <f t="shared" si="13"/>
        <v>#VALUE!</v>
      </c>
      <c r="EC43" s="118" t="e">
        <f t="shared" si="14"/>
        <v>#VALUE!</v>
      </c>
      <c r="ED43" s="104">
        <f t="shared" si="15"/>
        <v>14141</v>
      </c>
      <c r="EE43" s="121">
        <f t="shared" si="53"/>
        <v>100</v>
      </c>
      <c r="EF43" s="120" t="e">
        <f t="shared" si="16"/>
        <v>#VALUE!</v>
      </c>
      <c r="EG43" s="121" t="e">
        <f t="shared" si="17"/>
        <v>#VALUE!</v>
      </c>
      <c r="EH43" s="122" t="e">
        <f t="shared" si="33"/>
        <v>#DIV/0!</v>
      </c>
      <c r="EI43" s="123" t="e">
        <f t="shared" si="34"/>
        <v>#DIV/0!</v>
      </c>
    </row>
    <row r="44" spans="1:139" ht="15.75" customHeight="1" x14ac:dyDescent="0.25">
      <c r="A44" s="1070"/>
      <c r="B44" s="169"/>
      <c r="C44" s="91" t="s">
        <v>49</v>
      </c>
      <c r="D44" s="92">
        <v>6.5</v>
      </c>
      <c r="E44" s="93"/>
      <c r="F44" s="93">
        <v>0.30106530801296894</v>
      </c>
      <c r="G44" s="93"/>
      <c r="H44" s="158" t="s">
        <v>44</v>
      </c>
      <c r="I44" s="159" t="s">
        <v>44</v>
      </c>
      <c r="J44" s="96">
        <v>749</v>
      </c>
      <c r="K44" s="97"/>
      <c r="L44" s="98" t="s">
        <v>44</v>
      </c>
      <c r="M44" s="99" t="s">
        <v>44</v>
      </c>
      <c r="N44" s="100">
        <v>749</v>
      </c>
      <c r="O44" s="126"/>
      <c r="P44" s="158" t="s">
        <v>44</v>
      </c>
      <c r="Q44" s="159" t="s">
        <v>44</v>
      </c>
      <c r="R44" s="100">
        <v>0</v>
      </c>
      <c r="S44" s="97"/>
      <c r="T44" s="158" t="s">
        <v>44</v>
      </c>
      <c r="U44" s="159" t="s">
        <v>44</v>
      </c>
      <c r="V44" s="102">
        <v>115</v>
      </c>
      <c r="W44" s="102"/>
      <c r="X44" s="92">
        <v>5</v>
      </c>
      <c r="Y44" s="93"/>
      <c r="Z44" s="93">
        <v>0.22893772893772896</v>
      </c>
      <c r="AA44" s="93"/>
      <c r="AB44" s="158" t="s">
        <v>44</v>
      </c>
      <c r="AC44" s="159" t="s">
        <v>44</v>
      </c>
      <c r="AD44" s="96">
        <v>589</v>
      </c>
      <c r="AE44" s="97"/>
      <c r="AF44" s="98" t="s">
        <v>44</v>
      </c>
      <c r="AG44" s="99" t="s">
        <v>44</v>
      </c>
      <c r="AH44" s="100">
        <v>589</v>
      </c>
      <c r="AI44" s="126"/>
      <c r="AJ44" s="158" t="s">
        <v>44</v>
      </c>
      <c r="AK44" s="159" t="s">
        <v>44</v>
      </c>
      <c r="AL44" s="100">
        <v>0</v>
      </c>
      <c r="AM44" s="97"/>
      <c r="AN44" s="158" t="s">
        <v>44</v>
      </c>
      <c r="AO44" s="159" t="s">
        <v>44</v>
      </c>
      <c r="AP44" s="102">
        <v>118</v>
      </c>
      <c r="AQ44" s="102"/>
      <c r="AR44" s="92">
        <v>1</v>
      </c>
      <c r="AS44" s="93"/>
      <c r="AT44" s="822">
        <f>AR44/2208</f>
        <v>4.5289855072463769E-4</v>
      </c>
      <c r="AU44" s="93"/>
      <c r="AV44" s="158" t="s">
        <v>44</v>
      </c>
      <c r="AW44" s="159" t="s">
        <v>44</v>
      </c>
      <c r="AX44" s="96">
        <f t="shared" si="24"/>
        <v>110</v>
      </c>
      <c r="AY44" s="97"/>
      <c r="AZ44" s="98" t="s">
        <v>44</v>
      </c>
      <c r="BA44" s="99" t="s">
        <v>44</v>
      </c>
      <c r="BB44" s="100">
        <v>110</v>
      </c>
      <c r="BC44" s="126"/>
      <c r="BD44" s="158" t="s">
        <v>44</v>
      </c>
      <c r="BE44" s="159" t="s">
        <v>44</v>
      </c>
      <c r="BF44" s="100">
        <v>0</v>
      </c>
      <c r="BG44" s="97"/>
      <c r="BH44" s="158" t="s">
        <v>44</v>
      </c>
      <c r="BI44" s="159" t="s">
        <v>44</v>
      </c>
      <c r="BJ44" s="102">
        <f t="shared" si="25"/>
        <v>110</v>
      </c>
      <c r="BK44" s="102"/>
      <c r="BL44" s="92">
        <v>0</v>
      </c>
      <c r="BM44" s="93"/>
      <c r="BN44" s="822">
        <f t="shared" si="55"/>
        <v>0</v>
      </c>
      <c r="BO44" s="93"/>
      <c r="BP44" s="158" t="s">
        <v>44</v>
      </c>
      <c r="BQ44" s="159" t="s">
        <v>44</v>
      </c>
      <c r="BR44" s="96">
        <f t="shared" si="27"/>
        <v>0</v>
      </c>
      <c r="BS44" s="97"/>
      <c r="BT44" s="98" t="s">
        <v>44</v>
      </c>
      <c r="BU44" s="99" t="s">
        <v>44</v>
      </c>
      <c r="BV44" s="100"/>
      <c r="BW44" s="126"/>
      <c r="BX44" s="158" t="s">
        <v>44</v>
      </c>
      <c r="BY44" s="159" t="s">
        <v>44</v>
      </c>
      <c r="BZ44" s="100"/>
      <c r="CA44" s="97"/>
      <c r="CB44" s="158" t="s">
        <v>44</v>
      </c>
      <c r="CC44" s="159" t="s">
        <v>44</v>
      </c>
      <c r="CD44" s="102"/>
      <c r="CE44" s="102"/>
      <c r="CF44" s="103">
        <f t="shared" si="18"/>
        <v>12.5</v>
      </c>
      <c r="CG44" s="102"/>
      <c r="CH44" s="822">
        <f t="shared" si="39"/>
        <v>1.4269406392694063E-3</v>
      </c>
      <c r="CI44" s="127"/>
      <c r="CJ44" s="98" t="s">
        <v>44</v>
      </c>
      <c r="CK44" s="99" t="s">
        <v>44</v>
      </c>
      <c r="CL44" s="100">
        <f t="shared" si="19"/>
        <v>1448</v>
      </c>
      <c r="CM44" s="107"/>
      <c r="CN44" s="108" t="s">
        <v>44</v>
      </c>
      <c r="CO44" s="99" t="s">
        <v>44</v>
      </c>
      <c r="CP44" s="100">
        <f t="shared" si="20"/>
        <v>1448</v>
      </c>
      <c r="CQ44" s="97"/>
      <c r="CR44" s="98" t="s">
        <v>44</v>
      </c>
      <c r="CS44" s="99" t="s">
        <v>44</v>
      </c>
      <c r="CT44" s="100">
        <f t="shared" si="21"/>
        <v>0</v>
      </c>
      <c r="CU44" s="97"/>
      <c r="CV44" s="98" t="s">
        <v>44</v>
      </c>
      <c r="CW44" s="99" t="s">
        <v>44</v>
      </c>
      <c r="CX44" s="100">
        <f t="shared" si="22"/>
        <v>115.84</v>
      </c>
      <c r="CY44" s="174"/>
      <c r="CZ44" s="110">
        <f t="shared" si="2"/>
        <v>11.5</v>
      </c>
      <c r="DA44" s="111">
        <f t="shared" si="2"/>
        <v>0</v>
      </c>
      <c r="DB44" s="176">
        <f t="shared" si="56"/>
        <v>0.26479392125259038</v>
      </c>
      <c r="DC44" s="113">
        <f t="shared" si="56"/>
        <v>0</v>
      </c>
      <c r="DD44" s="100">
        <f t="shared" si="52"/>
        <v>1338</v>
      </c>
      <c r="DE44" s="102">
        <f t="shared" si="52"/>
        <v>0</v>
      </c>
      <c r="DF44" s="102" t="e">
        <f t="shared" si="52"/>
        <v>#VALUE!</v>
      </c>
      <c r="DG44" s="114" t="e">
        <f t="shared" si="49"/>
        <v>#VALUE!</v>
      </c>
      <c r="DH44" s="100">
        <f t="shared" si="49"/>
        <v>1338</v>
      </c>
      <c r="DI44" s="97">
        <f t="shared" si="49"/>
        <v>0</v>
      </c>
      <c r="DJ44" s="97" t="e">
        <f t="shared" si="49"/>
        <v>#VALUE!</v>
      </c>
      <c r="DK44" s="97" t="e">
        <f t="shared" si="49"/>
        <v>#VALUE!</v>
      </c>
      <c r="DL44" s="100">
        <f t="shared" si="49"/>
        <v>0</v>
      </c>
      <c r="DM44" s="97">
        <f t="shared" si="49"/>
        <v>0</v>
      </c>
      <c r="DN44" s="97" t="e">
        <f t="shared" si="49"/>
        <v>#VALUE!</v>
      </c>
      <c r="DO44" s="115" t="e">
        <f t="shared" si="49"/>
        <v>#VALUE!</v>
      </c>
      <c r="DP44" s="100">
        <f t="shared" si="50"/>
        <v>116</v>
      </c>
      <c r="DQ44" s="116" t="e">
        <f t="shared" si="50"/>
        <v>#DIV/0!</v>
      </c>
      <c r="DR44" s="117">
        <f t="shared" si="32"/>
        <v>11.5</v>
      </c>
      <c r="DS44" s="118">
        <f t="shared" si="4"/>
        <v>100</v>
      </c>
      <c r="DT44" s="104" t="e">
        <f t="shared" si="5"/>
        <v>#VALUE!</v>
      </c>
      <c r="DU44" s="118" t="e">
        <f t="shared" si="6"/>
        <v>#VALUE!</v>
      </c>
      <c r="DV44" s="104">
        <f t="shared" si="7"/>
        <v>1338</v>
      </c>
      <c r="DW44" s="119">
        <f t="shared" si="8"/>
        <v>100</v>
      </c>
      <c r="DX44" s="120" t="e">
        <f t="shared" si="9"/>
        <v>#VALUE!</v>
      </c>
      <c r="DY44" s="118" t="e">
        <f t="shared" si="10"/>
        <v>#VALUE!</v>
      </c>
      <c r="DZ44" s="104">
        <f t="shared" si="11"/>
        <v>1338</v>
      </c>
      <c r="EA44" s="119">
        <f t="shared" si="12"/>
        <v>100</v>
      </c>
      <c r="EB44" s="120" t="e">
        <f t="shared" si="13"/>
        <v>#VALUE!</v>
      </c>
      <c r="EC44" s="118" t="e">
        <f t="shared" si="14"/>
        <v>#VALUE!</v>
      </c>
      <c r="ED44" s="104">
        <f t="shared" si="15"/>
        <v>0</v>
      </c>
      <c r="EE44" s="121">
        <v>0</v>
      </c>
      <c r="EF44" s="120" t="e">
        <f t="shared" si="16"/>
        <v>#VALUE!</v>
      </c>
      <c r="EG44" s="121" t="e">
        <f t="shared" si="17"/>
        <v>#VALUE!</v>
      </c>
      <c r="EH44" s="122" t="e">
        <f t="shared" si="33"/>
        <v>#DIV/0!</v>
      </c>
      <c r="EI44" s="123" t="e">
        <f t="shared" si="34"/>
        <v>#DIV/0!</v>
      </c>
    </row>
    <row r="45" spans="1:139" s="157" customFormat="1" ht="29.25" customHeight="1" x14ac:dyDescent="0.25">
      <c r="A45" s="1070"/>
      <c r="B45" s="164" t="s">
        <v>56</v>
      </c>
      <c r="C45" s="165"/>
      <c r="D45" s="132">
        <v>563.09999999999991</v>
      </c>
      <c r="E45" s="133"/>
      <c r="F45" s="133">
        <v>5.177026542489128</v>
      </c>
      <c r="G45" s="133"/>
      <c r="H45" s="134" t="s">
        <v>44</v>
      </c>
      <c r="I45" s="135" t="s">
        <v>44</v>
      </c>
      <c r="J45" s="136">
        <v>79073</v>
      </c>
      <c r="K45" s="86"/>
      <c r="L45" s="137" t="s">
        <v>44</v>
      </c>
      <c r="M45" s="138" t="s">
        <v>44</v>
      </c>
      <c r="N45" s="139">
        <v>79073</v>
      </c>
      <c r="O45" s="140"/>
      <c r="P45" s="134" t="s">
        <v>44</v>
      </c>
      <c r="Q45" s="135" t="s">
        <v>44</v>
      </c>
      <c r="R45" s="139">
        <v>0</v>
      </c>
      <c r="S45" s="140"/>
      <c r="T45" s="134" t="s">
        <v>44</v>
      </c>
      <c r="U45" s="135" t="s">
        <v>44</v>
      </c>
      <c r="V45" s="141">
        <v>140</v>
      </c>
      <c r="W45" s="141"/>
      <c r="X45" s="132">
        <v>552.40000000000009</v>
      </c>
      <c r="Y45" s="133"/>
      <c r="Z45" s="133">
        <v>5.0323861928231111</v>
      </c>
      <c r="AA45" s="133"/>
      <c r="AB45" s="134" t="s">
        <v>44</v>
      </c>
      <c r="AC45" s="135" t="s">
        <v>44</v>
      </c>
      <c r="AD45" s="136">
        <v>78609</v>
      </c>
      <c r="AE45" s="86"/>
      <c r="AF45" s="137" t="s">
        <v>44</v>
      </c>
      <c r="AG45" s="138" t="s">
        <v>44</v>
      </c>
      <c r="AH45" s="139">
        <v>78609</v>
      </c>
      <c r="AI45" s="140"/>
      <c r="AJ45" s="134" t="s">
        <v>44</v>
      </c>
      <c r="AK45" s="135" t="s">
        <v>44</v>
      </c>
      <c r="AL45" s="139">
        <v>0</v>
      </c>
      <c r="AM45" s="140"/>
      <c r="AN45" s="134" t="s">
        <v>44</v>
      </c>
      <c r="AO45" s="135" t="s">
        <v>44</v>
      </c>
      <c r="AP45" s="141">
        <v>142</v>
      </c>
      <c r="AQ45" s="141"/>
      <c r="AR45" s="132">
        <f>SUM(AR46:AR49)</f>
        <v>539.67999999999995</v>
      </c>
      <c r="AS45" s="133"/>
      <c r="AT45" s="823">
        <f>AR45/11040</f>
        <v>4.8884057971014486E-2</v>
      </c>
      <c r="AU45" s="133"/>
      <c r="AV45" s="134" t="s">
        <v>44</v>
      </c>
      <c r="AW45" s="135" t="s">
        <v>44</v>
      </c>
      <c r="AX45" s="136">
        <f t="shared" si="24"/>
        <v>85920.1</v>
      </c>
      <c r="AY45" s="86"/>
      <c r="AZ45" s="137" t="s">
        <v>44</v>
      </c>
      <c r="BA45" s="138" t="s">
        <v>44</v>
      </c>
      <c r="BB45" s="139">
        <f>SUM(BB46:BB49)</f>
        <v>85920.1</v>
      </c>
      <c r="BC45" s="140"/>
      <c r="BD45" s="134" t="s">
        <v>44</v>
      </c>
      <c r="BE45" s="135" t="s">
        <v>44</v>
      </c>
      <c r="BF45" s="139">
        <v>0</v>
      </c>
      <c r="BG45" s="140"/>
      <c r="BH45" s="134" t="s">
        <v>44</v>
      </c>
      <c r="BI45" s="135" t="s">
        <v>44</v>
      </c>
      <c r="BJ45" s="141">
        <f t="shared" si="25"/>
        <v>159.20564037948415</v>
      </c>
      <c r="BK45" s="141"/>
      <c r="BL45" s="132">
        <f>SUM(BL46:BL49)</f>
        <v>548.5</v>
      </c>
      <c r="BM45" s="133"/>
      <c r="BN45" s="823">
        <f>BL45/11156.9</f>
        <v>4.9162401742419488E-2</v>
      </c>
      <c r="BO45" s="133"/>
      <c r="BP45" s="134" t="s">
        <v>44</v>
      </c>
      <c r="BQ45" s="135" t="s">
        <v>44</v>
      </c>
      <c r="BR45" s="136">
        <f t="shared" si="27"/>
        <v>92314.2</v>
      </c>
      <c r="BS45" s="86"/>
      <c r="BT45" s="137" t="s">
        <v>44</v>
      </c>
      <c r="BU45" s="138" t="s">
        <v>44</v>
      </c>
      <c r="BV45" s="139">
        <f>SUM(BV46:BV49)</f>
        <v>92314.2</v>
      </c>
      <c r="BW45" s="140"/>
      <c r="BX45" s="134" t="s">
        <v>44</v>
      </c>
      <c r="BY45" s="135" t="s">
        <v>44</v>
      </c>
      <c r="BZ45" s="139">
        <v>0</v>
      </c>
      <c r="CA45" s="140"/>
      <c r="CB45" s="134" t="s">
        <v>44</v>
      </c>
      <c r="CC45" s="135" t="s">
        <v>44</v>
      </c>
      <c r="CD45" s="141">
        <f t="shared" si="42"/>
        <v>168.30300820419325</v>
      </c>
      <c r="CE45" s="141"/>
      <c r="CF45" s="142">
        <f t="shared" si="18"/>
        <v>2203.6799999999998</v>
      </c>
      <c r="CG45" s="141"/>
      <c r="CH45" s="823">
        <f>CF45/44102.6</f>
        <v>4.9967122119784317E-2</v>
      </c>
      <c r="CI45" s="143"/>
      <c r="CJ45" s="137" t="s">
        <v>44</v>
      </c>
      <c r="CK45" s="138" t="s">
        <v>44</v>
      </c>
      <c r="CL45" s="139">
        <f t="shared" si="19"/>
        <v>335916.3</v>
      </c>
      <c r="CM45" s="144"/>
      <c r="CN45" s="145" t="s">
        <v>44</v>
      </c>
      <c r="CO45" s="138" t="s">
        <v>44</v>
      </c>
      <c r="CP45" s="139">
        <f t="shared" si="20"/>
        <v>335916.3</v>
      </c>
      <c r="CQ45" s="140"/>
      <c r="CR45" s="137" t="s">
        <v>44</v>
      </c>
      <c r="CS45" s="138" t="s">
        <v>44</v>
      </c>
      <c r="CT45" s="139">
        <f t="shared" si="21"/>
        <v>0</v>
      </c>
      <c r="CU45" s="140"/>
      <c r="CV45" s="137" t="s">
        <v>44</v>
      </c>
      <c r="CW45" s="138" t="s">
        <v>44</v>
      </c>
      <c r="CX45" s="139">
        <f t="shared" si="22"/>
        <v>152.43424635155739</v>
      </c>
      <c r="CY45" s="175"/>
      <c r="CZ45" s="147">
        <f t="shared" ref="CZ45:DA62" si="57">D45+X45</f>
        <v>1115.5</v>
      </c>
      <c r="DA45" s="148">
        <f t="shared" si="57"/>
        <v>0</v>
      </c>
      <c r="DB45" s="177" t="e">
        <f>(CZ45/#REF!)*100</f>
        <v>#REF!</v>
      </c>
      <c r="DC45" s="150" t="e">
        <f>(DA45/#REF!)*100</f>
        <v>#REF!</v>
      </c>
      <c r="DD45" s="139">
        <f t="shared" si="52"/>
        <v>157682</v>
      </c>
      <c r="DE45" s="141">
        <f t="shared" si="52"/>
        <v>0</v>
      </c>
      <c r="DF45" s="141" t="e">
        <f t="shared" si="52"/>
        <v>#VALUE!</v>
      </c>
      <c r="DG45" s="151" t="e">
        <f t="shared" si="49"/>
        <v>#VALUE!</v>
      </c>
      <c r="DH45" s="139">
        <f t="shared" si="49"/>
        <v>157682</v>
      </c>
      <c r="DI45" s="140">
        <f t="shared" si="49"/>
        <v>0</v>
      </c>
      <c r="DJ45" s="140" t="e">
        <f t="shared" si="49"/>
        <v>#VALUE!</v>
      </c>
      <c r="DK45" s="140" t="e">
        <f t="shared" si="49"/>
        <v>#VALUE!</v>
      </c>
      <c r="DL45" s="139">
        <f t="shared" si="49"/>
        <v>0</v>
      </c>
      <c r="DM45" s="140">
        <f t="shared" si="49"/>
        <v>0</v>
      </c>
      <c r="DN45" s="140" t="e">
        <f t="shared" si="49"/>
        <v>#VALUE!</v>
      </c>
      <c r="DO45" s="152" t="e">
        <f t="shared" si="49"/>
        <v>#VALUE!</v>
      </c>
      <c r="DP45" s="139">
        <f t="shared" si="50"/>
        <v>141</v>
      </c>
      <c r="DQ45" s="153" t="e">
        <f t="shared" si="50"/>
        <v>#DIV/0!</v>
      </c>
      <c r="DR45" s="154">
        <f t="shared" si="32"/>
        <v>1115.5</v>
      </c>
      <c r="DS45" s="84">
        <f t="shared" si="4"/>
        <v>100</v>
      </c>
      <c r="DT45" s="79" t="e">
        <f t="shared" si="5"/>
        <v>#VALUE!</v>
      </c>
      <c r="DU45" s="84" t="e">
        <f t="shared" si="6"/>
        <v>#VALUE!</v>
      </c>
      <c r="DV45" s="79">
        <f t="shared" si="7"/>
        <v>157682</v>
      </c>
      <c r="DW45" s="85">
        <f t="shared" si="8"/>
        <v>100</v>
      </c>
      <c r="DX45" s="86" t="e">
        <f t="shared" si="9"/>
        <v>#VALUE!</v>
      </c>
      <c r="DY45" s="84" t="e">
        <f t="shared" si="10"/>
        <v>#VALUE!</v>
      </c>
      <c r="DZ45" s="79">
        <f t="shared" si="11"/>
        <v>157682</v>
      </c>
      <c r="EA45" s="85">
        <f t="shared" si="12"/>
        <v>100</v>
      </c>
      <c r="EB45" s="86" t="e">
        <f t="shared" si="13"/>
        <v>#VALUE!</v>
      </c>
      <c r="EC45" s="84" t="e">
        <f t="shared" si="14"/>
        <v>#VALUE!</v>
      </c>
      <c r="ED45" s="79">
        <f t="shared" si="15"/>
        <v>0</v>
      </c>
      <c r="EE45" s="87">
        <v>0</v>
      </c>
      <c r="EF45" s="86" t="e">
        <f t="shared" si="16"/>
        <v>#VALUE!</v>
      </c>
      <c r="EG45" s="87" t="e">
        <f t="shared" si="17"/>
        <v>#VALUE!</v>
      </c>
      <c r="EH45" s="155" t="e">
        <f t="shared" si="33"/>
        <v>#DIV/0!</v>
      </c>
      <c r="EI45" s="156" t="e">
        <f t="shared" si="34"/>
        <v>#DIV/0!</v>
      </c>
    </row>
    <row r="46" spans="1:139" s="5" customFormat="1" ht="15.75" customHeight="1" x14ac:dyDescent="0.25">
      <c r="A46" s="1070"/>
      <c r="B46" s="178"/>
      <c r="C46" s="91" t="s">
        <v>45</v>
      </c>
      <c r="D46" s="92">
        <v>360.9</v>
      </c>
      <c r="E46" s="93"/>
      <c r="F46" s="93">
        <v>16.716072255673922</v>
      </c>
      <c r="G46" s="93"/>
      <c r="H46" s="158" t="s">
        <v>44</v>
      </c>
      <c r="I46" s="159" t="s">
        <v>44</v>
      </c>
      <c r="J46" s="96">
        <v>52165</v>
      </c>
      <c r="K46" s="97"/>
      <c r="L46" s="98" t="s">
        <v>44</v>
      </c>
      <c r="M46" s="99" t="s">
        <v>44</v>
      </c>
      <c r="N46" s="100">
        <v>52165</v>
      </c>
      <c r="O46" s="97"/>
      <c r="P46" s="158" t="s">
        <v>44</v>
      </c>
      <c r="Q46" s="159" t="s">
        <v>44</v>
      </c>
      <c r="R46" s="100">
        <v>0</v>
      </c>
      <c r="S46" s="97"/>
      <c r="T46" s="158" t="s">
        <v>44</v>
      </c>
      <c r="U46" s="159" t="s">
        <v>44</v>
      </c>
      <c r="V46" s="102">
        <v>145</v>
      </c>
      <c r="W46" s="102"/>
      <c r="X46" s="92">
        <v>352.7</v>
      </c>
      <c r="Y46" s="93"/>
      <c r="Z46" s="93">
        <v>16.149267399267398</v>
      </c>
      <c r="AA46" s="93"/>
      <c r="AB46" s="158" t="s">
        <v>44</v>
      </c>
      <c r="AC46" s="159" t="s">
        <v>44</v>
      </c>
      <c r="AD46" s="96">
        <v>52253</v>
      </c>
      <c r="AE46" s="97"/>
      <c r="AF46" s="98" t="s">
        <v>44</v>
      </c>
      <c r="AG46" s="99" t="s">
        <v>44</v>
      </c>
      <c r="AH46" s="100">
        <v>52253</v>
      </c>
      <c r="AI46" s="97"/>
      <c r="AJ46" s="158" t="s">
        <v>44</v>
      </c>
      <c r="AK46" s="159" t="s">
        <v>44</v>
      </c>
      <c r="AL46" s="100">
        <v>0</v>
      </c>
      <c r="AM46" s="97"/>
      <c r="AN46" s="158" t="s">
        <v>44</v>
      </c>
      <c r="AO46" s="159" t="s">
        <v>44</v>
      </c>
      <c r="AP46" s="102">
        <v>148</v>
      </c>
      <c r="AQ46" s="102"/>
      <c r="AR46" s="92">
        <v>352.7</v>
      </c>
      <c r="AS46" s="93"/>
      <c r="AT46" s="822">
        <f t="shared" ref="AT46:AT49" si="58">AR46/2208</f>
        <v>0.15973731884057971</v>
      </c>
      <c r="AU46" s="93"/>
      <c r="AV46" s="158" t="s">
        <v>44</v>
      </c>
      <c r="AW46" s="159" t="s">
        <v>44</v>
      </c>
      <c r="AX46" s="96">
        <f t="shared" si="24"/>
        <v>57233.000000000007</v>
      </c>
      <c r="AY46" s="97"/>
      <c r="AZ46" s="98" t="s">
        <v>44</v>
      </c>
      <c r="BA46" s="99" t="s">
        <v>44</v>
      </c>
      <c r="BB46" s="100">
        <f>52030*1.1</f>
        <v>57233.000000000007</v>
      </c>
      <c r="BC46" s="97"/>
      <c r="BD46" s="158" t="s">
        <v>44</v>
      </c>
      <c r="BE46" s="159" t="s">
        <v>44</v>
      </c>
      <c r="BF46" s="100">
        <v>0</v>
      </c>
      <c r="BG46" s="97"/>
      <c r="BH46" s="158" t="s">
        <v>44</v>
      </c>
      <c r="BI46" s="159" t="s">
        <v>44</v>
      </c>
      <c r="BJ46" s="102">
        <f t="shared" si="25"/>
        <v>162.27105188545508</v>
      </c>
      <c r="BK46" s="102"/>
      <c r="BL46" s="92">
        <v>356.1</v>
      </c>
      <c r="BM46" s="93"/>
      <c r="BN46" s="822">
        <f t="shared" ref="BN46:BN49" si="59">BL46/2209</f>
        <v>0.16120416478044364</v>
      </c>
      <c r="BO46" s="93"/>
      <c r="BP46" s="158" t="s">
        <v>44</v>
      </c>
      <c r="BQ46" s="159" t="s">
        <v>44</v>
      </c>
      <c r="BR46" s="96">
        <f t="shared" si="27"/>
        <v>60993.9</v>
      </c>
      <c r="BS46" s="97"/>
      <c r="BT46" s="98" t="s">
        <v>44</v>
      </c>
      <c r="BU46" s="99" t="s">
        <v>44</v>
      </c>
      <c r="BV46" s="100">
        <f>55449*1.1</f>
        <v>60993.9</v>
      </c>
      <c r="BW46" s="97"/>
      <c r="BX46" s="158" t="s">
        <v>44</v>
      </c>
      <c r="BY46" s="159" t="s">
        <v>44</v>
      </c>
      <c r="BZ46" s="100">
        <v>0</v>
      </c>
      <c r="CA46" s="97"/>
      <c r="CB46" s="158" t="s">
        <v>44</v>
      </c>
      <c r="CC46" s="159" t="s">
        <v>44</v>
      </c>
      <c r="CD46" s="102">
        <f t="shared" si="42"/>
        <v>171.28306655433866</v>
      </c>
      <c r="CE46" s="102"/>
      <c r="CF46" s="103">
        <f t="shared" si="18"/>
        <v>1422.4</v>
      </c>
      <c r="CG46" s="102"/>
      <c r="CH46" s="822">
        <f t="shared" si="39"/>
        <v>0.16237442922374432</v>
      </c>
      <c r="CI46" s="179"/>
      <c r="CJ46" s="98" t="s">
        <v>44</v>
      </c>
      <c r="CK46" s="99" t="s">
        <v>44</v>
      </c>
      <c r="CL46" s="100">
        <f t="shared" si="19"/>
        <v>222644.90000000002</v>
      </c>
      <c r="CM46" s="107"/>
      <c r="CN46" s="108" t="s">
        <v>44</v>
      </c>
      <c r="CO46" s="99" t="s">
        <v>44</v>
      </c>
      <c r="CP46" s="100">
        <f t="shared" si="20"/>
        <v>222644.90000000002</v>
      </c>
      <c r="CQ46" s="97"/>
      <c r="CR46" s="98" t="s">
        <v>44</v>
      </c>
      <c r="CS46" s="99" t="s">
        <v>44</v>
      </c>
      <c r="CT46" s="100">
        <f t="shared" si="21"/>
        <v>0</v>
      </c>
      <c r="CU46" s="97"/>
      <c r="CV46" s="98" t="s">
        <v>44</v>
      </c>
      <c r="CW46" s="99" t="s">
        <v>44</v>
      </c>
      <c r="CX46" s="100">
        <f t="shared" si="22"/>
        <v>156.52762935883015</v>
      </c>
      <c r="CY46" s="174"/>
      <c r="CZ46" s="110">
        <f t="shared" si="57"/>
        <v>713.59999999999991</v>
      </c>
      <c r="DA46" s="111">
        <f t="shared" si="57"/>
        <v>0</v>
      </c>
      <c r="DB46" s="176">
        <f>(CZ46/4343)*100</f>
        <v>16.431038452682476</v>
      </c>
      <c r="DC46" s="113">
        <f>(DA46/4343)*100</f>
        <v>0</v>
      </c>
      <c r="DD46" s="100">
        <f t="shared" si="52"/>
        <v>104418</v>
      </c>
      <c r="DE46" s="102">
        <f t="shared" si="52"/>
        <v>0</v>
      </c>
      <c r="DF46" s="102" t="e">
        <f t="shared" si="52"/>
        <v>#VALUE!</v>
      </c>
      <c r="DG46" s="114" t="e">
        <f t="shared" si="49"/>
        <v>#VALUE!</v>
      </c>
      <c r="DH46" s="100">
        <f t="shared" si="49"/>
        <v>104418</v>
      </c>
      <c r="DI46" s="97">
        <f t="shared" si="49"/>
        <v>0</v>
      </c>
      <c r="DJ46" s="97" t="e">
        <f t="shared" si="49"/>
        <v>#VALUE!</v>
      </c>
      <c r="DK46" s="97" t="e">
        <f t="shared" si="49"/>
        <v>#VALUE!</v>
      </c>
      <c r="DL46" s="100">
        <f t="shared" si="49"/>
        <v>0</v>
      </c>
      <c r="DM46" s="97">
        <f t="shared" si="49"/>
        <v>0</v>
      </c>
      <c r="DN46" s="97" t="e">
        <f t="shared" si="49"/>
        <v>#VALUE!</v>
      </c>
      <c r="DO46" s="115" t="e">
        <f t="shared" si="49"/>
        <v>#VALUE!</v>
      </c>
      <c r="DP46" s="100">
        <f t="shared" si="50"/>
        <v>146</v>
      </c>
      <c r="DQ46" s="116" t="e">
        <f t="shared" si="50"/>
        <v>#DIV/0!</v>
      </c>
      <c r="DR46" s="117">
        <f t="shared" si="32"/>
        <v>713.59999999999991</v>
      </c>
      <c r="DS46" s="118">
        <f t="shared" si="4"/>
        <v>100</v>
      </c>
      <c r="DT46" s="104" t="e">
        <f t="shared" si="5"/>
        <v>#VALUE!</v>
      </c>
      <c r="DU46" s="118" t="e">
        <f t="shared" si="6"/>
        <v>#VALUE!</v>
      </c>
      <c r="DV46" s="104">
        <f t="shared" si="7"/>
        <v>104418</v>
      </c>
      <c r="DW46" s="119">
        <f t="shared" si="8"/>
        <v>100</v>
      </c>
      <c r="DX46" s="120" t="e">
        <f t="shared" si="9"/>
        <v>#VALUE!</v>
      </c>
      <c r="DY46" s="118" t="e">
        <f t="shared" si="10"/>
        <v>#VALUE!</v>
      </c>
      <c r="DZ46" s="104">
        <f t="shared" si="11"/>
        <v>104418</v>
      </c>
      <c r="EA46" s="119">
        <f t="shared" si="12"/>
        <v>100</v>
      </c>
      <c r="EB46" s="120" t="e">
        <f t="shared" si="13"/>
        <v>#VALUE!</v>
      </c>
      <c r="EC46" s="118" t="e">
        <f t="shared" si="14"/>
        <v>#VALUE!</v>
      </c>
      <c r="ED46" s="104">
        <f t="shared" si="15"/>
        <v>0</v>
      </c>
      <c r="EE46" s="121">
        <v>0</v>
      </c>
      <c r="EF46" s="120" t="e">
        <f t="shared" si="16"/>
        <v>#VALUE!</v>
      </c>
      <c r="EG46" s="121" t="e">
        <f t="shared" si="17"/>
        <v>#VALUE!</v>
      </c>
      <c r="EH46" s="122" t="e">
        <f t="shared" si="33"/>
        <v>#DIV/0!</v>
      </c>
      <c r="EI46" s="123" t="e">
        <f t="shared" si="34"/>
        <v>#DIV/0!</v>
      </c>
    </row>
    <row r="47" spans="1:139" s="5" customFormat="1" ht="15.75" customHeight="1" x14ac:dyDescent="0.25">
      <c r="A47" s="1070"/>
      <c r="B47" s="178"/>
      <c r="C47" s="180" t="s">
        <v>46</v>
      </c>
      <c r="D47" s="92">
        <v>53.1</v>
      </c>
      <c r="E47" s="93"/>
      <c r="F47" s="93">
        <v>2.4594719777674849</v>
      </c>
      <c r="G47" s="93"/>
      <c r="H47" s="158" t="s">
        <v>44</v>
      </c>
      <c r="I47" s="159" t="s">
        <v>44</v>
      </c>
      <c r="J47" s="96">
        <v>9432</v>
      </c>
      <c r="K47" s="97"/>
      <c r="L47" s="98" t="s">
        <v>44</v>
      </c>
      <c r="M47" s="99" t="s">
        <v>44</v>
      </c>
      <c r="N47" s="100">
        <v>9432</v>
      </c>
      <c r="O47" s="97"/>
      <c r="P47" s="158" t="s">
        <v>44</v>
      </c>
      <c r="Q47" s="159" t="s">
        <v>44</v>
      </c>
      <c r="R47" s="100">
        <v>0</v>
      </c>
      <c r="S47" s="97"/>
      <c r="T47" s="158" t="s">
        <v>44</v>
      </c>
      <c r="U47" s="159" t="s">
        <v>44</v>
      </c>
      <c r="V47" s="102">
        <v>178</v>
      </c>
      <c r="W47" s="102"/>
      <c r="X47" s="92">
        <v>53.7</v>
      </c>
      <c r="Y47" s="93"/>
      <c r="Z47" s="93">
        <v>2.4587912087912089</v>
      </c>
      <c r="AA47" s="93"/>
      <c r="AB47" s="158" t="s">
        <v>44</v>
      </c>
      <c r="AC47" s="159" t="s">
        <v>44</v>
      </c>
      <c r="AD47" s="96">
        <v>9369</v>
      </c>
      <c r="AE47" s="97"/>
      <c r="AF47" s="98" t="s">
        <v>44</v>
      </c>
      <c r="AG47" s="99" t="s">
        <v>44</v>
      </c>
      <c r="AH47" s="100">
        <v>9369</v>
      </c>
      <c r="AI47" s="97"/>
      <c r="AJ47" s="158" t="s">
        <v>44</v>
      </c>
      <c r="AK47" s="159" t="s">
        <v>44</v>
      </c>
      <c r="AL47" s="100">
        <v>0</v>
      </c>
      <c r="AM47" s="97"/>
      <c r="AN47" s="158" t="s">
        <v>44</v>
      </c>
      <c r="AO47" s="159" t="s">
        <v>44</v>
      </c>
      <c r="AP47" s="102">
        <v>174</v>
      </c>
      <c r="AQ47" s="102"/>
      <c r="AR47" s="92">
        <v>55</v>
      </c>
      <c r="AS47" s="93"/>
      <c r="AT47" s="822">
        <f t="shared" si="58"/>
        <v>2.4909420289855072E-2</v>
      </c>
      <c r="AU47" s="93"/>
      <c r="AV47" s="158" t="s">
        <v>44</v>
      </c>
      <c r="AW47" s="159" t="s">
        <v>44</v>
      </c>
      <c r="AX47" s="96">
        <f t="shared" si="24"/>
        <v>10329.9</v>
      </c>
      <c r="AY47" s="97"/>
      <c r="AZ47" s="98" t="s">
        <v>44</v>
      </c>
      <c r="BA47" s="99" t="s">
        <v>44</v>
      </c>
      <c r="BB47" s="100">
        <f>9838*1.05</f>
        <v>10329.9</v>
      </c>
      <c r="BC47" s="97"/>
      <c r="BD47" s="158" t="s">
        <v>44</v>
      </c>
      <c r="BE47" s="159" t="s">
        <v>44</v>
      </c>
      <c r="BF47" s="100">
        <v>0</v>
      </c>
      <c r="BG47" s="97"/>
      <c r="BH47" s="158" t="s">
        <v>44</v>
      </c>
      <c r="BI47" s="159" t="s">
        <v>44</v>
      </c>
      <c r="BJ47" s="102">
        <f t="shared" si="25"/>
        <v>187.81636363636363</v>
      </c>
      <c r="BK47" s="102"/>
      <c r="BL47" s="92">
        <v>53.9</v>
      </c>
      <c r="BM47" s="93"/>
      <c r="BN47" s="822">
        <f t="shared" si="59"/>
        <v>2.4400181077410592E-2</v>
      </c>
      <c r="BO47" s="93"/>
      <c r="BP47" s="158" t="s">
        <v>44</v>
      </c>
      <c r="BQ47" s="159" t="s">
        <v>44</v>
      </c>
      <c r="BR47" s="96">
        <f t="shared" si="27"/>
        <v>9960.3000000000011</v>
      </c>
      <c r="BS47" s="97"/>
      <c r="BT47" s="98" t="s">
        <v>44</v>
      </c>
      <c r="BU47" s="99" t="s">
        <v>44</v>
      </c>
      <c r="BV47" s="100">
        <f>9486*1.05</f>
        <v>9960.3000000000011</v>
      </c>
      <c r="BW47" s="97"/>
      <c r="BX47" s="158" t="s">
        <v>44</v>
      </c>
      <c r="BY47" s="159" t="s">
        <v>44</v>
      </c>
      <c r="BZ47" s="100">
        <v>0</v>
      </c>
      <c r="CA47" s="97"/>
      <c r="CB47" s="158" t="s">
        <v>44</v>
      </c>
      <c r="CC47" s="159" t="s">
        <v>44</v>
      </c>
      <c r="CD47" s="102">
        <f t="shared" si="42"/>
        <v>184.79220779220782</v>
      </c>
      <c r="CE47" s="102"/>
      <c r="CF47" s="103">
        <f t="shared" si="18"/>
        <v>215.70000000000002</v>
      </c>
      <c r="CG47" s="102"/>
      <c r="CH47" s="822">
        <f t="shared" si="39"/>
        <v>2.4623287671232879E-2</v>
      </c>
      <c r="CI47" s="179"/>
      <c r="CJ47" s="98" t="s">
        <v>44</v>
      </c>
      <c r="CK47" s="99" t="s">
        <v>44</v>
      </c>
      <c r="CL47" s="100">
        <f t="shared" si="19"/>
        <v>39091.199999999997</v>
      </c>
      <c r="CM47" s="107"/>
      <c r="CN47" s="108" t="s">
        <v>44</v>
      </c>
      <c r="CO47" s="99" t="s">
        <v>44</v>
      </c>
      <c r="CP47" s="100">
        <f t="shared" si="20"/>
        <v>39091.199999999997</v>
      </c>
      <c r="CQ47" s="97"/>
      <c r="CR47" s="98" t="s">
        <v>44</v>
      </c>
      <c r="CS47" s="99" t="s">
        <v>44</v>
      </c>
      <c r="CT47" s="100">
        <f t="shared" si="21"/>
        <v>0</v>
      </c>
      <c r="CU47" s="97"/>
      <c r="CV47" s="98" t="s">
        <v>44</v>
      </c>
      <c r="CW47" s="99" t="s">
        <v>44</v>
      </c>
      <c r="CX47" s="100">
        <f t="shared" si="22"/>
        <v>181.22948539638384</v>
      </c>
      <c r="CY47" s="181"/>
      <c r="CZ47" s="110">
        <f t="shared" si="57"/>
        <v>106.80000000000001</v>
      </c>
      <c r="DA47" s="111">
        <f t="shared" si="57"/>
        <v>0</v>
      </c>
      <c r="DB47" s="176">
        <f t="shared" ref="DB47:DC49" si="60">(CZ47/4343)*100</f>
        <v>2.4591296338936219</v>
      </c>
      <c r="DC47" s="113">
        <f t="shared" si="60"/>
        <v>0</v>
      </c>
      <c r="DD47" s="100">
        <f t="shared" si="52"/>
        <v>18801</v>
      </c>
      <c r="DE47" s="102">
        <f t="shared" si="52"/>
        <v>0</v>
      </c>
      <c r="DF47" s="102" t="e">
        <f t="shared" si="52"/>
        <v>#VALUE!</v>
      </c>
      <c r="DG47" s="114" t="e">
        <f t="shared" si="49"/>
        <v>#VALUE!</v>
      </c>
      <c r="DH47" s="100">
        <f t="shared" si="49"/>
        <v>18801</v>
      </c>
      <c r="DI47" s="97">
        <f t="shared" si="49"/>
        <v>0</v>
      </c>
      <c r="DJ47" s="97" t="e">
        <f t="shared" si="49"/>
        <v>#VALUE!</v>
      </c>
      <c r="DK47" s="97" t="e">
        <f t="shared" si="49"/>
        <v>#VALUE!</v>
      </c>
      <c r="DL47" s="100">
        <f t="shared" si="49"/>
        <v>0</v>
      </c>
      <c r="DM47" s="97">
        <f t="shared" si="49"/>
        <v>0</v>
      </c>
      <c r="DN47" s="97" t="e">
        <f t="shared" si="49"/>
        <v>#VALUE!</v>
      </c>
      <c r="DO47" s="115" t="e">
        <f t="shared" si="49"/>
        <v>#VALUE!</v>
      </c>
      <c r="DP47" s="100">
        <f t="shared" si="50"/>
        <v>176</v>
      </c>
      <c r="DQ47" s="116" t="e">
        <f t="shared" si="50"/>
        <v>#DIV/0!</v>
      </c>
      <c r="DR47" s="117">
        <f t="shared" si="32"/>
        <v>106.80000000000001</v>
      </c>
      <c r="DS47" s="118">
        <f t="shared" si="4"/>
        <v>100</v>
      </c>
      <c r="DT47" s="104" t="e">
        <f t="shared" si="5"/>
        <v>#VALUE!</v>
      </c>
      <c r="DU47" s="118" t="e">
        <f t="shared" si="6"/>
        <v>#VALUE!</v>
      </c>
      <c r="DV47" s="104">
        <f t="shared" si="7"/>
        <v>18801</v>
      </c>
      <c r="DW47" s="119">
        <f t="shared" si="8"/>
        <v>100</v>
      </c>
      <c r="DX47" s="120" t="e">
        <f t="shared" si="9"/>
        <v>#VALUE!</v>
      </c>
      <c r="DY47" s="118" t="e">
        <f t="shared" si="10"/>
        <v>#VALUE!</v>
      </c>
      <c r="DZ47" s="104">
        <f t="shared" si="11"/>
        <v>18801</v>
      </c>
      <c r="EA47" s="119">
        <f t="shared" si="12"/>
        <v>100</v>
      </c>
      <c r="EB47" s="120" t="e">
        <f t="shared" si="13"/>
        <v>#VALUE!</v>
      </c>
      <c r="EC47" s="118" t="e">
        <f t="shared" si="14"/>
        <v>#VALUE!</v>
      </c>
      <c r="ED47" s="104">
        <f t="shared" si="15"/>
        <v>0</v>
      </c>
      <c r="EE47" s="121">
        <v>0</v>
      </c>
      <c r="EF47" s="120" t="e">
        <f t="shared" si="16"/>
        <v>#VALUE!</v>
      </c>
      <c r="EG47" s="121" t="e">
        <f t="shared" si="17"/>
        <v>#VALUE!</v>
      </c>
      <c r="EH47" s="122" t="e">
        <f t="shared" si="33"/>
        <v>#DIV/0!</v>
      </c>
      <c r="EI47" s="123" t="e">
        <f t="shared" si="34"/>
        <v>#DIV/0!</v>
      </c>
    </row>
    <row r="48" spans="1:139" s="124" customFormat="1" ht="15.75" customHeight="1" x14ac:dyDescent="0.25">
      <c r="A48" s="1070"/>
      <c r="B48" s="90"/>
      <c r="C48" s="91" t="s">
        <v>48</v>
      </c>
      <c r="D48" s="182">
        <v>138.30000000000001</v>
      </c>
      <c r="E48" s="183"/>
      <c r="F48" s="93">
        <v>6.4057433997220938</v>
      </c>
      <c r="G48" s="93"/>
      <c r="H48" s="158" t="s">
        <v>44</v>
      </c>
      <c r="I48" s="159" t="s">
        <v>44</v>
      </c>
      <c r="J48" s="96">
        <v>15929</v>
      </c>
      <c r="K48" s="97"/>
      <c r="L48" s="98" t="s">
        <v>44</v>
      </c>
      <c r="M48" s="99" t="s">
        <v>44</v>
      </c>
      <c r="N48" s="184">
        <v>15929</v>
      </c>
      <c r="O48" s="101"/>
      <c r="P48" s="158" t="s">
        <v>44</v>
      </c>
      <c r="Q48" s="159" t="s">
        <v>44</v>
      </c>
      <c r="R48" s="184">
        <v>0</v>
      </c>
      <c r="S48" s="101"/>
      <c r="T48" s="158" t="s">
        <v>44</v>
      </c>
      <c r="U48" s="159" t="s">
        <v>44</v>
      </c>
      <c r="V48" s="102">
        <v>115</v>
      </c>
      <c r="W48" s="102"/>
      <c r="X48" s="182">
        <v>135.80000000000001</v>
      </c>
      <c r="Y48" s="183"/>
      <c r="Z48" s="93">
        <v>6.217948717948719</v>
      </c>
      <c r="AA48" s="93"/>
      <c r="AB48" s="158" t="s">
        <v>44</v>
      </c>
      <c r="AC48" s="159" t="s">
        <v>44</v>
      </c>
      <c r="AD48" s="96">
        <v>15549</v>
      </c>
      <c r="AE48" s="97"/>
      <c r="AF48" s="98" t="s">
        <v>44</v>
      </c>
      <c r="AG48" s="99" t="s">
        <v>44</v>
      </c>
      <c r="AH48" s="184">
        <v>15549</v>
      </c>
      <c r="AI48" s="101"/>
      <c r="AJ48" s="158" t="s">
        <v>44</v>
      </c>
      <c r="AK48" s="159" t="s">
        <v>44</v>
      </c>
      <c r="AL48" s="184">
        <v>0</v>
      </c>
      <c r="AM48" s="101"/>
      <c r="AN48" s="158" t="s">
        <v>44</v>
      </c>
      <c r="AO48" s="159" t="s">
        <v>44</v>
      </c>
      <c r="AP48" s="102">
        <v>114</v>
      </c>
      <c r="AQ48" s="102"/>
      <c r="AR48" s="182">
        <v>128.97999999999999</v>
      </c>
      <c r="AS48" s="183"/>
      <c r="AT48" s="822">
        <f t="shared" si="58"/>
        <v>5.8414855072463766E-2</v>
      </c>
      <c r="AU48" s="93"/>
      <c r="AV48" s="158" t="s">
        <v>44</v>
      </c>
      <c r="AW48" s="159" t="s">
        <v>44</v>
      </c>
      <c r="AX48" s="96">
        <f t="shared" si="24"/>
        <v>17899.2</v>
      </c>
      <c r="AY48" s="97"/>
      <c r="AZ48" s="98" t="s">
        <v>44</v>
      </c>
      <c r="BA48" s="99" t="s">
        <v>44</v>
      </c>
      <c r="BB48" s="184">
        <f>14916*1.2</f>
        <v>17899.2</v>
      </c>
      <c r="BC48" s="101"/>
      <c r="BD48" s="158" t="s">
        <v>44</v>
      </c>
      <c r="BE48" s="159" t="s">
        <v>44</v>
      </c>
      <c r="BF48" s="184">
        <v>0</v>
      </c>
      <c r="BG48" s="101"/>
      <c r="BH48" s="158" t="s">
        <v>44</v>
      </c>
      <c r="BI48" s="159" t="s">
        <v>44</v>
      </c>
      <c r="BJ48" s="102">
        <f t="shared" si="25"/>
        <v>138.77500387657003</v>
      </c>
      <c r="BK48" s="102"/>
      <c r="BL48" s="182">
        <v>138.5</v>
      </c>
      <c r="BM48" s="183"/>
      <c r="BN48" s="822">
        <f t="shared" si="59"/>
        <v>6.269805341783613E-2</v>
      </c>
      <c r="BO48" s="93"/>
      <c r="BP48" s="158" t="s">
        <v>44</v>
      </c>
      <c r="BQ48" s="159" t="s">
        <v>44</v>
      </c>
      <c r="BR48" s="96">
        <f t="shared" si="27"/>
        <v>21360</v>
      </c>
      <c r="BS48" s="97"/>
      <c r="BT48" s="98" t="s">
        <v>44</v>
      </c>
      <c r="BU48" s="99" t="s">
        <v>44</v>
      </c>
      <c r="BV48" s="100">
        <f>17800*1.2</f>
        <v>21360</v>
      </c>
      <c r="BW48" s="101"/>
      <c r="BX48" s="158" t="s">
        <v>44</v>
      </c>
      <c r="BY48" s="159" t="s">
        <v>44</v>
      </c>
      <c r="BZ48" s="184">
        <v>0</v>
      </c>
      <c r="CA48" s="101"/>
      <c r="CB48" s="158" t="s">
        <v>44</v>
      </c>
      <c r="CC48" s="159" t="s">
        <v>44</v>
      </c>
      <c r="CD48" s="102">
        <f t="shared" si="42"/>
        <v>154.22382671480145</v>
      </c>
      <c r="CE48" s="102"/>
      <c r="CF48" s="103">
        <f t="shared" si="18"/>
        <v>541.58000000000004</v>
      </c>
      <c r="CG48" s="102"/>
      <c r="CH48" s="822">
        <f t="shared" si="39"/>
        <v>6.1824200913242013E-2</v>
      </c>
      <c r="CI48" s="179"/>
      <c r="CJ48" s="98" t="s">
        <v>44</v>
      </c>
      <c r="CK48" s="99" t="s">
        <v>44</v>
      </c>
      <c r="CL48" s="100">
        <f t="shared" si="19"/>
        <v>70737.2</v>
      </c>
      <c r="CM48" s="107"/>
      <c r="CN48" s="108" t="s">
        <v>44</v>
      </c>
      <c r="CO48" s="99" t="s">
        <v>44</v>
      </c>
      <c r="CP48" s="100">
        <f t="shared" si="20"/>
        <v>70737.2</v>
      </c>
      <c r="CQ48" s="97"/>
      <c r="CR48" s="98" t="s">
        <v>44</v>
      </c>
      <c r="CS48" s="99" t="s">
        <v>44</v>
      </c>
      <c r="CT48" s="100">
        <f t="shared" si="21"/>
        <v>0</v>
      </c>
      <c r="CU48" s="97"/>
      <c r="CV48" s="98" t="s">
        <v>44</v>
      </c>
      <c r="CW48" s="99" t="s">
        <v>44</v>
      </c>
      <c r="CX48" s="100">
        <f t="shared" si="22"/>
        <v>130.61265187045311</v>
      </c>
      <c r="CY48" s="174"/>
      <c r="CZ48" s="110">
        <f t="shared" si="57"/>
        <v>274.10000000000002</v>
      </c>
      <c r="DA48" s="111">
        <f t="shared" si="57"/>
        <v>0</v>
      </c>
      <c r="DB48" s="176">
        <f t="shared" si="60"/>
        <v>6.3113055491595684</v>
      </c>
      <c r="DC48" s="113">
        <f t="shared" si="60"/>
        <v>0</v>
      </c>
      <c r="DD48" s="100">
        <f t="shared" si="52"/>
        <v>31478</v>
      </c>
      <c r="DE48" s="102">
        <f t="shared" si="52"/>
        <v>0</v>
      </c>
      <c r="DF48" s="102" t="e">
        <f t="shared" si="52"/>
        <v>#VALUE!</v>
      </c>
      <c r="DG48" s="114" t="e">
        <f t="shared" si="49"/>
        <v>#VALUE!</v>
      </c>
      <c r="DH48" s="100">
        <f t="shared" si="49"/>
        <v>31478</v>
      </c>
      <c r="DI48" s="97">
        <f t="shared" si="49"/>
        <v>0</v>
      </c>
      <c r="DJ48" s="97" t="e">
        <f t="shared" si="49"/>
        <v>#VALUE!</v>
      </c>
      <c r="DK48" s="97" t="e">
        <f t="shared" si="49"/>
        <v>#VALUE!</v>
      </c>
      <c r="DL48" s="100">
        <f t="shared" si="49"/>
        <v>0</v>
      </c>
      <c r="DM48" s="97">
        <f t="shared" si="49"/>
        <v>0</v>
      </c>
      <c r="DN48" s="97" t="e">
        <f t="shared" si="49"/>
        <v>#VALUE!</v>
      </c>
      <c r="DO48" s="115" t="e">
        <f t="shared" si="49"/>
        <v>#VALUE!</v>
      </c>
      <c r="DP48" s="100">
        <f t="shared" si="50"/>
        <v>115</v>
      </c>
      <c r="DQ48" s="116" t="e">
        <f t="shared" si="50"/>
        <v>#DIV/0!</v>
      </c>
      <c r="DR48" s="117">
        <f t="shared" si="32"/>
        <v>274.10000000000002</v>
      </c>
      <c r="DS48" s="118">
        <f t="shared" si="4"/>
        <v>100</v>
      </c>
      <c r="DT48" s="104" t="e">
        <f t="shared" si="5"/>
        <v>#VALUE!</v>
      </c>
      <c r="DU48" s="118" t="e">
        <f t="shared" si="6"/>
        <v>#VALUE!</v>
      </c>
      <c r="DV48" s="104">
        <f t="shared" si="7"/>
        <v>31478</v>
      </c>
      <c r="DW48" s="119">
        <f t="shared" si="8"/>
        <v>100</v>
      </c>
      <c r="DX48" s="120" t="e">
        <f t="shared" si="9"/>
        <v>#VALUE!</v>
      </c>
      <c r="DY48" s="118" t="e">
        <f t="shared" si="10"/>
        <v>#VALUE!</v>
      </c>
      <c r="DZ48" s="104">
        <f t="shared" si="11"/>
        <v>31478</v>
      </c>
      <c r="EA48" s="119">
        <f t="shared" si="12"/>
        <v>100</v>
      </c>
      <c r="EB48" s="120" t="e">
        <f t="shared" si="13"/>
        <v>#VALUE!</v>
      </c>
      <c r="EC48" s="118" t="e">
        <f t="shared" si="14"/>
        <v>#VALUE!</v>
      </c>
      <c r="ED48" s="104">
        <f t="shared" si="15"/>
        <v>0</v>
      </c>
      <c r="EE48" s="121">
        <v>0</v>
      </c>
      <c r="EF48" s="120" t="e">
        <f t="shared" si="16"/>
        <v>#VALUE!</v>
      </c>
      <c r="EG48" s="121" t="e">
        <f t="shared" si="17"/>
        <v>#VALUE!</v>
      </c>
      <c r="EH48" s="122" t="e">
        <f t="shared" si="33"/>
        <v>#DIV/0!</v>
      </c>
      <c r="EI48" s="123" t="e">
        <f t="shared" si="34"/>
        <v>#DIV/0!</v>
      </c>
    </row>
    <row r="49" spans="1:139" s="124" customFormat="1" ht="15.75" customHeight="1" x14ac:dyDescent="0.25">
      <c r="A49" s="1070"/>
      <c r="B49" s="90"/>
      <c r="C49" s="185" t="s">
        <v>49</v>
      </c>
      <c r="D49" s="92">
        <v>10.8</v>
      </c>
      <c r="E49" s="183"/>
      <c r="F49" s="93">
        <v>0.50023158869847151</v>
      </c>
      <c r="G49" s="93"/>
      <c r="H49" s="158" t="s">
        <v>44</v>
      </c>
      <c r="I49" s="159" t="s">
        <v>44</v>
      </c>
      <c r="J49" s="96">
        <v>1547</v>
      </c>
      <c r="K49" s="97"/>
      <c r="L49" s="98" t="s">
        <v>44</v>
      </c>
      <c r="M49" s="99" t="s">
        <v>44</v>
      </c>
      <c r="N49" s="184">
        <v>1547</v>
      </c>
      <c r="O49" s="101"/>
      <c r="P49" s="158" t="s">
        <v>44</v>
      </c>
      <c r="Q49" s="159" t="s">
        <v>44</v>
      </c>
      <c r="R49" s="184">
        <v>0</v>
      </c>
      <c r="S49" s="101"/>
      <c r="T49" s="158" t="s">
        <v>44</v>
      </c>
      <c r="U49" s="159" t="s">
        <v>44</v>
      </c>
      <c r="V49" s="102">
        <v>143</v>
      </c>
      <c r="W49" s="102"/>
      <c r="X49" s="92">
        <v>10.199999999999999</v>
      </c>
      <c r="Y49" s="183"/>
      <c r="Z49" s="93">
        <v>0.46703296703296704</v>
      </c>
      <c r="AA49" s="93"/>
      <c r="AB49" s="158" t="s">
        <v>44</v>
      </c>
      <c r="AC49" s="159" t="s">
        <v>44</v>
      </c>
      <c r="AD49" s="96">
        <v>1438</v>
      </c>
      <c r="AE49" s="97"/>
      <c r="AF49" s="98" t="s">
        <v>44</v>
      </c>
      <c r="AG49" s="99" t="s">
        <v>44</v>
      </c>
      <c r="AH49" s="184">
        <v>1438</v>
      </c>
      <c r="AI49" s="101"/>
      <c r="AJ49" s="158" t="s">
        <v>44</v>
      </c>
      <c r="AK49" s="159" t="s">
        <v>44</v>
      </c>
      <c r="AL49" s="184">
        <v>0</v>
      </c>
      <c r="AM49" s="101"/>
      <c r="AN49" s="158" t="s">
        <v>44</v>
      </c>
      <c r="AO49" s="159" t="s">
        <v>44</v>
      </c>
      <c r="AP49" s="102">
        <v>141</v>
      </c>
      <c r="AQ49" s="102"/>
      <c r="AR49" s="92">
        <v>3</v>
      </c>
      <c r="AS49" s="183"/>
      <c r="AT49" s="822">
        <f t="shared" si="58"/>
        <v>1.358695652173913E-3</v>
      </c>
      <c r="AU49" s="93"/>
      <c r="AV49" s="158" t="s">
        <v>44</v>
      </c>
      <c r="AW49" s="159" t="s">
        <v>44</v>
      </c>
      <c r="AX49" s="96">
        <f t="shared" si="24"/>
        <v>458</v>
      </c>
      <c r="AY49" s="97"/>
      <c r="AZ49" s="98" t="s">
        <v>44</v>
      </c>
      <c r="BA49" s="99" t="s">
        <v>44</v>
      </c>
      <c r="BB49" s="100">
        <v>458</v>
      </c>
      <c r="BC49" s="101"/>
      <c r="BD49" s="158" t="s">
        <v>44</v>
      </c>
      <c r="BE49" s="159" t="s">
        <v>44</v>
      </c>
      <c r="BF49" s="184">
        <v>0</v>
      </c>
      <c r="BG49" s="101"/>
      <c r="BH49" s="158" t="s">
        <v>44</v>
      </c>
      <c r="BI49" s="159" t="s">
        <v>44</v>
      </c>
      <c r="BJ49" s="102">
        <f t="shared" si="25"/>
        <v>152.66666666666666</v>
      </c>
      <c r="BK49" s="102"/>
      <c r="BL49" s="92">
        <v>0</v>
      </c>
      <c r="BM49" s="183"/>
      <c r="BN49" s="822">
        <f t="shared" si="59"/>
        <v>0</v>
      </c>
      <c r="BO49" s="93"/>
      <c r="BP49" s="158" t="s">
        <v>44</v>
      </c>
      <c r="BQ49" s="159" t="s">
        <v>44</v>
      </c>
      <c r="BR49" s="96">
        <f t="shared" si="27"/>
        <v>0</v>
      </c>
      <c r="BS49" s="97"/>
      <c r="BT49" s="98" t="s">
        <v>44</v>
      </c>
      <c r="BU49" s="99" t="s">
        <v>44</v>
      </c>
      <c r="BV49" s="100">
        <v>0</v>
      </c>
      <c r="BW49" s="101"/>
      <c r="BX49" s="158" t="s">
        <v>44</v>
      </c>
      <c r="BY49" s="159" t="s">
        <v>44</v>
      </c>
      <c r="BZ49" s="184">
        <v>0</v>
      </c>
      <c r="CA49" s="101"/>
      <c r="CB49" s="158" t="s">
        <v>44</v>
      </c>
      <c r="CC49" s="159" t="s">
        <v>44</v>
      </c>
      <c r="CD49" s="102"/>
      <c r="CE49" s="102"/>
      <c r="CF49" s="103">
        <f t="shared" si="18"/>
        <v>24</v>
      </c>
      <c r="CG49" s="102"/>
      <c r="CH49" s="822">
        <f t="shared" si="39"/>
        <v>2.7397260273972603E-3</v>
      </c>
      <c r="CI49" s="179"/>
      <c r="CJ49" s="98" t="s">
        <v>44</v>
      </c>
      <c r="CK49" s="99" t="s">
        <v>44</v>
      </c>
      <c r="CL49" s="100">
        <f t="shared" si="19"/>
        <v>3443</v>
      </c>
      <c r="CM49" s="107"/>
      <c r="CN49" s="108" t="s">
        <v>44</v>
      </c>
      <c r="CO49" s="99" t="s">
        <v>44</v>
      </c>
      <c r="CP49" s="100">
        <f t="shared" si="20"/>
        <v>3443</v>
      </c>
      <c r="CQ49" s="97"/>
      <c r="CR49" s="98" t="s">
        <v>44</v>
      </c>
      <c r="CS49" s="99" t="s">
        <v>44</v>
      </c>
      <c r="CT49" s="100">
        <f t="shared" si="21"/>
        <v>0</v>
      </c>
      <c r="CU49" s="97"/>
      <c r="CV49" s="98" t="s">
        <v>44</v>
      </c>
      <c r="CW49" s="99" t="s">
        <v>44</v>
      </c>
      <c r="CX49" s="100">
        <f t="shared" si="22"/>
        <v>143.45833333333334</v>
      </c>
      <c r="CY49" s="174"/>
      <c r="CZ49" s="110">
        <f t="shared" si="57"/>
        <v>21</v>
      </c>
      <c r="DA49" s="111">
        <f t="shared" si="57"/>
        <v>0</v>
      </c>
      <c r="DB49" s="176">
        <f t="shared" si="60"/>
        <v>0.48353672576559981</v>
      </c>
      <c r="DC49" s="113">
        <f t="shared" si="60"/>
        <v>0</v>
      </c>
      <c r="DD49" s="100">
        <f t="shared" si="52"/>
        <v>2985</v>
      </c>
      <c r="DE49" s="102">
        <f t="shared" si="52"/>
        <v>0</v>
      </c>
      <c r="DF49" s="102" t="e">
        <f t="shared" si="52"/>
        <v>#VALUE!</v>
      </c>
      <c r="DG49" s="114" t="e">
        <f t="shared" si="49"/>
        <v>#VALUE!</v>
      </c>
      <c r="DH49" s="100">
        <f t="shared" si="49"/>
        <v>2985</v>
      </c>
      <c r="DI49" s="97">
        <f t="shared" si="49"/>
        <v>0</v>
      </c>
      <c r="DJ49" s="97" t="e">
        <f t="shared" si="49"/>
        <v>#VALUE!</v>
      </c>
      <c r="DK49" s="97" t="e">
        <f t="shared" si="49"/>
        <v>#VALUE!</v>
      </c>
      <c r="DL49" s="100">
        <f t="shared" si="49"/>
        <v>0</v>
      </c>
      <c r="DM49" s="97">
        <f t="shared" si="49"/>
        <v>0</v>
      </c>
      <c r="DN49" s="97" t="e">
        <f t="shared" si="49"/>
        <v>#VALUE!</v>
      </c>
      <c r="DO49" s="115" t="e">
        <f t="shared" si="49"/>
        <v>#VALUE!</v>
      </c>
      <c r="DP49" s="100">
        <f t="shared" si="50"/>
        <v>142</v>
      </c>
      <c r="DQ49" s="116" t="e">
        <f t="shared" si="50"/>
        <v>#DIV/0!</v>
      </c>
      <c r="DR49" s="117">
        <f t="shared" si="32"/>
        <v>21</v>
      </c>
      <c r="DS49" s="118">
        <f t="shared" si="4"/>
        <v>100</v>
      </c>
      <c r="DT49" s="104" t="e">
        <f t="shared" si="5"/>
        <v>#VALUE!</v>
      </c>
      <c r="DU49" s="118" t="e">
        <f t="shared" si="6"/>
        <v>#VALUE!</v>
      </c>
      <c r="DV49" s="104">
        <f t="shared" si="7"/>
        <v>2985</v>
      </c>
      <c r="DW49" s="119">
        <f t="shared" si="8"/>
        <v>100</v>
      </c>
      <c r="DX49" s="120" t="e">
        <f t="shared" si="9"/>
        <v>#VALUE!</v>
      </c>
      <c r="DY49" s="118" t="e">
        <f t="shared" si="10"/>
        <v>#VALUE!</v>
      </c>
      <c r="DZ49" s="104">
        <f t="shared" si="11"/>
        <v>2985</v>
      </c>
      <c r="EA49" s="119">
        <f t="shared" si="12"/>
        <v>100</v>
      </c>
      <c r="EB49" s="120" t="e">
        <f t="shared" si="13"/>
        <v>#VALUE!</v>
      </c>
      <c r="EC49" s="118" t="e">
        <f t="shared" si="14"/>
        <v>#VALUE!</v>
      </c>
      <c r="ED49" s="104">
        <f t="shared" si="15"/>
        <v>0</v>
      </c>
      <c r="EE49" s="121">
        <v>0</v>
      </c>
      <c r="EF49" s="120" t="e">
        <f t="shared" si="16"/>
        <v>#VALUE!</v>
      </c>
      <c r="EG49" s="121" t="e">
        <f t="shared" si="17"/>
        <v>#VALUE!</v>
      </c>
      <c r="EH49" s="122" t="e">
        <f t="shared" si="33"/>
        <v>#DIV/0!</v>
      </c>
      <c r="EI49" s="123" t="e">
        <f t="shared" si="34"/>
        <v>#DIV/0!</v>
      </c>
    </row>
    <row r="50" spans="1:139" s="157" customFormat="1" ht="15.75" customHeight="1" x14ac:dyDescent="0.25">
      <c r="A50" s="1070"/>
      <c r="B50" s="164" t="s">
        <v>57</v>
      </c>
      <c r="C50" s="165"/>
      <c r="D50" s="132">
        <v>1565.6000000000001</v>
      </c>
      <c r="E50" s="133"/>
      <c r="F50" s="133">
        <v>14.393807058996591</v>
      </c>
      <c r="G50" s="133"/>
      <c r="H50" s="134" t="s">
        <v>44</v>
      </c>
      <c r="I50" s="135" t="s">
        <v>44</v>
      </c>
      <c r="J50" s="136">
        <v>107830</v>
      </c>
      <c r="K50" s="86"/>
      <c r="L50" s="137" t="s">
        <v>44</v>
      </c>
      <c r="M50" s="138" t="s">
        <v>44</v>
      </c>
      <c r="N50" s="139">
        <v>107830</v>
      </c>
      <c r="O50" s="140"/>
      <c r="P50" s="134" t="s">
        <v>44</v>
      </c>
      <c r="Q50" s="135" t="s">
        <v>44</v>
      </c>
      <c r="R50" s="139">
        <v>0</v>
      </c>
      <c r="S50" s="140"/>
      <c r="T50" s="134" t="s">
        <v>44</v>
      </c>
      <c r="U50" s="135" t="s">
        <v>44</v>
      </c>
      <c r="V50" s="141">
        <v>69</v>
      </c>
      <c r="W50" s="141"/>
      <c r="X50" s="132">
        <v>1518.7</v>
      </c>
      <c r="Y50" s="133"/>
      <c r="Z50" s="133">
        <v>13.83541801419344</v>
      </c>
      <c r="AA50" s="133"/>
      <c r="AB50" s="134" t="s">
        <v>44</v>
      </c>
      <c r="AC50" s="135" t="s">
        <v>44</v>
      </c>
      <c r="AD50" s="136">
        <v>104819</v>
      </c>
      <c r="AE50" s="86"/>
      <c r="AF50" s="137" t="s">
        <v>44</v>
      </c>
      <c r="AG50" s="138" t="s">
        <v>44</v>
      </c>
      <c r="AH50" s="139">
        <v>104819</v>
      </c>
      <c r="AI50" s="140"/>
      <c r="AJ50" s="134" t="s">
        <v>44</v>
      </c>
      <c r="AK50" s="135" t="s">
        <v>44</v>
      </c>
      <c r="AL50" s="139">
        <v>0</v>
      </c>
      <c r="AM50" s="140"/>
      <c r="AN50" s="134" t="s">
        <v>44</v>
      </c>
      <c r="AO50" s="135" t="s">
        <v>44</v>
      </c>
      <c r="AP50" s="141">
        <v>69</v>
      </c>
      <c r="AQ50" s="141"/>
      <c r="AR50" s="132">
        <f>SUM(AR51:AR55)</f>
        <v>1570.4</v>
      </c>
      <c r="AS50" s="133"/>
      <c r="AT50" s="823">
        <f>AR50/11040</f>
        <v>0.14224637681159422</v>
      </c>
      <c r="AU50" s="133"/>
      <c r="AV50" s="134" t="s">
        <v>44</v>
      </c>
      <c r="AW50" s="135" t="s">
        <v>44</v>
      </c>
      <c r="AX50" s="136">
        <f t="shared" si="24"/>
        <v>110445.5</v>
      </c>
      <c r="AY50" s="86"/>
      <c r="AZ50" s="137" t="s">
        <v>44</v>
      </c>
      <c r="BA50" s="138" t="s">
        <v>44</v>
      </c>
      <c r="BB50" s="139">
        <f>SUM(BB51:BB55)</f>
        <v>110445.5</v>
      </c>
      <c r="BC50" s="140"/>
      <c r="BD50" s="134" t="s">
        <v>44</v>
      </c>
      <c r="BE50" s="135" t="s">
        <v>44</v>
      </c>
      <c r="BF50" s="139">
        <v>0</v>
      </c>
      <c r="BG50" s="140"/>
      <c r="BH50" s="134" t="s">
        <v>44</v>
      </c>
      <c r="BI50" s="135" t="s">
        <v>44</v>
      </c>
      <c r="BJ50" s="141">
        <f t="shared" si="25"/>
        <v>70.32953387671931</v>
      </c>
      <c r="BK50" s="141"/>
      <c r="BL50" s="132">
        <f>SUM(BL51:BL55)</f>
        <v>1602.4</v>
      </c>
      <c r="BM50" s="133"/>
      <c r="BN50" s="823">
        <f>BL50/11156.9</f>
        <v>0.1436241249809535</v>
      </c>
      <c r="BO50" s="133"/>
      <c r="BP50" s="134" t="s">
        <v>44</v>
      </c>
      <c r="BQ50" s="135" t="s">
        <v>44</v>
      </c>
      <c r="BR50" s="136">
        <f t="shared" si="27"/>
        <v>123745</v>
      </c>
      <c r="BS50" s="86"/>
      <c r="BT50" s="137" t="s">
        <v>44</v>
      </c>
      <c r="BU50" s="138" t="s">
        <v>44</v>
      </c>
      <c r="BV50" s="139">
        <f>SUM(BV51:BV55)</f>
        <v>123745</v>
      </c>
      <c r="BW50" s="140"/>
      <c r="BX50" s="134" t="s">
        <v>44</v>
      </c>
      <c r="BY50" s="135" t="s">
        <v>44</v>
      </c>
      <c r="BZ50" s="139">
        <v>0</v>
      </c>
      <c r="CA50" s="140"/>
      <c r="CB50" s="134" t="s">
        <v>44</v>
      </c>
      <c r="CC50" s="135" t="s">
        <v>44</v>
      </c>
      <c r="CD50" s="141">
        <f t="shared" si="42"/>
        <v>77.224787818272588</v>
      </c>
      <c r="CE50" s="141"/>
      <c r="CF50" s="142">
        <f t="shared" si="18"/>
        <v>6257.1</v>
      </c>
      <c r="CG50" s="141"/>
      <c r="CH50" s="823">
        <f>CF50/44102.6</f>
        <v>0.14187598917070651</v>
      </c>
      <c r="CI50" s="143"/>
      <c r="CJ50" s="137" t="s">
        <v>44</v>
      </c>
      <c r="CK50" s="138" t="s">
        <v>44</v>
      </c>
      <c r="CL50" s="139">
        <f t="shared" si="19"/>
        <v>446839.5</v>
      </c>
      <c r="CM50" s="144"/>
      <c r="CN50" s="145" t="s">
        <v>44</v>
      </c>
      <c r="CO50" s="138" t="s">
        <v>44</v>
      </c>
      <c r="CP50" s="139">
        <f t="shared" si="20"/>
        <v>446839.5</v>
      </c>
      <c r="CQ50" s="140"/>
      <c r="CR50" s="137" t="s">
        <v>44</v>
      </c>
      <c r="CS50" s="138" t="s">
        <v>44</v>
      </c>
      <c r="CT50" s="139">
        <f t="shared" si="21"/>
        <v>0</v>
      </c>
      <c r="CU50" s="140"/>
      <c r="CV50" s="137" t="s">
        <v>44</v>
      </c>
      <c r="CW50" s="138" t="s">
        <v>44</v>
      </c>
      <c r="CX50" s="139">
        <f t="shared" si="22"/>
        <v>71.413194610921991</v>
      </c>
      <c r="CY50" s="175"/>
      <c r="CZ50" s="147">
        <f t="shared" si="57"/>
        <v>3084.3</v>
      </c>
      <c r="DA50" s="148">
        <f t="shared" si="57"/>
        <v>0</v>
      </c>
      <c r="DB50" s="177" t="e">
        <f>(CZ50/#REF!)*100</f>
        <v>#REF!</v>
      </c>
      <c r="DC50" s="150" t="e">
        <f>(DA50/#REF!)*100</f>
        <v>#REF!</v>
      </c>
      <c r="DD50" s="139">
        <f t="shared" si="52"/>
        <v>212649</v>
      </c>
      <c r="DE50" s="141">
        <f t="shared" si="52"/>
        <v>0</v>
      </c>
      <c r="DF50" s="141" t="e">
        <f t="shared" si="52"/>
        <v>#VALUE!</v>
      </c>
      <c r="DG50" s="151" t="e">
        <f t="shared" si="49"/>
        <v>#VALUE!</v>
      </c>
      <c r="DH50" s="139">
        <f t="shared" si="49"/>
        <v>212649</v>
      </c>
      <c r="DI50" s="140">
        <f t="shared" si="49"/>
        <v>0</v>
      </c>
      <c r="DJ50" s="140" t="e">
        <f t="shared" si="49"/>
        <v>#VALUE!</v>
      </c>
      <c r="DK50" s="140" t="e">
        <f t="shared" si="49"/>
        <v>#VALUE!</v>
      </c>
      <c r="DL50" s="139">
        <f t="shared" si="49"/>
        <v>0</v>
      </c>
      <c r="DM50" s="140">
        <f t="shared" si="49"/>
        <v>0</v>
      </c>
      <c r="DN50" s="140" t="e">
        <f t="shared" si="49"/>
        <v>#VALUE!</v>
      </c>
      <c r="DO50" s="152" t="e">
        <f t="shared" si="49"/>
        <v>#VALUE!</v>
      </c>
      <c r="DP50" s="139">
        <f t="shared" si="50"/>
        <v>69</v>
      </c>
      <c r="DQ50" s="153" t="e">
        <f t="shared" si="50"/>
        <v>#DIV/0!</v>
      </c>
      <c r="DR50" s="154">
        <f t="shared" si="32"/>
        <v>3084.3</v>
      </c>
      <c r="DS50" s="84">
        <f t="shared" si="4"/>
        <v>100</v>
      </c>
      <c r="DT50" s="79" t="e">
        <f t="shared" si="5"/>
        <v>#VALUE!</v>
      </c>
      <c r="DU50" s="84" t="e">
        <f t="shared" si="6"/>
        <v>#VALUE!</v>
      </c>
      <c r="DV50" s="79">
        <f t="shared" si="7"/>
        <v>212649</v>
      </c>
      <c r="DW50" s="85">
        <f t="shared" si="8"/>
        <v>100</v>
      </c>
      <c r="DX50" s="86" t="e">
        <f t="shared" si="9"/>
        <v>#VALUE!</v>
      </c>
      <c r="DY50" s="84" t="e">
        <f t="shared" si="10"/>
        <v>#VALUE!</v>
      </c>
      <c r="DZ50" s="79">
        <f t="shared" si="11"/>
        <v>212649</v>
      </c>
      <c r="EA50" s="85">
        <f t="shared" si="12"/>
        <v>100</v>
      </c>
      <c r="EB50" s="86" t="e">
        <f t="shared" si="13"/>
        <v>#VALUE!</v>
      </c>
      <c r="EC50" s="84" t="e">
        <f t="shared" si="14"/>
        <v>#VALUE!</v>
      </c>
      <c r="ED50" s="79">
        <f t="shared" si="15"/>
        <v>0</v>
      </c>
      <c r="EE50" s="87">
        <v>0</v>
      </c>
      <c r="EF50" s="86" t="e">
        <f t="shared" si="16"/>
        <v>#VALUE!</v>
      </c>
      <c r="EG50" s="87" t="e">
        <f t="shared" si="17"/>
        <v>#VALUE!</v>
      </c>
      <c r="EH50" s="155" t="e">
        <f t="shared" si="33"/>
        <v>#DIV/0!</v>
      </c>
      <c r="EI50" s="156" t="e">
        <f t="shared" si="34"/>
        <v>#DIV/0!</v>
      </c>
    </row>
    <row r="51" spans="1:139" s="124" customFormat="1" ht="15.75" customHeight="1" x14ac:dyDescent="0.25">
      <c r="A51" s="1070"/>
      <c r="B51" s="90"/>
      <c r="C51" s="91" t="s">
        <v>45</v>
      </c>
      <c r="D51" s="92">
        <v>171.1</v>
      </c>
      <c r="E51" s="93"/>
      <c r="F51" s="93">
        <v>7.9249652616952284</v>
      </c>
      <c r="G51" s="93"/>
      <c r="H51" s="158" t="s">
        <v>44</v>
      </c>
      <c r="I51" s="159" t="s">
        <v>44</v>
      </c>
      <c r="J51" s="96">
        <v>19131</v>
      </c>
      <c r="K51" s="97"/>
      <c r="L51" s="98" t="s">
        <v>44</v>
      </c>
      <c r="M51" s="99" t="s">
        <v>44</v>
      </c>
      <c r="N51" s="100">
        <v>19131</v>
      </c>
      <c r="O51" s="101"/>
      <c r="P51" s="158" t="s">
        <v>44</v>
      </c>
      <c r="Q51" s="159" t="s">
        <v>44</v>
      </c>
      <c r="R51" s="100">
        <v>0</v>
      </c>
      <c r="S51" s="97"/>
      <c r="T51" s="158" t="s">
        <v>44</v>
      </c>
      <c r="U51" s="159" t="s">
        <v>44</v>
      </c>
      <c r="V51" s="102">
        <v>112</v>
      </c>
      <c r="W51" s="102"/>
      <c r="X51" s="92">
        <v>178.9</v>
      </c>
      <c r="Y51" s="93"/>
      <c r="Z51" s="93">
        <v>8.1913919413919416</v>
      </c>
      <c r="AA51" s="93"/>
      <c r="AB51" s="158" t="s">
        <v>44</v>
      </c>
      <c r="AC51" s="159" t="s">
        <v>44</v>
      </c>
      <c r="AD51" s="96">
        <v>19564</v>
      </c>
      <c r="AE51" s="97"/>
      <c r="AF51" s="98" t="s">
        <v>44</v>
      </c>
      <c r="AG51" s="99" t="s">
        <v>44</v>
      </c>
      <c r="AH51" s="100">
        <v>19564</v>
      </c>
      <c r="AI51" s="101"/>
      <c r="AJ51" s="158" t="s">
        <v>44</v>
      </c>
      <c r="AK51" s="159" t="s">
        <v>44</v>
      </c>
      <c r="AL51" s="100">
        <v>0</v>
      </c>
      <c r="AM51" s="97"/>
      <c r="AN51" s="158" t="s">
        <v>44</v>
      </c>
      <c r="AO51" s="159" t="s">
        <v>44</v>
      </c>
      <c r="AP51" s="102">
        <v>109</v>
      </c>
      <c r="AQ51" s="102"/>
      <c r="AR51" s="92">
        <v>213.4</v>
      </c>
      <c r="AS51" s="93"/>
      <c r="AT51" s="822">
        <f t="shared" ref="AT51:AT55" si="61">AR51/2208</f>
        <v>9.6648550724637683E-2</v>
      </c>
      <c r="AU51" s="93"/>
      <c r="AV51" s="158" t="s">
        <v>44</v>
      </c>
      <c r="AW51" s="159" t="s">
        <v>44</v>
      </c>
      <c r="AX51" s="96">
        <f t="shared" si="24"/>
        <v>20816.400000000001</v>
      </c>
      <c r="AY51" s="97"/>
      <c r="AZ51" s="98" t="s">
        <v>44</v>
      </c>
      <c r="BA51" s="99" t="s">
        <v>44</v>
      </c>
      <c r="BB51" s="100">
        <f>18924*1.1</f>
        <v>20816.400000000001</v>
      </c>
      <c r="BC51" s="101"/>
      <c r="BD51" s="158" t="s">
        <v>44</v>
      </c>
      <c r="BE51" s="159" t="s">
        <v>44</v>
      </c>
      <c r="BF51" s="100">
        <v>0</v>
      </c>
      <c r="BG51" s="97"/>
      <c r="BH51" s="158" t="s">
        <v>44</v>
      </c>
      <c r="BI51" s="159" t="s">
        <v>44</v>
      </c>
      <c r="BJ51" s="102">
        <f t="shared" si="25"/>
        <v>97.546391752577321</v>
      </c>
      <c r="BK51" s="102"/>
      <c r="BL51" s="92">
        <v>182.8</v>
      </c>
      <c r="BM51" s="93"/>
      <c r="BN51" s="822">
        <f t="shared" ref="BN51:BN55" si="62">BL51/2209</f>
        <v>8.2752376641014036E-2</v>
      </c>
      <c r="BO51" s="93"/>
      <c r="BP51" s="158" t="s">
        <v>44</v>
      </c>
      <c r="BQ51" s="159" t="s">
        <v>44</v>
      </c>
      <c r="BR51" s="96">
        <f t="shared" si="27"/>
        <v>23729.200000000001</v>
      </c>
      <c r="BS51" s="97"/>
      <c r="BT51" s="98" t="s">
        <v>44</v>
      </c>
      <c r="BU51" s="99" t="s">
        <v>44</v>
      </c>
      <c r="BV51" s="100">
        <f>21572*1.1</f>
        <v>23729.200000000001</v>
      </c>
      <c r="BW51" s="101"/>
      <c r="BX51" s="158" t="s">
        <v>44</v>
      </c>
      <c r="BY51" s="159" t="s">
        <v>44</v>
      </c>
      <c r="BZ51" s="100">
        <v>0</v>
      </c>
      <c r="CA51" s="97"/>
      <c r="CB51" s="158" t="s">
        <v>44</v>
      </c>
      <c r="CC51" s="159" t="s">
        <v>44</v>
      </c>
      <c r="CD51" s="102">
        <f t="shared" si="42"/>
        <v>129.80962800875272</v>
      </c>
      <c r="CE51" s="102"/>
      <c r="CF51" s="103">
        <f t="shared" si="18"/>
        <v>746.2</v>
      </c>
      <c r="CG51" s="102"/>
      <c r="CH51" s="822">
        <f t="shared" si="39"/>
        <v>8.5182648401826488E-2</v>
      </c>
      <c r="CI51" s="179"/>
      <c r="CJ51" s="98" t="s">
        <v>44</v>
      </c>
      <c r="CK51" s="99" t="s">
        <v>44</v>
      </c>
      <c r="CL51" s="100">
        <f t="shared" si="19"/>
        <v>83240.600000000006</v>
      </c>
      <c r="CM51" s="107"/>
      <c r="CN51" s="108" t="s">
        <v>44</v>
      </c>
      <c r="CO51" s="99" t="s">
        <v>44</v>
      </c>
      <c r="CP51" s="100">
        <f t="shared" si="20"/>
        <v>83240.600000000006</v>
      </c>
      <c r="CQ51" s="97"/>
      <c r="CR51" s="98" t="s">
        <v>44</v>
      </c>
      <c r="CS51" s="99" t="s">
        <v>44</v>
      </c>
      <c r="CT51" s="100">
        <f t="shared" si="21"/>
        <v>0</v>
      </c>
      <c r="CU51" s="97"/>
      <c r="CV51" s="98" t="s">
        <v>44</v>
      </c>
      <c r="CW51" s="99" t="s">
        <v>44</v>
      </c>
      <c r="CX51" s="100">
        <f t="shared" si="22"/>
        <v>111.55266684534978</v>
      </c>
      <c r="CY51" s="174"/>
      <c r="CZ51" s="110">
        <f t="shared" si="57"/>
        <v>350</v>
      </c>
      <c r="DA51" s="111">
        <f t="shared" si="57"/>
        <v>0</v>
      </c>
      <c r="DB51" s="176">
        <f>(CZ51/4343)*100</f>
        <v>8.0589454294266627</v>
      </c>
      <c r="DC51" s="113">
        <f>(DA51/4343)*100</f>
        <v>0</v>
      </c>
      <c r="DD51" s="100">
        <f t="shared" si="52"/>
        <v>38695</v>
      </c>
      <c r="DE51" s="102">
        <f t="shared" si="52"/>
        <v>0</v>
      </c>
      <c r="DF51" s="102" t="e">
        <f t="shared" si="52"/>
        <v>#VALUE!</v>
      </c>
      <c r="DG51" s="114" t="e">
        <f t="shared" si="49"/>
        <v>#VALUE!</v>
      </c>
      <c r="DH51" s="100">
        <f t="shared" si="49"/>
        <v>38695</v>
      </c>
      <c r="DI51" s="97">
        <f t="shared" si="49"/>
        <v>0</v>
      </c>
      <c r="DJ51" s="97" t="e">
        <f t="shared" si="49"/>
        <v>#VALUE!</v>
      </c>
      <c r="DK51" s="97" t="e">
        <f t="shared" si="49"/>
        <v>#VALUE!</v>
      </c>
      <c r="DL51" s="100">
        <f t="shared" si="49"/>
        <v>0</v>
      </c>
      <c r="DM51" s="97">
        <f t="shared" si="49"/>
        <v>0</v>
      </c>
      <c r="DN51" s="97" t="e">
        <f t="shared" si="49"/>
        <v>#VALUE!</v>
      </c>
      <c r="DO51" s="115" t="e">
        <f t="shared" si="49"/>
        <v>#VALUE!</v>
      </c>
      <c r="DP51" s="100">
        <f t="shared" si="50"/>
        <v>111</v>
      </c>
      <c r="DQ51" s="116" t="e">
        <f t="shared" si="50"/>
        <v>#DIV/0!</v>
      </c>
      <c r="DR51" s="117">
        <f t="shared" si="32"/>
        <v>350</v>
      </c>
      <c r="DS51" s="118">
        <f t="shared" si="4"/>
        <v>100</v>
      </c>
      <c r="DT51" s="104" t="e">
        <f t="shared" si="5"/>
        <v>#VALUE!</v>
      </c>
      <c r="DU51" s="118" t="e">
        <f t="shared" si="6"/>
        <v>#VALUE!</v>
      </c>
      <c r="DV51" s="104">
        <f t="shared" si="7"/>
        <v>38695</v>
      </c>
      <c r="DW51" s="119">
        <f t="shared" si="8"/>
        <v>100</v>
      </c>
      <c r="DX51" s="120" t="e">
        <f t="shared" si="9"/>
        <v>#VALUE!</v>
      </c>
      <c r="DY51" s="118" t="e">
        <f t="shared" si="10"/>
        <v>#VALUE!</v>
      </c>
      <c r="DZ51" s="104">
        <f t="shared" si="11"/>
        <v>38695</v>
      </c>
      <c r="EA51" s="119">
        <f t="shared" si="12"/>
        <v>100</v>
      </c>
      <c r="EB51" s="120" t="e">
        <f t="shared" si="13"/>
        <v>#VALUE!</v>
      </c>
      <c r="EC51" s="118" t="e">
        <f t="shared" si="14"/>
        <v>#VALUE!</v>
      </c>
      <c r="ED51" s="104">
        <f t="shared" si="15"/>
        <v>0</v>
      </c>
      <c r="EE51" s="121">
        <v>0</v>
      </c>
      <c r="EF51" s="120" t="e">
        <f t="shared" si="16"/>
        <v>#VALUE!</v>
      </c>
      <c r="EG51" s="121" t="e">
        <f t="shared" si="17"/>
        <v>#VALUE!</v>
      </c>
      <c r="EH51" s="122" t="e">
        <f t="shared" si="33"/>
        <v>#DIV/0!</v>
      </c>
      <c r="EI51" s="123" t="e">
        <f t="shared" si="34"/>
        <v>#DIV/0!</v>
      </c>
    </row>
    <row r="52" spans="1:139" ht="15.75" customHeight="1" x14ac:dyDescent="0.25">
      <c r="A52" s="1070"/>
      <c r="B52" s="160"/>
      <c r="C52" s="91" t="s">
        <v>46</v>
      </c>
      <c r="D52" s="92">
        <v>595.6</v>
      </c>
      <c r="E52" s="93"/>
      <c r="F52" s="93">
        <v>27.586845761926821</v>
      </c>
      <c r="G52" s="93"/>
      <c r="H52" s="158" t="s">
        <v>44</v>
      </c>
      <c r="I52" s="159" t="s">
        <v>44</v>
      </c>
      <c r="J52" s="96">
        <v>38051</v>
      </c>
      <c r="K52" s="97"/>
      <c r="L52" s="98" t="s">
        <v>44</v>
      </c>
      <c r="M52" s="99" t="s">
        <v>44</v>
      </c>
      <c r="N52" s="100">
        <v>38051</v>
      </c>
      <c r="O52" s="126"/>
      <c r="P52" s="158" t="s">
        <v>44</v>
      </c>
      <c r="Q52" s="159" t="s">
        <v>44</v>
      </c>
      <c r="R52" s="100">
        <v>0</v>
      </c>
      <c r="S52" s="97"/>
      <c r="T52" s="158" t="s">
        <v>44</v>
      </c>
      <c r="U52" s="159" t="s">
        <v>44</v>
      </c>
      <c r="V52" s="102">
        <v>64</v>
      </c>
      <c r="W52" s="102"/>
      <c r="X52" s="92">
        <v>601.6</v>
      </c>
      <c r="Y52" s="93"/>
      <c r="Z52" s="93">
        <v>27.545787545787547</v>
      </c>
      <c r="AA52" s="93"/>
      <c r="AB52" s="158" t="s">
        <v>44</v>
      </c>
      <c r="AC52" s="159" t="s">
        <v>44</v>
      </c>
      <c r="AD52" s="96">
        <v>39199</v>
      </c>
      <c r="AE52" s="97"/>
      <c r="AF52" s="98" t="s">
        <v>44</v>
      </c>
      <c r="AG52" s="99" t="s">
        <v>44</v>
      </c>
      <c r="AH52" s="100">
        <v>39199</v>
      </c>
      <c r="AI52" s="126"/>
      <c r="AJ52" s="158" t="s">
        <v>44</v>
      </c>
      <c r="AK52" s="159" t="s">
        <v>44</v>
      </c>
      <c r="AL52" s="100">
        <v>0</v>
      </c>
      <c r="AM52" s="97"/>
      <c r="AN52" s="158" t="s">
        <v>44</v>
      </c>
      <c r="AO52" s="159" t="s">
        <v>44</v>
      </c>
      <c r="AP52" s="102">
        <v>65</v>
      </c>
      <c r="AQ52" s="102"/>
      <c r="AR52" s="92">
        <v>609.20000000000005</v>
      </c>
      <c r="AS52" s="93"/>
      <c r="AT52" s="822">
        <f t="shared" si="61"/>
        <v>0.2759057971014493</v>
      </c>
      <c r="AU52" s="93"/>
      <c r="AV52" s="158" t="s">
        <v>44</v>
      </c>
      <c r="AW52" s="159" t="s">
        <v>44</v>
      </c>
      <c r="AX52" s="96">
        <f t="shared" si="24"/>
        <v>45920.600000000006</v>
      </c>
      <c r="AY52" s="97"/>
      <c r="AZ52" s="98" t="s">
        <v>44</v>
      </c>
      <c r="BA52" s="99" t="s">
        <v>44</v>
      </c>
      <c r="BB52" s="100">
        <f>41746*1.1</f>
        <v>45920.600000000006</v>
      </c>
      <c r="BC52" s="126"/>
      <c r="BD52" s="158" t="s">
        <v>44</v>
      </c>
      <c r="BE52" s="159" t="s">
        <v>44</v>
      </c>
      <c r="BF52" s="100">
        <v>0</v>
      </c>
      <c r="BG52" s="97"/>
      <c r="BH52" s="158" t="s">
        <v>44</v>
      </c>
      <c r="BI52" s="159" t="s">
        <v>44</v>
      </c>
      <c r="BJ52" s="102">
        <f t="shared" si="25"/>
        <v>75.378529218647415</v>
      </c>
      <c r="BK52" s="102"/>
      <c r="BL52" s="92">
        <v>613.79999999999995</v>
      </c>
      <c r="BM52" s="93"/>
      <c r="BN52" s="822">
        <f t="shared" si="62"/>
        <v>0.27786328655500225</v>
      </c>
      <c r="BO52" s="93"/>
      <c r="BP52" s="158" t="s">
        <v>44</v>
      </c>
      <c r="BQ52" s="159" t="s">
        <v>44</v>
      </c>
      <c r="BR52" s="96">
        <f t="shared" si="27"/>
        <v>43554.5</v>
      </c>
      <c r="BS52" s="97"/>
      <c r="BT52" s="98" t="s">
        <v>44</v>
      </c>
      <c r="BU52" s="99" t="s">
        <v>44</v>
      </c>
      <c r="BV52" s="100">
        <f>39595*1.1</f>
        <v>43554.5</v>
      </c>
      <c r="BW52" s="126"/>
      <c r="BX52" s="158" t="s">
        <v>44</v>
      </c>
      <c r="BY52" s="159" t="s">
        <v>44</v>
      </c>
      <c r="BZ52" s="100">
        <v>0</v>
      </c>
      <c r="CA52" s="97"/>
      <c r="CB52" s="158" t="s">
        <v>44</v>
      </c>
      <c r="CC52" s="159" t="s">
        <v>44</v>
      </c>
      <c r="CD52" s="102">
        <f t="shared" si="42"/>
        <v>70.958781362007173</v>
      </c>
      <c r="CE52" s="102"/>
      <c r="CF52" s="103">
        <f t="shared" si="18"/>
        <v>2420.1999999999998</v>
      </c>
      <c r="CG52" s="102"/>
      <c r="CH52" s="822">
        <f t="shared" si="39"/>
        <v>0.27627853881278536</v>
      </c>
      <c r="CI52" s="179"/>
      <c r="CJ52" s="98" t="s">
        <v>44</v>
      </c>
      <c r="CK52" s="99" t="s">
        <v>44</v>
      </c>
      <c r="CL52" s="100">
        <f t="shared" si="19"/>
        <v>166725.1</v>
      </c>
      <c r="CM52" s="107"/>
      <c r="CN52" s="108" t="s">
        <v>44</v>
      </c>
      <c r="CO52" s="99" t="s">
        <v>44</v>
      </c>
      <c r="CP52" s="100">
        <f t="shared" si="20"/>
        <v>166725.1</v>
      </c>
      <c r="CQ52" s="97"/>
      <c r="CR52" s="98" t="s">
        <v>44</v>
      </c>
      <c r="CS52" s="99" t="s">
        <v>44</v>
      </c>
      <c r="CT52" s="100">
        <f t="shared" si="21"/>
        <v>0</v>
      </c>
      <c r="CU52" s="97"/>
      <c r="CV52" s="98" t="s">
        <v>44</v>
      </c>
      <c r="CW52" s="99" t="s">
        <v>44</v>
      </c>
      <c r="CX52" s="100">
        <f t="shared" si="22"/>
        <v>68.888976117676236</v>
      </c>
      <c r="CY52" s="174"/>
      <c r="CZ52" s="110">
        <f t="shared" si="57"/>
        <v>1197.2</v>
      </c>
      <c r="DA52" s="111">
        <f t="shared" si="57"/>
        <v>0</v>
      </c>
      <c r="DB52" s="176">
        <f t="shared" ref="DB52:DC55" si="63">(CZ52/4343)*100</f>
        <v>27.566198480313147</v>
      </c>
      <c r="DC52" s="113">
        <f t="shared" si="63"/>
        <v>0</v>
      </c>
      <c r="DD52" s="100">
        <f t="shared" si="52"/>
        <v>77250</v>
      </c>
      <c r="DE52" s="102">
        <f t="shared" si="52"/>
        <v>0</v>
      </c>
      <c r="DF52" s="102" t="e">
        <f t="shared" si="52"/>
        <v>#VALUE!</v>
      </c>
      <c r="DG52" s="114" t="e">
        <f t="shared" si="49"/>
        <v>#VALUE!</v>
      </c>
      <c r="DH52" s="100">
        <f t="shared" si="49"/>
        <v>77250</v>
      </c>
      <c r="DI52" s="97">
        <f t="shared" si="49"/>
        <v>0</v>
      </c>
      <c r="DJ52" s="97" t="e">
        <f t="shared" si="49"/>
        <v>#VALUE!</v>
      </c>
      <c r="DK52" s="97" t="e">
        <f t="shared" si="49"/>
        <v>#VALUE!</v>
      </c>
      <c r="DL52" s="100">
        <f t="shared" si="49"/>
        <v>0</v>
      </c>
      <c r="DM52" s="97">
        <f t="shared" si="49"/>
        <v>0</v>
      </c>
      <c r="DN52" s="97" t="e">
        <f t="shared" si="49"/>
        <v>#VALUE!</v>
      </c>
      <c r="DO52" s="115" t="e">
        <f t="shared" si="49"/>
        <v>#VALUE!</v>
      </c>
      <c r="DP52" s="100">
        <f t="shared" si="50"/>
        <v>65</v>
      </c>
      <c r="DQ52" s="116" t="e">
        <f t="shared" si="50"/>
        <v>#DIV/0!</v>
      </c>
      <c r="DR52" s="117">
        <f t="shared" si="32"/>
        <v>1197.2</v>
      </c>
      <c r="DS52" s="118">
        <f t="shared" si="4"/>
        <v>100</v>
      </c>
      <c r="DT52" s="104" t="e">
        <f t="shared" si="5"/>
        <v>#VALUE!</v>
      </c>
      <c r="DU52" s="118" t="e">
        <f t="shared" si="6"/>
        <v>#VALUE!</v>
      </c>
      <c r="DV52" s="104">
        <f t="shared" si="7"/>
        <v>77250</v>
      </c>
      <c r="DW52" s="119">
        <f t="shared" si="8"/>
        <v>100</v>
      </c>
      <c r="DX52" s="120" t="e">
        <f t="shared" si="9"/>
        <v>#VALUE!</v>
      </c>
      <c r="DY52" s="118" t="e">
        <f t="shared" si="10"/>
        <v>#VALUE!</v>
      </c>
      <c r="DZ52" s="104">
        <f t="shared" si="11"/>
        <v>77250</v>
      </c>
      <c r="EA52" s="119">
        <f t="shared" si="12"/>
        <v>100</v>
      </c>
      <c r="EB52" s="120" t="e">
        <f t="shared" si="13"/>
        <v>#VALUE!</v>
      </c>
      <c r="EC52" s="118" t="e">
        <f t="shared" si="14"/>
        <v>#VALUE!</v>
      </c>
      <c r="ED52" s="104">
        <f t="shared" si="15"/>
        <v>0</v>
      </c>
      <c r="EE52" s="121">
        <v>0</v>
      </c>
      <c r="EF52" s="120" t="e">
        <f t="shared" si="16"/>
        <v>#VALUE!</v>
      </c>
      <c r="EG52" s="121" t="e">
        <f t="shared" si="17"/>
        <v>#VALUE!</v>
      </c>
      <c r="EH52" s="122" t="e">
        <f t="shared" si="33"/>
        <v>#DIV/0!</v>
      </c>
      <c r="EI52" s="123" t="e">
        <f t="shared" si="34"/>
        <v>#DIV/0!</v>
      </c>
    </row>
    <row r="53" spans="1:139" s="5" customFormat="1" ht="15.75" customHeight="1" x14ac:dyDescent="0.25">
      <c r="A53" s="1070"/>
      <c r="B53" s="178"/>
      <c r="C53" s="180" t="s">
        <v>47</v>
      </c>
      <c r="D53" s="92">
        <v>216</v>
      </c>
      <c r="E53" s="93"/>
      <c r="F53" s="93">
        <v>10.004631773969431</v>
      </c>
      <c r="G53" s="93"/>
      <c r="H53" s="158" t="s">
        <v>44</v>
      </c>
      <c r="I53" s="159" t="s">
        <v>44</v>
      </c>
      <c r="J53" s="96">
        <v>32562</v>
      </c>
      <c r="K53" s="97"/>
      <c r="L53" s="98" t="s">
        <v>44</v>
      </c>
      <c r="M53" s="99" t="s">
        <v>44</v>
      </c>
      <c r="N53" s="100">
        <v>32562</v>
      </c>
      <c r="O53" s="97"/>
      <c r="P53" s="158" t="s">
        <v>44</v>
      </c>
      <c r="Q53" s="159" t="s">
        <v>44</v>
      </c>
      <c r="R53" s="100">
        <v>0</v>
      </c>
      <c r="S53" s="97"/>
      <c r="T53" s="158" t="s">
        <v>44</v>
      </c>
      <c r="U53" s="159" t="s">
        <v>44</v>
      </c>
      <c r="V53" s="102">
        <v>151</v>
      </c>
      <c r="W53" s="102"/>
      <c r="X53" s="92">
        <v>190.1</v>
      </c>
      <c r="Y53" s="93"/>
      <c r="Z53" s="93">
        <v>8.7042124542124544</v>
      </c>
      <c r="AA53" s="93"/>
      <c r="AB53" s="158" t="s">
        <v>44</v>
      </c>
      <c r="AC53" s="159" t="s">
        <v>44</v>
      </c>
      <c r="AD53" s="96">
        <v>28187</v>
      </c>
      <c r="AE53" s="97"/>
      <c r="AF53" s="98" t="s">
        <v>44</v>
      </c>
      <c r="AG53" s="99" t="s">
        <v>44</v>
      </c>
      <c r="AH53" s="100">
        <v>28187</v>
      </c>
      <c r="AI53" s="97"/>
      <c r="AJ53" s="158" t="s">
        <v>44</v>
      </c>
      <c r="AK53" s="159" t="s">
        <v>44</v>
      </c>
      <c r="AL53" s="100">
        <v>0</v>
      </c>
      <c r="AM53" s="97"/>
      <c r="AN53" s="158" t="s">
        <v>44</v>
      </c>
      <c r="AO53" s="159" t="s">
        <v>44</v>
      </c>
      <c r="AP53" s="102">
        <v>148</v>
      </c>
      <c r="AQ53" s="102"/>
      <c r="AR53" s="92">
        <v>124.8</v>
      </c>
      <c r="AS53" s="93"/>
      <c r="AT53" s="822">
        <f t="shared" si="61"/>
        <v>5.6521739130434782E-2</v>
      </c>
      <c r="AU53" s="93"/>
      <c r="AV53" s="158" t="s">
        <v>44</v>
      </c>
      <c r="AW53" s="159" t="s">
        <v>44</v>
      </c>
      <c r="AX53" s="96">
        <f t="shared" si="24"/>
        <v>24276</v>
      </c>
      <c r="AY53" s="97"/>
      <c r="AZ53" s="98" t="s">
        <v>44</v>
      </c>
      <c r="BA53" s="99" t="s">
        <v>44</v>
      </c>
      <c r="BB53" s="100">
        <v>24276</v>
      </c>
      <c r="BC53" s="97"/>
      <c r="BD53" s="158" t="s">
        <v>44</v>
      </c>
      <c r="BE53" s="159" t="s">
        <v>44</v>
      </c>
      <c r="BF53" s="100">
        <v>0</v>
      </c>
      <c r="BG53" s="97"/>
      <c r="BH53" s="158" t="s">
        <v>44</v>
      </c>
      <c r="BI53" s="159" t="s">
        <v>44</v>
      </c>
      <c r="BJ53" s="102">
        <f t="shared" si="25"/>
        <v>194.51923076923077</v>
      </c>
      <c r="BK53" s="102"/>
      <c r="BL53" s="92">
        <v>171.3</v>
      </c>
      <c r="BM53" s="93"/>
      <c r="BN53" s="822">
        <f t="shared" si="62"/>
        <v>7.7546401086464475E-2</v>
      </c>
      <c r="BO53" s="93"/>
      <c r="BP53" s="158" t="s">
        <v>44</v>
      </c>
      <c r="BQ53" s="159" t="s">
        <v>44</v>
      </c>
      <c r="BR53" s="96">
        <f t="shared" si="27"/>
        <v>32054</v>
      </c>
      <c r="BS53" s="97"/>
      <c r="BT53" s="98" t="s">
        <v>44</v>
      </c>
      <c r="BU53" s="99" t="s">
        <v>44</v>
      </c>
      <c r="BV53" s="100">
        <v>32054</v>
      </c>
      <c r="BW53" s="97"/>
      <c r="BX53" s="158" t="s">
        <v>44</v>
      </c>
      <c r="BY53" s="159" t="s">
        <v>44</v>
      </c>
      <c r="BZ53" s="100">
        <v>0</v>
      </c>
      <c r="CA53" s="97"/>
      <c r="CB53" s="158" t="s">
        <v>44</v>
      </c>
      <c r="CC53" s="159" t="s">
        <v>44</v>
      </c>
      <c r="CD53" s="102">
        <f t="shared" si="42"/>
        <v>187.12200817279626</v>
      </c>
      <c r="CE53" s="102"/>
      <c r="CF53" s="103">
        <f t="shared" si="18"/>
        <v>702.2</v>
      </c>
      <c r="CG53" s="102"/>
      <c r="CH53" s="822">
        <f t="shared" si="39"/>
        <v>8.0159817351598175E-2</v>
      </c>
      <c r="CI53" s="179"/>
      <c r="CJ53" s="98" t="s">
        <v>44</v>
      </c>
      <c r="CK53" s="99" t="s">
        <v>44</v>
      </c>
      <c r="CL53" s="100">
        <f t="shared" si="19"/>
        <v>117079</v>
      </c>
      <c r="CM53" s="107"/>
      <c r="CN53" s="108" t="s">
        <v>44</v>
      </c>
      <c r="CO53" s="99" t="s">
        <v>44</v>
      </c>
      <c r="CP53" s="100">
        <f t="shared" si="20"/>
        <v>117079</v>
      </c>
      <c r="CQ53" s="97"/>
      <c r="CR53" s="98" t="s">
        <v>44</v>
      </c>
      <c r="CS53" s="99" t="s">
        <v>44</v>
      </c>
      <c r="CT53" s="100">
        <f t="shared" si="21"/>
        <v>0</v>
      </c>
      <c r="CU53" s="97"/>
      <c r="CV53" s="98" t="s">
        <v>44</v>
      </c>
      <c r="CW53" s="99" t="s">
        <v>44</v>
      </c>
      <c r="CX53" s="100">
        <f t="shared" si="22"/>
        <v>166.73170037026486</v>
      </c>
      <c r="CY53" s="174"/>
      <c r="CZ53" s="110">
        <f t="shared" si="57"/>
        <v>406.1</v>
      </c>
      <c r="DA53" s="111">
        <f t="shared" si="57"/>
        <v>0</v>
      </c>
      <c r="DB53" s="176">
        <f t="shared" si="63"/>
        <v>9.3506792539719097</v>
      </c>
      <c r="DC53" s="113">
        <f t="shared" si="63"/>
        <v>0</v>
      </c>
      <c r="DD53" s="100">
        <f t="shared" si="52"/>
        <v>60749</v>
      </c>
      <c r="DE53" s="102">
        <f t="shared" si="52"/>
        <v>0</v>
      </c>
      <c r="DF53" s="102" t="e">
        <f t="shared" si="52"/>
        <v>#VALUE!</v>
      </c>
      <c r="DG53" s="114" t="e">
        <f t="shared" si="49"/>
        <v>#VALUE!</v>
      </c>
      <c r="DH53" s="100">
        <f t="shared" si="49"/>
        <v>60749</v>
      </c>
      <c r="DI53" s="97">
        <f t="shared" si="49"/>
        <v>0</v>
      </c>
      <c r="DJ53" s="97" t="e">
        <f t="shared" si="49"/>
        <v>#VALUE!</v>
      </c>
      <c r="DK53" s="97" t="e">
        <f t="shared" si="49"/>
        <v>#VALUE!</v>
      </c>
      <c r="DL53" s="100">
        <f t="shared" si="49"/>
        <v>0</v>
      </c>
      <c r="DM53" s="97">
        <f t="shared" si="49"/>
        <v>0</v>
      </c>
      <c r="DN53" s="97" t="e">
        <f t="shared" si="49"/>
        <v>#VALUE!</v>
      </c>
      <c r="DO53" s="115" t="e">
        <f t="shared" si="49"/>
        <v>#VALUE!</v>
      </c>
      <c r="DP53" s="100">
        <f t="shared" si="50"/>
        <v>150</v>
      </c>
      <c r="DQ53" s="116" t="e">
        <f t="shared" si="50"/>
        <v>#DIV/0!</v>
      </c>
      <c r="DR53" s="117">
        <f t="shared" si="32"/>
        <v>406.1</v>
      </c>
      <c r="DS53" s="118">
        <f t="shared" si="4"/>
        <v>100</v>
      </c>
      <c r="DT53" s="104" t="e">
        <f t="shared" si="5"/>
        <v>#VALUE!</v>
      </c>
      <c r="DU53" s="118" t="e">
        <f t="shared" si="6"/>
        <v>#VALUE!</v>
      </c>
      <c r="DV53" s="104">
        <f t="shared" si="7"/>
        <v>60749</v>
      </c>
      <c r="DW53" s="119">
        <f t="shared" si="8"/>
        <v>100</v>
      </c>
      <c r="DX53" s="120" t="e">
        <f t="shared" si="9"/>
        <v>#VALUE!</v>
      </c>
      <c r="DY53" s="118" t="e">
        <f t="shared" si="10"/>
        <v>#VALUE!</v>
      </c>
      <c r="DZ53" s="104">
        <f t="shared" si="11"/>
        <v>60749</v>
      </c>
      <c r="EA53" s="119">
        <f t="shared" si="12"/>
        <v>100</v>
      </c>
      <c r="EB53" s="120" t="e">
        <f t="shared" si="13"/>
        <v>#VALUE!</v>
      </c>
      <c r="EC53" s="118" t="e">
        <f t="shared" si="14"/>
        <v>#VALUE!</v>
      </c>
      <c r="ED53" s="104">
        <f t="shared" si="15"/>
        <v>0</v>
      </c>
      <c r="EE53" s="121">
        <v>0</v>
      </c>
      <c r="EF53" s="120" t="e">
        <f t="shared" si="16"/>
        <v>#VALUE!</v>
      </c>
      <c r="EG53" s="121" t="e">
        <f t="shared" si="17"/>
        <v>#VALUE!</v>
      </c>
      <c r="EH53" s="122" t="e">
        <f t="shared" si="33"/>
        <v>#DIV/0!</v>
      </c>
      <c r="EI53" s="123" t="e">
        <f t="shared" si="34"/>
        <v>#DIV/0!</v>
      </c>
    </row>
    <row r="54" spans="1:139" s="5" customFormat="1" ht="15.75" customHeight="1" x14ac:dyDescent="0.25">
      <c r="A54" s="1070"/>
      <c r="B54" s="178"/>
      <c r="C54" s="180" t="s">
        <v>48</v>
      </c>
      <c r="D54" s="92">
        <v>134.4</v>
      </c>
      <c r="E54" s="93"/>
      <c r="F54" s="93">
        <v>6.225104214914313</v>
      </c>
      <c r="G54" s="93"/>
      <c r="H54" s="158" t="s">
        <v>44</v>
      </c>
      <c r="I54" s="159" t="s">
        <v>44</v>
      </c>
      <c r="J54" s="96">
        <v>5896</v>
      </c>
      <c r="K54" s="97"/>
      <c r="L54" s="98" t="s">
        <v>44</v>
      </c>
      <c r="M54" s="99" t="s">
        <v>44</v>
      </c>
      <c r="N54" s="100">
        <v>5896</v>
      </c>
      <c r="O54" s="97"/>
      <c r="P54" s="158" t="s">
        <v>44</v>
      </c>
      <c r="Q54" s="159" t="s">
        <v>44</v>
      </c>
      <c r="R54" s="100">
        <v>0</v>
      </c>
      <c r="S54" s="97"/>
      <c r="T54" s="158" t="s">
        <v>44</v>
      </c>
      <c r="U54" s="159" t="s">
        <v>44</v>
      </c>
      <c r="V54" s="102">
        <v>44</v>
      </c>
      <c r="W54" s="102"/>
      <c r="X54" s="92">
        <v>133.80000000000001</v>
      </c>
      <c r="Y54" s="93"/>
      <c r="Z54" s="93">
        <v>6.1263736263736268</v>
      </c>
      <c r="AA54" s="93"/>
      <c r="AB54" s="158" t="s">
        <v>44</v>
      </c>
      <c r="AC54" s="159" t="s">
        <v>44</v>
      </c>
      <c r="AD54" s="96">
        <v>5840</v>
      </c>
      <c r="AE54" s="97"/>
      <c r="AF54" s="98" t="s">
        <v>44</v>
      </c>
      <c r="AG54" s="99" t="s">
        <v>44</v>
      </c>
      <c r="AH54" s="100">
        <v>5840</v>
      </c>
      <c r="AI54" s="97"/>
      <c r="AJ54" s="158" t="s">
        <v>44</v>
      </c>
      <c r="AK54" s="159" t="s">
        <v>44</v>
      </c>
      <c r="AL54" s="100">
        <v>0</v>
      </c>
      <c r="AM54" s="97"/>
      <c r="AN54" s="158" t="s">
        <v>44</v>
      </c>
      <c r="AO54" s="159" t="s">
        <v>44</v>
      </c>
      <c r="AP54" s="102">
        <v>44</v>
      </c>
      <c r="AQ54" s="102"/>
      <c r="AR54" s="92">
        <v>135.30000000000001</v>
      </c>
      <c r="AS54" s="93"/>
      <c r="AT54" s="822">
        <f t="shared" si="61"/>
        <v>6.1277173913043485E-2</v>
      </c>
      <c r="AU54" s="93"/>
      <c r="AV54" s="158" t="s">
        <v>44</v>
      </c>
      <c r="AW54" s="159" t="s">
        <v>44</v>
      </c>
      <c r="AX54" s="96">
        <f t="shared" si="24"/>
        <v>6355.8</v>
      </c>
      <c r="AY54" s="97"/>
      <c r="AZ54" s="98" t="s">
        <v>44</v>
      </c>
      <c r="BA54" s="99" t="s">
        <v>44</v>
      </c>
      <c r="BB54" s="100">
        <f>5778*1.1</f>
        <v>6355.8</v>
      </c>
      <c r="BC54" s="97"/>
      <c r="BD54" s="158" t="s">
        <v>44</v>
      </c>
      <c r="BE54" s="159" t="s">
        <v>44</v>
      </c>
      <c r="BF54" s="100">
        <v>0</v>
      </c>
      <c r="BG54" s="97"/>
      <c r="BH54" s="158" t="s">
        <v>44</v>
      </c>
      <c r="BI54" s="159" t="s">
        <v>44</v>
      </c>
      <c r="BJ54" s="102">
        <f t="shared" si="25"/>
        <v>46.975609756097562</v>
      </c>
      <c r="BK54" s="102"/>
      <c r="BL54" s="92">
        <v>134.4</v>
      </c>
      <c r="BM54" s="93"/>
      <c r="BN54" s="822">
        <f t="shared" si="62"/>
        <v>6.0842009959257586E-2</v>
      </c>
      <c r="BO54" s="93"/>
      <c r="BP54" s="158" t="s">
        <v>44</v>
      </c>
      <c r="BQ54" s="159" t="s">
        <v>44</v>
      </c>
      <c r="BR54" s="96">
        <f t="shared" si="27"/>
        <v>6053.3</v>
      </c>
      <c r="BS54" s="97"/>
      <c r="BT54" s="98" t="s">
        <v>44</v>
      </c>
      <c r="BU54" s="99" t="s">
        <v>44</v>
      </c>
      <c r="BV54" s="100">
        <f>5503*1.1</f>
        <v>6053.3</v>
      </c>
      <c r="BW54" s="97"/>
      <c r="BX54" s="158" t="s">
        <v>44</v>
      </c>
      <c r="BY54" s="159" t="s">
        <v>44</v>
      </c>
      <c r="BZ54" s="100">
        <v>0</v>
      </c>
      <c r="CA54" s="97"/>
      <c r="CB54" s="158" t="s">
        <v>44</v>
      </c>
      <c r="CC54" s="159" t="s">
        <v>44</v>
      </c>
      <c r="CD54" s="102">
        <f t="shared" si="42"/>
        <v>45.039434523809526</v>
      </c>
      <c r="CE54" s="102"/>
      <c r="CF54" s="103">
        <f t="shared" si="18"/>
        <v>537.90000000000009</v>
      </c>
      <c r="CG54" s="102"/>
      <c r="CH54" s="822">
        <f t="shared" si="39"/>
        <v>6.1404109589041106E-2</v>
      </c>
      <c r="CI54" s="179"/>
      <c r="CJ54" s="98" t="s">
        <v>44</v>
      </c>
      <c r="CK54" s="99" t="s">
        <v>44</v>
      </c>
      <c r="CL54" s="100">
        <f t="shared" si="19"/>
        <v>24145.1</v>
      </c>
      <c r="CM54" s="107"/>
      <c r="CN54" s="108" t="s">
        <v>44</v>
      </c>
      <c r="CO54" s="99" t="s">
        <v>44</v>
      </c>
      <c r="CP54" s="100">
        <f t="shared" si="20"/>
        <v>24145.1</v>
      </c>
      <c r="CQ54" s="97"/>
      <c r="CR54" s="98" t="s">
        <v>44</v>
      </c>
      <c r="CS54" s="99" t="s">
        <v>44</v>
      </c>
      <c r="CT54" s="100">
        <f t="shared" si="21"/>
        <v>0</v>
      </c>
      <c r="CU54" s="97"/>
      <c r="CV54" s="98" t="s">
        <v>44</v>
      </c>
      <c r="CW54" s="99" t="s">
        <v>44</v>
      </c>
      <c r="CX54" s="100">
        <f t="shared" si="22"/>
        <v>44.887711470533546</v>
      </c>
      <c r="CY54" s="174"/>
      <c r="CZ54" s="110">
        <f t="shared" si="57"/>
        <v>268.20000000000005</v>
      </c>
      <c r="DA54" s="111">
        <f t="shared" si="57"/>
        <v>0</v>
      </c>
      <c r="DB54" s="176">
        <f t="shared" si="63"/>
        <v>6.1754547547778049</v>
      </c>
      <c r="DC54" s="113">
        <f t="shared" si="63"/>
        <v>0</v>
      </c>
      <c r="DD54" s="100">
        <f t="shared" si="52"/>
        <v>11736</v>
      </c>
      <c r="DE54" s="102">
        <f t="shared" si="52"/>
        <v>0</v>
      </c>
      <c r="DF54" s="102" t="e">
        <f t="shared" si="52"/>
        <v>#VALUE!</v>
      </c>
      <c r="DG54" s="114" t="e">
        <f t="shared" si="49"/>
        <v>#VALUE!</v>
      </c>
      <c r="DH54" s="100">
        <f t="shared" si="49"/>
        <v>11736</v>
      </c>
      <c r="DI54" s="97">
        <f t="shared" si="49"/>
        <v>0</v>
      </c>
      <c r="DJ54" s="97" t="e">
        <f t="shared" si="49"/>
        <v>#VALUE!</v>
      </c>
      <c r="DK54" s="97" t="e">
        <f t="shared" si="49"/>
        <v>#VALUE!</v>
      </c>
      <c r="DL54" s="100">
        <f t="shared" si="49"/>
        <v>0</v>
      </c>
      <c r="DM54" s="97">
        <f t="shared" si="49"/>
        <v>0</v>
      </c>
      <c r="DN54" s="97" t="e">
        <f t="shared" si="49"/>
        <v>#VALUE!</v>
      </c>
      <c r="DO54" s="115" t="e">
        <f t="shared" si="49"/>
        <v>#VALUE!</v>
      </c>
      <c r="DP54" s="100">
        <f t="shared" si="50"/>
        <v>44</v>
      </c>
      <c r="DQ54" s="116" t="e">
        <f t="shared" si="50"/>
        <v>#DIV/0!</v>
      </c>
      <c r="DR54" s="117">
        <f t="shared" si="32"/>
        <v>268.20000000000005</v>
      </c>
      <c r="DS54" s="118">
        <f t="shared" si="4"/>
        <v>100</v>
      </c>
      <c r="DT54" s="104" t="e">
        <f t="shared" si="5"/>
        <v>#VALUE!</v>
      </c>
      <c r="DU54" s="118" t="e">
        <f t="shared" si="6"/>
        <v>#VALUE!</v>
      </c>
      <c r="DV54" s="104">
        <f t="shared" si="7"/>
        <v>11736</v>
      </c>
      <c r="DW54" s="119">
        <f t="shared" si="8"/>
        <v>100</v>
      </c>
      <c r="DX54" s="120" t="e">
        <f t="shared" si="9"/>
        <v>#VALUE!</v>
      </c>
      <c r="DY54" s="118" t="e">
        <f t="shared" si="10"/>
        <v>#VALUE!</v>
      </c>
      <c r="DZ54" s="104">
        <f t="shared" si="11"/>
        <v>11736</v>
      </c>
      <c r="EA54" s="119">
        <f t="shared" si="12"/>
        <v>100</v>
      </c>
      <c r="EB54" s="120" t="e">
        <f t="shared" si="13"/>
        <v>#VALUE!</v>
      </c>
      <c r="EC54" s="118" t="e">
        <f t="shared" si="14"/>
        <v>#VALUE!</v>
      </c>
      <c r="ED54" s="104">
        <f t="shared" si="15"/>
        <v>0</v>
      </c>
      <c r="EE54" s="121">
        <v>0</v>
      </c>
      <c r="EF54" s="120" t="e">
        <f t="shared" si="16"/>
        <v>#VALUE!</v>
      </c>
      <c r="EG54" s="121" t="e">
        <f t="shared" si="17"/>
        <v>#VALUE!</v>
      </c>
      <c r="EH54" s="122" t="e">
        <f t="shared" si="33"/>
        <v>#DIV/0!</v>
      </c>
      <c r="EI54" s="123" t="e">
        <f t="shared" si="34"/>
        <v>#DIV/0!</v>
      </c>
    </row>
    <row r="55" spans="1:139" ht="15.75" customHeight="1" x14ac:dyDescent="0.25">
      <c r="A55" s="1070"/>
      <c r="B55" s="169"/>
      <c r="C55" s="91" t="s">
        <v>49</v>
      </c>
      <c r="D55" s="92">
        <v>448.5</v>
      </c>
      <c r="E55" s="93"/>
      <c r="F55" s="93">
        <v>20.773506252894858</v>
      </c>
      <c r="G55" s="93"/>
      <c r="H55" s="158" t="s">
        <v>44</v>
      </c>
      <c r="I55" s="159" t="s">
        <v>44</v>
      </c>
      <c r="J55" s="96">
        <v>12190</v>
      </c>
      <c r="K55" s="97"/>
      <c r="L55" s="98" t="s">
        <v>44</v>
      </c>
      <c r="M55" s="99" t="s">
        <v>44</v>
      </c>
      <c r="N55" s="100">
        <v>12190</v>
      </c>
      <c r="O55" s="126"/>
      <c r="P55" s="158" t="s">
        <v>44</v>
      </c>
      <c r="Q55" s="159" t="s">
        <v>44</v>
      </c>
      <c r="R55" s="100">
        <v>0</v>
      </c>
      <c r="S55" s="97"/>
      <c r="T55" s="158" t="s">
        <v>44</v>
      </c>
      <c r="U55" s="159" t="s">
        <v>44</v>
      </c>
      <c r="V55" s="102">
        <v>27</v>
      </c>
      <c r="W55" s="102"/>
      <c r="X55" s="92">
        <v>414.3</v>
      </c>
      <c r="Y55" s="93"/>
      <c r="Z55" s="93">
        <v>18.969780219780219</v>
      </c>
      <c r="AA55" s="93"/>
      <c r="AB55" s="158" t="s">
        <v>44</v>
      </c>
      <c r="AC55" s="159" t="s">
        <v>44</v>
      </c>
      <c r="AD55" s="96">
        <v>12029</v>
      </c>
      <c r="AE55" s="97"/>
      <c r="AF55" s="98" t="s">
        <v>44</v>
      </c>
      <c r="AG55" s="99" t="s">
        <v>44</v>
      </c>
      <c r="AH55" s="100">
        <v>12029</v>
      </c>
      <c r="AI55" s="126"/>
      <c r="AJ55" s="158" t="s">
        <v>44</v>
      </c>
      <c r="AK55" s="159" t="s">
        <v>44</v>
      </c>
      <c r="AL55" s="100">
        <v>0</v>
      </c>
      <c r="AM55" s="97"/>
      <c r="AN55" s="158" t="s">
        <v>44</v>
      </c>
      <c r="AO55" s="159" t="s">
        <v>44</v>
      </c>
      <c r="AP55" s="102">
        <v>29</v>
      </c>
      <c r="AQ55" s="102"/>
      <c r="AR55" s="92">
        <v>487.7</v>
      </c>
      <c r="AS55" s="93"/>
      <c r="AT55" s="822">
        <f t="shared" si="61"/>
        <v>0.22087862318840579</v>
      </c>
      <c r="AU55" s="93"/>
      <c r="AV55" s="158" t="s">
        <v>44</v>
      </c>
      <c r="AW55" s="159" t="s">
        <v>44</v>
      </c>
      <c r="AX55" s="96">
        <f t="shared" si="24"/>
        <v>13076.7</v>
      </c>
      <c r="AY55" s="97"/>
      <c r="AZ55" s="98" t="s">
        <v>44</v>
      </c>
      <c r="BA55" s="99" t="s">
        <v>44</v>
      </c>
      <c r="BB55" s="100">
        <f>12454*1.05</f>
        <v>13076.7</v>
      </c>
      <c r="BC55" s="126"/>
      <c r="BD55" s="158" t="s">
        <v>44</v>
      </c>
      <c r="BE55" s="159" t="s">
        <v>44</v>
      </c>
      <c r="BF55" s="100">
        <v>0</v>
      </c>
      <c r="BG55" s="97"/>
      <c r="BH55" s="158" t="s">
        <v>44</v>
      </c>
      <c r="BI55" s="159" t="s">
        <v>44</v>
      </c>
      <c r="BJ55" s="102">
        <f t="shared" si="25"/>
        <v>26.812999794955918</v>
      </c>
      <c r="BK55" s="102"/>
      <c r="BL55" s="92">
        <v>500.1</v>
      </c>
      <c r="BM55" s="93"/>
      <c r="BN55" s="822">
        <f t="shared" si="62"/>
        <v>0.22639203259393392</v>
      </c>
      <c r="BO55" s="93"/>
      <c r="BP55" s="158" t="s">
        <v>44</v>
      </c>
      <c r="BQ55" s="159" t="s">
        <v>44</v>
      </c>
      <c r="BR55" s="96">
        <f t="shared" si="27"/>
        <v>18354</v>
      </c>
      <c r="BS55" s="97"/>
      <c r="BT55" s="98" t="s">
        <v>44</v>
      </c>
      <c r="BU55" s="99" t="s">
        <v>44</v>
      </c>
      <c r="BV55" s="100">
        <f>17480*1.05</f>
        <v>18354</v>
      </c>
      <c r="BW55" s="126"/>
      <c r="BX55" s="158" t="s">
        <v>44</v>
      </c>
      <c r="BY55" s="159" t="s">
        <v>44</v>
      </c>
      <c r="BZ55" s="100">
        <v>0</v>
      </c>
      <c r="CA55" s="97"/>
      <c r="CB55" s="158" t="s">
        <v>44</v>
      </c>
      <c r="CC55" s="159" t="s">
        <v>44</v>
      </c>
      <c r="CD55" s="102">
        <f t="shared" si="42"/>
        <v>36.700659868026392</v>
      </c>
      <c r="CE55" s="102"/>
      <c r="CF55" s="103">
        <f t="shared" si="18"/>
        <v>1850.6</v>
      </c>
      <c r="CG55" s="102"/>
      <c r="CH55" s="822">
        <f t="shared" si="39"/>
        <v>0.21125570776255706</v>
      </c>
      <c r="CI55" s="179"/>
      <c r="CJ55" s="98" t="s">
        <v>44</v>
      </c>
      <c r="CK55" s="99" t="s">
        <v>44</v>
      </c>
      <c r="CL55" s="100">
        <f t="shared" si="19"/>
        <v>55649.7</v>
      </c>
      <c r="CM55" s="107"/>
      <c r="CN55" s="108" t="s">
        <v>44</v>
      </c>
      <c r="CO55" s="99" t="s">
        <v>44</v>
      </c>
      <c r="CP55" s="100">
        <f t="shared" si="20"/>
        <v>55649.7</v>
      </c>
      <c r="CQ55" s="97"/>
      <c r="CR55" s="98" t="s">
        <v>44</v>
      </c>
      <c r="CS55" s="99" t="s">
        <v>44</v>
      </c>
      <c r="CT55" s="100">
        <f t="shared" si="21"/>
        <v>0</v>
      </c>
      <c r="CU55" s="97"/>
      <c r="CV55" s="98" t="s">
        <v>44</v>
      </c>
      <c r="CW55" s="99" t="s">
        <v>44</v>
      </c>
      <c r="CX55" s="100">
        <f t="shared" si="22"/>
        <v>30.071166108289205</v>
      </c>
      <c r="CY55" s="174"/>
      <c r="CZ55" s="110">
        <f t="shared" si="57"/>
        <v>862.8</v>
      </c>
      <c r="DA55" s="111">
        <f t="shared" si="57"/>
        <v>0</v>
      </c>
      <c r="DB55" s="176">
        <f t="shared" si="63"/>
        <v>19.866451761455213</v>
      </c>
      <c r="DC55" s="113">
        <f t="shared" si="63"/>
        <v>0</v>
      </c>
      <c r="DD55" s="100">
        <f t="shared" si="52"/>
        <v>24219</v>
      </c>
      <c r="DE55" s="102">
        <f t="shared" si="52"/>
        <v>0</v>
      </c>
      <c r="DF55" s="102" t="e">
        <f t="shared" si="52"/>
        <v>#VALUE!</v>
      </c>
      <c r="DG55" s="114" t="e">
        <f t="shared" si="49"/>
        <v>#VALUE!</v>
      </c>
      <c r="DH55" s="100">
        <f t="shared" si="49"/>
        <v>24219</v>
      </c>
      <c r="DI55" s="97">
        <f t="shared" si="49"/>
        <v>0</v>
      </c>
      <c r="DJ55" s="97" t="e">
        <f t="shared" si="49"/>
        <v>#VALUE!</v>
      </c>
      <c r="DK55" s="97" t="e">
        <f t="shared" si="49"/>
        <v>#VALUE!</v>
      </c>
      <c r="DL55" s="100">
        <f t="shared" si="49"/>
        <v>0</v>
      </c>
      <c r="DM55" s="97">
        <f t="shared" si="49"/>
        <v>0</v>
      </c>
      <c r="DN55" s="97" t="e">
        <f t="shared" si="49"/>
        <v>#VALUE!</v>
      </c>
      <c r="DO55" s="115" t="e">
        <f t="shared" si="49"/>
        <v>#VALUE!</v>
      </c>
      <c r="DP55" s="100">
        <f t="shared" si="50"/>
        <v>28</v>
      </c>
      <c r="DQ55" s="116" t="e">
        <f t="shared" si="50"/>
        <v>#DIV/0!</v>
      </c>
      <c r="DR55" s="117">
        <f t="shared" si="32"/>
        <v>862.8</v>
      </c>
      <c r="DS55" s="118">
        <f t="shared" si="4"/>
        <v>100</v>
      </c>
      <c r="DT55" s="104" t="e">
        <f t="shared" si="5"/>
        <v>#VALUE!</v>
      </c>
      <c r="DU55" s="118" t="e">
        <f t="shared" si="6"/>
        <v>#VALUE!</v>
      </c>
      <c r="DV55" s="104">
        <f t="shared" si="7"/>
        <v>24219</v>
      </c>
      <c r="DW55" s="119">
        <f t="shared" si="8"/>
        <v>100</v>
      </c>
      <c r="DX55" s="120" t="e">
        <f t="shared" si="9"/>
        <v>#VALUE!</v>
      </c>
      <c r="DY55" s="118" t="e">
        <f t="shared" si="10"/>
        <v>#VALUE!</v>
      </c>
      <c r="DZ55" s="104">
        <f t="shared" si="11"/>
        <v>24219</v>
      </c>
      <c r="EA55" s="119">
        <f t="shared" si="12"/>
        <v>100</v>
      </c>
      <c r="EB55" s="120" t="e">
        <f t="shared" si="13"/>
        <v>#VALUE!</v>
      </c>
      <c r="EC55" s="118" t="e">
        <f t="shared" si="14"/>
        <v>#VALUE!</v>
      </c>
      <c r="ED55" s="104">
        <f t="shared" si="15"/>
        <v>0</v>
      </c>
      <c r="EE55" s="121">
        <v>0</v>
      </c>
      <c r="EF55" s="120" t="e">
        <f t="shared" si="16"/>
        <v>#VALUE!</v>
      </c>
      <c r="EG55" s="121" t="e">
        <f t="shared" si="17"/>
        <v>#VALUE!</v>
      </c>
      <c r="EH55" s="122" t="e">
        <f t="shared" si="33"/>
        <v>#DIV/0!</v>
      </c>
      <c r="EI55" s="123" t="e">
        <f t="shared" si="34"/>
        <v>#DIV/0!</v>
      </c>
    </row>
    <row r="56" spans="1:139" s="157" customFormat="1" ht="15.75" customHeight="1" x14ac:dyDescent="0.25">
      <c r="A56" s="1070"/>
      <c r="B56" s="164" t="s">
        <v>58</v>
      </c>
      <c r="C56" s="165"/>
      <c r="D56" s="132">
        <v>4305.8999999999996</v>
      </c>
      <c r="E56" s="133"/>
      <c r="F56" s="133">
        <v>39.587566310253841</v>
      </c>
      <c r="G56" s="133"/>
      <c r="H56" s="134" t="s">
        <v>44</v>
      </c>
      <c r="I56" s="135" t="s">
        <v>44</v>
      </c>
      <c r="J56" s="136">
        <v>74982</v>
      </c>
      <c r="K56" s="86"/>
      <c r="L56" s="137" t="s">
        <v>44</v>
      </c>
      <c r="M56" s="138" t="s">
        <v>44</v>
      </c>
      <c r="N56" s="139">
        <v>74982</v>
      </c>
      <c r="O56" s="140"/>
      <c r="P56" s="134" t="s">
        <v>44</v>
      </c>
      <c r="Q56" s="135" t="s">
        <v>44</v>
      </c>
      <c r="R56" s="139">
        <v>0</v>
      </c>
      <c r="S56" s="140"/>
      <c r="T56" s="134" t="s">
        <v>44</v>
      </c>
      <c r="U56" s="135" t="s">
        <v>44</v>
      </c>
      <c r="V56" s="141">
        <v>17</v>
      </c>
      <c r="W56" s="141"/>
      <c r="X56" s="132">
        <v>4330</v>
      </c>
      <c r="Y56" s="133"/>
      <c r="Z56" s="133">
        <v>39.446473958950151</v>
      </c>
      <c r="AA56" s="133"/>
      <c r="AB56" s="134" t="s">
        <v>44</v>
      </c>
      <c r="AC56" s="135" t="s">
        <v>44</v>
      </c>
      <c r="AD56" s="136">
        <v>77017</v>
      </c>
      <c r="AE56" s="86"/>
      <c r="AF56" s="137" t="s">
        <v>44</v>
      </c>
      <c r="AG56" s="138" t="s">
        <v>44</v>
      </c>
      <c r="AH56" s="139">
        <v>77017</v>
      </c>
      <c r="AI56" s="140"/>
      <c r="AJ56" s="134" t="s">
        <v>44</v>
      </c>
      <c r="AK56" s="135" t="s">
        <v>44</v>
      </c>
      <c r="AL56" s="139">
        <v>0</v>
      </c>
      <c r="AM56" s="140"/>
      <c r="AN56" s="134" t="s">
        <v>44</v>
      </c>
      <c r="AO56" s="135" t="s">
        <v>44</v>
      </c>
      <c r="AP56" s="141">
        <v>18</v>
      </c>
      <c r="AQ56" s="141"/>
      <c r="AR56" s="132">
        <f>SUM(AR57:AR61)</f>
        <v>4262.8500000000004</v>
      </c>
      <c r="AS56" s="133"/>
      <c r="AT56" s="823">
        <f>AR56/11040</f>
        <v>0.38612771739130436</v>
      </c>
      <c r="AU56" s="133"/>
      <c r="AV56" s="134" t="s">
        <v>44</v>
      </c>
      <c r="AW56" s="135" t="s">
        <v>44</v>
      </c>
      <c r="AX56" s="136">
        <f t="shared" si="24"/>
        <v>82233.05</v>
      </c>
      <c r="AY56" s="86"/>
      <c r="AZ56" s="137" t="s">
        <v>44</v>
      </c>
      <c r="BA56" s="138" t="s">
        <v>44</v>
      </c>
      <c r="BB56" s="139">
        <f>SUM(BB57:BB61)</f>
        <v>82233.05</v>
      </c>
      <c r="BC56" s="140"/>
      <c r="BD56" s="134" t="s">
        <v>44</v>
      </c>
      <c r="BE56" s="135" t="s">
        <v>44</v>
      </c>
      <c r="BF56" s="139">
        <v>0</v>
      </c>
      <c r="BG56" s="140"/>
      <c r="BH56" s="134" t="s">
        <v>44</v>
      </c>
      <c r="BI56" s="135" t="s">
        <v>44</v>
      </c>
      <c r="BJ56" s="141">
        <f t="shared" si="25"/>
        <v>19.290627162579025</v>
      </c>
      <c r="BK56" s="141"/>
      <c r="BL56" s="132">
        <f>SUM(BL57:BL61)</f>
        <v>4403.0999999999995</v>
      </c>
      <c r="BM56" s="133"/>
      <c r="BN56" s="823">
        <f>BL56/11156.9</f>
        <v>0.39465263648504512</v>
      </c>
      <c r="BO56" s="133"/>
      <c r="BP56" s="134" t="s">
        <v>44</v>
      </c>
      <c r="BQ56" s="135" t="s">
        <v>44</v>
      </c>
      <c r="BR56" s="136">
        <f t="shared" si="27"/>
        <v>84555.4</v>
      </c>
      <c r="BS56" s="86"/>
      <c r="BT56" s="137" t="s">
        <v>44</v>
      </c>
      <c r="BU56" s="138" t="s">
        <v>44</v>
      </c>
      <c r="BV56" s="139">
        <f>SUM(BV57:BV61)</f>
        <v>84555.4</v>
      </c>
      <c r="BW56" s="140"/>
      <c r="BX56" s="134" t="s">
        <v>44</v>
      </c>
      <c r="BY56" s="135" t="s">
        <v>44</v>
      </c>
      <c r="BZ56" s="139">
        <v>0</v>
      </c>
      <c r="CA56" s="140"/>
      <c r="CB56" s="134" t="s">
        <v>44</v>
      </c>
      <c r="CC56" s="135" t="s">
        <v>44</v>
      </c>
      <c r="CD56" s="141">
        <f t="shared" si="42"/>
        <v>19.203606549930733</v>
      </c>
      <c r="CE56" s="141"/>
      <c r="CF56" s="142">
        <f t="shared" si="18"/>
        <v>17301.849999999999</v>
      </c>
      <c r="CG56" s="141"/>
      <c r="CH56" s="823">
        <f>CF56/44102.6</f>
        <v>0.39230907021354749</v>
      </c>
      <c r="CI56" s="143"/>
      <c r="CJ56" s="137" t="s">
        <v>44</v>
      </c>
      <c r="CK56" s="138" t="s">
        <v>44</v>
      </c>
      <c r="CL56" s="139">
        <f t="shared" si="19"/>
        <v>318787.45</v>
      </c>
      <c r="CM56" s="144"/>
      <c r="CN56" s="145" t="s">
        <v>44</v>
      </c>
      <c r="CO56" s="138" t="s">
        <v>44</v>
      </c>
      <c r="CP56" s="139">
        <f t="shared" si="20"/>
        <v>318787.45</v>
      </c>
      <c r="CQ56" s="140"/>
      <c r="CR56" s="137" t="s">
        <v>44</v>
      </c>
      <c r="CS56" s="138" t="s">
        <v>44</v>
      </c>
      <c r="CT56" s="139">
        <f t="shared" si="21"/>
        <v>0</v>
      </c>
      <c r="CU56" s="140"/>
      <c r="CV56" s="137" t="s">
        <v>44</v>
      </c>
      <c r="CW56" s="138" t="s">
        <v>44</v>
      </c>
      <c r="CX56" s="139">
        <f t="shared" si="22"/>
        <v>18.425049922407144</v>
      </c>
      <c r="CY56" s="175"/>
      <c r="CZ56" s="147">
        <f t="shared" si="57"/>
        <v>8635.9</v>
      </c>
      <c r="DA56" s="148">
        <f t="shared" si="57"/>
        <v>0</v>
      </c>
      <c r="DB56" s="177" t="e">
        <f>(CZ56/#REF!)*100</f>
        <v>#REF!</v>
      </c>
      <c r="DC56" s="150" t="e">
        <f>(DA56/#REF!)*100</f>
        <v>#REF!</v>
      </c>
      <c r="DD56" s="139">
        <f t="shared" si="52"/>
        <v>151999</v>
      </c>
      <c r="DE56" s="141">
        <f t="shared" si="52"/>
        <v>0</v>
      </c>
      <c r="DF56" s="141" t="e">
        <f t="shared" si="52"/>
        <v>#VALUE!</v>
      </c>
      <c r="DG56" s="151" t="e">
        <f t="shared" si="49"/>
        <v>#VALUE!</v>
      </c>
      <c r="DH56" s="139">
        <f t="shared" si="49"/>
        <v>151999</v>
      </c>
      <c r="DI56" s="140">
        <f t="shared" si="49"/>
        <v>0</v>
      </c>
      <c r="DJ56" s="140" t="e">
        <f t="shared" si="49"/>
        <v>#VALUE!</v>
      </c>
      <c r="DK56" s="140" t="e">
        <f t="shared" si="49"/>
        <v>#VALUE!</v>
      </c>
      <c r="DL56" s="139">
        <f t="shared" si="49"/>
        <v>0</v>
      </c>
      <c r="DM56" s="140">
        <f t="shared" si="49"/>
        <v>0</v>
      </c>
      <c r="DN56" s="140" t="e">
        <f t="shared" si="49"/>
        <v>#VALUE!</v>
      </c>
      <c r="DO56" s="152" t="e">
        <f t="shared" si="49"/>
        <v>#VALUE!</v>
      </c>
      <c r="DP56" s="139">
        <f t="shared" si="50"/>
        <v>18</v>
      </c>
      <c r="DQ56" s="153" t="e">
        <f t="shared" si="50"/>
        <v>#DIV/0!</v>
      </c>
      <c r="DR56" s="154">
        <f t="shared" si="32"/>
        <v>8635.9</v>
      </c>
      <c r="DS56" s="84">
        <f t="shared" si="4"/>
        <v>100</v>
      </c>
      <c r="DT56" s="79" t="e">
        <f t="shared" si="5"/>
        <v>#VALUE!</v>
      </c>
      <c r="DU56" s="84" t="e">
        <f t="shared" si="6"/>
        <v>#VALUE!</v>
      </c>
      <c r="DV56" s="79">
        <f t="shared" si="7"/>
        <v>151999</v>
      </c>
      <c r="DW56" s="85">
        <f t="shared" si="8"/>
        <v>100</v>
      </c>
      <c r="DX56" s="86" t="e">
        <f t="shared" si="9"/>
        <v>#VALUE!</v>
      </c>
      <c r="DY56" s="84" t="e">
        <f t="shared" si="10"/>
        <v>#VALUE!</v>
      </c>
      <c r="DZ56" s="79">
        <f t="shared" si="11"/>
        <v>151999</v>
      </c>
      <c r="EA56" s="85">
        <f t="shared" si="12"/>
        <v>100</v>
      </c>
      <c r="EB56" s="86" t="e">
        <f t="shared" si="13"/>
        <v>#VALUE!</v>
      </c>
      <c r="EC56" s="84" t="e">
        <f t="shared" si="14"/>
        <v>#VALUE!</v>
      </c>
      <c r="ED56" s="79">
        <f t="shared" si="15"/>
        <v>0</v>
      </c>
      <c r="EE56" s="87">
        <v>0</v>
      </c>
      <c r="EF56" s="86" t="e">
        <f t="shared" si="16"/>
        <v>#VALUE!</v>
      </c>
      <c r="EG56" s="87" t="e">
        <f t="shared" si="17"/>
        <v>#VALUE!</v>
      </c>
      <c r="EH56" s="155" t="e">
        <f t="shared" si="33"/>
        <v>#DIV/0!</v>
      </c>
      <c r="EI56" s="156" t="e">
        <f t="shared" si="34"/>
        <v>#DIV/0!</v>
      </c>
    </row>
    <row r="57" spans="1:139" s="124" customFormat="1" ht="15.75" customHeight="1" x14ac:dyDescent="0.25">
      <c r="A57" s="1070"/>
      <c r="B57" s="90"/>
      <c r="C57" s="91" t="s">
        <v>45</v>
      </c>
      <c r="D57" s="92">
        <v>226.9</v>
      </c>
      <c r="E57" s="93"/>
      <c r="F57" s="93">
        <v>10.509495136637332</v>
      </c>
      <c r="G57" s="93"/>
      <c r="H57" s="186" t="s">
        <v>44</v>
      </c>
      <c r="I57" s="187" t="s">
        <v>44</v>
      </c>
      <c r="J57" s="122">
        <v>5217</v>
      </c>
      <c r="K57" s="101"/>
      <c r="L57" s="188" t="s">
        <v>44</v>
      </c>
      <c r="M57" s="189" t="s">
        <v>44</v>
      </c>
      <c r="N57" s="184">
        <v>5217</v>
      </c>
      <c r="O57" s="101"/>
      <c r="P57" s="186" t="s">
        <v>44</v>
      </c>
      <c r="Q57" s="187" t="s">
        <v>44</v>
      </c>
      <c r="R57" s="184">
        <v>0</v>
      </c>
      <c r="S57" s="101"/>
      <c r="T57" s="186" t="s">
        <v>44</v>
      </c>
      <c r="U57" s="187" t="s">
        <v>44</v>
      </c>
      <c r="V57" s="102">
        <v>23</v>
      </c>
      <c r="W57" s="102"/>
      <c r="X57" s="92">
        <v>239.8</v>
      </c>
      <c r="Y57" s="93"/>
      <c r="Z57" s="93">
        <v>10.97985347985348</v>
      </c>
      <c r="AA57" s="93"/>
      <c r="AB57" s="186" t="s">
        <v>44</v>
      </c>
      <c r="AC57" s="187" t="s">
        <v>44</v>
      </c>
      <c r="AD57" s="122">
        <v>5665</v>
      </c>
      <c r="AE57" s="101"/>
      <c r="AF57" s="188" t="s">
        <v>44</v>
      </c>
      <c r="AG57" s="189" t="s">
        <v>44</v>
      </c>
      <c r="AH57" s="184">
        <v>5665</v>
      </c>
      <c r="AI57" s="101"/>
      <c r="AJ57" s="186" t="s">
        <v>44</v>
      </c>
      <c r="AK57" s="187" t="s">
        <v>44</v>
      </c>
      <c r="AL57" s="184">
        <v>0</v>
      </c>
      <c r="AM57" s="101"/>
      <c r="AN57" s="186" t="s">
        <v>44</v>
      </c>
      <c r="AO57" s="187" t="s">
        <v>44</v>
      </c>
      <c r="AP57" s="102">
        <v>24</v>
      </c>
      <c r="AQ57" s="102"/>
      <c r="AR57" s="92">
        <v>234.8</v>
      </c>
      <c r="AS57" s="93"/>
      <c r="AT57" s="822">
        <f t="shared" ref="AT57:AT61" si="64">AR57/2208</f>
        <v>0.10634057971014493</v>
      </c>
      <c r="AU57" s="93"/>
      <c r="AV57" s="186" t="s">
        <v>44</v>
      </c>
      <c r="AW57" s="187" t="s">
        <v>44</v>
      </c>
      <c r="AX57" s="122">
        <f t="shared" si="24"/>
        <v>6023.6</v>
      </c>
      <c r="AY57" s="101"/>
      <c r="AZ57" s="188" t="s">
        <v>44</v>
      </c>
      <c r="BA57" s="189" t="s">
        <v>44</v>
      </c>
      <c r="BB57" s="184">
        <f>5476*1.1</f>
        <v>6023.6</v>
      </c>
      <c r="BC57" s="101"/>
      <c r="BD57" s="186" t="s">
        <v>44</v>
      </c>
      <c r="BE57" s="187" t="s">
        <v>44</v>
      </c>
      <c r="BF57" s="184">
        <v>0</v>
      </c>
      <c r="BG57" s="101"/>
      <c r="BH57" s="186" t="s">
        <v>44</v>
      </c>
      <c r="BI57" s="187" t="s">
        <v>44</v>
      </c>
      <c r="BJ57" s="102">
        <f t="shared" si="25"/>
        <v>25.654173764906304</v>
      </c>
      <c r="BK57" s="102"/>
      <c r="BL57" s="92">
        <v>226.2</v>
      </c>
      <c r="BM57" s="93"/>
      <c r="BN57" s="822">
        <f t="shared" ref="BN57:BN61" si="65">BL57/2209</f>
        <v>0.10239927569035762</v>
      </c>
      <c r="BO57" s="93"/>
      <c r="BP57" s="186" t="s">
        <v>44</v>
      </c>
      <c r="BQ57" s="187" t="s">
        <v>44</v>
      </c>
      <c r="BR57" s="122">
        <f t="shared" si="27"/>
        <v>5418.6</v>
      </c>
      <c r="BS57" s="101"/>
      <c r="BT57" s="188" t="s">
        <v>44</v>
      </c>
      <c r="BU57" s="189" t="s">
        <v>44</v>
      </c>
      <c r="BV57" s="184">
        <f>4926*1.1</f>
        <v>5418.6</v>
      </c>
      <c r="BW57" s="101"/>
      <c r="BX57" s="186" t="s">
        <v>44</v>
      </c>
      <c r="BY57" s="187" t="s">
        <v>44</v>
      </c>
      <c r="BZ57" s="184">
        <v>0</v>
      </c>
      <c r="CA57" s="101"/>
      <c r="CB57" s="186" t="s">
        <v>44</v>
      </c>
      <c r="CC57" s="187" t="s">
        <v>44</v>
      </c>
      <c r="CD57" s="102">
        <f t="shared" si="42"/>
        <v>23.954907161803717</v>
      </c>
      <c r="CE57" s="102"/>
      <c r="CF57" s="103">
        <f t="shared" si="18"/>
        <v>927.69999999999993</v>
      </c>
      <c r="CG57" s="102"/>
      <c r="CH57" s="822">
        <f t="shared" si="39"/>
        <v>0.10590182648401826</v>
      </c>
      <c r="CI57" s="179"/>
      <c r="CJ57" s="188" t="s">
        <v>44</v>
      </c>
      <c r="CK57" s="189" t="s">
        <v>44</v>
      </c>
      <c r="CL57" s="100">
        <f t="shared" si="19"/>
        <v>22324.2</v>
      </c>
      <c r="CM57" s="107"/>
      <c r="CN57" s="190" t="s">
        <v>44</v>
      </c>
      <c r="CO57" s="189" t="s">
        <v>44</v>
      </c>
      <c r="CP57" s="100">
        <f t="shared" si="20"/>
        <v>22324.2</v>
      </c>
      <c r="CQ57" s="97"/>
      <c r="CR57" s="188" t="s">
        <v>44</v>
      </c>
      <c r="CS57" s="189" t="s">
        <v>44</v>
      </c>
      <c r="CT57" s="100">
        <f t="shared" si="21"/>
        <v>0</v>
      </c>
      <c r="CU57" s="97"/>
      <c r="CV57" s="188" t="s">
        <v>44</v>
      </c>
      <c r="CW57" s="189" t="s">
        <v>44</v>
      </c>
      <c r="CX57" s="100">
        <f t="shared" si="22"/>
        <v>24.06402931982322</v>
      </c>
      <c r="CY57" s="174"/>
      <c r="CZ57" s="110">
        <f t="shared" si="57"/>
        <v>466.70000000000005</v>
      </c>
      <c r="DA57" s="111">
        <f t="shared" si="57"/>
        <v>0</v>
      </c>
      <c r="DB57" s="176">
        <f>(CZ57/4343)*100</f>
        <v>10.746028091181211</v>
      </c>
      <c r="DC57" s="113">
        <f>(DA57/4343)*100</f>
        <v>0</v>
      </c>
      <c r="DD57" s="100">
        <f t="shared" si="52"/>
        <v>10882</v>
      </c>
      <c r="DE57" s="102">
        <f t="shared" si="52"/>
        <v>0</v>
      </c>
      <c r="DF57" s="102" t="e">
        <f t="shared" si="52"/>
        <v>#VALUE!</v>
      </c>
      <c r="DG57" s="114" t="e">
        <f t="shared" si="49"/>
        <v>#VALUE!</v>
      </c>
      <c r="DH57" s="100">
        <f t="shared" si="49"/>
        <v>10882</v>
      </c>
      <c r="DI57" s="97">
        <f t="shared" si="49"/>
        <v>0</v>
      </c>
      <c r="DJ57" s="97" t="e">
        <f t="shared" si="49"/>
        <v>#VALUE!</v>
      </c>
      <c r="DK57" s="97" t="e">
        <f t="shared" si="49"/>
        <v>#VALUE!</v>
      </c>
      <c r="DL57" s="100">
        <f t="shared" si="49"/>
        <v>0</v>
      </c>
      <c r="DM57" s="97">
        <f t="shared" si="49"/>
        <v>0</v>
      </c>
      <c r="DN57" s="97" t="e">
        <f t="shared" si="49"/>
        <v>#VALUE!</v>
      </c>
      <c r="DO57" s="115" t="e">
        <f t="shared" si="49"/>
        <v>#VALUE!</v>
      </c>
      <c r="DP57" s="100">
        <f t="shared" si="50"/>
        <v>23</v>
      </c>
      <c r="DQ57" s="116" t="e">
        <f t="shared" si="50"/>
        <v>#DIV/0!</v>
      </c>
      <c r="DR57" s="117">
        <f t="shared" si="32"/>
        <v>466.70000000000005</v>
      </c>
      <c r="DS57" s="118">
        <f t="shared" si="4"/>
        <v>100</v>
      </c>
      <c r="DT57" s="104" t="e">
        <f t="shared" si="5"/>
        <v>#VALUE!</v>
      </c>
      <c r="DU57" s="118" t="e">
        <f t="shared" si="6"/>
        <v>#VALUE!</v>
      </c>
      <c r="DV57" s="104">
        <f t="shared" si="7"/>
        <v>10882</v>
      </c>
      <c r="DW57" s="119">
        <f t="shared" si="8"/>
        <v>100</v>
      </c>
      <c r="DX57" s="120" t="e">
        <f t="shared" si="9"/>
        <v>#VALUE!</v>
      </c>
      <c r="DY57" s="118" t="e">
        <f t="shared" si="10"/>
        <v>#VALUE!</v>
      </c>
      <c r="DZ57" s="104">
        <f t="shared" si="11"/>
        <v>10882</v>
      </c>
      <c r="EA57" s="119">
        <f t="shared" si="12"/>
        <v>100</v>
      </c>
      <c r="EB57" s="120" t="e">
        <f t="shared" si="13"/>
        <v>#VALUE!</v>
      </c>
      <c r="EC57" s="118" t="e">
        <f t="shared" si="14"/>
        <v>#VALUE!</v>
      </c>
      <c r="ED57" s="104">
        <f t="shared" si="15"/>
        <v>0</v>
      </c>
      <c r="EE57" s="121">
        <v>0</v>
      </c>
      <c r="EF57" s="120" t="e">
        <f t="shared" si="16"/>
        <v>#VALUE!</v>
      </c>
      <c r="EG57" s="121" t="e">
        <f t="shared" si="17"/>
        <v>#VALUE!</v>
      </c>
      <c r="EH57" s="122" t="e">
        <f t="shared" si="33"/>
        <v>#DIV/0!</v>
      </c>
      <c r="EI57" s="123" t="e">
        <f t="shared" si="34"/>
        <v>#DIV/0!</v>
      </c>
    </row>
    <row r="58" spans="1:139" s="5" customFormat="1" ht="15.75" customHeight="1" x14ac:dyDescent="0.25">
      <c r="A58" s="1070"/>
      <c r="B58" s="178"/>
      <c r="C58" s="180" t="s">
        <v>46</v>
      </c>
      <c r="D58" s="92">
        <v>1204.8</v>
      </c>
      <c r="E58" s="93"/>
      <c r="F58" s="93">
        <v>55.803612783696153</v>
      </c>
      <c r="G58" s="93"/>
      <c r="H58" s="186" t="s">
        <v>44</v>
      </c>
      <c r="I58" s="187" t="s">
        <v>44</v>
      </c>
      <c r="J58" s="122">
        <v>19048</v>
      </c>
      <c r="K58" s="101"/>
      <c r="L58" s="188" t="s">
        <v>44</v>
      </c>
      <c r="M58" s="189" t="s">
        <v>44</v>
      </c>
      <c r="N58" s="100">
        <v>19048</v>
      </c>
      <c r="O58" s="97"/>
      <c r="P58" s="186" t="s">
        <v>44</v>
      </c>
      <c r="Q58" s="187" t="s">
        <v>44</v>
      </c>
      <c r="R58" s="100">
        <v>0</v>
      </c>
      <c r="S58" s="97"/>
      <c r="T58" s="186" t="s">
        <v>44</v>
      </c>
      <c r="U58" s="187" t="s">
        <v>44</v>
      </c>
      <c r="V58" s="102">
        <v>16</v>
      </c>
      <c r="W58" s="102"/>
      <c r="X58" s="92">
        <v>1212.2</v>
      </c>
      <c r="Y58" s="93"/>
      <c r="Z58" s="93">
        <v>55.503663003663007</v>
      </c>
      <c r="AA58" s="93"/>
      <c r="AB58" s="186" t="s">
        <v>44</v>
      </c>
      <c r="AC58" s="187" t="s">
        <v>44</v>
      </c>
      <c r="AD58" s="122">
        <v>19896</v>
      </c>
      <c r="AE58" s="101"/>
      <c r="AF58" s="188" t="s">
        <v>44</v>
      </c>
      <c r="AG58" s="189" t="s">
        <v>44</v>
      </c>
      <c r="AH58" s="100">
        <v>19896</v>
      </c>
      <c r="AI58" s="97"/>
      <c r="AJ58" s="186" t="s">
        <v>44</v>
      </c>
      <c r="AK58" s="187" t="s">
        <v>44</v>
      </c>
      <c r="AL58" s="100">
        <v>0</v>
      </c>
      <c r="AM58" s="97"/>
      <c r="AN58" s="186" t="s">
        <v>44</v>
      </c>
      <c r="AO58" s="187" t="s">
        <v>44</v>
      </c>
      <c r="AP58" s="102">
        <v>16</v>
      </c>
      <c r="AQ58" s="102"/>
      <c r="AR58" s="92">
        <v>1248.0999999999999</v>
      </c>
      <c r="AS58" s="93"/>
      <c r="AT58" s="822">
        <f t="shared" si="64"/>
        <v>0.56526268115942024</v>
      </c>
      <c r="AU58" s="93"/>
      <c r="AV58" s="186" t="s">
        <v>44</v>
      </c>
      <c r="AW58" s="187" t="s">
        <v>44</v>
      </c>
      <c r="AX58" s="122">
        <f t="shared" si="24"/>
        <v>22128.7</v>
      </c>
      <c r="AY58" s="101"/>
      <c r="AZ58" s="188" t="s">
        <v>44</v>
      </c>
      <c r="BA58" s="189" t="s">
        <v>44</v>
      </c>
      <c r="BB58" s="100">
        <f>20117*1.1</f>
        <v>22128.7</v>
      </c>
      <c r="BC58" s="97"/>
      <c r="BD58" s="186" t="s">
        <v>44</v>
      </c>
      <c r="BE58" s="187" t="s">
        <v>44</v>
      </c>
      <c r="BF58" s="100">
        <v>0</v>
      </c>
      <c r="BG58" s="97"/>
      <c r="BH58" s="186" t="s">
        <v>44</v>
      </c>
      <c r="BI58" s="187" t="s">
        <v>44</v>
      </c>
      <c r="BJ58" s="102">
        <f t="shared" si="25"/>
        <v>17.729909462382825</v>
      </c>
      <c r="BK58" s="102"/>
      <c r="BL58" s="92">
        <v>1232.5</v>
      </c>
      <c r="BM58" s="93"/>
      <c r="BN58" s="822">
        <f t="shared" si="65"/>
        <v>0.55794477138976917</v>
      </c>
      <c r="BO58" s="93"/>
      <c r="BP58" s="186" t="s">
        <v>44</v>
      </c>
      <c r="BQ58" s="187" t="s">
        <v>44</v>
      </c>
      <c r="BR58" s="122">
        <f t="shared" si="27"/>
        <v>22483.5</v>
      </c>
      <c r="BS58" s="101"/>
      <c r="BT58" s="188" t="s">
        <v>44</v>
      </c>
      <c r="BU58" s="189" t="s">
        <v>44</v>
      </c>
      <c r="BV58" s="100">
        <f>17295*1.3</f>
        <v>22483.5</v>
      </c>
      <c r="BW58" s="97"/>
      <c r="BX58" s="186" t="s">
        <v>44</v>
      </c>
      <c r="BY58" s="187" t="s">
        <v>44</v>
      </c>
      <c r="BZ58" s="100">
        <v>0</v>
      </c>
      <c r="CA58" s="97"/>
      <c r="CB58" s="186" t="s">
        <v>44</v>
      </c>
      <c r="CC58" s="187" t="s">
        <v>44</v>
      </c>
      <c r="CD58" s="102">
        <f t="shared" si="42"/>
        <v>18.242190669371197</v>
      </c>
      <c r="CE58" s="102"/>
      <c r="CF58" s="103">
        <f t="shared" si="18"/>
        <v>4897.6000000000004</v>
      </c>
      <c r="CG58" s="102"/>
      <c r="CH58" s="822">
        <f t="shared" si="39"/>
        <v>0.5590867579908676</v>
      </c>
      <c r="CI58" s="179"/>
      <c r="CJ58" s="188" t="s">
        <v>44</v>
      </c>
      <c r="CK58" s="189" t="s">
        <v>44</v>
      </c>
      <c r="CL58" s="100">
        <f t="shared" si="19"/>
        <v>83556.2</v>
      </c>
      <c r="CM58" s="107"/>
      <c r="CN58" s="190" t="s">
        <v>44</v>
      </c>
      <c r="CO58" s="189" t="s">
        <v>44</v>
      </c>
      <c r="CP58" s="100">
        <f t="shared" si="20"/>
        <v>83556.2</v>
      </c>
      <c r="CQ58" s="97"/>
      <c r="CR58" s="188" t="s">
        <v>44</v>
      </c>
      <c r="CS58" s="189" t="s">
        <v>44</v>
      </c>
      <c r="CT58" s="100">
        <f t="shared" si="21"/>
        <v>0</v>
      </c>
      <c r="CU58" s="97"/>
      <c r="CV58" s="188" t="s">
        <v>44</v>
      </c>
      <c r="CW58" s="189" t="s">
        <v>44</v>
      </c>
      <c r="CX58" s="100">
        <f t="shared" si="22"/>
        <v>17.060641947076117</v>
      </c>
      <c r="CY58" s="174"/>
      <c r="CZ58" s="110">
        <f t="shared" si="57"/>
        <v>2417</v>
      </c>
      <c r="DA58" s="111">
        <f t="shared" si="57"/>
        <v>0</v>
      </c>
      <c r="DB58" s="176">
        <f t="shared" ref="DB58:DC61" si="66">(CZ58/4343)*100</f>
        <v>55.652774579783561</v>
      </c>
      <c r="DC58" s="113">
        <f t="shared" si="66"/>
        <v>0</v>
      </c>
      <c r="DD58" s="100">
        <f t="shared" si="52"/>
        <v>38944</v>
      </c>
      <c r="DE58" s="102">
        <f t="shared" si="52"/>
        <v>0</v>
      </c>
      <c r="DF58" s="102" t="e">
        <f t="shared" si="52"/>
        <v>#VALUE!</v>
      </c>
      <c r="DG58" s="114" t="e">
        <f t="shared" si="49"/>
        <v>#VALUE!</v>
      </c>
      <c r="DH58" s="100">
        <f t="shared" si="49"/>
        <v>38944</v>
      </c>
      <c r="DI58" s="97">
        <f t="shared" si="49"/>
        <v>0</v>
      </c>
      <c r="DJ58" s="97" t="e">
        <f t="shared" si="49"/>
        <v>#VALUE!</v>
      </c>
      <c r="DK58" s="97" t="e">
        <f t="shared" si="49"/>
        <v>#VALUE!</v>
      </c>
      <c r="DL58" s="100">
        <f t="shared" si="49"/>
        <v>0</v>
      </c>
      <c r="DM58" s="97">
        <f t="shared" si="49"/>
        <v>0</v>
      </c>
      <c r="DN58" s="97" t="e">
        <f t="shared" si="49"/>
        <v>#VALUE!</v>
      </c>
      <c r="DO58" s="115" t="e">
        <f t="shared" si="49"/>
        <v>#VALUE!</v>
      </c>
      <c r="DP58" s="100">
        <f t="shared" si="50"/>
        <v>16</v>
      </c>
      <c r="DQ58" s="116" t="e">
        <f t="shared" si="50"/>
        <v>#DIV/0!</v>
      </c>
      <c r="DR58" s="117">
        <f t="shared" si="32"/>
        <v>2417</v>
      </c>
      <c r="DS58" s="118">
        <f t="shared" si="4"/>
        <v>100</v>
      </c>
      <c r="DT58" s="104" t="e">
        <f t="shared" si="5"/>
        <v>#VALUE!</v>
      </c>
      <c r="DU58" s="118" t="e">
        <f t="shared" si="6"/>
        <v>#VALUE!</v>
      </c>
      <c r="DV58" s="104">
        <f t="shared" si="7"/>
        <v>38944</v>
      </c>
      <c r="DW58" s="119">
        <f t="shared" si="8"/>
        <v>100</v>
      </c>
      <c r="DX58" s="120" t="e">
        <f t="shared" si="9"/>
        <v>#VALUE!</v>
      </c>
      <c r="DY58" s="118" t="e">
        <f t="shared" si="10"/>
        <v>#VALUE!</v>
      </c>
      <c r="DZ58" s="104">
        <f t="shared" si="11"/>
        <v>38944</v>
      </c>
      <c r="EA58" s="119">
        <f t="shared" si="12"/>
        <v>100</v>
      </c>
      <c r="EB58" s="120" t="e">
        <f t="shared" si="13"/>
        <v>#VALUE!</v>
      </c>
      <c r="EC58" s="118" t="e">
        <f t="shared" si="14"/>
        <v>#VALUE!</v>
      </c>
      <c r="ED58" s="104">
        <f t="shared" si="15"/>
        <v>0</v>
      </c>
      <c r="EE58" s="121">
        <v>0</v>
      </c>
      <c r="EF58" s="120" t="e">
        <f t="shared" si="16"/>
        <v>#VALUE!</v>
      </c>
      <c r="EG58" s="121" t="e">
        <f t="shared" si="17"/>
        <v>#VALUE!</v>
      </c>
      <c r="EH58" s="122" t="e">
        <f t="shared" si="33"/>
        <v>#DIV/0!</v>
      </c>
      <c r="EI58" s="123" t="e">
        <f t="shared" si="34"/>
        <v>#DIV/0!</v>
      </c>
    </row>
    <row r="59" spans="1:139" ht="15.75" customHeight="1" x14ac:dyDescent="0.25">
      <c r="A59" s="1070"/>
      <c r="B59" s="169"/>
      <c r="C59" s="91" t="s">
        <v>47</v>
      </c>
      <c r="D59" s="92">
        <v>988.2</v>
      </c>
      <c r="E59" s="93"/>
      <c r="F59" s="93">
        <v>45.771190365910144</v>
      </c>
      <c r="G59" s="93"/>
      <c r="H59" s="186" t="s">
        <v>44</v>
      </c>
      <c r="I59" s="187" t="s">
        <v>44</v>
      </c>
      <c r="J59" s="122">
        <v>24791</v>
      </c>
      <c r="K59" s="101"/>
      <c r="L59" s="188" t="s">
        <v>44</v>
      </c>
      <c r="M59" s="189" t="s">
        <v>44</v>
      </c>
      <c r="N59" s="100">
        <v>24791</v>
      </c>
      <c r="O59" s="126"/>
      <c r="P59" s="186" t="s">
        <v>44</v>
      </c>
      <c r="Q59" s="187" t="s">
        <v>44</v>
      </c>
      <c r="R59" s="100">
        <v>0</v>
      </c>
      <c r="S59" s="97"/>
      <c r="T59" s="186" t="s">
        <v>44</v>
      </c>
      <c r="U59" s="187" t="s">
        <v>44</v>
      </c>
      <c r="V59" s="102">
        <v>25</v>
      </c>
      <c r="W59" s="102"/>
      <c r="X59" s="92">
        <v>890.6</v>
      </c>
      <c r="Y59" s="93"/>
      <c r="Z59" s="93">
        <v>40.778388278388277</v>
      </c>
      <c r="AA59" s="93"/>
      <c r="AB59" s="186" t="s">
        <v>44</v>
      </c>
      <c r="AC59" s="187" t="s">
        <v>44</v>
      </c>
      <c r="AD59" s="122">
        <v>24697</v>
      </c>
      <c r="AE59" s="101"/>
      <c r="AF59" s="188" t="s">
        <v>44</v>
      </c>
      <c r="AG59" s="189" t="s">
        <v>44</v>
      </c>
      <c r="AH59" s="100">
        <v>24697</v>
      </c>
      <c r="AI59" s="126"/>
      <c r="AJ59" s="186" t="s">
        <v>44</v>
      </c>
      <c r="AK59" s="187" t="s">
        <v>44</v>
      </c>
      <c r="AL59" s="100">
        <v>0</v>
      </c>
      <c r="AM59" s="97"/>
      <c r="AN59" s="186" t="s">
        <v>44</v>
      </c>
      <c r="AO59" s="187" t="s">
        <v>44</v>
      </c>
      <c r="AP59" s="102">
        <v>28</v>
      </c>
      <c r="AQ59" s="102"/>
      <c r="AR59" s="92">
        <v>676.95</v>
      </c>
      <c r="AS59" s="93"/>
      <c r="AT59" s="822">
        <f t="shared" si="64"/>
        <v>0.30658967391304348</v>
      </c>
      <c r="AU59" s="93"/>
      <c r="AV59" s="186" t="s">
        <v>44</v>
      </c>
      <c r="AW59" s="187" t="s">
        <v>44</v>
      </c>
      <c r="AX59" s="122">
        <f t="shared" si="24"/>
        <v>25986.400000000001</v>
      </c>
      <c r="AY59" s="101"/>
      <c r="AZ59" s="188" t="s">
        <v>44</v>
      </c>
      <c r="BA59" s="189" t="s">
        <v>44</v>
      </c>
      <c r="BB59" s="100">
        <f>23624*1.1</f>
        <v>25986.400000000001</v>
      </c>
      <c r="BC59" s="126"/>
      <c r="BD59" s="186" t="s">
        <v>44</v>
      </c>
      <c r="BE59" s="187" t="s">
        <v>44</v>
      </c>
      <c r="BF59" s="100">
        <v>0</v>
      </c>
      <c r="BG59" s="97"/>
      <c r="BH59" s="186" t="s">
        <v>44</v>
      </c>
      <c r="BI59" s="187" t="s">
        <v>44</v>
      </c>
      <c r="BJ59" s="102">
        <f t="shared" si="25"/>
        <v>38.387473225496713</v>
      </c>
      <c r="BK59" s="102"/>
      <c r="BL59" s="92">
        <v>1053</v>
      </c>
      <c r="BM59" s="93"/>
      <c r="BN59" s="822">
        <f t="shared" si="65"/>
        <v>0.4766862833861476</v>
      </c>
      <c r="BO59" s="93"/>
      <c r="BP59" s="186" t="s">
        <v>44</v>
      </c>
      <c r="BQ59" s="187" t="s">
        <v>44</v>
      </c>
      <c r="BR59" s="122">
        <f t="shared" si="27"/>
        <v>32631.300000000003</v>
      </c>
      <c r="BS59" s="101"/>
      <c r="BT59" s="188" t="s">
        <v>44</v>
      </c>
      <c r="BU59" s="189" t="s">
        <v>44</v>
      </c>
      <c r="BV59" s="100">
        <f>25101*1.3</f>
        <v>32631.300000000003</v>
      </c>
      <c r="BW59" s="126"/>
      <c r="BX59" s="186" t="s">
        <v>44</v>
      </c>
      <c r="BY59" s="187" t="s">
        <v>44</v>
      </c>
      <c r="BZ59" s="100">
        <v>0</v>
      </c>
      <c r="CA59" s="97"/>
      <c r="CB59" s="186" t="s">
        <v>44</v>
      </c>
      <c r="CC59" s="187" t="s">
        <v>44</v>
      </c>
      <c r="CD59" s="102">
        <f t="shared" si="42"/>
        <v>30.988888888888891</v>
      </c>
      <c r="CE59" s="102"/>
      <c r="CF59" s="103">
        <f t="shared" si="18"/>
        <v>3608.75</v>
      </c>
      <c r="CG59" s="102"/>
      <c r="CH59" s="822">
        <f t="shared" si="39"/>
        <v>0.41195776255707761</v>
      </c>
      <c r="CI59" s="127"/>
      <c r="CJ59" s="188" t="s">
        <v>44</v>
      </c>
      <c r="CK59" s="189" t="s">
        <v>44</v>
      </c>
      <c r="CL59" s="100">
        <f t="shared" si="19"/>
        <v>108105.70000000001</v>
      </c>
      <c r="CM59" s="107"/>
      <c r="CN59" s="190" t="s">
        <v>44</v>
      </c>
      <c r="CO59" s="189" t="s">
        <v>44</v>
      </c>
      <c r="CP59" s="100">
        <f t="shared" si="20"/>
        <v>108105.70000000001</v>
      </c>
      <c r="CQ59" s="97"/>
      <c r="CR59" s="188" t="s">
        <v>44</v>
      </c>
      <c r="CS59" s="189" t="s">
        <v>44</v>
      </c>
      <c r="CT59" s="100">
        <f t="shared" si="21"/>
        <v>0</v>
      </c>
      <c r="CU59" s="97"/>
      <c r="CV59" s="188" t="s">
        <v>44</v>
      </c>
      <c r="CW59" s="189" t="s">
        <v>44</v>
      </c>
      <c r="CX59" s="100">
        <f t="shared" si="22"/>
        <v>29.956550051957052</v>
      </c>
      <c r="CY59" s="174"/>
      <c r="CZ59" s="110">
        <f t="shared" si="57"/>
        <v>1878.8000000000002</v>
      </c>
      <c r="DA59" s="111">
        <f t="shared" si="57"/>
        <v>0</v>
      </c>
      <c r="DB59" s="176">
        <f t="shared" si="66"/>
        <v>43.260419065162338</v>
      </c>
      <c r="DC59" s="113">
        <f t="shared" si="66"/>
        <v>0</v>
      </c>
      <c r="DD59" s="100">
        <f t="shared" si="52"/>
        <v>49488</v>
      </c>
      <c r="DE59" s="102">
        <f t="shared" si="52"/>
        <v>0</v>
      </c>
      <c r="DF59" s="102" t="e">
        <f t="shared" si="52"/>
        <v>#VALUE!</v>
      </c>
      <c r="DG59" s="114" t="e">
        <f t="shared" si="49"/>
        <v>#VALUE!</v>
      </c>
      <c r="DH59" s="100">
        <f t="shared" si="49"/>
        <v>49488</v>
      </c>
      <c r="DI59" s="97">
        <f t="shared" si="49"/>
        <v>0</v>
      </c>
      <c r="DJ59" s="97" t="e">
        <f t="shared" si="49"/>
        <v>#VALUE!</v>
      </c>
      <c r="DK59" s="97" t="e">
        <f t="shared" si="49"/>
        <v>#VALUE!</v>
      </c>
      <c r="DL59" s="100">
        <f t="shared" si="49"/>
        <v>0</v>
      </c>
      <c r="DM59" s="97">
        <f t="shared" si="49"/>
        <v>0</v>
      </c>
      <c r="DN59" s="97" t="e">
        <f t="shared" si="49"/>
        <v>#VALUE!</v>
      </c>
      <c r="DO59" s="115" t="e">
        <f t="shared" si="49"/>
        <v>#VALUE!</v>
      </c>
      <c r="DP59" s="100">
        <f t="shared" si="50"/>
        <v>26</v>
      </c>
      <c r="DQ59" s="116" t="e">
        <f t="shared" si="50"/>
        <v>#DIV/0!</v>
      </c>
      <c r="DR59" s="117">
        <f t="shared" si="32"/>
        <v>1878.8000000000002</v>
      </c>
      <c r="DS59" s="118">
        <f t="shared" si="4"/>
        <v>100</v>
      </c>
      <c r="DT59" s="104" t="e">
        <f t="shared" si="5"/>
        <v>#VALUE!</v>
      </c>
      <c r="DU59" s="118" t="e">
        <f t="shared" si="6"/>
        <v>#VALUE!</v>
      </c>
      <c r="DV59" s="104">
        <f t="shared" si="7"/>
        <v>49488</v>
      </c>
      <c r="DW59" s="119">
        <f t="shared" si="8"/>
        <v>100</v>
      </c>
      <c r="DX59" s="120" t="e">
        <f t="shared" si="9"/>
        <v>#VALUE!</v>
      </c>
      <c r="DY59" s="118" t="e">
        <f t="shared" si="10"/>
        <v>#VALUE!</v>
      </c>
      <c r="DZ59" s="104">
        <f t="shared" si="11"/>
        <v>49488</v>
      </c>
      <c r="EA59" s="119">
        <f t="shared" si="12"/>
        <v>100</v>
      </c>
      <c r="EB59" s="120" t="e">
        <f t="shared" si="13"/>
        <v>#VALUE!</v>
      </c>
      <c r="EC59" s="118" t="e">
        <f t="shared" si="14"/>
        <v>#VALUE!</v>
      </c>
      <c r="ED59" s="104">
        <f t="shared" si="15"/>
        <v>0</v>
      </c>
      <c r="EE59" s="121">
        <v>0</v>
      </c>
      <c r="EF59" s="120" t="e">
        <f t="shared" si="16"/>
        <v>#VALUE!</v>
      </c>
      <c r="EG59" s="121" t="e">
        <f t="shared" si="17"/>
        <v>#VALUE!</v>
      </c>
      <c r="EH59" s="122" t="e">
        <f t="shared" si="33"/>
        <v>#DIV/0!</v>
      </c>
      <c r="EI59" s="123" t="e">
        <f t="shared" si="34"/>
        <v>#DIV/0!</v>
      </c>
    </row>
    <row r="60" spans="1:139" ht="15.75" customHeight="1" x14ac:dyDescent="0.25">
      <c r="A60" s="1070"/>
      <c r="B60" s="169"/>
      <c r="C60" s="91" t="s">
        <v>48</v>
      </c>
      <c r="D60" s="92">
        <v>805</v>
      </c>
      <c r="E60" s="93"/>
      <c r="F60" s="93">
        <v>37.285780453913844</v>
      </c>
      <c r="G60" s="93"/>
      <c r="H60" s="186" t="s">
        <v>44</v>
      </c>
      <c r="I60" s="187" t="s">
        <v>44</v>
      </c>
      <c r="J60" s="122">
        <v>16659</v>
      </c>
      <c r="K60" s="101"/>
      <c r="L60" s="188" t="s">
        <v>44</v>
      </c>
      <c r="M60" s="189" t="s">
        <v>44</v>
      </c>
      <c r="N60" s="100">
        <v>16659</v>
      </c>
      <c r="O60" s="126"/>
      <c r="P60" s="186" t="s">
        <v>44</v>
      </c>
      <c r="Q60" s="187" t="s">
        <v>44</v>
      </c>
      <c r="R60" s="100">
        <v>0</v>
      </c>
      <c r="S60" s="97"/>
      <c r="T60" s="186" t="s">
        <v>44</v>
      </c>
      <c r="U60" s="187" t="s">
        <v>44</v>
      </c>
      <c r="V60" s="102">
        <v>21</v>
      </c>
      <c r="W60" s="102"/>
      <c r="X60" s="92">
        <v>816.8</v>
      </c>
      <c r="Y60" s="93"/>
      <c r="Z60" s="93">
        <v>37.399267399267401</v>
      </c>
      <c r="AA60" s="93"/>
      <c r="AB60" s="186" t="s">
        <v>44</v>
      </c>
      <c r="AC60" s="187" t="s">
        <v>44</v>
      </c>
      <c r="AD60" s="122">
        <v>17516</v>
      </c>
      <c r="AE60" s="101"/>
      <c r="AF60" s="188" t="s">
        <v>44</v>
      </c>
      <c r="AG60" s="189" t="s">
        <v>44</v>
      </c>
      <c r="AH60" s="100">
        <v>17516</v>
      </c>
      <c r="AI60" s="126"/>
      <c r="AJ60" s="186" t="s">
        <v>44</v>
      </c>
      <c r="AK60" s="187" t="s">
        <v>44</v>
      </c>
      <c r="AL60" s="100">
        <v>0</v>
      </c>
      <c r="AM60" s="97"/>
      <c r="AN60" s="186" t="s">
        <v>44</v>
      </c>
      <c r="AO60" s="187" t="s">
        <v>44</v>
      </c>
      <c r="AP60" s="102">
        <v>21</v>
      </c>
      <c r="AQ60" s="102"/>
      <c r="AR60" s="92">
        <v>822.6</v>
      </c>
      <c r="AS60" s="93"/>
      <c r="AT60" s="822">
        <f t="shared" si="64"/>
        <v>0.37255434782608698</v>
      </c>
      <c r="AU60" s="93"/>
      <c r="AV60" s="186" t="s">
        <v>44</v>
      </c>
      <c r="AW60" s="187" t="s">
        <v>44</v>
      </c>
      <c r="AX60" s="122">
        <f t="shared" si="24"/>
        <v>18422.800000000003</v>
      </c>
      <c r="AY60" s="101"/>
      <c r="AZ60" s="188" t="s">
        <v>44</v>
      </c>
      <c r="BA60" s="189" t="s">
        <v>44</v>
      </c>
      <c r="BB60" s="100">
        <f>16748*1.1</f>
        <v>18422.800000000003</v>
      </c>
      <c r="BC60" s="126"/>
      <c r="BD60" s="186" t="s">
        <v>44</v>
      </c>
      <c r="BE60" s="187" t="s">
        <v>44</v>
      </c>
      <c r="BF60" s="100">
        <v>0</v>
      </c>
      <c r="BG60" s="97"/>
      <c r="BH60" s="186" t="s">
        <v>44</v>
      </c>
      <c r="BI60" s="187" t="s">
        <v>44</v>
      </c>
      <c r="BJ60" s="102">
        <f t="shared" si="25"/>
        <v>22.395818137612451</v>
      </c>
      <c r="BK60" s="102"/>
      <c r="BL60" s="92">
        <v>830.6</v>
      </c>
      <c r="BM60" s="93"/>
      <c r="BN60" s="822">
        <f t="shared" si="65"/>
        <v>0.37600724309642375</v>
      </c>
      <c r="BO60" s="93"/>
      <c r="BP60" s="186" t="s">
        <v>44</v>
      </c>
      <c r="BQ60" s="187" t="s">
        <v>44</v>
      </c>
      <c r="BR60" s="122">
        <f t="shared" si="27"/>
        <v>16703.5</v>
      </c>
      <c r="BS60" s="101"/>
      <c r="BT60" s="188" t="s">
        <v>44</v>
      </c>
      <c r="BU60" s="189" t="s">
        <v>44</v>
      </c>
      <c r="BV60" s="100">
        <f>15185*1.1</f>
        <v>16703.5</v>
      </c>
      <c r="BW60" s="126"/>
      <c r="BX60" s="186" t="s">
        <v>44</v>
      </c>
      <c r="BY60" s="187" t="s">
        <v>44</v>
      </c>
      <c r="BZ60" s="100">
        <v>0</v>
      </c>
      <c r="CA60" s="97"/>
      <c r="CB60" s="186" t="s">
        <v>44</v>
      </c>
      <c r="CC60" s="187" t="s">
        <v>44</v>
      </c>
      <c r="CD60" s="102">
        <f t="shared" si="42"/>
        <v>20.110161329159641</v>
      </c>
      <c r="CE60" s="102"/>
      <c r="CF60" s="103">
        <f t="shared" si="18"/>
        <v>3275</v>
      </c>
      <c r="CG60" s="102"/>
      <c r="CH60" s="822">
        <f t="shared" si="39"/>
        <v>0.37385844748858449</v>
      </c>
      <c r="CI60" s="179"/>
      <c r="CJ60" s="188" t="s">
        <v>44</v>
      </c>
      <c r="CK60" s="189" t="s">
        <v>44</v>
      </c>
      <c r="CL60" s="100">
        <f t="shared" si="19"/>
        <v>69301.3</v>
      </c>
      <c r="CM60" s="107"/>
      <c r="CN60" s="190" t="s">
        <v>44</v>
      </c>
      <c r="CO60" s="189" t="s">
        <v>44</v>
      </c>
      <c r="CP60" s="100">
        <f t="shared" si="20"/>
        <v>69301.3</v>
      </c>
      <c r="CQ60" s="97"/>
      <c r="CR60" s="188" t="s">
        <v>44</v>
      </c>
      <c r="CS60" s="189" t="s">
        <v>44</v>
      </c>
      <c r="CT60" s="100">
        <f t="shared" si="21"/>
        <v>0</v>
      </c>
      <c r="CU60" s="97"/>
      <c r="CV60" s="188" t="s">
        <v>44</v>
      </c>
      <c r="CW60" s="189" t="s">
        <v>44</v>
      </c>
      <c r="CX60" s="100">
        <f t="shared" si="22"/>
        <v>21.160702290076337</v>
      </c>
      <c r="CY60" s="174"/>
      <c r="CZ60" s="110">
        <f t="shared" si="57"/>
        <v>1621.8</v>
      </c>
      <c r="DA60" s="111">
        <f t="shared" si="57"/>
        <v>0</v>
      </c>
      <c r="DB60" s="176">
        <f t="shared" si="66"/>
        <v>37.342850564126181</v>
      </c>
      <c r="DC60" s="113">
        <f t="shared" si="66"/>
        <v>0</v>
      </c>
      <c r="DD60" s="100">
        <f t="shared" si="52"/>
        <v>34175</v>
      </c>
      <c r="DE60" s="102">
        <f t="shared" si="52"/>
        <v>0</v>
      </c>
      <c r="DF60" s="102" t="e">
        <f t="shared" si="52"/>
        <v>#VALUE!</v>
      </c>
      <c r="DG60" s="114" t="e">
        <f t="shared" si="49"/>
        <v>#VALUE!</v>
      </c>
      <c r="DH60" s="100">
        <f t="shared" si="49"/>
        <v>34175</v>
      </c>
      <c r="DI60" s="97">
        <f t="shared" si="49"/>
        <v>0</v>
      </c>
      <c r="DJ60" s="97" t="e">
        <f t="shared" si="49"/>
        <v>#VALUE!</v>
      </c>
      <c r="DK60" s="97" t="e">
        <f t="shared" si="49"/>
        <v>#VALUE!</v>
      </c>
      <c r="DL60" s="100">
        <f t="shared" si="49"/>
        <v>0</v>
      </c>
      <c r="DM60" s="97">
        <f t="shared" si="49"/>
        <v>0</v>
      </c>
      <c r="DN60" s="97" t="e">
        <f t="shared" si="49"/>
        <v>#VALUE!</v>
      </c>
      <c r="DO60" s="115" t="e">
        <f t="shared" si="49"/>
        <v>#VALUE!</v>
      </c>
      <c r="DP60" s="100">
        <f t="shared" si="50"/>
        <v>21</v>
      </c>
      <c r="DQ60" s="116" t="e">
        <f t="shared" si="50"/>
        <v>#DIV/0!</v>
      </c>
      <c r="DR60" s="117">
        <f t="shared" si="32"/>
        <v>1621.8</v>
      </c>
      <c r="DS60" s="118">
        <f t="shared" si="4"/>
        <v>100</v>
      </c>
      <c r="DT60" s="104" t="e">
        <f t="shared" si="5"/>
        <v>#VALUE!</v>
      </c>
      <c r="DU60" s="118" t="e">
        <f t="shared" si="6"/>
        <v>#VALUE!</v>
      </c>
      <c r="DV60" s="104">
        <f t="shared" si="7"/>
        <v>34175</v>
      </c>
      <c r="DW60" s="119">
        <f t="shared" si="8"/>
        <v>100</v>
      </c>
      <c r="DX60" s="120" t="e">
        <f t="shared" si="9"/>
        <v>#VALUE!</v>
      </c>
      <c r="DY60" s="118" t="e">
        <f t="shared" si="10"/>
        <v>#VALUE!</v>
      </c>
      <c r="DZ60" s="104">
        <f t="shared" si="11"/>
        <v>34175</v>
      </c>
      <c r="EA60" s="119">
        <f t="shared" si="12"/>
        <v>100</v>
      </c>
      <c r="EB60" s="120" t="e">
        <f t="shared" si="13"/>
        <v>#VALUE!</v>
      </c>
      <c r="EC60" s="118" t="e">
        <f t="shared" si="14"/>
        <v>#VALUE!</v>
      </c>
      <c r="ED60" s="104">
        <f t="shared" si="15"/>
        <v>0</v>
      </c>
      <c r="EE60" s="121">
        <v>0</v>
      </c>
      <c r="EF60" s="120" t="e">
        <f t="shared" si="16"/>
        <v>#VALUE!</v>
      </c>
      <c r="EG60" s="121" t="e">
        <f t="shared" si="17"/>
        <v>#VALUE!</v>
      </c>
      <c r="EH60" s="122" t="e">
        <f t="shared" si="33"/>
        <v>#DIV/0!</v>
      </c>
      <c r="EI60" s="123" t="e">
        <f t="shared" si="34"/>
        <v>#DIV/0!</v>
      </c>
    </row>
    <row r="61" spans="1:139" ht="15.75" customHeight="1" x14ac:dyDescent="0.25">
      <c r="A61" s="1070"/>
      <c r="B61" s="173"/>
      <c r="C61" s="91" t="s">
        <v>49</v>
      </c>
      <c r="D61" s="92">
        <v>1081</v>
      </c>
      <c r="E61" s="93"/>
      <c r="F61" s="93">
        <v>50.069476609541454</v>
      </c>
      <c r="G61" s="93"/>
      <c r="H61" s="186" t="s">
        <v>44</v>
      </c>
      <c r="I61" s="187" t="s">
        <v>44</v>
      </c>
      <c r="J61" s="122">
        <v>9267</v>
      </c>
      <c r="K61" s="101"/>
      <c r="L61" s="188" t="s">
        <v>44</v>
      </c>
      <c r="M61" s="189" t="s">
        <v>44</v>
      </c>
      <c r="N61" s="100">
        <v>9267</v>
      </c>
      <c r="O61" s="126"/>
      <c r="P61" s="186" t="s">
        <v>44</v>
      </c>
      <c r="Q61" s="187" t="s">
        <v>44</v>
      </c>
      <c r="R61" s="100">
        <v>0</v>
      </c>
      <c r="S61" s="97"/>
      <c r="T61" s="186" t="s">
        <v>44</v>
      </c>
      <c r="U61" s="187" t="s">
        <v>44</v>
      </c>
      <c r="V61" s="102">
        <v>9</v>
      </c>
      <c r="W61" s="102"/>
      <c r="X61" s="92">
        <v>1170.5999999999999</v>
      </c>
      <c r="Y61" s="93"/>
      <c r="Z61" s="93">
        <v>53.598901098901095</v>
      </c>
      <c r="AA61" s="93"/>
      <c r="AB61" s="186" t="s">
        <v>44</v>
      </c>
      <c r="AC61" s="187" t="s">
        <v>44</v>
      </c>
      <c r="AD61" s="122">
        <v>9243</v>
      </c>
      <c r="AE61" s="101"/>
      <c r="AF61" s="188" t="s">
        <v>44</v>
      </c>
      <c r="AG61" s="189" t="s">
        <v>44</v>
      </c>
      <c r="AH61" s="100">
        <v>9243</v>
      </c>
      <c r="AI61" s="126"/>
      <c r="AJ61" s="186" t="s">
        <v>44</v>
      </c>
      <c r="AK61" s="187" t="s">
        <v>44</v>
      </c>
      <c r="AL61" s="100">
        <v>0</v>
      </c>
      <c r="AM61" s="97"/>
      <c r="AN61" s="186" t="s">
        <v>44</v>
      </c>
      <c r="AO61" s="187" t="s">
        <v>44</v>
      </c>
      <c r="AP61" s="102">
        <v>8</v>
      </c>
      <c r="AQ61" s="102"/>
      <c r="AR61" s="92">
        <v>1280.4000000000001</v>
      </c>
      <c r="AS61" s="93"/>
      <c r="AT61" s="822">
        <f t="shared" si="64"/>
        <v>0.5798913043478261</v>
      </c>
      <c r="AU61" s="93"/>
      <c r="AV61" s="186" t="s">
        <v>44</v>
      </c>
      <c r="AW61" s="187" t="s">
        <v>44</v>
      </c>
      <c r="AX61" s="122">
        <f t="shared" si="24"/>
        <v>9671.5500000000011</v>
      </c>
      <c r="AY61" s="101"/>
      <c r="AZ61" s="188" t="s">
        <v>44</v>
      </c>
      <c r="BA61" s="189" t="s">
        <v>44</v>
      </c>
      <c r="BB61" s="100">
        <f>9211*1.05</f>
        <v>9671.5500000000011</v>
      </c>
      <c r="BC61" s="126"/>
      <c r="BD61" s="186" t="s">
        <v>44</v>
      </c>
      <c r="BE61" s="187" t="s">
        <v>44</v>
      </c>
      <c r="BF61" s="100">
        <v>0</v>
      </c>
      <c r="BG61" s="97"/>
      <c r="BH61" s="186" t="s">
        <v>44</v>
      </c>
      <c r="BI61" s="187" t="s">
        <v>44</v>
      </c>
      <c r="BJ61" s="102">
        <f t="shared" si="25"/>
        <v>7.5535379568884728</v>
      </c>
      <c r="BK61" s="102"/>
      <c r="BL61" s="92">
        <v>1060.8</v>
      </c>
      <c r="BM61" s="93"/>
      <c r="BN61" s="822">
        <f t="shared" si="65"/>
        <v>0.48021729289271159</v>
      </c>
      <c r="BO61" s="93"/>
      <c r="BP61" s="186" t="s">
        <v>44</v>
      </c>
      <c r="BQ61" s="187" t="s">
        <v>44</v>
      </c>
      <c r="BR61" s="122">
        <f t="shared" si="27"/>
        <v>7318.5</v>
      </c>
      <c r="BS61" s="101"/>
      <c r="BT61" s="188" t="s">
        <v>44</v>
      </c>
      <c r="BU61" s="189" t="s">
        <v>44</v>
      </c>
      <c r="BV61" s="100">
        <f>6970*1.05</f>
        <v>7318.5</v>
      </c>
      <c r="BW61" s="126"/>
      <c r="BX61" s="186" t="s">
        <v>44</v>
      </c>
      <c r="BY61" s="187" t="s">
        <v>44</v>
      </c>
      <c r="BZ61" s="100">
        <v>0</v>
      </c>
      <c r="CA61" s="97"/>
      <c r="CB61" s="186" t="s">
        <v>44</v>
      </c>
      <c r="CC61" s="187" t="s">
        <v>44</v>
      </c>
      <c r="CD61" s="102">
        <f t="shared" si="42"/>
        <v>6.8990384615384617</v>
      </c>
      <c r="CE61" s="102"/>
      <c r="CF61" s="103">
        <f t="shared" si="18"/>
        <v>4592.7999999999993</v>
      </c>
      <c r="CG61" s="102"/>
      <c r="CH61" s="822">
        <f t="shared" si="39"/>
        <v>0.5242922374429223</v>
      </c>
      <c r="CI61" s="127"/>
      <c r="CJ61" s="188" t="s">
        <v>44</v>
      </c>
      <c r="CK61" s="189" t="s">
        <v>44</v>
      </c>
      <c r="CL61" s="100">
        <f t="shared" si="19"/>
        <v>35500.050000000003</v>
      </c>
      <c r="CM61" s="107"/>
      <c r="CN61" s="190" t="s">
        <v>44</v>
      </c>
      <c r="CO61" s="189" t="s">
        <v>44</v>
      </c>
      <c r="CP61" s="100">
        <f t="shared" si="20"/>
        <v>35500.050000000003</v>
      </c>
      <c r="CQ61" s="97"/>
      <c r="CR61" s="188" t="s">
        <v>44</v>
      </c>
      <c r="CS61" s="189" t="s">
        <v>44</v>
      </c>
      <c r="CT61" s="100">
        <f t="shared" si="21"/>
        <v>0</v>
      </c>
      <c r="CU61" s="97"/>
      <c r="CV61" s="188" t="s">
        <v>44</v>
      </c>
      <c r="CW61" s="189" t="s">
        <v>44</v>
      </c>
      <c r="CX61" s="100">
        <f t="shared" si="22"/>
        <v>7.7295005225570472</v>
      </c>
      <c r="CY61" s="174"/>
      <c r="CZ61" s="110">
        <f t="shared" si="57"/>
        <v>2251.6</v>
      </c>
      <c r="DA61" s="111">
        <f t="shared" si="57"/>
        <v>0</v>
      </c>
      <c r="DB61" s="176">
        <f t="shared" si="66"/>
        <v>51.844347225420215</v>
      </c>
      <c r="DC61" s="113">
        <f t="shared" si="66"/>
        <v>0</v>
      </c>
      <c r="DD61" s="100">
        <f t="shared" si="52"/>
        <v>18510</v>
      </c>
      <c r="DE61" s="102">
        <f t="shared" si="52"/>
        <v>0</v>
      </c>
      <c r="DF61" s="102" t="e">
        <f t="shared" si="52"/>
        <v>#VALUE!</v>
      </c>
      <c r="DG61" s="114" t="e">
        <f t="shared" si="49"/>
        <v>#VALUE!</v>
      </c>
      <c r="DH61" s="100">
        <f t="shared" si="49"/>
        <v>18510</v>
      </c>
      <c r="DI61" s="97">
        <f t="shared" si="49"/>
        <v>0</v>
      </c>
      <c r="DJ61" s="97" t="e">
        <f t="shared" si="49"/>
        <v>#VALUE!</v>
      </c>
      <c r="DK61" s="97" t="e">
        <f t="shared" si="49"/>
        <v>#VALUE!</v>
      </c>
      <c r="DL61" s="100">
        <f t="shared" si="49"/>
        <v>0</v>
      </c>
      <c r="DM61" s="97">
        <f t="shared" si="49"/>
        <v>0</v>
      </c>
      <c r="DN61" s="97" t="e">
        <f t="shared" si="49"/>
        <v>#VALUE!</v>
      </c>
      <c r="DO61" s="115" t="e">
        <f t="shared" si="49"/>
        <v>#VALUE!</v>
      </c>
      <c r="DP61" s="100">
        <f t="shared" si="50"/>
        <v>8</v>
      </c>
      <c r="DQ61" s="116" t="e">
        <f t="shared" si="50"/>
        <v>#DIV/0!</v>
      </c>
      <c r="DR61" s="117">
        <f t="shared" si="32"/>
        <v>2251.6</v>
      </c>
      <c r="DS61" s="118">
        <f t="shared" si="4"/>
        <v>100</v>
      </c>
      <c r="DT61" s="104" t="e">
        <f t="shared" si="5"/>
        <v>#VALUE!</v>
      </c>
      <c r="DU61" s="118" t="e">
        <f t="shared" si="6"/>
        <v>#VALUE!</v>
      </c>
      <c r="DV61" s="104">
        <f t="shared" si="7"/>
        <v>18510</v>
      </c>
      <c r="DW61" s="119">
        <f t="shared" si="8"/>
        <v>100</v>
      </c>
      <c r="DX61" s="120" t="e">
        <f t="shared" si="9"/>
        <v>#VALUE!</v>
      </c>
      <c r="DY61" s="118" t="e">
        <f t="shared" si="10"/>
        <v>#VALUE!</v>
      </c>
      <c r="DZ61" s="104">
        <f t="shared" si="11"/>
        <v>18510</v>
      </c>
      <c r="EA61" s="119">
        <f t="shared" si="12"/>
        <v>100</v>
      </c>
      <c r="EB61" s="120" t="e">
        <f t="shared" si="13"/>
        <v>#VALUE!</v>
      </c>
      <c r="EC61" s="118" t="e">
        <f t="shared" si="14"/>
        <v>#VALUE!</v>
      </c>
      <c r="ED61" s="104">
        <f t="shared" si="15"/>
        <v>0</v>
      </c>
      <c r="EE61" s="121">
        <v>0</v>
      </c>
      <c r="EF61" s="120" t="e">
        <f t="shared" si="16"/>
        <v>#VALUE!</v>
      </c>
      <c r="EG61" s="121" t="e">
        <f t="shared" si="17"/>
        <v>#VALUE!</v>
      </c>
      <c r="EH61" s="122" t="e">
        <f t="shared" si="33"/>
        <v>#DIV/0!</v>
      </c>
      <c r="EI61" s="123" t="e">
        <f t="shared" si="34"/>
        <v>#DIV/0!</v>
      </c>
    </row>
    <row r="62" spans="1:139" s="227" customFormat="1" ht="15.75" customHeight="1" thickBot="1" x14ac:dyDescent="0.35">
      <c r="A62" s="1071"/>
      <c r="B62" s="191" t="s">
        <v>59</v>
      </c>
      <c r="C62" s="192"/>
      <c r="D62" s="193">
        <v>10108.400000000001</v>
      </c>
      <c r="E62" s="194"/>
      <c r="F62" s="194">
        <v>92.934567753679829</v>
      </c>
      <c r="G62" s="195"/>
      <c r="H62" s="196" t="s">
        <v>44</v>
      </c>
      <c r="I62" s="197" t="s">
        <v>44</v>
      </c>
      <c r="J62" s="198">
        <v>1123223</v>
      </c>
      <c r="K62" s="199"/>
      <c r="L62" s="200" t="s">
        <v>44</v>
      </c>
      <c r="M62" s="201" t="s">
        <v>44</v>
      </c>
      <c r="N62" s="202">
        <v>1104592</v>
      </c>
      <c r="O62" s="203"/>
      <c r="P62" s="196" t="s">
        <v>44</v>
      </c>
      <c r="Q62" s="197" t="s">
        <v>44</v>
      </c>
      <c r="R62" s="202">
        <v>18631</v>
      </c>
      <c r="S62" s="203"/>
      <c r="T62" s="196" t="s">
        <v>44</v>
      </c>
      <c r="U62" s="204" t="s">
        <v>44</v>
      </c>
      <c r="V62" s="202">
        <v>111</v>
      </c>
      <c r="W62" s="205"/>
      <c r="X62" s="193">
        <v>10014.100000000002</v>
      </c>
      <c r="Y62" s="194"/>
      <c r="Z62" s="194">
        <v>91.228853319243143</v>
      </c>
      <c r="AA62" s="195"/>
      <c r="AB62" s="196" t="s">
        <v>44</v>
      </c>
      <c r="AC62" s="197" t="s">
        <v>44</v>
      </c>
      <c r="AD62" s="198">
        <v>1105625</v>
      </c>
      <c r="AE62" s="199"/>
      <c r="AF62" s="200" t="s">
        <v>44</v>
      </c>
      <c r="AG62" s="201" t="s">
        <v>44</v>
      </c>
      <c r="AH62" s="202">
        <v>1090542</v>
      </c>
      <c r="AI62" s="203"/>
      <c r="AJ62" s="196" t="s">
        <v>44</v>
      </c>
      <c r="AK62" s="197" t="s">
        <v>44</v>
      </c>
      <c r="AL62" s="202">
        <v>15083</v>
      </c>
      <c r="AM62" s="203"/>
      <c r="AN62" s="196" t="s">
        <v>44</v>
      </c>
      <c r="AO62" s="204" t="s">
        <v>44</v>
      </c>
      <c r="AP62" s="202">
        <v>110</v>
      </c>
      <c r="AQ62" s="205"/>
      <c r="AR62" s="193">
        <f>AR56+AR50+AR45+AR39+AR33+AR28+AR26+AR19+AR13</f>
        <v>9659.49</v>
      </c>
      <c r="AS62" s="194"/>
      <c r="AT62" s="824">
        <f>AR62/11040</f>
        <v>0.8749538043478261</v>
      </c>
      <c r="AU62" s="195"/>
      <c r="AV62" s="196" t="s">
        <v>44</v>
      </c>
      <c r="AW62" s="197" t="s">
        <v>44</v>
      </c>
      <c r="AX62" s="198">
        <f>AX56+AX50+AX45+AX39+AX33+AX28+AX26+AX19+AX13</f>
        <v>1086135.6600000001</v>
      </c>
      <c r="AY62" s="199"/>
      <c r="AZ62" s="200" t="s">
        <v>44</v>
      </c>
      <c r="BA62" s="201" t="s">
        <v>44</v>
      </c>
      <c r="BB62" s="202">
        <f>BB56+BB50+BB45+BB39+BB33+BB28+BB26+BB19+BB13</f>
        <v>1069449.6600000001</v>
      </c>
      <c r="BC62" s="203"/>
      <c r="BD62" s="196" t="s">
        <v>44</v>
      </c>
      <c r="BE62" s="197" t="s">
        <v>44</v>
      </c>
      <c r="BF62" s="202">
        <f>BF56+BF50+BF45+BF39+BF33+BF28+BF26+BF19+BF13</f>
        <v>16686</v>
      </c>
      <c r="BG62" s="203">
        <f>BG56+BG50+BG45+BG39+BG33+BG28+BG26+BG19+BG13</f>
        <v>0</v>
      </c>
      <c r="BH62" s="196" t="s">
        <v>44</v>
      </c>
      <c r="BI62" s="204" t="s">
        <v>44</v>
      </c>
      <c r="BJ62" s="202">
        <f t="shared" si="25"/>
        <v>112.44234012354691</v>
      </c>
      <c r="BK62" s="205"/>
      <c r="BL62" s="193">
        <f>BL56+BL50+BL45+BL39+BL33+BL28+BL26+BL19+BL13</f>
        <v>10345.800000000001</v>
      </c>
      <c r="BM62" s="194"/>
      <c r="BN62" s="824">
        <f>BL62/11156.9</f>
        <v>0.92730059425109135</v>
      </c>
      <c r="BO62" s="195"/>
      <c r="BP62" s="196" t="s">
        <v>44</v>
      </c>
      <c r="BQ62" s="197" t="s">
        <v>44</v>
      </c>
      <c r="BR62" s="198">
        <f>BR56+BR50+BR45+BR39+BR33+BR28+BR26+BR19+BR13</f>
        <v>1224707.72</v>
      </c>
      <c r="BS62" s="199"/>
      <c r="BT62" s="200" t="s">
        <v>44</v>
      </c>
      <c r="BU62" s="201" t="s">
        <v>44</v>
      </c>
      <c r="BV62" s="202">
        <f>BV56+BV50+BV45+BV39+BV33+BV28+BV26+BV19+BV13</f>
        <v>1205314.7200000002</v>
      </c>
      <c r="BW62" s="203"/>
      <c r="BX62" s="196" t="s">
        <v>44</v>
      </c>
      <c r="BY62" s="197" t="s">
        <v>44</v>
      </c>
      <c r="BZ62" s="202">
        <f>BZ56+BZ50+BZ45+BZ39+BZ33+BZ28+BZ26+BZ19+BZ13</f>
        <v>19393</v>
      </c>
      <c r="CA62" s="203">
        <f>CA56+CA50+CA45+CA39+CA33+CA28+CA26+CA19+CA13</f>
        <v>0</v>
      </c>
      <c r="CB62" s="196" t="s">
        <v>44</v>
      </c>
      <c r="CC62" s="204" t="s">
        <v>44</v>
      </c>
      <c r="CD62" s="202">
        <f t="shared" si="42"/>
        <v>118.37728546849928</v>
      </c>
      <c r="CE62" s="205"/>
      <c r="CF62" s="206">
        <f t="shared" si="18"/>
        <v>40127.790000000008</v>
      </c>
      <c r="CG62" s="199"/>
      <c r="CH62" s="824">
        <f>CF62/44102.6</f>
        <v>0.90987356754477078</v>
      </c>
      <c r="CI62" s="207"/>
      <c r="CJ62" s="200" t="s">
        <v>44</v>
      </c>
      <c r="CK62" s="201" t="s">
        <v>44</v>
      </c>
      <c r="CL62" s="208">
        <f t="shared" si="19"/>
        <v>4539691.38</v>
      </c>
      <c r="CM62" s="209"/>
      <c r="CN62" s="210" t="s">
        <v>44</v>
      </c>
      <c r="CO62" s="201" t="s">
        <v>44</v>
      </c>
      <c r="CP62" s="208">
        <f t="shared" si="20"/>
        <v>4469898.3800000008</v>
      </c>
      <c r="CQ62" s="199"/>
      <c r="CR62" s="200" t="s">
        <v>44</v>
      </c>
      <c r="CS62" s="201" t="s">
        <v>44</v>
      </c>
      <c r="CT62" s="208">
        <f t="shared" si="21"/>
        <v>69793</v>
      </c>
      <c r="CU62" s="199"/>
      <c r="CV62" s="200" t="s">
        <v>44</v>
      </c>
      <c r="CW62" s="201" t="s">
        <v>44</v>
      </c>
      <c r="CX62" s="208">
        <f t="shared" si="22"/>
        <v>113.13085968601807</v>
      </c>
      <c r="CY62" s="211"/>
      <c r="CZ62" s="212">
        <f t="shared" si="57"/>
        <v>20122.500000000004</v>
      </c>
      <c r="DA62" s="213">
        <f t="shared" si="57"/>
        <v>0</v>
      </c>
      <c r="DB62" s="214" t="e">
        <f>(CZ62/#REF!)*100</f>
        <v>#REF!</v>
      </c>
      <c r="DC62" s="215" t="e">
        <f>(DA62/#REF!)*100</f>
        <v>#REF!</v>
      </c>
      <c r="DD62" s="216">
        <f t="shared" si="52"/>
        <v>2228848</v>
      </c>
      <c r="DE62" s="205">
        <f t="shared" si="52"/>
        <v>0</v>
      </c>
      <c r="DF62" s="205" t="e">
        <f t="shared" si="52"/>
        <v>#VALUE!</v>
      </c>
      <c r="DG62" s="217" t="e">
        <f t="shared" si="49"/>
        <v>#VALUE!</v>
      </c>
      <c r="DH62" s="202">
        <f t="shared" si="49"/>
        <v>2195134</v>
      </c>
      <c r="DI62" s="203">
        <f t="shared" si="49"/>
        <v>0</v>
      </c>
      <c r="DJ62" s="203" t="e">
        <f t="shared" ref="DJ62:DO62" si="67">P62+AJ62</f>
        <v>#VALUE!</v>
      </c>
      <c r="DK62" s="203" t="e">
        <f t="shared" si="67"/>
        <v>#VALUE!</v>
      </c>
      <c r="DL62" s="202">
        <f t="shared" si="67"/>
        <v>33714</v>
      </c>
      <c r="DM62" s="203">
        <f t="shared" si="67"/>
        <v>0</v>
      </c>
      <c r="DN62" s="203" t="e">
        <f t="shared" si="67"/>
        <v>#VALUE!</v>
      </c>
      <c r="DO62" s="218" t="e">
        <f t="shared" si="67"/>
        <v>#VALUE!</v>
      </c>
      <c r="DP62" s="202">
        <f t="shared" si="50"/>
        <v>111</v>
      </c>
      <c r="DQ62" s="219" t="e">
        <f t="shared" si="50"/>
        <v>#DIV/0!</v>
      </c>
      <c r="DR62" s="220">
        <f t="shared" si="32"/>
        <v>20122.500000000004</v>
      </c>
      <c r="DS62" s="221">
        <f t="shared" si="4"/>
        <v>100</v>
      </c>
      <c r="DT62" s="222" t="e">
        <f t="shared" si="5"/>
        <v>#VALUE!</v>
      </c>
      <c r="DU62" s="221" t="e">
        <f t="shared" si="6"/>
        <v>#VALUE!</v>
      </c>
      <c r="DV62" s="222">
        <f t="shared" si="7"/>
        <v>2228848</v>
      </c>
      <c r="DW62" s="223">
        <f t="shared" si="8"/>
        <v>100</v>
      </c>
      <c r="DX62" s="203" t="e">
        <f t="shared" si="9"/>
        <v>#VALUE!</v>
      </c>
      <c r="DY62" s="221" t="e">
        <f t="shared" si="10"/>
        <v>#VALUE!</v>
      </c>
      <c r="DZ62" s="222">
        <f t="shared" si="11"/>
        <v>2195134</v>
      </c>
      <c r="EA62" s="223">
        <f t="shared" si="12"/>
        <v>100</v>
      </c>
      <c r="EB62" s="203" t="e">
        <f t="shared" si="13"/>
        <v>#VALUE!</v>
      </c>
      <c r="EC62" s="221" t="e">
        <f t="shared" si="14"/>
        <v>#VALUE!</v>
      </c>
      <c r="ED62" s="222">
        <f t="shared" si="15"/>
        <v>33714</v>
      </c>
      <c r="EE62" s="224">
        <f t="shared" si="53"/>
        <v>100</v>
      </c>
      <c r="EF62" s="203" t="e">
        <f t="shared" si="16"/>
        <v>#VALUE!</v>
      </c>
      <c r="EG62" s="221" t="e">
        <f t="shared" si="17"/>
        <v>#VALUE!</v>
      </c>
      <c r="EH62" s="225" t="e">
        <f t="shared" si="33"/>
        <v>#DIV/0!</v>
      </c>
      <c r="EI62" s="226" t="e">
        <f t="shared" si="34"/>
        <v>#DIV/0!</v>
      </c>
    </row>
    <row r="63" spans="1:139" s="251" customFormat="1" ht="17.25" customHeight="1" x14ac:dyDescent="0.3">
      <c r="A63" s="1069" t="s">
        <v>60</v>
      </c>
      <c r="B63" s="228" t="s">
        <v>61</v>
      </c>
      <c r="C63" s="229"/>
      <c r="D63" s="230" t="s">
        <v>44</v>
      </c>
      <c r="E63" s="231"/>
      <c r="F63" s="231" t="s">
        <v>44</v>
      </c>
      <c r="G63" s="231"/>
      <c r="H63" s="232" t="s">
        <v>44</v>
      </c>
      <c r="I63" s="233" t="s">
        <v>44</v>
      </c>
      <c r="J63" s="232" t="s">
        <v>44</v>
      </c>
      <c r="K63" s="234"/>
      <c r="L63" s="235" t="s">
        <v>44</v>
      </c>
      <c r="M63" s="236" t="s">
        <v>44</v>
      </c>
      <c r="N63" s="237" t="s">
        <v>44</v>
      </c>
      <c r="O63" s="235"/>
      <c r="P63" s="232" t="s">
        <v>44</v>
      </c>
      <c r="Q63" s="233" t="s">
        <v>44</v>
      </c>
      <c r="R63" s="235" t="s">
        <v>44</v>
      </c>
      <c r="S63" s="235"/>
      <c r="T63" s="232" t="s">
        <v>44</v>
      </c>
      <c r="U63" s="233" t="s">
        <v>44</v>
      </c>
      <c r="V63" s="237" t="s">
        <v>44</v>
      </c>
      <c r="W63" s="238"/>
      <c r="X63" s="230" t="s">
        <v>44</v>
      </c>
      <c r="Y63" s="231"/>
      <c r="Z63" s="231" t="s">
        <v>44</v>
      </c>
      <c r="AA63" s="231"/>
      <c r="AB63" s="232" t="s">
        <v>44</v>
      </c>
      <c r="AC63" s="233" t="s">
        <v>44</v>
      </c>
      <c r="AD63" s="232" t="s">
        <v>44</v>
      </c>
      <c r="AE63" s="234"/>
      <c r="AF63" s="235" t="s">
        <v>44</v>
      </c>
      <c r="AG63" s="236" t="s">
        <v>44</v>
      </c>
      <c r="AH63" s="237" t="s">
        <v>44</v>
      </c>
      <c r="AI63" s="235"/>
      <c r="AJ63" s="232" t="s">
        <v>44</v>
      </c>
      <c r="AK63" s="233" t="s">
        <v>44</v>
      </c>
      <c r="AL63" s="235" t="s">
        <v>44</v>
      </c>
      <c r="AM63" s="235"/>
      <c r="AN63" s="232" t="s">
        <v>44</v>
      </c>
      <c r="AO63" s="233" t="s">
        <v>44</v>
      </c>
      <c r="AP63" s="237" t="s">
        <v>44</v>
      </c>
      <c r="AQ63" s="238"/>
      <c r="AR63" s="230" t="s">
        <v>44</v>
      </c>
      <c r="AS63" s="231"/>
      <c r="AT63" s="231" t="s">
        <v>44</v>
      </c>
      <c r="AU63" s="231"/>
      <c r="AV63" s="232" t="s">
        <v>44</v>
      </c>
      <c r="AW63" s="233" t="s">
        <v>44</v>
      </c>
      <c r="AX63" s="232" t="s">
        <v>44</v>
      </c>
      <c r="AY63" s="234"/>
      <c r="AZ63" s="235" t="s">
        <v>44</v>
      </c>
      <c r="BA63" s="236" t="s">
        <v>44</v>
      </c>
      <c r="BB63" s="237" t="s">
        <v>44</v>
      </c>
      <c r="BC63" s="235"/>
      <c r="BD63" s="232" t="s">
        <v>44</v>
      </c>
      <c r="BE63" s="233" t="s">
        <v>44</v>
      </c>
      <c r="BF63" s="235" t="s">
        <v>44</v>
      </c>
      <c r="BG63" s="235"/>
      <c r="BH63" s="232" t="s">
        <v>44</v>
      </c>
      <c r="BI63" s="233" t="s">
        <v>44</v>
      </c>
      <c r="BJ63" s="237" t="s">
        <v>44</v>
      </c>
      <c r="BK63" s="238"/>
      <c r="BL63" s="230" t="s">
        <v>44</v>
      </c>
      <c r="BM63" s="231"/>
      <c r="BN63" s="231" t="s">
        <v>44</v>
      </c>
      <c r="BO63" s="231"/>
      <c r="BP63" s="232" t="s">
        <v>44</v>
      </c>
      <c r="BQ63" s="233" t="s">
        <v>44</v>
      </c>
      <c r="BR63" s="232" t="s">
        <v>44</v>
      </c>
      <c r="BS63" s="234"/>
      <c r="BT63" s="235" t="s">
        <v>44</v>
      </c>
      <c r="BU63" s="236" t="s">
        <v>44</v>
      </c>
      <c r="BV63" s="237" t="s">
        <v>44</v>
      </c>
      <c r="BW63" s="235"/>
      <c r="BX63" s="232" t="s">
        <v>44</v>
      </c>
      <c r="BY63" s="233" t="s">
        <v>44</v>
      </c>
      <c r="BZ63" s="235" t="s">
        <v>44</v>
      </c>
      <c r="CA63" s="235"/>
      <c r="CB63" s="232" t="s">
        <v>44</v>
      </c>
      <c r="CC63" s="233" t="s">
        <v>44</v>
      </c>
      <c r="CD63" s="237" t="s">
        <v>44</v>
      </c>
      <c r="CE63" s="238"/>
      <c r="CF63" s="230" t="s">
        <v>44</v>
      </c>
      <c r="CG63" s="239"/>
      <c r="CH63" s="231" t="s">
        <v>44</v>
      </c>
      <c r="CI63" s="231"/>
      <c r="CJ63" s="235" t="s">
        <v>44</v>
      </c>
      <c r="CK63" s="236" t="s">
        <v>44</v>
      </c>
      <c r="CL63" s="232" t="s">
        <v>44</v>
      </c>
      <c r="CM63" s="240"/>
      <c r="CN63" s="234" t="s">
        <v>44</v>
      </c>
      <c r="CO63" s="236" t="s">
        <v>44</v>
      </c>
      <c r="CP63" s="237" t="s">
        <v>44</v>
      </c>
      <c r="CQ63" s="235"/>
      <c r="CR63" s="235" t="s">
        <v>44</v>
      </c>
      <c r="CS63" s="236" t="s">
        <v>44</v>
      </c>
      <c r="CT63" s="235" t="s">
        <v>44</v>
      </c>
      <c r="CU63" s="235"/>
      <c r="CV63" s="235" t="s">
        <v>44</v>
      </c>
      <c r="CW63" s="236" t="s">
        <v>44</v>
      </c>
      <c r="CX63" s="232" t="s">
        <v>44</v>
      </c>
      <c r="CY63" s="241"/>
      <c r="CZ63" s="242" t="s">
        <v>44</v>
      </c>
      <c r="DA63" s="240" t="s">
        <v>44</v>
      </c>
      <c r="DB63" s="234" t="s">
        <v>44</v>
      </c>
      <c r="DC63" s="240" t="s">
        <v>44</v>
      </c>
      <c r="DD63" s="237" t="s">
        <v>44</v>
      </c>
      <c r="DE63" s="234" t="s">
        <v>44</v>
      </c>
      <c r="DF63" s="234" t="s">
        <v>44</v>
      </c>
      <c r="DG63" s="234" t="s">
        <v>44</v>
      </c>
      <c r="DH63" s="243" t="s">
        <v>44</v>
      </c>
      <c r="DI63" s="243" t="s">
        <v>44</v>
      </c>
      <c r="DJ63" s="243" t="s">
        <v>44</v>
      </c>
      <c r="DK63" s="243" t="s">
        <v>44</v>
      </c>
      <c r="DL63" s="243" t="s">
        <v>44</v>
      </c>
      <c r="DM63" s="243" t="s">
        <v>44</v>
      </c>
      <c r="DN63" s="243" t="s">
        <v>44</v>
      </c>
      <c r="DO63" s="244" t="s">
        <v>44</v>
      </c>
      <c r="DP63" s="245" t="s">
        <v>44</v>
      </c>
      <c r="DQ63" s="246" t="s">
        <v>44</v>
      </c>
      <c r="DR63" s="247" t="s">
        <v>44</v>
      </c>
      <c r="DS63" s="231" t="s">
        <v>44</v>
      </c>
      <c r="DT63" s="231" t="s">
        <v>44</v>
      </c>
      <c r="DU63" s="231" t="s">
        <v>44</v>
      </c>
      <c r="DV63" s="231" t="s">
        <v>44</v>
      </c>
      <c r="DW63" s="231" t="s">
        <v>44</v>
      </c>
      <c r="DX63" s="231" t="s">
        <v>44</v>
      </c>
      <c r="DY63" s="231" t="s">
        <v>44</v>
      </c>
      <c r="DZ63" s="231" t="s">
        <v>44</v>
      </c>
      <c r="EA63" s="231" t="s">
        <v>44</v>
      </c>
      <c r="EB63" s="231" t="s">
        <v>44</v>
      </c>
      <c r="EC63" s="231" t="s">
        <v>44</v>
      </c>
      <c r="ED63" s="231" t="s">
        <v>44</v>
      </c>
      <c r="EE63" s="248" t="s">
        <v>44</v>
      </c>
      <c r="EF63" s="231" t="s">
        <v>44</v>
      </c>
      <c r="EG63" s="249" t="s">
        <v>44</v>
      </c>
      <c r="EH63" s="249" t="s">
        <v>44</v>
      </c>
      <c r="EI63" s="250" t="s">
        <v>44</v>
      </c>
    </row>
    <row r="64" spans="1:139" s="283" customFormat="1" ht="15.75" customHeight="1" thickBot="1" x14ac:dyDescent="0.35">
      <c r="A64" s="1070"/>
      <c r="B64" s="252" t="s">
        <v>62</v>
      </c>
      <c r="C64" s="253" t="s">
        <v>63</v>
      </c>
      <c r="D64" s="254">
        <v>70</v>
      </c>
      <c r="E64" s="255"/>
      <c r="F64" s="255">
        <v>3.2422417786012043</v>
      </c>
      <c r="G64" s="255"/>
      <c r="H64" s="256" t="s">
        <v>44</v>
      </c>
      <c r="I64" s="257" t="s">
        <v>44</v>
      </c>
      <c r="J64" s="258">
        <v>87.540528022232522</v>
      </c>
      <c r="K64" s="259"/>
      <c r="L64" s="260" t="s">
        <v>44</v>
      </c>
      <c r="M64" s="261" t="s">
        <v>44</v>
      </c>
      <c r="N64" s="262">
        <v>87.540528022232522</v>
      </c>
      <c r="O64" s="263"/>
      <c r="P64" s="256" t="s">
        <v>44</v>
      </c>
      <c r="Q64" s="257" t="s">
        <v>44</v>
      </c>
      <c r="R64" s="264">
        <v>0</v>
      </c>
      <c r="S64" s="265"/>
      <c r="T64" s="256" t="s">
        <v>44</v>
      </c>
      <c r="U64" s="257" t="s">
        <v>44</v>
      </c>
      <c r="V64" s="266">
        <v>1</v>
      </c>
      <c r="W64" s="266"/>
      <c r="X64" s="254">
        <v>45</v>
      </c>
      <c r="Y64" s="255"/>
      <c r="Z64" s="255">
        <v>2.0604395604395602</v>
      </c>
      <c r="AA64" s="255"/>
      <c r="AB64" s="256" t="s">
        <v>44</v>
      </c>
      <c r="AC64" s="257" t="s">
        <v>44</v>
      </c>
      <c r="AD64" s="258">
        <v>56.276053728578049</v>
      </c>
      <c r="AE64" s="259"/>
      <c r="AF64" s="260" t="s">
        <v>44</v>
      </c>
      <c r="AG64" s="261" t="s">
        <v>44</v>
      </c>
      <c r="AH64" s="262">
        <v>56.276053728578049</v>
      </c>
      <c r="AI64" s="263"/>
      <c r="AJ64" s="256" t="s">
        <v>44</v>
      </c>
      <c r="AK64" s="257" t="s">
        <v>44</v>
      </c>
      <c r="AL64" s="264">
        <v>0</v>
      </c>
      <c r="AM64" s="265"/>
      <c r="AN64" s="256" t="s">
        <v>44</v>
      </c>
      <c r="AO64" s="257" t="s">
        <v>44</v>
      </c>
      <c r="AP64" s="266">
        <v>1</v>
      </c>
      <c r="AQ64" s="266"/>
      <c r="AR64" s="254">
        <v>40</v>
      </c>
      <c r="AS64" s="255"/>
      <c r="AT64" s="1054">
        <f>AR64/40</f>
        <v>1</v>
      </c>
      <c r="AU64" s="255"/>
      <c r="AV64" s="245" t="s">
        <v>44</v>
      </c>
      <c r="AW64" s="846" t="s">
        <v>44</v>
      </c>
      <c r="AX64" s="269">
        <f t="shared" ref="AX64:AX92" si="68">BB64+BF64</f>
        <v>50.023158869847151</v>
      </c>
      <c r="AY64" s="271"/>
      <c r="AZ64" s="1055" t="s">
        <v>44</v>
      </c>
      <c r="BA64" s="1056" t="s">
        <v>44</v>
      </c>
      <c r="BB64" s="512">
        <v>50.023158869847151</v>
      </c>
      <c r="BC64" s="263"/>
      <c r="BD64" s="245" t="s">
        <v>44</v>
      </c>
      <c r="BE64" s="846" t="s">
        <v>44</v>
      </c>
      <c r="BF64" s="266">
        <v>0</v>
      </c>
      <c r="BG64" s="263"/>
      <c r="BH64" s="245" t="s">
        <v>44</v>
      </c>
      <c r="BI64" s="846" t="s">
        <v>44</v>
      </c>
      <c r="BJ64" s="266">
        <f>AX64/AR64</f>
        <v>1.2505789717461788</v>
      </c>
      <c r="BK64" s="266"/>
      <c r="BL64" s="393">
        <v>100</v>
      </c>
      <c r="BM64" s="255"/>
      <c r="BN64" s="1054">
        <f>BL64/100</f>
        <v>1</v>
      </c>
      <c r="BO64" s="255"/>
      <c r="BP64" s="256" t="s">
        <v>44</v>
      </c>
      <c r="BQ64" s="257" t="s">
        <v>44</v>
      </c>
      <c r="BR64" s="258">
        <f t="shared" ref="BR64:BR92" si="69">BV64+BZ64</f>
        <v>125</v>
      </c>
      <c r="BS64" s="259"/>
      <c r="BT64" s="260" t="s">
        <v>44</v>
      </c>
      <c r="BU64" s="261" t="s">
        <v>44</v>
      </c>
      <c r="BV64" s="262">
        <v>125</v>
      </c>
      <c r="BW64" s="263"/>
      <c r="BX64" s="256" t="s">
        <v>44</v>
      </c>
      <c r="BY64" s="257" t="s">
        <v>44</v>
      </c>
      <c r="BZ64" s="264">
        <v>0</v>
      </c>
      <c r="CA64" s="265"/>
      <c r="CB64" s="256" t="s">
        <v>44</v>
      </c>
      <c r="CC64" s="257" t="s">
        <v>44</v>
      </c>
      <c r="CD64" s="266">
        <f>BR64/BL64</f>
        <v>1.25</v>
      </c>
      <c r="CE64" s="266"/>
      <c r="CF64" s="267">
        <f>BL64+AR64+X64+D64</f>
        <v>255</v>
      </c>
      <c r="CG64" s="266"/>
      <c r="CH64" s="1054">
        <f>CF64/255</f>
        <v>1</v>
      </c>
      <c r="CI64" s="268"/>
      <c r="CJ64" s="260" t="s">
        <v>44</v>
      </c>
      <c r="CK64" s="261" t="s">
        <v>44</v>
      </c>
      <c r="CL64" s="269">
        <f t="shared" ref="CL64:CN92" si="70">BR64+AX64+AD64+J64</f>
        <v>318.83974062065772</v>
      </c>
      <c r="CM64" s="270"/>
      <c r="CN64" s="260" t="s">
        <v>44</v>
      </c>
      <c r="CO64" s="261" t="s">
        <v>44</v>
      </c>
      <c r="CP64" s="269">
        <f t="shared" ref="CP64:CP92" si="71">BV64+BB64+AH64+N64</f>
        <v>318.83974062065772</v>
      </c>
      <c r="CQ64" s="271"/>
      <c r="CR64" s="260" t="s">
        <v>44</v>
      </c>
      <c r="CS64" s="261" t="s">
        <v>44</v>
      </c>
      <c r="CT64" s="269">
        <f t="shared" ref="CT64:CT92" si="72">BZ64+BF64+AL64+R64</f>
        <v>0</v>
      </c>
      <c r="CU64" s="271"/>
      <c r="CV64" s="260" t="s">
        <v>44</v>
      </c>
      <c r="CW64" s="261" t="s">
        <v>44</v>
      </c>
      <c r="CX64" s="269">
        <f>CL64/CF64</f>
        <v>1.2503519240025793</v>
      </c>
      <c r="CY64" s="272"/>
      <c r="CZ64" s="273">
        <f>D64+X64</f>
        <v>115</v>
      </c>
      <c r="DA64" s="274">
        <f>E64+Y64</f>
        <v>0</v>
      </c>
      <c r="DB64" s="275">
        <f>(CZ64/4343)*100</f>
        <v>2.6479392125259036</v>
      </c>
      <c r="DC64" s="276">
        <f>(DA64/4343)*100</f>
        <v>0</v>
      </c>
      <c r="DD64" s="269">
        <f t="shared" ref="DD64:DO65" si="73">J64+AD64</f>
        <v>143.81658175081057</v>
      </c>
      <c r="DE64" s="277">
        <f t="shared" si="73"/>
        <v>0</v>
      </c>
      <c r="DF64" s="277" t="e">
        <f t="shared" si="73"/>
        <v>#VALUE!</v>
      </c>
      <c r="DG64" s="278" t="e">
        <f t="shared" si="73"/>
        <v>#VALUE!</v>
      </c>
      <c r="DH64" s="269">
        <f t="shared" si="73"/>
        <v>143.81658175081057</v>
      </c>
      <c r="DI64" s="271">
        <f t="shared" si="73"/>
        <v>0</v>
      </c>
      <c r="DJ64" s="271" t="e">
        <f t="shared" si="73"/>
        <v>#VALUE!</v>
      </c>
      <c r="DK64" s="271" t="e">
        <f t="shared" si="73"/>
        <v>#VALUE!</v>
      </c>
      <c r="DL64" s="269">
        <f t="shared" si="73"/>
        <v>0</v>
      </c>
      <c r="DM64" s="271">
        <f t="shared" si="73"/>
        <v>0</v>
      </c>
      <c r="DN64" s="271" t="e">
        <f t="shared" si="73"/>
        <v>#VALUE!</v>
      </c>
      <c r="DO64" s="270" t="e">
        <f t="shared" si="73"/>
        <v>#VALUE!</v>
      </c>
      <c r="DP64" s="100">
        <f t="shared" si="36"/>
        <v>1.2505789717461788</v>
      </c>
      <c r="DQ64" s="116" t="e">
        <f t="shared" si="36"/>
        <v>#DIV/0!</v>
      </c>
      <c r="DR64" s="279">
        <f t="shared" si="32"/>
        <v>115</v>
      </c>
      <c r="DS64" s="280">
        <f>ABS((DR64/CZ64)*100)</f>
        <v>100</v>
      </c>
      <c r="DT64" s="277" t="e">
        <f>(DD64+DF64)-(DE64+DG64)</f>
        <v>#VALUE!</v>
      </c>
      <c r="DU64" s="280" t="e">
        <f>ABS((DT64/(DD64+DF64)*100))</f>
        <v>#VALUE!</v>
      </c>
      <c r="DV64" s="277">
        <f>DD64-DE64</f>
        <v>143.81658175081057</v>
      </c>
      <c r="DW64" s="275">
        <f>ABS((DV64/DD64)*100)</f>
        <v>100</v>
      </c>
      <c r="DX64" s="271" t="e">
        <f>DF64-DG64</f>
        <v>#VALUE!</v>
      </c>
      <c r="DY64" s="280">
        <v>0</v>
      </c>
      <c r="DZ64" s="277">
        <f>DH64-DI64</f>
        <v>143.81658175081057</v>
      </c>
      <c r="EA64" s="275">
        <f>ABS((DZ64/DH64)*100)</f>
        <v>100</v>
      </c>
      <c r="EB64" s="271" t="e">
        <f>DJ64-DK64</f>
        <v>#VALUE!</v>
      </c>
      <c r="EC64" s="280">
        <v>0</v>
      </c>
      <c r="ED64" s="277">
        <f>DL64-DM64</f>
        <v>0</v>
      </c>
      <c r="EE64" s="276">
        <v>0</v>
      </c>
      <c r="EF64" s="271" t="e">
        <f>DN64-DO64</f>
        <v>#VALUE!</v>
      </c>
      <c r="EG64" s="280">
        <v>0</v>
      </c>
      <c r="EH64" s="281" t="e">
        <f>DP64-DQ64</f>
        <v>#DIV/0!</v>
      </c>
      <c r="EI64" s="282" t="e">
        <f t="shared" si="34"/>
        <v>#DIV/0!</v>
      </c>
    </row>
    <row r="65" spans="1:139" s="317" customFormat="1" ht="15.75" customHeight="1" thickBot="1" x14ac:dyDescent="0.35">
      <c r="A65" s="1071"/>
      <c r="B65" s="284" t="s">
        <v>64</v>
      </c>
      <c r="C65" s="285"/>
      <c r="D65" s="286">
        <v>10178.400000000001</v>
      </c>
      <c r="E65" s="287"/>
      <c r="F65" s="288">
        <v>93.578133475530734</v>
      </c>
      <c r="G65" s="288"/>
      <c r="H65" s="289" t="s">
        <v>44</v>
      </c>
      <c r="I65" s="290" t="s">
        <v>44</v>
      </c>
      <c r="J65" s="291">
        <v>1123310.5405280222</v>
      </c>
      <c r="K65" s="292"/>
      <c r="L65" s="293" t="s">
        <v>44</v>
      </c>
      <c r="M65" s="290" t="s">
        <v>44</v>
      </c>
      <c r="N65" s="291">
        <v>1104679.5405280222</v>
      </c>
      <c r="O65" s="294"/>
      <c r="P65" s="289" t="s">
        <v>44</v>
      </c>
      <c r="Q65" s="290" t="s">
        <v>44</v>
      </c>
      <c r="R65" s="291">
        <v>18631</v>
      </c>
      <c r="S65" s="294"/>
      <c r="T65" s="289" t="s">
        <v>44</v>
      </c>
      <c r="U65" s="290" t="s">
        <v>44</v>
      </c>
      <c r="V65" s="295">
        <v>110</v>
      </c>
      <c r="W65" s="296"/>
      <c r="X65" s="286">
        <v>10059.100000000002</v>
      </c>
      <c r="Y65" s="287"/>
      <c r="Z65" s="288">
        <v>91.638805127130624</v>
      </c>
      <c r="AA65" s="288"/>
      <c r="AB65" s="289" t="s">
        <v>44</v>
      </c>
      <c r="AC65" s="290" t="s">
        <v>44</v>
      </c>
      <c r="AD65" s="291">
        <v>1105681.2760537285</v>
      </c>
      <c r="AE65" s="292"/>
      <c r="AF65" s="293" t="s">
        <v>44</v>
      </c>
      <c r="AG65" s="290" t="s">
        <v>44</v>
      </c>
      <c r="AH65" s="291">
        <v>1090598.2760537285</v>
      </c>
      <c r="AI65" s="294"/>
      <c r="AJ65" s="289" t="s">
        <v>44</v>
      </c>
      <c r="AK65" s="290" t="s">
        <v>44</v>
      </c>
      <c r="AL65" s="291">
        <v>15083</v>
      </c>
      <c r="AM65" s="294"/>
      <c r="AN65" s="289" t="s">
        <v>44</v>
      </c>
      <c r="AO65" s="290" t="s">
        <v>44</v>
      </c>
      <c r="AP65" s="295">
        <v>110</v>
      </c>
      <c r="AQ65" s="296"/>
      <c r="AR65" s="286">
        <f>AR64+AR62</f>
        <v>9699.49</v>
      </c>
      <c r="AS65" s="287"/>
      <c r="AT65" s="825">
        <f>AR65/11040</f>
        <v>0.87857699275362322</v>
      </c>
      <c r="AU65" s="288"/>
      <c r="AV65" s="289" t="s">
        <v>44</v>
      </c>
      <c r="AW65" s="290" t="s">
        <v>44</v>
      </c>
      <c r="AX65" s="291">
        <f t="shared" si="68"/>
        <v>1086185.6831588701</v>
      </c>
      <c r="AY65" s="292"/>
      <c r="AZ65" s="293" t="s">
        <v>44</v>
      </c>
      <c r="BA65" s="290" t="s">
        <v>44</v>
      </c>
      <c r="BB65" s="291">
        <f>BB64+BB62</f>
        <v>1069499.6831588701</v>
      </c>
      <c r="BC65" s="294"/>
      <c r="BD65" s="289" t="s">
        <v>44</v>
      </c>
      <c r="BE65" s="290" t="s">
        <v>44</v>
      </c>
      <c r="BF65" s="291">
        <f>BF64+BF62</f>
        <v>16686</v>
      </c>
      <c r="BG65" s="294"/>
      <c r="BH65" s="289" t="s">
        <v>44</v>
      </c>
      <c r="BI65" s="290" t="s">
        <v>44</v>
      </c>
      <c r="BJ65" s="295">
        <f>BJ64+BJ62</f>
        <v>113.69291909529309</v>
      </c>
      <c r="BK65" s="296"/>
      <c r="BL65" s="286">
        <f>BL64+BL62</f>
        <v>10445.800000000001</v>
      </c>
      <c r="BM65" s="287"/>
      <c r="BN65" s="825">
        <f>BL65/11156.9</f>
        <v>0.93626365746757623</v>
      </c>
      <c r="BO65" s="288"/>
      <c r="BP65" s="289" t="s">
        <v>44</v>
      </c>
      <c r="BQ65" s="290" t="s">
        <v>44</v>
      </c>
      <c r="BR65" s="291">
        <f t="shared" si="69"/>
        <v>1224832.7200000002</v>
      </c>
      <c r="BS65" s="292"/>
      <c r="BT65" s="293" t="s">
        <v>44</v>
      </c>
      <c r="BU65" s="290" t="s">
        <v>44</v>
      </c>
      <c r="BV65" s="291">
        <f>BV64+BV62</f>
        <v>1205439.7200000002</v>
      </c>
      <c r="BW65" s="294"/>
      <c r="BX65" s="289" t="s">
        <v>44</v>
      </c>
      <c r="BY65" s="290" t="s">
        <v>44</v>
      </c>
      <c r="BZ65" s="291">
        <f>BZ64+BZ62</f>
        <v>19393</v>
      </c>
      <c r="CA65" s="294"/>
      <c r="CB65" s="289" t="s">
        <v>44</v>
      </c>
      <c r="CC65" s="290" t="s">
        <v>44</v>
      </c>
      <c r="CD65" s="295">
        <f>CD64+CD62</f>
        <v>119.62728546849928</v>
      </c>
      <c r="CE65" s="296"/>
      <c r="CF65" s="297">
        <f>BL65+AR65+X65+D65</f>
        <v>40382.790000000008</v>
      </c>
      <c r="CG65" s="292"/>
      <c r="CH65" s="839">
        <f>CF65/44102.6</f>
        <v>0.91565553958270052</v>
      </c>
      <c r="CI65" s="298"/>
      <c r="CJ65" s="293" t="s">
        <v>44</v>
      </c>
      <c r="CK65" s="290" t="s">
        <v>44</v>
      </c>
      <c r="CL65" s="299">
        <f t="shared" si="70"/>
        <v>4540010.2197406217</v>
      </c>
      <c r="CM65" s="294"/>
      <c r="CN65" s="293" t="s">
        <v>44</v>
      </c>
      <c r="CO65" s="290" t="s">
        <v>44</v>
      </c>
      <c r="CP65" s="291">
        <f t="shared" si="71"/>
        <v>4470217.2197406217</v>
      </c>
      <c r="CQ65" s="292"/>
      <c r="CR65" s="293" t="s">
        <v>44</v>
      </c>
      <c r="CS65" s="290" t="s">
        <v>44</v>
      </c>
      <c r="CT65" s="299">
        <f t="shared" si="72"/>
        <v>69793</v>
      </c>
      <c r="CU65" s="292"/>
      <c r="CV65" s="293" t="s">
        <v>44</v>
      </c>
      <c r="CW65" s="290" t="s">
        <v>44</v>
      </c>
      <c r="CX65" s="299">
        <f t="shared" ref="CX65:CX88" si="74">CL65/CF65</f>
        <v>112.42438226136977</v>
      </c>
      <c r="CY65" s="300"/>
      <c r="CZ65" s="301">
        <f>D65+X65</f>
        <v>20237.500000000004</v>
      </c>
      <c r="DA65" s="302">
        <f>E65+Y65</f>
        <v>0</v>
      </c>
      <c r="DB65" s="288" t="e">
        <f>(CZ65/#REF!)*100</f>
        <v>#REF!</v>
      </c>
      <c r="DC65" s="303" t="e">
        <f>(DA65/#REF!)*100</f>
        <v>#REF!</v>
      </c>
      <c r="DD65" s="304">
        <f t="shared" si="73"/>
        <v>2228991.8165817508</v>
      </c>
      <c r="DE65" s="305">
        <f t="shared" si="73"/>
        <v>0</v>
      </c>
      <c r="DF65" s="305" t="e">
        <f t="shared" si="73"/>
        <v>#VALUE!</v>
      </c>
      <c r="DG65" s="306" t="e">
        <f t="shared" si="73"/>
        <v>#VALUE!</v>
      </c>
      <c r="DH65" s="291">
        <f t="shared" si="73"/>
        <v>2195277.8165817508</v>
      </c>
      <c r="DI65" s="307">
        <f t="shared" si="73"/>
        <v>0</v>
      </c>
      <c r="DJ65" s="307" t="e">
        <f t="shared" si="73"/>
        <v>#VALUE!</v>
      </c>
      <c r="DK65" s="307" t="e">
        <f t="shared" si="73"/>
        <v>#VALUE!</v>
      </c>
      <c r="DL65" s="291">
        <f t="shared" si="73"/>
        <v>33714</v>
      </c>
      <c r="DM65" s="307">
        <f t="shared" si="73"/>
        <v>0</v>
      </c>
      <c r="DN65" s="307" t="e">
        <f t="shared" si="73"/>
        <v>#VALUE!</v>
      </c>
      <c r="DO65" s="308" t="e">
        <f t="shared" si="73"/>
        <v>#VALUE!</v>
      </c>
      <c r="DP65" s="291">
        <f>DD65/CZ65</f>
        <v>110.14165863282275</v>
      </c>
      <c r="DQ65" s="309" t="e">
        <f>DE65/DA65</f>
        <v>#DIV/0!</v>
      </c>
      <c r="DR65" s="310">
        <f t="shared" si="32"/>
        <v>20237.500000000004</v>
      </c>
      <c r="DS65" s="311">
        <f>ABS((DR65/CZ65)*100)</f>
        <v>100</v>
      </c>
      <c r="DT65" s="312" t="e">
        <f>(DD65+DF65)-(DE65+DG65)</f>
        <v>#VALUE!</v>
      </c>
      <c r="DU65" s="311" t="e">
        <f>ABS((DT65/(DD65+DF65)*100))</f>
        <v>#VALUE!</v>
      </c>
      <c r="DV65" s="312">
        <f>DD65-DE65</f>
        <v>2228991.8165817508</v>
      </c>
      <c r="DW65" s="313">
        <f>ABS((DV65/DD65)*100)</f>
        <v>100</v>
      </c>
      <c r="DX65" s="307" t="e">
        <f>DF65-DG65</f>
        <v>#VALUE!</v>
      </c>
      <c r="DY65" s="311" t="e">
        <f>ABS((DX65/DF65)*100)</f>
        <v>#VALUE!</v>
      </c>
      <c r="DZ65" s="312">
        <f>DH65-DI65</f>
        <v>2195277.8165817508</v>
      </c>
      <c r="EA65" s="313">
        <f>ABS((DZ65/DH65)*100)</f>
        <v>100</v>
      </c>
      <c r="EB65" s="307" t="e">
        <f>DJ65-DK65</f>
        <v>#VALUE!</v>
      </c>
      <c r="EC65" s="311" t="e">
        <f>ABS((EB65/DJ65)*100)</f>
        <v>#VALUE!</v>
      </c>
      <c r="ED65" s="312">
        <f>DL65-DM65</f>
        <v>33714</v>
      </c>
      <c r="EE65" s="314">
        <f>ABS((ED65/DL65)*100)</f>
        <v>100</v>
      </c>
      <c r="EF65" s="307" t="e">
        <f>DN65-DO65</f>
        <v>#VALUE!</v>
      </c>
      <c r="EG65" s="311" t="e">
        <f>ABS((EF65/DN65)*100)</f>
        <v>#VALUE!</v>
      </c>
      <c r="EH65" s="315" t="e">
        <f t="shared" si="33"/>
        <v>#DIV/0!</v>
      </c>
      <c r="EI65" s="316" t="e">
        <f t="shared" si="34"/>
        <v>#DIV/0!</v>
      </c>
    </row>
    <row r="66" spans="1:139" s="345" customFormat="1" ht="15.75" customHeight="1" x14ac:dyDescent="0.3">
      <c r="A66" s="318" t="s">
        <v>65</v>
      </c>
      <c r="B66" s="319" t="s">
        <v>66</v>
      </c>
      <c r="C66" s="320"/>
      <c r="D66" s="321">
        <v>547.70000000000005</v>
      </c>
      <c r="E66" s="322"/>
      <c r="F66" s="322">
        <v>5.0354420836819322</v>
      </c>
      <c r="G66" s="323"/>
      <c r="H66" s="324" t="s">
        <v>44</v>
      </c>
      <c r="I66" s="325" t="s">
        <v>44</v>
      </c>
      <c r="J66" s="326">
        <v>43962</v>
      </c>
      <c r="K66" s="327"/>
      <c r="L66" s="328" t="s">
        <v>44</v>
      </c>
      <c r="M66" s="329" t="s">
        <v>44</v>
      </c>
      <c r="N66" s="330">
        <v>43781</v>
      </c>
      <c r="O66" s="328"/>
      <c r="P66" s="324" t="s">
        <v>44</v>
      </c>
      <c r="Q66" s="325" t="s">
        <v>44</v>
      </c>
      <c r="R66" s="331">
        <v>181</v>
      </c>
      <c r="S66" s="328"/>
      <c r="T66" s="324" t="s">
        <v>44</v>
      </c>
      <c r="U66" s="325" t="s">
        <v>44</v>
      </c>
      <c r="V66" s="331">
        <v>80</v>
      </c>
      <c r="W66" s="328"/>
      <c r="X66" s="332">
        <v>765.09999999999991</v>
      </c>
      <c r="Y66" s="333"/>
      <c r="Z66" s="333">
        <v>6.9700917381045624</v>
      </c>
      <c r="AA66" s="323"/>
      <c r="AB66" s="324" t="s">
        <v>44</v>
      </c>
      <c r="AC66" s="325" t="s">
        <v>44</v>
      </c>
      <c r="AD66" s="326">
        <v>53605</v>
      </c>
      <c r="AE66" s="327"/>
      <c r="AF66" s="328" t="s">
        <v>44</v>
      </c>
      <c r="AG66" s="329" t="s">
        <v>44</v>
      </c>
      <c r="AH66" s="330">
        <v>53515</v>
      </c>
      <c r="AI66" s="328"/>
      <c r="AJ66" s="324" t="s">
        <v>44</v>
      </c>
      <c r="AK66" s="325" t="s">
        <v>44</v>
      </c>
      <c r="AL66" s="331">
        <v>90</v>
      </c>
      <c r="AM66" s="328"/>
      <c r="AN66" s="324" t="s">
        <v>44</v>
      </c>
      <c r="AO66" s="325" t="s">
        <v>44</v>
      </c>
      <c r="AP66" s="331">
        <v>70</v>
      </c>
      <c r="AQ66" s="328"/>
      <c r="AR66" s="321">
        <f>SUM(AR67:AR70)</f>
        <v>1246.31</v>
      </c>
      <c r="AS66" s="322"/>
      <c r="AT66" s="836">
        <f>AR66/11091.9</f>
        <v>0.1123621741991904</v>
      </c>
      <c r="AU66" s="323"/>
      <c r="AV66" s="324" t="s">
        <v>44</v>
      </c>
      <c r="AW66" s="325" t="s">
        <v>44</v>
      </c>
      <c r="AX66" s="326">
        <f t="shared" si="68"/>
        <v>81049.27</v>
      </c>
      <c r="AY66" s="327"/>
      <c r="AZ66" s="328" t="s">
        <v>44</v>
      </c>
      <c r="BA66" s="329" t="s">
        <v>44</v>
      </c>
      <c r="BB66" s="321">
        <f>SUM(BB67:BB70)</f>
        <v>80683.27</v>
      </c>
      <c r="BC66" s="328"/>
      <c r="BD66" s="324" t="s">
        <v>44</v>
      </c>
      <c r="BE66" s="325" t="s">
        <v>44</v>
      </c>
      <c r="BF66" s="331">
        <v>366</v>
      </c>
      <c r="BG66" s="328"/>
      <c r="BH66" s="324" t="s">
        <v>44</v>
      </c>
      <c r="BI66" s="325" t="s">
        <v>44</v>
      </c>
      <c r="BJ66" s="331">
        <f t="shared" ref="BJ66:BJ88" si="75">AX66/AR66</f>
        <v>65.031388659322332</v>
      </c>
      <c r="BK66" s="328"/>
      <c r="BL66" s="321">
        <f>SUM(BL67:BL70)</f>
        <v>555.1</v>
      </c>
      <c r="BM66" s="322"/>
      <c r="BN66" s="835">
        <f>BL66/11156.9</f>
        <v>4.9753963914707496E-2</v>
      </c>
      <c r="BO66" s="323"/>
      <c r="BP66" s="324" t="s">
        <v>44</v>
      </c>
      <c r="BQ66" s="325" t="s">
        <v>44</v>
      </c>
      <c r="BR66" s="326">
        <f t="shared" si="69"/>
        <v>33689.72</v>
      </c>
      <c r="BS66" s="327"/>
      <c r="BT66" s="328" t="s">
        <v>44</v>
      </c>
      <c r="BU66" s="325" t="s">
        <v>44</v>
      </c>
      <c r="BV66" s="1012">
        <f>SUM(BV67:BV70)</f>
        <v>33231.72</v>
      </c>
      <c r="BW66" s="328"/>
      <c r="BX66" s="324" t="s">
        <v>44</v>
      </c>
      <c r="BY66" s="325" t="s">
        <v>44</v>
      </c>
      <c r="BZ66" s="331">
        <f>SUM(BZ67:BZ70)</f>
        <v>458</v>
      </c>
      <c r="CA66" s="328"/>
      <c r="CB66" s="324" t="s">
        <v>44</v>
      </c>
      <c r="CC66" s="325" t="s">
        <v>44</v>
      </c>
      <c r="CD66" s="331">
        <f t="shared" ref="CD66:CD88" si="76">BR66/BL66</f>
        <v>60.69126283552513</v>
      </c>
      <c r="CE66" s="328"/>
      <c r="CF66" s="321">
        <f>BL66+AR66+X66+D66</f>
        <v>3114.21</v>
      </c>
      <c r="CG66" s="334"/>
      <c r="CH66" s="835">
        <f>CF66/44102.6</f>
        <v>7.0612843687220261E-2</v>
      </c>
      <c r="CI66" s="335"/>
      <c r="CJ66" s="328" t="s">
        <v>44</v>
      </c>
      <c r="CK66" s="329" t="s">
        <v>44</v>
      </c>
      <c r="CL66" s="326">
        <f t="shared" si="70"/>
        <v>212305.99</v>
      </c>
      <c r="CM66" s="336"/>
      <c r="CN66" s="327" t="s">
        <v>44</v>
      </c>
      <c r="CO66" s="329" t="s">
        <v>44</v>
      </c>
      <c r="CP66" s="330">
        <f t="shared" si="71"/>
        <v>211210.99</v>
      </c>
      <c r="CQ66" s="328"/>
      <c r="CR66" s="328" t="s">
        <v>44</v>
      </c>
      <c r="CS66" s="329" t="s">
        <v>44</v>
      </c>
      <c r="CT66" s="331">
        <f t="shared" si="72"/>
        <v>1095</v>
      </c>
      <c r="CU66" s="328"/>
      <c r="CV66" s="328" t="s">
        <v>44</v>
      </c>
      <c r="CW66" s="329" t="s">
        <v>44</v>
      </c>
      <c r="CX66" s="330">
        <f t="shared" si="74"/>
        <v>68.173305589539552</v>
      </c>
      <c r="CY66" s="337"/>
      <c r="CZ66" s="336" t="s">
        <v>44</v>
      </c>
      <c r="DA66" s="338">
        <f t="shared" ref="DA66:DA88" si="77">E66+Y66</f>
        <v>0</v>
      </c>
      <c r="DB66" s="239" t="s">
        <v>44</v>
      </c>
      <c r="DC66" s="339" t="e">
        <f>(DA66/#REF!)*100</f>
        <v>#REF!</v>
      </c>
      <c r="DD66" s="340" t="s">
        <v>44</v>
      </c>
      <c r="DE66" s="327" t="s">
        <v>44</v>
      </c>
      <c r="DF66" s="327" t="s">
        <v>44</v>
      </c>
      <c r="DG66" s="327" t="s">
        <v>44</v>
      </c>
      <c r="DH66" s="341" t="s">
        <v>44</v>
      </c>
      <c r="DI66" s="341" t="s">
        <v>44</v>
      </c>
      <c r="DJ66" s="341" t="s">
        <v>44</v>
      </c>
      <c r="DK66" s="341" t="s">
        <v>44</v>
      </c>
      <c r="DL66" s="341" t="s">
        <v>44</v>
      </c>
      <c r="DM66" s="341" t="s">
        <v>44</v>
      </c>
      <c r="DN66" s="341" t="s">
        <v>44</v>
      </c>
      <c r="DO66" s="342" t="s">
        <v>44</v>
      </c>
      <c r="DP66" s="340" t="s">
        <v>44</v>
      </c>
      <c r="DQ66" s="343" t="s">
        <v>44</v>
      </c>
      <c r="DR66" s="344" t="s">
        <v>44</v>
      </c>
      <c r="DS66" s="243" t="s">
        <v>44</v>
      </c>
      <c r="DT66" s="243" t="s">
        <v>44</v>
      </c>
      <c r="DU66" s="243" t="s">
        <v>44</v>
      </c>
      <c r="DV66" s="243" t="s">
        <v>44</v>
      </c>
      <c r="DW66" s="243" t="s">
        <v>44</v>
      </c>
      <c r="DX66" s="243" t="s">
        <v>44</v>
      </c>
      <c r="DY66" s="243" t="s">
        <v>44</v>
      </c>
      <c r="DZ66" s="243" t="s">
        <v>44</v>
      </c>
      <c r="EA66" s="243" t="s">
        <v>44</v>
      </c>
      <c r="EB66" s="243" t="s">
        <v>44</v>
      </c>
      <c r="EC66" s="243" t="s">
        <v>44</v>
      </c>
      <c r="ED66" s="243" t="s">
        <v>44</v>
      </c>
      <c r="EE66" s="244" t="s">
        <v>44</v>
      </c>
      <c r="EF66" s="243" t="s">
        <v>44</v>
      </c>
      <c r="EG66" s="243" t="s">
        <v>44</v>
      </c>
      <c r="EH66" s="243" t="s">
        <v>44</v>
      </c>
      <c r="EI66" s="246" t="s">
        <v>44</v>
      </c>
    </row>
    <row r="67" spans="1:139" s="743" customFormat="1" ht="15.75" customHeight="1" outlineLevel="1" x14ac:dyDescent="0.3">
      <c r="A67" s="721"/>
      <c r="B67" s="722"/>
      <c r="C67" s="723" t="s">
        <v>45</v>
      </c>
      <c r="D67" s="724">
        <v>204.1</v>
      </c>
      <c r="E67" s="725"/>
      <c r="F67" s="725">
        <v>9.4534506716072251</v>
      </c>
      <c r="G67" s="726"/>
      <c r="H67" s="727" t="s">
        <v>44</v>
      </c>
      <c r="I67" s="728" t="s">
        <v>44</v>
      </c>
      <c r="J67" s="729">
        <v>29597</v>
      </c>
      <c r="K67" s="730"/>
      <c r="L67" s="731" t="s">
        <v>44</v>
      </c>
      <c r="M67" s="728" t="s">
        <v>44</v>
      </c>
      <c r="N67" s="729">
        <v>29416</v>
      </c>
      <c r="O67" s="732"/>
      <c r="P67" s="727" t="s">
        <v>44</v>
      </c>
      <c r="Q67" s="728" t="s">
        <v>44</v>
      </c>
      <c r="R67" s="729">
        <v>181</v>
      </c>
      <c r="S67" s="732"/>
      <c r="T67" s="727" t="s">
        <v>44</v>
      </c>
      <c r="U67" s="728" t="s">
        <v>44</v>
      </c>
      <c r="V67" s="729">
        <v>145</v>
      </c>
      <c r="W67" s="733"/>
      <c r="X67" s="734">
        <v>234.29999999999998</v>
      </c>
      <c r="Y67" s="725"/>
      <c r="Z67" s="725">
        <v>10.728021978021978</v>
      </c>
      <c r="AA67" s="735"/>
      <c r="AB67" s="727" t="s">
        <v>44</v>
      </c>
      <c r="AC67" s="728" t="s">
        <v>44</v>
      </c>
      <c r="AD67" s="729">
        <v>34231</v>
      </c>
      <c r="AE67" s="733"/>
      <c r="AF67" s="731" t="s">
        <v>44</v>
      </c>
      <c r="AG67" s="728" t="s">
        <v>44</v>
      </c>
      <c r="AH67" s="736">
        <v>34141</v>
      </c>
      <c r="AI67" s="728"/>
      <c r="AJ67" s="727" t="s">
        <v>44</v>
      </c>
      <c r="AK67" s="728" t="s">
        <v>44</v>
      </c>
      <c r="AL67" s="736">
        <v>90</v>
      </c>
      <c r="AM67" s="728"/>
      <c r="AN67" s="727" t="s">
        <v>44</v>
      </c>
      <c r="AO67" s="728" t="s">
        <v>44</v>
      </c>
      <c r="AP67" s="736">
        <v>146</v>
      </c>
      <c r="AQ67" s="733"/>
      <c r="AR67" s="734">
        <f>325.5-AR68</f>
        <v>323.7</v>
      </c>
      <c r="AS67" s="725"/>
      <c r="AT67" s="826">
        <f t="shared" ref="AT67:AT88" si="78">AR67/2208</f>
        <v>0.14660326086956521</v>
      </c>
      <c r="AU67" s="735"/>
      <c r="AV67" s="727" t="s">
        <v>44</v>
      </c>
      <c r="AW67" s="728" t="s">
        <v>44</v>
      </c>
      <c r="AX67" s="729">
        <f t="shared" si="68"/>
        <v>52266.6</v>
      </c>
      <c r="AY67" s="733"/>
      <c r="AZ67" s="731" t="s">
        <v>44</v>
      </c>
      <c r="BA67" s="728" t="s">
        <v>44</v>
      </c>
      <c r="BB67" s="736">
        <f>43463*1.2-BB68</f>
        <v>51900.6</v>
      </c>
      <c r="BC67" s="728"/>
      <c r="BD67" s="727" t="s">
        <v>44</v>
      </c>
      <c r="BE67" s="728" t="s">
        <v>44</v>
      </c>
      <c r="BF67" s="736">
        <v>366</v>
      </c>
      <c r="BG67" s="728"/>
      <c r="BH67" s="727" t="s">
        <v>44</v>
      </c>
      <c r="BI67" s="728" t="s">
        <v>44</v>
      </c>
      <c r="BJ67" s="736">
        <f t="shared" si="75"/>
        <v>161.46617238183504</v>
      </c>
      <c r="BK67" s="733"/>
      <c r="BL67" s="734">
        <f>205.9</f>
        <v>205.9</v>
      </c>
      <c r="BM67" s="725"/>
      <c r="BN67" s="826">
        <f>BL67/2209</f>
        <v>9.320959710276143E-2</v>
      </c>
      <c r="BO67" s="735"/>
      <c r="BP67" s="727" t="s">
        <v>44</v>
      </c>
      <c r="BQ67" s="728" t="s">
        <v>44</v>
      </c>
      <c r="BR67" s="729">
        <f t="shared" si="69"/>
        <v>24552.5</v>
      </c>
      <c r="BS67" s="733"/>
      <c r="BT67" s="731" t="s">
        <v>44</v>
      </c>
      <c r="BU67" s="728" t="s">
        <v>44</v>
      </c>
      <c r="BV67" s="729">
        <f>12047.25*2</f>
        <v>24094.5</v>
      </c>
      <c r="BW67" s="728"/>
      <c r="BX67" s="727" t="s">
        <v>44</v>
      </c>
      <c r="BY67" s="728" t="s">
        <v>44</v>
      </c>
      <c r="BZ67" s="736">
        <v>458</v>
      </c>
      <c r="CA67" s="728"/>
      <c r="CB67" s="727" t="s">
        <v>44</v>
      </c>
      <c r="CC67" s="728" t="s">
        <v>44</v>
      </c>
      <c r="CD67" s="736">
        <f t="shared" si="76"/>
        <v>119.24477901894123</v>
      </c>
      <c r="CE67" s="733"/>
      <c r="CF67" s="734">
        <f>BL67+AR67+X67+D67</f>
        <v>968</v>
      </c>
      <c r="CG67" s="737"/>
      <c r="CH67" s="826">
        <f t="shared" ref="CH67:CH88" si="79">CF67/8760</f>
        <v>0.11050228310502283</v>
      </c>
      <c r="CI67" s="738"/>
      <c r="CJ67" s="727" t="s">
        <v>44</v>
      </c>
      <c r="CK67" s="728" t="s">
        <v>44</v>
      </c>
      <c r="CL67" s="729">
        <f t="shared" si="70"/>
        <v>140647.1</v>
      </c>
      <c r="CM67" s="731"/>
      <c r="CN67" s="731" t="s">
        <v>44</v>
      </c>
      <c r="CO67" s="728" t="s">
        <v>44</v>
      </c>
      <c r="CP67" s="736">
        <f t="shared" si="71"/>
        <v>139552.1</v>
      </c>
      <c r="CQ67" s="731"/>
      <c r="CR67" s="731" t="s">
        <v>44</v>
      </c>
      <c r="CS67" s="728" t="s">
        <v>44</v>
      </c>
      <c r="CT67" s="729">
        <f t="shared" si="72"/>
        <v>1095</v>
      </c>
      <c r="CU67" s="731"/>
      <c r="CV67" s="731" t="s">
        <v>44</v>
      </c>
      <c r="CW67" s="728" t="s">
        <v>44</v>
      </c>
      <c r="CX67" s="736">
        <f t="shared" si="74"/>
        <v>145.29659090909092</v>
      </c>
      <c r="CY67" s="739"/>
      <c r="CZ67" s="740"/>
      <c r="DA67" s="741"/>
      <c r="DB67" s="737"/>
      <c r="DC67" s="742"/>
      <c r="DD67" s="731"/>
      <c r="DE67" s="731"/>
      <c r="DF67" s="731"/>
      <c r="DG67" s="731"/>
      <c r="DH67" s="731"/>
      <c r="DI67" s="731"/>
      <c r="DJ67" s="731"/>
      <c r="DK67" s="731"/>
      <c r="DL67" s="731"/>
      <c r="DM67" s="731"/>
      <c r="DN67" s="731"/>
      <c r="DO67" s="731"/>
      <c r="DP67" s="731"/>
      <c r="DQ67" s="731"/>
      <c r="DR67" s="737"/>
      <c r="DS67" s="731"/>
      <c r="DT67" s="731"/>
      <c r="DU67" s="731"/>
      <c r="DV67" s="731"/>
      <c r="DW67" s="731"/>
      <c r="DX67" s="731"/>
      <c r="DY67" s="731"/>
      <c r="DZ67" s="731"/>
      <c r="EA67" s="731"/>
      <c r="EB67" s="731"/>
      <c r="EC67" s="731"/>
      <c r="ED67" s="731"/>
      <c r="EE67" s="731"/>
      <c r="EF67" s="731"/>
      <c r="EG67" s="731"/>
      <c r="EH67" s="731"/>
      <c r="EI67" s="731"/>
    </row>
    <row r="68" spans="1:139" s="761" customFormat="1" ht="15.75" customHeight="1" outlineLevel="1" x14ac:dyDescent="0.3">
      <c r="A68" s="744"/>
      <c r="B68" s="745"/>
      <c r="C68" s="746" t="s">
        <v>51</v>
      </c>
      <c r="D68" s="747">
        <v>0</v>
      </c>
      <c r="E68" s="748"/>
      <c r="F68" s="749">
        <v>0</v>
      </c>
      <c r="G68" s="750"/>
      <c r="H68" s="522" t="s">
        <v>44</v>
      </c>
      <c r="I68" s="95" t="s">
        <v>44</v>
      </c>
      <c r="J68" s="751">
        <v>0</v>
      </c>
      <c r="K68" s="752"/>
      <c r="L68" s="168" t="s">
        <v>44</v>
      </c>
      <c r="M68" s="95" t="s">
        <v>44</v>
      </c>
      <c r="N68" s="753">
        <v>0</v>
      </c>
      <c r="O68" s="754"/>
      <c r="P68" s="522" t="s">
        <v>44</v>
      </c>
      <c r="Q68" s="95" t="s">
        <v>44</v>
      </c>
      <c r="R68" s="753">
        <v>0</v>
      </c>
      <c r="S68" s="754"/>
      <c r="T68" s="522" t="s">
        <v>44</v>
      </c>
      <c r="U68" s="95" t="s">
        <v>44</v>
      </c>
      <c r="V68" s="753">
        <v>0</v>
      </c>
      <c r="W68" s="755"/>
      <c r="X68" s="756">
        <v>1.8</v>
      </c>
      <c r="Y68" s="748"/>
      <c r="Z68" s="748">
        <v>8.2417582417582416E-2</v>
      </c>
      <c r="AA68" s="757"/>
      <c r="AB68" s="522" t="s">
        <v>44</v>
      </c>
      <c r="AC68" s="95" t="s">
        <v>44</v>
      </c>
      <c r="AD68" s="751">
        <v>252</v>
      </c>
      <c r="AE68" s="755"/>
      <c r="AF68" s="168" t="s">
        <v>44</v>
      </c>
      <c r="AG68" s="95" t="s">
        <v>44</v>
      </c>
      <c r="AH68" s="758">
        <v>252</v>
      </c>
      <c r="AI68" s="95"/>
      <c r="AJ68" s="522" t="s">
        <v>44</v>
      </c>
      <c r="AK68" s="95" t="s">
        <v>44</v>
      </c>
      <c r="AL68" s="758">
        <v>0</v>
      </c>
      <c r="AM68" s="95"/>
      <c r="AN68" s="522" t="s">
        <v>44</v>
      </c>
      <c r="AO68" s="95" t="s">
        <v>44</v>
      </c>
      <c r="AP68" s="758">
        <v>140</v>
      </c>
      <c r="AQ68" s="755"/>
      <c r="AR68" s="756">
        <v>1.8</v>
      </c>
      <c r="AS68" s="748"/>
      <c r="AT68" s="1053">
        <f>AR68/AR102</f>
        <v>0.15126050420168066</v>
      </c>
      <c r="AU68" s="757"/>
      <c r="AV68" s="522" t="s">
        <v>44</v>
      </c>
      <c r="AW68" s="95" t="s">
        <v>44</v>
      </c>
      <c r="AX68" s="753">
        <f t="shared" si="68"/>
        <v>255</v>
      </c>
      <c r="AY68" s="755"/>
      <c r="AZ68" s="168" t="s">
        <v>44</v>
      </c>
      <c r="BA68" s="95" t="s">
        <v>44</v>
      </c>
      <c r="BB68" s="758">
        <v>255</v>
      </c>
      <c r="BC68" s="95"/>
      <c r="BD68" s="522" t="s">
        <v>44</v>
      </c>
      <c r="BE68" s="95" t="s">
        <v>44</v>
      </c>
      <c r="BF68" s="758">
        <v>0</v>
      </c>
      <c r="BG68" s="95"/>
      <c r="BH68" s="522" t="s">
        <v>44</v>
      </c>
      <c r="BI68" s="95" t="s">
        <v>44</v>
      </c>
      <c r="BJ68" s="758">
        <f t="shared" si="75"/>
        <v>141.66666666666666</v>
      </c>
      <c r="BK68" s="755"/>
      <c r="BL68" s="756">
        <v>0</v>
      </c>
      <c r="BM68" s="748"/>
      <c r="BN68" s="1053">
        <f>BL68/BL102</f>
        <v>0</v>
      </c>
      <c r="BO68" s="757"/>
      <c r="BP68" s="522" t="s">
        <v>44</v>
      </c>
      <c r="BQ68" s="95" t="s">
        <v>44</v>
      </c>
      <c r="BR68" s="753">
        <f t="shared" si="69"/>
        <v>0</v>
      </c>
      <c r="BS68" s="755"/>
      <c r="BT68" s="168" t="s">
        <v>44</v>
      </c>
      <c r="BU68" s="95" t="s">
        <v>44</v>
      </c>
      <c r="BV68" s="753">
        <v>0</v>
      </c>
      <c r="BW68" s="95"/>
      <c r="BX68" s="522" t="s">
        <v>44</v>
      </c>
      <c r="BY68" s="95" t="s">
        <v>44</v>
      </c>
      <c r="BZ68" s="758">
        <v>0</v>
      </c>
      <c r="CA68" s="95"/>
      <c r="CB68" s="522" t="s">
        <v>44</v>
      </c>
      <c r="CC68" s="95" t="s">
        <v>44</v>
      </c>
      <c r="CD68" s="758"/>
      <c r="CE68" s="755"/>
      <c r="CF68" s="756">
        <f t="shared" ref="CF68:CF88" si="80">BL68+AR68+X68+D68</f>
        <v>3.6</v>
      </c>
      <c r="CG68" s="452"/>
      <c r="CH68" s="1053">
        <f>CF68/CF102</f>
        <v>7.5630252100840331E-2</v>
      </c>
      <c r="CI68" s="759"/>
      <c r="CJ68" s="522" t="s">
        <v>44</v>
      </c>
      <c r="CK68" s="95" t="s">
        <v>44</v>
      </c>
      <c r="CL68" s="753">
        <f t="shared" si="70"/>
        <v>507</v>
      </c>
      <c r="CM68" s="168"/>
      <c r="CN68" s="168" t="s">
        <v>44</v>
      </c>
      <c r="CO68" s="95" t="s">
        <v>44</v>
      </c>
      <c r="CP68" s="758">
        <f t="shared" si="71"/>
        <v>507</v>
      </c>
      <c r="CQ68" s="168"/>
      <c r="CR68" s="168" t="s">
        <v>44</v>
      </c>
      <c r="CS68" s="95" t="s">
        <v>44</v>
      </c>
      <c r="CT68" s="753">
        <f t="shared" si="72"/>
        <v>0</v>
      </c>
      <c r="CU68" s="168"/>
      <c r="CV68" s="168" t="s">
        <v>44</v>
      </c>
      <c r="CW68" s="95" t="s">
        <v>44</v>
      </c>
      <c r="CX68" s="758">
        <f t="shared" si="74"/>
        <v>140.83333333333334</v>
      </c>
      <c r="CY68" s="760"/>
      <c r="CZ68" s="166"/>
      <c r="DA68" s="105"/>
      <c r="DB68" s="452"/>
      <c r="DC68" s="119"/>
      <c r="DD68" s="168"/>
      <c r="DE68" s="168"/>
      <c r="DF68" s="168"/>
      <c r="DG68" s="168"/>
      <c r="DH68" s="168"/>
      <c r="DI68" s="168"/>
      <c r="DJ68" s="168"/>
      <c r="DK68" s="168"/>
      <c r="DL68" s="168"/>
      <c r="DM68" s="168"/>
      <c r="DN68" s="168"/>
      <c r="DO68" s="168"/>
      <c r="DP68" s="168"/>
      <c r="DQ68" s="168"/>
      <c r="DR68" s="452"/>
      <c r="DS68" s="168"/>
      <c r="DT68" s="168"/>
      <c r="DU68" s="168"/>
      <c r="DV68" s="168"/>
      <c r="DW68" s="168"/>
      <c r="DX68" s="168"/>
      <c r="DY68" s="168"/>
      <c r="DZ68" s="168"/>
      <c r="EA68" s="168"/>
      <c r="EB68" s="168"/>
      <c r="EC68" s="168"/>
      <c r="ED68" s="168"/>
      <c r="EE68" s="168"/>
      <c r="EF68" s="168"/>
      <c r="EG68" s="168"/>
      <c r="EH68" s="168"/>
      <c r="EI68" s="168"/>
    </row>
    <row r="69" spans="1:139" s="774" customFormat="1" ht="15.75" customHeight="1" outlineLevel="1" x14ac:dyDescent="0.3">
      <c r="A69" s="762"/>
      <c r="B69" s="763"/>
      <c r="C69" s="764" t="s">
        <v>47</v>
      </c>
      <c r="D69" s="765">
        <v>293.60000000000002</v>
      </c>
      <c r="E69" s="749"/>
      <c r="F69" s="749">
        <v>13.598888374247336</v>
      </c>
      <c r="G69" s="766"/>
      <c r="H69" s="536" t="s">
        <v>44</v>
      </c>
      <c r="I69" s="159" t="s">
        <v>44</v>
      </c>
      <c r="J69" s="751">
        <v>10975</v>
      </c>
      <c r="K69" s="767"/>
      <c r="L69" s="108" t="s">
        <v>44</v>
      </c>
      <c r="M69" s="159" t="s">
        <v>44</v>
      </c>
      <c r="N69" s="751">
        <v>10975</v>
      </c>
      <c r="O69" s="768"/>
      <c r="P69" s="536" t="s">
        <v>44</v>
      </c>
      <c r="Q69" s="159" t="s">
        <v>44</v>
      </c>
      <c r="R69" s="751">
        <v>0</v>
      </c>
      <c r="S69" s="768"/>
      <c r="T69" s="536" t="s">
        <v>44</v>
      </c>
      <c r="U69" s="159" t="s">
        <v>44</v>
      </c>
      <c r="V69" s="751">
        <v>37</v>
      </c>
      <c r="W69" s="163"/>
      <c r="X69" s="769">
        <v>446.7</v>
      </c>
      <c r="Y69" s="749"/>
      <c r="Z69" s="749">
        <v>20.453296703296704</v>
      </c>
      <c r="AA69" s="770"/>
      <c r="AB69" s="536" t="s">
        <v>44</v>
      </c>
      <c r="AC69" s="159" t="s">
        <v>44</v>
      </c>
      <c r="AD69" s="751">
        <v>13424</v>
      </c>
      <c r="AE69" s="163"/>
      <c r="AF69" s="108" t="s">
        <v>44</v>
      </c>
      <c r="AG69" s="159" t="s">
        <v>44</v>
      </c>
      <c r="AH69" s="771">
        <v>13424</v>
      </c>
      <c r="AI69" s="159"/>
      <c r="AJ69" s="536" t="s">
        <v>44</v>
      </c>
      <c r="AK69" s="159" t="s">
        <v>44</v>
      </c>
      <c r="AL69" s="771">
        <v>0</v>
      </c>
      <c r="AM69" s="159"/>
      <c r="AN69" s="536" t="s">
        <v>44</v>
      </c>
      <c r="AO69" s="159" t="s">
        <v>44</v>
      </c>
      <c r="AP69" s="771">
        <v>30</v>
      </c>
      <c r="AQ69" s="163"/>
      <c r="AR69" s="769">
        <v>775.85</v>
      </c>
      <c r="AS69" s="749"/>
      <c r="AT69" s="827">
        <f t="shared" si="78"/>
        <v>0.35138134057971016</v>
      </c>
      <c r="AU69" s="770"/>
      <c r="AV69" s="536" t="s">
        <v>44</v>
      </c>
      <c r="AW69" s="159" t="s">
        <v>44</v>
      </c>
      <c r="AX69" s="753">
        <f t="shared" si="68"/>
        <v>16160</v>
      </c>
      <c r="AY69" s="163"/>
      <c r="AZ69" s="108" t="s">
        <v>44</v>
      </c>
      <c r="BA69" s="159" t="s">
        <v>44</v>
      </c>
      <c r="BB69" s="771">
        <f>20.2*800</f>
        <v>16160</v>
      </c>
      <c r="BC69" s="159"/>
      <c r="BD69" s="536" t="s">
        <v>44</v>
      </c>
      <c r="BE69" s="159" t="s">
        <v>44</v>
      </c>
      <c r="BF69" s="771">
        <v>0</v>
      </c>
      <c r="BG69" s="159"/>
      <c r="BH69" s="536" t="s">
        <v>44</v>
      </c>
      <c r="BI69" s="159" t="s">
        <v>44</v>
      </c>
      <c r="BJ69" s="771">
        <f t="shared" si="75"/>
        <v>20.828768447509184</v>
      </c>
      <c r="BK69" s="163"/>
      <c r="BL69" s="769">
        <f>284-0.4</f>
        <v>283.60000000000002</v>
      </c>
      <c r="BM69" s="749"/>
      <c r="BN69" s="827">
        <f t="shared" ref="BN69:BN70" si="81">BL69/2209</f>
        <v>0.12838388411045723</v>
      </c>
      <c r="BO69" s="770"/>
      <c r="BP69" s="536" t="s">
        <v>44</v>
      </c>
      <c r="BQ69" s="159" t="s">
        <v>44</v>
      </c>
      <c r="BR69" s="753">
        <f t="shared" si="69"/>
        <v>5608.54</v>
      </c>
      <c r="BS69" s="163"/>
      <c r="BT69" s="108" t="s">
        <v>44</v>
      </c>
      <c r="BU69" s="159" t="s">
        <v>44</v>
      </c>
      <c r="BV69" s="751">
        <f>2804.27*2</f>
        <v>5608.54</v>
      </c>
      <c r="BW69" s="159"/>
      <c r="BX69" s="536" t="s">
        <v>44</v>
      </c>
      <c r="BY69" s="159" t="s">
        <v>44</v>
      </c>
      <c r="BZ69" s="771">
        <v>0</v>
      </c>
      <c r="CA69" s="159"/>
      <c r="CB69" s="536" t="s">
        <v>44</v>
      </c>
      <c r="CC69" s="159" t="s">
        <v>44</v>
      </c>
      <c r="CD69" s="771">
        <f t="shared" si="76"/>
        <v>19.776234132581099</v>
      </c>
      <c r="CE69" s="163"/>
      <c r="CF69" s="769">
        <f t="shared" si="80"/>
        <v>1799.75</v>
      </c>
      <c r="CG69" s="772"/>
      <c r="CH69" s="827">
        <f t="shared" si="79"/>
        <v>0.20545091324200912</v>
      </c>
      <c r="CI69" s="773"/>
      <c r="CJ69" s="536" t="s">
        <v>44</v>
      </c>
      <c r="CK69" s="159" t="s">
        <v>44</v>
      </c>
      <c r="CL69" s="751">
        <f t="shared" si="70"/>
        <v>46167.54</v>
      </c>
      <c r="CM69" s="108"/>
      <c r="CN69" s="108" t="s">
        <v>44</v>
      </c>
      <c r="CO69" s="159" t="s">
        <v>44</v>
      </c>
      <c r="CP69" s="771">
        <f t="shared" si="71"/>
        <v>46167.54</v>
      </c>
      <c r="CQ69" s="108"/>
      <c r="CR69" s="108" t="s">
        <v>44</v>
      </c>
      <c r="CS69" s="159" t="s">
        <v>44</v>
      </c>
      <c r="CT69" s="751">
        <f t="shared" si="72"/>
        <v>0</v>
      </c>
      <c r="CU69" s="108"/>
      <c r="CV69" s="108" t="s">
        <v>44</v>
      </c>
      <c r="CW69" s="159" t="s">
        <v>44</v>
      </c>
      <c r="CX69" s="771">
        <f t="shared" si="74"/>
        <v>25.652196138352551</v>
      </c>
      <c r="CY69" s="539"/>
      <c r="CZ69" s="98"/>
      <c r="DA69" s="93"/>
      <c r="DB69" s="772"/>
      <c r="DC69" s="176"/>
      <c r="DD69" s="108"/>
      <c r="DE69" s="108"/>
      <c r="DF69" s="108"/>
      <c r="DG69" s="108"/>
      <c r="DH69" s="108"/>
      <c r="DI69" s="108"/>
      <c r="DJ69" s="108"/>
      <c r="DK69" s="108"/>
      <c r="DL69" s="108"/>
      <c r="DM69" s="108"/>
      <c r="DN69" s="108"/>
      <c r="DO69" s="108"/>
      <c r="DP69" s="108"/>
      <c r="DQ69" s="108"/>
      <c r="DR69" s="772"/>
      <c r="DS69" s="108"/>
      <c r="DT69" s="108"/>
      <c r="DU69" s="108"/>
      <c r="DV69" s="108"/>
      <c r="DW69" s="108"/>
      <c r="DX69" s="108"/>
      <c r="DY69" s="108"/>
      <c r="DZ69" s="108"/>
      <c r="EA69" s="108"/>
      <c r="EB69" s="108"/>
      <c r="EC69" s="108"/>
      <c r="ED69" s="108"/>
      <c r="EE69" s="108"/>
      <c r="EF69" s="108"/>
      <c r="EG69" s="108"/>
      <c r="EH69" s="108"/>
      <c r="EI69" s="108"/>
    </row>
    <row r="70" spans="1:139" s="790" customFormat="1" ht="15.75" customHeight="1" outlineLevel="1" x14ac:dyDescent="0.3">
      <c r="A70" s="775"/>
      <c r="B70" s="776"/>
      <c r="C70" s="777" t="s">
        <v>48</v>
      </c>
      <c r="D70" s="778">
        <v>50</v>
      </c>
      <c r="E70" s="779"/>
      <c r="F70" s="779">
        <v>2.3158869847151458</v>
      </c>
      <c r="G70" s="780"/>
      <c r="H70" s="562" t="s">
        <v>44</v>
      </c>
      <c r="I70" s="384" t="s">
        <v>44</v>
      </c>
      <c r="J70" s="781">
        <v>3390</v>
      </c>
      <c r="K70" s="782"/>
      <c r="L70" s="563" t="s">
        <v>44</v>
      </c>
      <c r="M70" s="384" t="s">
        <v>44</v>
      </c>
      <c r="N70" s="781">
        <v>3390</v>
      </c>
      <c r="O70" s="783"/>
      <c r="P70" s="562" t="s">
        <v>44</v>
      </c>
      <c r="Q70" s="384" t="s">
        <v>44</v>
      </c>
      <c r="R70" s="781">
        <v>0</v>
      </c>
      <c r="S70" s="783"/>
      <c r="T70" s="562" t="s">
        <v>44</v>
      </c>
      <c r="U70" s="384" t="s">
        <v>44</v>
      </c>
      <c r="V70" s="781">
        <v>68</v>
      </c>
      <c r="W70" s="784"/>
      <c r="X70" s="785">
        <v>82.3</v>
      </c>
      <c r="Y70" s="779"/>
      <c r="Z70" s="779">
        <v>3.7683150183150182</v>
      </c>
      <c r="AA70" s="786"/>
      <c r="AB70" s="562" t="s">
        <v>44</v>
      </c>
      <c r="AC70" s="384" t="s">
        <v>44</v>
      </c>
      <c r="AD70" s="781">
        <v>5698</v>
      </c>
      <c r="AE70" s="784"/>
      <c r="AF70" s="563" t="s">
        <v>44</v>
      </c>
      <c r="AG70" s="384" t="s">
        <v>44</v>
      </c>
      <c r="AH70" s="787">
        <v>5698</v>
      </c>
      <c r="AI70" s="384"/>
      <c r="AJ70" s="562" t="s">
        <v>44</v>
      </c>
      <c r="AK70" s="384" t="s">
        <v>44</v>
      </c>
      <c r="AL70" s="787">
        <v>0</v>
      </c>
      <c r="AM70" s="384"/>
      <c r="AN70" s="562" t="s">
        <v>44</v>
      </c>
      <c r="AO70" s="384" t="s">
        <v>44</v>
      </c>
      <c r="AP70" s="787">
        <v>69</v>
      </c>
      <c r="AQ70" s="784"/>
      <c r="AR70" s="785">
        <v>144.96</v>
      </c>
      <c r="AS70" s="779"/>
      <c r="AT70" s="828">
        <f t="shared" si="78"/>
        <v>6.5652173913043482E-2</v>
      </c>
      <c r="AU70" s="786"/>
      <c r="AV70" s="562" t="s">
        <v>44</v>
      </c>
      <c r="AW70" s="384" t="s">
        <v>44</v>
      </c>
      <c r="AX70" s="781">
        <f t="shared" si="68"/>
        <v>12367.67</v>
      </c>
      <c r="AY70" s="784"/>
      <c r="AZ70" s="563" t="s">
        <v>44</v>
      </c>
      <c r="BA70" s="384" t="s">
        <v>44</v>
      </c>
      <c r="BB70" s="787">
        <v>12367.67</v>
      </c>
      <c r="BC70" s="384"/>
      <c r="BD70" s="562" t="s">
        <v>44</v>
      </c>
      <c r="BE70" s="384" t="s">
        <v>44</v>
      </c>
      <c r="BF70" s="787">
        <v>0</v>
      </c>
      <c r="BG70" s="384"/>
      <c r="BH70" s="562" t="s">
        <v>44</v>
      </c>
      <c r="BI70" s="384" t="s">
        <v>44</v>
      </c>
      <c r="BJ70" s="787">
        <f t="shared" si="75"/>
        <v>85.317811810154524</v>
      </c>
      <c r="BK70" s="784"/>
      <c r="BL70" s="785">
        <f>69.4-3.8</f>
        <v>65.600000000000009</v>
      </c>
      <c r="BM70" s="779"/>
      <c r="BN70" s="828">
        <f t="shared" si="81"/>
        <v>2.969669533725668E-2</v>
      </c>
      <c r="BO70" s="786"/>
      <c r="BP70" s="562" t="s">
        <v>44</v>
      </c>
      <c r="BQ70" s="384" t="s">
        <v>44</v>
      </c>
      <c r="BR70" s="781">
        <f t="shared" si="69"/>
        <v>3528.68</v>
      </c>
      <c r="BS70" s="784"/>
      <c r="BT70" s="563" t="s">
        <v>44</v>
      </c>
      <c r="BU70" s="384" t="s">
        <v>44</v>
      </c>
      <c r="BV70" s="781">
        <f>1764.34*2</f>
        <v>3528.68</v>
      </c>
      <c r="BW70" s="384"/>
      <c r="BX70" s="562" t="s">
        <v>44</v>
      </c>
      <c r="BY70" s="384" t="s">
        <v>44</v>
      </c>
      <c r="BZ70" s="787">
        <v>0</v>
      </c>
      <c r="CA70" s="384"/>
      <c r="CB70" s="562" t="s">
        <v>44</v>
      </c>
      <c r="CC70" s="384" t="s">
        <v>44</v>
      </c>
      <c r="CD70" s="787">
        <f t="shared" si="76"/>
        <v>53.790853658536577</v>
      </c>
      <c r="CE70" s="784"/>
      <c r="CF70" s="785">
        <f t="shared" si="80"/>
        <v>342.86</v>
      </c>
      <c r="CG70" s="560"/>
      <c r="CH70" s="828">
        <f t="shared" si="79"/>
        <v>3.9139269406392695E-2</v>
      </c>
      <c r="CI70" s="788"/>
      <c r="CJ70" s="562" t="s">
        <v>44</v>
      </c>
      <c r="CK70" s="384" t="s">
        <v>44</v>
      </c>
      <c r="CL70" s="781">
        <f t="shared" si="70"/>
        <v>24984.35</v>
      </c>
      <c r="CM70" s="563"/>
      <c r="CN70" s="563" t="s">
        <v>44</v>
      </c>
      <c r="CO70" s="384" t="s">
        <v>44</v>
      </c>
      <c r="CP70" s="787">
        <f t="shared" si="71"/>
        <v>24984.35</v>
      </c>
      <c r="CQ70" s="563"/>
      <c r="CR70" s="563" t="s">
        <v>44</v>
      </c>
      <c r="CS70" s="384" t="s">
        <v>44</v>
      </c>
      <c r="CT70" s="781">
        <f t="shared" si="72"/>
        <v>0</v>
      </c>
      <c r="CU70" s="563"/>
      <c r="CV70" s="563" t="s">
        <v>44</v>
      </c>
      <c r="CW70" s="384" t="s">
        <v>44</v>
      </c>
      <c r="CX70" s="787">
        <f t="shared" si="74"/>
        <v>72.870413579886829</v>
      </c>
      <c r="CY70" s="564"/>
      <c r="CZ70" s="789"/>
      <c r="DA70" s="382"/>
      <c r="DB70" s="560"/>
      <c r="DC70" s="407"/>
      <c r="DD70" s="563"/>
      <c r="DE70" s="563"/>
      <c r="DF70" s="563"/>
      <c r="DG70" s="563"/>
      <c r="DH70" s="563"/>
      <c r="DI70" s="563"/>
      <c r="DJ70" s="563"/>
      <c r="DK70" s="563"/>
      <c r="DL70" s="563"/>
      <c r="DM70" s="563"/>
      <c r="DN70" s="563"/>
      <c r="DO70" s="563"/>
      <c r="DP70" s="563"/>
      <c r="DQ70" s="563"/>
      <c r="DR70" s="560"/>
      <c r="DS70" s="563"/>
      <c r="DT70" s="563"/>
      <c r="DU70" s="563"/>
      <c r="DV70" s="563"/>
      <c r="DW70" s="563"/>
      <c r="DX70" s="563"/>
      <c r="DY70" s="563"/>
      <c r="DZ70" s="563"/>
      <c r="EA70" s="563"/>
      <c r="EB70" s="563"/>
      <c r="EC70" s="563"/>
      <c r="ED70" s="563"/>
      <c r="EE70" s="563"/>
      <c r="EF70" s="563"/>
      <c r="EG70" s="563"/>
      <c r="EH70" s="563"/>
      <c r="EI70" s="563"/>
    </row>
    <row r="71" spans="1:139" s="373" customFormat="1" ht="15.75" customHeight="1" x14ac:dyDescent="0.3">
      <c r="A71" s="346" t="s">
        <v>67</v>
      </c>
      <c r="B71" s="347" t="s">
        <v>68</v>
      </c>
      <c r="C71" s="348"/>
      <c r="D71" s="349">
        <v>100.70000000000002</v>
      </c>
      <c r="E71" s="350"/>
      <c r="F71" s="350">
        <v>0.9258152598626449</v>
      </c>
      <c r="G71" s="350"/>
      <c r="H71" s="351" t="s">
        <v>44</v>
      </c>
      <c r="I71" s="352" t="s">
        <v>44</v>
      </c>
      <c r="J71" s="353">
        <v>7581</v>
      </c>
      <c r="K71" s="354"/>
      <c r="L71" s="355" t="s">
        <v>44</v>
      </c>
      <c r="M71" s="356" t="s">
        <v>44</v>
      </c>
      <c r="N71" s="357">
        <v>7581</v>
      </c>
      <c r="O71" s="354"/>
      <c r="P71" s="351" t="s">
        <v>44</v>
      </c>
      <c r="Q71" s="352" t="s">
        <v>44</v>
      </c>
      <c r="R71" s="357">
        <v>0</v>
      </c>
      <c r="S71" s="354"/>
      <c r="T71" s="351" t="s">
        <v>44</v>
      </c>
      <c r="U71" s="352" t="s">
        <v>44</v>
      </c>
      <c r="V71" s="358">
        <v>75</v>
      </c>
      <c r="W71" s="358"/>
      <c r="X71" s="349">
        <v>102.5</v>
      </c>
      <c r="Y71" s="350"/>
      <c r="Z71" s="350">
        <v>0.93377911796591018</v>
      </c>
      <c r="AA71" s="350"/>
      <c r="AB71" s="351" t="s">
        <v>44</v>
      </c>
      <c r="AC71" s="352" t="s">
        <v>44</v>
      </c>
      <c r="AD71" s="353">
        <v>7757</v>
      </c>
      <c r="AE71" s="354"/>
      <c r="AF71" s="355" t="s">
        <v>44</v>
      </c>
      <c r="AG71" s="356" t="s">
        <v>44</v>
      </c>
      <c r="AH71" s="357">
        <v>7757</v>
      </c>
      <c r="AI71" s="354"/>
      <c r="AJ71" s="351" t="s">
        <v>44</v>
      </c>
      <c r="AK71" s="352" t="s">
        <v>44</v>
      </c>
      <c r="AL71" s="357">
        <v>0</v>
      </c>
      <c r="AM71" s="354"/>
      <c r="AN71" s="351" t="s">
        <v>44</v>
      </c>
      <c r="AO71" s="352" t="s">
        <v>44</v>
      </c>
      <c r="AP71" s="358">
        <v>76</v>
      </c>
      <c r="AQ71" s="358"/>
      <c r="AR71" s="349">
        <f>SUM(AR72:AR76)</f>
        <v>96.5</v>
      </c>
      <c r="AS71" s="350"/>
      <c r="AT71" s="837">
        <f>AR71/11091.9</f>
        <v>8.7000423732633732E-3</v>
      </c>
      <c r="AU71" s="350"/>
      <c r="AV71" s="351" t="s">
        <v>44</v>
      </c>
      <c r="AW71" s="352" t="s">
        <v>44</v>
      </c>
      <c r="AX71" s="353">
        <f t="shared" si="68"/>
        <v>7826</v>
      </c>
      <c r="AY71" s="354"/>
      <c r="AZ71" s="355" t="s">
        <v>44</v>
      </c>
      <c r="BA71" s="356" t="s">
        <v>44</v>
      </c>
      <c r="BB71" s="349">
        <f>SUM(BB72:BB76)</f>
        <v>7826</v>
      </c>
      <c r="BC71" s="354"/>
      <c r="BD71" s="351" t="s">
        <v>44</v>
      </c>
      <c r="BE71" s="352" t="s">
        <v>44</v>
      </c>
      <c r="BF71" s="357">
        <v>0</v>
      </c>
      <c r="BG71" s="354"/>
      <c r="BH71" s="351" t="s">
        <v>44</v>
      </c>
      <c r="BI71" s="352" t="s">
        <v>44</v>
      </c>
      <c r="BJ71" s="358">
        <f t="shared" si="75"/>
        <v>81.098445595854926</v>
      </c>
      <c r="BK71" s="358"/>
      <c r="BL71" s="349">
        <f>SUM(BL72:BL76)</f>
        <v>104.3</v>
      </c>
      <c r="BM71" s="350"/>
      <c r="BN71" s="834">
        <f>BL71/11156.9</f>
        <v>9.3484749347937154E-3</v>
      </c>
      <c r="BO71" s="350"/>
      <c r="BP71" s="351" t="s">
        <v>44</v>
      </c>
      <c r="BQ71" s="352" t="s">
        <v>44</v>
      </c>
      <c r="BR71" s="353">
        <f t="shared" si="69"/>
        <v>7709</v>
      </c>
      <c r="BS71" s="354"/>
      <c r="BT71" s="355" t="s">
        <v>44</v>
      </c>
      <c r="BU71" s="352" t="s">
        <v>44</v>
      </c>
      <c r="BV71" s="1013">
        <f>SUM(BV72:BV76)</f>
        <v>7709</v>
      </c>
      <c r="BW71" s="354"/>
      <c r="BX71" s="351" t="s">
        <v>44</v>
      </c>
      <c r="BY71" s="352" t="s">
        <v>44</v>
      </c>
      <c r="BZ71" s="357">
        <v>0</v>
      </c>
      <c r="CA71" s="354"/>
      <c r="CB71" s="351" t="s">
        <v>44</v>
      </c>
      <c r="CC71" s="352" t="s">
        <v>44</v>
      </c>
      <c r="CD71" s="358">
        <f t="shared" si="76"/>
        <v>73.911792905081498</v>
      </c>
      <c r="CE71" s="358"/>
      <c r="CF71" s="349">
        <f t="shared" si="80"/>
        <v>404</v>
      </c>
      <c r="CG71" s="354"/>
      <c r="CH71" s="834">
        <f>CF71/44102.6</f>
        <v>9.1604576600926024E-3</v>
      </c>
      <c r="CI71" s="360"/>
      <c r="CJ71" s="361" t="s">
        <v>44</v>
      </c>
      <c r="CK71" s="356" t="s">
        <v>44</v>
      </c>
      <c r="CL71" s="357">
        <f t="shared" si="70"/>
        <v>30873</v>
      </c>
      <c r="CM71" s="362"/>
      <c r="CN71" s="363" t="s">
        <v>44</v>
      </c>
      <c r="CO71" s="356" t="s">
        <v>44</v>
      </c>
      <c r="CP71" s="358">
        <f t="shared" si="71"/>
        <v>30873</v>
      </c>
      <c r="CQ71" s="354"/>
      <c r="CR71" s="355" t="s">
        <v>44</v>
      </c>
      <c r="CS71" s="356" t="s">
        <v>44</v>
      </c>
      <c r="CT71" s="357">
        <f t="shared" si="72"/>
        <v>0</v>
      </c>
      <c r="CU71" s="354"/>
      <c r="CV71" s="355" t="s">
        <v>44</v>
      </c>
      <c r="CW71" s="356" t="s">
        <v>44</v>
      </c>
      <c r="CX71" s="357">
        <f t="shared" si="74"/>
        <v>76.418316831683171</v>
      </c>
      <c r="CY71" s="364"/>
      <c r="CZ71" s="365">
        <f t="shared" ref="CZ71:CZ88" si="82">D71+X71</f>
        <v>203.20000000000002</v>
      </c>
      <c r="DA71" s="366">
        <f t="shared" si="77"/>
        <v>0</v>
      </c>
      <c r="DB71" s="359" t="e">
        <f>(CZ71/#REF!)*100</f>
        <v>#REF!</v>
      </c>
      <c r="DC71" s="367" t="e">
        <f>(DA71/#REF!)*100</f>
        <v>#REF!</v>
      </c>
      <c r="DD71" s="357">
        <f t="shared" ref="DD71:DO92" si="83">J71+AD71</f>
        <v>15338</v>
      </c>
      <c r="DE71" s="358">
        <f t="shared" si="83"/>
        <v>0</v>
      </c>
      <c r="DF71" s="358" t="e">
        <f t="shared" si="83"/>
        <v>#VALUE!</v>
      </c>
      <c r="DG71" s="368" t="e">
        <f t="shared" si="83"/>
        <v>#VALUE!</v>
      </c>
      <c r="DH71" s="357">
        <f t="shared" si="83"/>
        <v>15338</v>
      </c>
      <c r="DI71" s="354">
        <f t="shared" si="83"/>
        <v>0</v>
      </c>
      <c r="DJ71" s="354" t="e">
        <f t="shared" si="83"/>
        <v>#VALUE!</v>
      </c>
      <c r="DK71" s="354" t="e">
        <f t="shared" si="83"/>
        <v>#VALUE!</v>
      </c>
      <c r="DL71" s="357">
        <f t="shared" si="83"/>
        <v>0</v>
      </c>
      <c r="DM71" s="354">
        <f t="shared" si="83"/>
        <v>0</v>
      </c>
      <c r="DN71" s="354" t="e">
        <f t="shared" si="83"/>
        <v>#VALUE!</v>
      </c>
      <c r="DO71" s="362" t="e">
        <f t="shared" si="83"/>
        <v>#VALUE!</v>
      </c>
      <c r="DP71" s="357">
        <f>ROUND((DD71/CZ71),0)</f>
        <v>75</v>
      </c>
      <c r="DQ71" s="369" t="e">
        <f>ROUND((DE71/DA71),0)</f>
        <v>#DIV/0!</v>
      </c>
      <c r="DR71" s="370">
        <f t="shared" si="32"/>
        <v>203.20000000000002</v>
      </c>
      <c r="DS71" s="371">
        <f t="shared" ref="DS71:DS88" si="84">ABS((DR71/CZ71)*100)</f>
        <v>100</v>
      </c>
      <c r="DT71" s="358" t="e">
        <f t="shared" ref="DT71:DT98" si="85">(DD71+DF71)-(DE71+DG71)</f>
        <v>#VALUE!</v>
      </c>
      <c r="DU71" s="371" t="e">
        <f t="shared" ref="DU71:DU81" si="86">ABS((DT71/(DD71+DF71)*100))</f>
        <v>#VALUE!</v>
      </c>
      <c r="DV71" s="358">
        <f t="shared" ref="DV71:DV98" si="87">DD71-DE71</f>
        <v>15338</v>
      </c>
      <c r="DW71" s="359">
        <f t="shared" ref="DW71:DW81" si="88">ABS((DV71/DD71)*100)</f>
        <v>100</v>
      </c>
      <c r="DX71" s="354" t="e">
        <f t="shared" ref="DX71:DX98" si="89">DF71-DG71</f>
        <v>#VALUE!</v>
      </c>
      <c r="DY71" s="371" t="e">
        <f t="shared" ref="DY71:DY81" si="90">ABS((DX71/DF71)*100)</f>
        <v>#VALUE!</v>
      </c>
      <c r="DZ71" s="358">
        <f t="shared" ref="DZ71:DZ98" si="91">DH71-DI71</f>
        <v>15338</v>
      </c>
      <c r="EA71" s="359">
        <f t="shared" ref="EA71:EA81" si="92">ABS((DZ71/DH71)*100)</f>
        <v>100</v>
      </c>
      <c r="EB71" s="354" t="e">
        <f t="shared" ref="EB71:EB98" si="93">DJ71-DK71</f>
        <v>#VALUE!</v>
      </c>
      <c r="EC71" s="371" t="e">
        <f t="shared" ref="EC71:EC81" si="94">ABS((EB71/DJ71)*100)</f>
        <v>#VALUE!</v>
      </c>
      <c r="ED71" s="358">
        <f t="shared" ref="ED71:ED98" si="95">DL71-DM71</f>
        <v>0</v>
      </c>
      <c r="EE71" s="367">
        <v>0</v>
      </c>
      <c r="EF71" s="354" t="e">
        <f t="shared" ref="EF71:EF98" si="96">DN71-DO71</f>
        <v>#VALUE!</v>
      </c>
      <c r="EG71" s="367" t="e">
        <f t="shared" ref="EG71:EG81" si="97">ABS((EF71/DN71)*100)</f>
        <v>#VALUE!</v>
      </c>
      <c r="EH71" s="353" t="e">
        <f>DP71-DQ71</f>
        <v>#DIV/0!</v>
      </c>
      <c r="EI71" s="372" t="e">
        <f t="shared" si="34"/>
        <v>#DIV/0!</v>
      </c>
    </row>
    <row r="72" spans="1:139" s="5" customFormat="1" ht="15.75" customHeight="1" x14ac:dyDescent="0.25">
      <c r="A72" s="374"/>
      <c r="B72" s="178"/>
      <c r="C72" s="91" t="s">
        <v>45</v>
      </c>
      <c r="D72" s="92">
        <v>24.9</v>
      </c>
      <c r="E72" s="93"/>
      <c r="F72" s="93">
        <v>1.1533117183881427</v>
      </c>
      <c r="G72" s="93"/>
      <c r="H72" s="158" t="s">
        <v>44</v>
      </c>
      <c r="I72" s="159" t="s">
        <v>44</v>
      </c>
      <c r="J72" s="122">
        <v>5042</v>
      </c>
      <c r="K72" s="101"/>
      <c r="L72" s="188" t="s">
        <v>44</v>
      </c>
      <c r="M72" s="189" t="s">
        <v>44</v>
      </c>
      <c r="N72" s="184">
        <v>5042</v>
      </c>
      <c r="O72" s="97"/>
      <c r="P72" s="158" t="s">
        <v>44</v>
      </c>
      <c r="Q72" s="159" t="s">
        <v>44</v>
      </c>
      <c r="R72" s="184">
        <v>0</v>
      </c>
      <c r="S72" s="101"/>
      <c r="T72" s="158" t="s">
        <v>44</v>
      </c>
      <c r="U72" s="159" t="s">
        <v>44</v>
      </c>
      <c r="V72" s="104">
        <v>202</v>
      </c>
      <c r="W72" s="104"/>
      <c r="X72" s="92">
        <v>25.1</v>
      </c>
      <c r="Y72" s="93"/>
      <c r="Z72" s="93">
        <v>1.1492673992673994</v>
      </c>
      <c r="AA72" s="93"/>
      <c r="AB72" s="158" t="s">
        <v>44</v>
      </c>
      <c r="AC72" s="159" t="s">
        <v>44</v>
      </c>
      <c r="AD72" s="122">
        <v>5135</v>
      </c>
      <c r="AE72" s="101"/>
      <c r="AF72" s="188" t="s">
        <v>44</v>
      </c>
      <c r="AG72" s="189" t="s">
        <v>44</v>
      </c>
      <c r="AH72" s="184">
        <v>5135</v>
      </c>
      <c r="AI72" s="97"/>
      <c r="AJ72" s="158" t="s">
        <v>44</v>
      </c>
      <c r="AK72" s="159" t="s">
        <v>44</v>
      </c>
      <c r="AL72" s="184">
        <v>0</v>
      </c>
      <c r="AM72" s="101"/>
      <c r="AN72" s="158" t="s">
        <v>44</v>
      </c>
      <c r="AO72" s="159" t="s">
        <v>44</v>
      </c>
      <c r="AP72" s="104">
        <v>205</v>
      </c>
      <c r="AQ72" s="104"/>
      <c r="AR72" s="92">
        <v>26.1</v>
      </c>
      <c r="AS72" s="93"/>
      <c r="AT72" s="822">
        <f t="shared" si="78"/>
        <v>1.1820652173913045E-2</v>
      </c>
      <c r="AU72" s="93"/>
      <c r="AV72" s="158" t="s">
        <v>44</v>
      </c>
      <c r="AW72" s="159" t="s">
        <v>44</v>
      </c>
      <c r="AX72" s="122">
        <f t="shared" si="68"/>
        <v>5198</v>
      </c>
      <c r="AY72" s="101"/>
      <c r="AZ72" s="188" t="s">
        <v>44</v>
      </c>
      <c r="BA72" s="189" t="s">
        <v>44</v>
      </c>
      <c r="BB72" s="184">
        <v>5198</v>
      </c>
      <c r="BC72" s="97"/>
      <c r="BD72" s="158" t="s">
        <v>44</v>
      </c>
      <c r="BE72" s="159" t="s">
        <v>44</v>
      </c>
      <c r="BF72" s="184">
        <v>0</v>
      </c>
      <c r="BG72" s="101"/>
      <c r="BH72" s="158" t="s">
        <v>44</v>
      </c>
      <c r="BI72" s="159" t="s">
        <v>44</v>
      </c>
      <c r="BJ72" s="104">
        <f t="shared" si="75"/>
        <v>199.15708812260536</v>
      </c>
      <c r="BK72" s="104"/>
      <c r="BL72" s="92">
        <v>25.3</v>
      </c>
      <c r="BM72" s="93"/>
      <c r="BN72" s="822">
        <f t="shared" ref="BN72:BN76" si="98">BL72/2209</f>
        <v>1.1453146220009053E-2</v>
      </c>
      <c r="BO72" s="93"/>
      <c r="BP72" s="158" t="s">
        <v>44</v>
      </c>
      <c r="BQ72" s="159" t="s">
        <v>44</v>
      </c>
      <c r="BR72" s="122">
        <f t="shared" si="69"/>
        <v>5208</v>
      </c>
      <c r="BS72" s="101"/>
      <c r="BT72" s="188" t="s">
        <v>44</v>
      </c>
      <c r="BU72" s="187" t="s">
        <v>44</v>
      </c>
      <c r="BV72" s="1049">
        <v>5208</v>
      </c>
      <c r="BW72" s="97"/>
      <c r="BX72" s="158" t="s">
        <v>44</v>
      </c>
      <c r="BY72" s="159" t="s">
        <v>44</v>
      </c>
      <c r="BZ72" s="184">
        <v>0</v>
      </c>
      <c r="CA72" s="101"/>
      <c r="CB72" s="158" t="s">
        <v>44</v>
      </c>
      <c r="CC72" s="159" t="s">
        <v>44</v>
      </c>
      <c r="CD72" s="104">
        <f t="shared" si="76"/>
        <v>205.8498023715415</v>
      </c>
      <c r="CE72" s="104"/>
      <c r="CF72" s="375">
        <f t="shared" si="80"/>
        <v>101.4</v>
      </c>
      <c r="CG72" s="97"/>
      <c r="CH72" s="822">
        <f t="shared" si="79"/>
        <v>1.1575342465753426E-2</v>
      </c>
      <c r="CI72" s="179"/>
      <c r="CJ72" s="188" t="s">
        <v>44</v>
      </c>
      <c r="CK72" s="189" t="s">
        <v>44</v>
      </c>
      <c r="CL72" s="100">
        <f t="shared" si="70"/>
        <v>20583</v>
      </c>
      <c r="CM72" s="107"/>
      <c r="CN72" s="190" t="s">
        <v>44</v>
      </c>
      <c r="CO72" s="189" t="s">
        <v>44</v>
      </c>
      <c r="CP72" s="102">
        <f t="shared" si="71"/>
        <v>20583</v>
      </c>
      <c r="CQ72" s="97"/>
      <c r="CR72" s="188" t="s">
        <v>44</v>
      </c>
      <c r="CS72" s="189" t="s">
        <v>44</v>
      </c>
      <c r="CT72" s="100">
        <f t="shared" si="72"/>
        <v>0</v>
      </c>
      <c r="CU72" s="97"/>
      <c r="CV72" s="188" t="s">
        <v>44</v>
      </c>
      <c r="CW72" s="189" t="s">
        <v>44</v>
      </c>
      <c r="CX72" s="100">
        <f t="shared" si="74"/>
        <v>202.98816568047337</v>
      </c>
      <c r="CY72" s="174"/>
      <c r="CZ72" s="110">
        <f t="shared" si="82"/>
        <v>50</v>
      </c>
      <c r="DA72" s="111">
        <f t="shared" si="77"/>
        <v>0</v>
      </c>
      <c r="DB72" s="176">
        <f>(CZ72/4343)*100</f>
        <v>1.1512779184895234</v>
      </c>
      <c r="DC72" s="113">
        <f>(DA72/4343)*100</f>
        <v>0</v>
      </c>
      <c r="DD72" s="100">
        <f t="shared" si="83"/>
        <v>10177</v>
      </c>
      <c r="DE72" s="102">
        <f t="shared" si="83"/>
        <v>0</v>
      </c>
      <c r="DF72" s="102" t="e">
        <f t="shared" si="83"/>
        <v>#VALUE!</v>
      </c>
      <c r="DG72" s="114" t="e">
        <f t="shared" si="83"/>
        <v>#VALUE!</v>
      </c>
      <c r="DH72" s="100">
        <f t="shared" si="83"/>
        <v>10177</v>
      </c>
      <c r="DI72" s="97">
        <f t="shared" si="83"/>
        <v>0</v>
      </c>
      <c r="DJ72" s="97" t="e">
        <f t="shared" si="83"/>
        <v>#VALUE!</v>
      </c>
      <c r="DK72" s="97" t="e">
        <f t="shared" si="83"/>
        <v>#VALUE!</v>
      </c>
      <c r="DL72" s="100">
        <f t="shared" si="83"/>
        <v>0</v>
      </c>
      <c r="DM72" s="97">
        <f t="shared" si="83"/>
        <v>0</v>
      </c>
      <c r="DN72" s="97" t="e">
        <f t="shared" si="83"/>
        <v>#VALUE!</v>
      </c>
      <c r="DO72" s="115" t="e">
        <f t="shared" si="83"/>
        <v>#VALUE!</v>
      </c>
      <c r="DP72" s="376">
        <f t="shared" ref="DP72:DQ88" si="99">ROUND((DD72/CZ72),0)</f>
        <v>204</v>
      </c>
      <c r="DQ72" s="377" t="e">
        <f t="shared" si="99"/>
        <v>#DIV/0!</v>
      </c>
      <c r="DR72" s="117">
        <f t="shared" si="32"/>
        <v>50</v>
      </c>
      <c r="DS72" s="118">
        <f t="shared" si="84"/>
        <v>100</v>
      </c>
      <c r="DT72" s="104" t="e">
        <f t="shared" si="85"/>
        <v>#VALUE!</v>
      </c>
      <c r="DU72" s="118" t="e">
        <f t="shared" si="86"/>
        <v>#VALUE!</v>
      </c>
      <c r="DV72" s="104">
        <f t="shared" si="87"/>
        <v>10177</v>
      </c>
      <c r="DW72" s="119">
        <f t="shared" si="88"/>
        <v>100</v>
      </c>
      <c r="DX72" s="120" t="e">
        <f t="shared" si="89"/>
        <v>#VALUE!</v>
      </c>
      <c r="DY72" s="118" t="e">
        <f t="shared" si="90"/>
        <v>#VALUE!</v>
      </c>
      <c r="DZ72" s="104">
        <f t="shared" si="91"/>
        <v>10177</v>
      </c>
      <c r="EA72" s="119">
        <f t="shared" si="92"/>
        <v>100</v>
      </c>
      <c r="EB72" s="120" t="e">
        <f t="shared" si="93"/>
        <v>#VALUE!</v>
      </c>
      <c r="EC72" s="118" t="e">
        <f t="shared" si="94"/>
        <v>#VALUE!</v>
      </c>
      <c r="ED72" s="104">
        <f t="shared" si="95"/>
        <v>0</v>
      </c>
      <c r="EE72" s="121">
        <v>0</v>
      </c>
      <c r="EF72" s="120" t="e">
        <f t="shared" si="96"/>
        <v>#VALUE!</v>
      </c>
      <c r="EG72" s="121" t="e">
        <f t="shared" si="97"/>
        <v>#VALUE!</v>
      </c>
      <c r="EH72" s="122" t="e">
        <f t="shared" si="33"/>
        <v>#DIV/0!</v>
      </c>
      <c r="EI72" s="123" t="e">
        <f t="shared" si="34"/>
        <v>#DIV/0!</v>
      </c>
    </row>
    <row r="73" spans="1:139" s="124" customFormat="1" ht="15.75" customHeight="1" x14ac:dyDescent="0.25">
      <c r="A73" s="374"/>
      <c r="B73" s="90"/>
      <c r="C73" s="91" t="s">
        <v>46</v>
      </c>
      <c r="D73" s="92">
        <v>31</v>
      </c>
      <c r="E73" s="93"/>
      <c r="F73" s="93">
        <v>1.4358499305233905</v>
      </c>
      <c r="G73" s="93"/>
      <c r="H73" s="158" t="s">
        <v>44</v>
      </c>
      <c r="I73" s="159" t="s">
        <v>44</v>
      </c>
      <c r="J73" s="122">
        <v>374</v>
      </c>
      <c r="K73" s="101"/>
      <c r="L73" s="188" t="s">
        <v>44</v>
      </c>
      <c r="M73" s="189" t="s">
        <v>44</v>
      </c>
      <c r="N73" s="100">
        <v>374</v>
      </c>
      <c r="O73" s="101"/>
      <c r="P73" s="158" t="s">
        <v>44</v>
      </c>
      <c r="Q73" s="159" t="s">
        <v>44</v>
      </c>
      <c r="R73" s="100">
        <v>0</v>
      </c>
      <c r="S73" s="97"/>
      <c r="T73" s="158" t="s">
        <v>44</v>
      </c>
      <c r="U73" s="159" t="s">
        <v>44</v>
      </c>
      <c r="V73" s="104">
        <v>12</v>
      </c>
      <c r="W73" s="104"/>
      <c r="X73" s="92">
        <v>31</v>
      </c>
      <c r="Y73" s="93"/>
      <c r="Z73" s="93">
        <v>1.4194139194139195</v>
      </c>
      <c r="AA73" s="93"/>
      <c r="AB73" s="158" t="s">
        <v>44</v>
      </c>
      <c r="AC73" s="159" t="s">
        <v>44</v>
      </c>
      <c r="AD73" s="122">
        <v>400</v>
      </c>
      <c r="AE73" s="101"/>
      <c r="AF73" s="188" t="s">
        <v>44</v>
      </c>
      <c r="AG73" s="189" t="s">
        <v>44</v>
      </c>
      <c r="AH73" s="100">
        <v>400</v>
      </c>
      <c r="AI73" s="101"/>
      <c r="AJ73" s="158" t="s">
        <v>44</v>
      </c>
      <c r="AK73" s="159" t="s">
        <v>44</v>
      </c>
      <c r="AL73" s="100">
        <v>0</v>
      </c>
      <c r="AM73" s="97"/>
      <c r="AN73" s="158" t="s">
        <v>44</v>
      </c>
      <c r="AO73" s="159" t="s">
        <v>44</v>
      </c>
      <c r="AP73" s="104">
        <v>13</v>
      </c>
      <c r="AQ73" s="104"/>
      <c r="AR73" s="92">
        <v>26</v>
      </c>
      <c r="AS73" s="93"/>
      <c r="AT73" s="822">
        <f t="shared" si="78"/>
        <v>1.177536231884058E-2</v>
      </c>
      <c r="AU73" s="93"/>
      <c r="AV73" s="158" t="s">
        <v>44</v>
      </c>
      <c r="AW73" s="159" t="s">
        <v>44</v>
      </c>
      <c r="AX73" s="122">
        <f t="shared" si="68"/>
        <v>400</v>
      </c>
      <c r="AY73" s="101"/>
      <c r="AZ73" s="188" t="s">
        <v>44</v>
      </c>
      <c r="BA73" s="189" t="s">
        <v>44</v>
      </c>
      <c r="BB73" s="100">
        <v>400</v>
      </c>
      <c r="BC73" s="101"/>
      <c r="BD73" s="158" t="s">
        <v>44</v>
      </c>
      <c r="BE73" s="159" t="s">
        <v>44</v>
      </c>
      <c r="BF73" s="100">
        <v>0</v>
      </c>
      <c r="BG73" s="97"/>
      <c r="BH73" s="158" t="s">
        <v>44</v>
      </c>
      <c r="BI73" s="159" t="s">
        <v>44</v>
      </c>
      <c r="BJ73" s="104">
        <f t="shared" si="75"/>
        <v>15.384615384615385</v>
      </c>
      <c r="BK73" s="104"/>
      <c r="BL73" s="92">
        <f>31.2+0.1</f>
        <v>31.3</v>
      </c>
      <c r="BM73" s="93"/>
      <c r="BN73" s="822">
        <f t="shared" si="98"/>
        <v>1.4169307378904481E-2</v>
      </c>
      <c r="BO73" s="93"/>
      <c r="BP73" s="158" t="s">
        <v>44</v>
      </c>
      <c r="BQ73" s="159" t="s">
        <v>44</v>
      </c>
      <c r="BR73" s="122">
        <f t="shared" si="69"/>
        <v>318</v>
      </c>
      <c r="BS73" s="101"/>
      <c r="BT73" s="188" t="s">
        <v>44</v>
      </c>
      <c r="BU73" s="187" t="s">
        <v>44</v>
      </c>
      <c r="BV73" s="102">
        <v>318</v>
      </c>
      <c r="BW73" s="101"/>
      <c r="BX73" s="158" t="s">
        <v>44</v>
      </c>
      <c r="BY73" s="159" t="s">
        <v>44</v>
      </c>
      <c r="BZ73" s="100">
        <v>0</v>
      </c>
      <c r="CA73" s="97"/>
      <c r="CB73" s="158" t="s">
        <v>44</v>
      </c>
      <c r="CC73" s="159" t="s">
        <v>44</v>
      </c>
      <c r="CD73" s="104">
        <f t="shared" si="76"/>
        <v>10.159744408945686</v>
      </c>
      <c r="CE73" s="104"/>
      <c r="CF73" s="375">
        <f t="shared" si="80"/>
        <v>119.3</v>
      </c>
      <c r="CG73" s="97"/>
      <c r="CH73" s="822">
        <f t="shared" si="79"/>
        <v>1.3618721461187214E-2</v>
      </c>
      <c r="CI73" s="179"/>
      <c r="CJ73" s="188" t="s">
        <v>44</v>
      </c>
      <c r="CK73" s="189" t="s">
        <v>44</v>
      </c>
      <c r="CL73" s="100">
        <f t="shared" si="70"/>
        <v>1492</v>
      </c>
      <c r="CM73" s="107"/>
      <c r="CN73" s="190" t="s">
        <v>44</v>
      </c>
      <c r="CO73" s="189" t="s">
        <v>44</v>
      </c>
      <c r="CP73" s="102">
        <f t="shared" si="71"/>
        <v>1492</v>
      </c>
      <c r="CQ73" s="97"/>
      <c r="CR73" s="188" t="s">
        <v>44</v>
      </c>
      <c r="CS73" s="189" t="s">
        <v>44</v>
      </c>
      <c r="CT73" s="100">
        <f t="shared" si="72"/>
        <v>0</v>
      </c>
      <c r="CU73" s="97"/>
      <c r="CV73" s="188" t="s">
        <v>44</v>
      </c>
      <c r="CW73" s="189" t="s">
        <v>44</v>
      </c>
      <c r="CX73" s="100">
        <f t="shared" si="74"/>
        <v>12.50628667225482</v>
      </c>
      <c r="CY73" s="174"/>
      <c r="CZ73" s="110">
        <f t="shared" si="82"/>
        <v>62</v>
      </c>
      <c r="DA73" s="111">
        <f t="shared" si="77"/>
        <v>0</v>
      </c>
      <c r="DB73" s="176">
        <f t="shared" ref="DB73:DC76" si="100">(CZ73/4343)*100</f>
        <v>1.4275846189270089</v>
      </c>
      <c r="DC73" s="113">
        <f t="shared" si="100"/>
        <v>0</v>
      </c>
      <c r="DD73" s="100">
        <f t="shared" si="83"/>
        <v>774</v>
      </c>
      <c r="DE73" s="102">
        <f t="shared" si="83"/>
        <v>0</v>
      </c>
      <c r="DF73" s="102" t="e">
        <f t="shared" si="83"/>
        <v>#VALUE!</v>
      </c>
      <c r="DG73" s="114" t="e">
        <f t="shared" si="83"/>
        <v>#VALUE!</v>
      </c>
      <c r="DH73" s="100">
        <f t="shared" si="83"/>
        <v>774</v>
      </c>
      <c r="DI73" s="97">
        <f t="shared" si="83"/>
        <v>0</v>
      </c>
      <c r="DJ73" s="97" t="e">
        <f t="shared" si="83"/>
        <v>#VALUE!</v>
      </c>
      <c r="DK73" s="97" t="e">
        <f t="shared" si="83"/>
        <v>#VALUE!</v>
      </c>
      <c r="DL73" s="100">
        <f t="shared" si="83"/>
        <v>0</v>
      </c>
      <c r="DM73" s="97">
        <f t="shared" si="83"/>
        <v>0</v>
      </c>
      <c r="DN73" s="97" t="e">
        <f t="shared" si="83"/>
        <v>#VALUE!</v>
      </c>
      <c r="DO73" s="115" t="e">
        <f t="shared" si="83"/>
        <v>#VALUE!</v>
      </c>
      <c r="DP73" s="376">
        <f t="shared" si="99"/>
        <v>12</v>
      </c>
      <c r="DQ73" s="377" t="e">
        <f t="shared" si="99"/>
        <v>#DIV/0!</v>
      </c>
      <c r="DR73" s="117">
        <f t="shared" si="32"/>
        <v>62</v>
      </c>
      <c r="DS73" s="118">
        <f t="shared" si="84"/>
        <v>100</v>
      </c>
      <c r="DT73" s="104" t="e">
        <f t="shared" si="85"/>
        <v>#VALUE!</v>
      </c>
      <c r="DU73" s="118" t="e">
        <f t="shared" si="86"/>
        <v>#VALUE!</v>
      </c>
      <c r="DV73" s="104">
        <f t="shared" si="87"/>
        <v>774</v>
      </c>
      <c r="DW73" s="119">
        <f t="shared" si="88"/>
        <v>100</v>
      </c>
      <c r="DX73" s="120" t="e">
        <f t="shared" si="89"/>
        <v>#VALUE!</v>
      </c>
      <c r="DY73" s="118" t="e">
        <f t="shared" si="90"/>
        <v>#VALUE!</v>
      </c>
      <c r="DZ73" s="104">
        <f t="shared" si="91"/>
        <v>774</v>
      </c>
      <c r="EA73" s="119">
        <f t="shared" si="92"/>
        <v>100</v>
      </c>
      <c r="EB73" s="120" t="e">
        <f t="shared" si="93"/>
        <v>#VALUE!</v>
      </c>
      <c r="EC73" s="118" t="e">
        <f t="shared" si="94"/>
        <v>#VALUE!</v>
      </c>
      <c r="ED73" s="104">
        <f t="shared" si="95"/>
        <v>0</v>
      </c>
      <c r="EE73" s="121">
        <v>0</v>
      </c>
      <c r="EF73" s="120" t="e">
        <f t="shared" si="96"/>
        <v>#VALUE!</v>
      </c>
      <c r="EG73" s="121" t="e">
        <f t="shared" si="97"/>
        <v>#VALUE!</v>
      </c>
      <c r="EH73" s="122" t="e">
        <f t="shared" si="33"/>
        <v>#DIV/0!</v>
      </c>
      <c r="EI73" s="123" t="e">
        <f t="shared" si="34"/>
        <v>#DIV/0!</v>
      </c>
    </row>
    <row r="74" spans="1:139" s="124" customFormat="1" ht="15.75" customHeight="1" x14ac:dyDescent="0.25">
      <c r="A74" s="374"/>
      <c r="B74" s="90"/>
      <c r="C74" s="91" t="s">
        <v>47</v>
      </c>
      <c r="D74" s="92">
        <v>17</v>
      </c>
      <c r="E74" s="93"/>
      <c r="F74" s="93">
        <v>0.78740157480314954</v>
      </c>
      <c r="G74" s="93"/>
      <c r="H74" s="158" t="s">
        <v>44</v>
      </c>
      <c r="I74" s="159" t="s">
        <v>44</v>
      </c>
      <c r="J74" s="122">
        <v>982</v>
      </c>
      <c r="K74" s="101"/>
      <c r="L74" s="188" t="s">
        <v>44</v>
      </c>
      <c r="M74" s="189" t="s">
        <v>44</v>
      </c>
      <c r="N74" s="100">
        <v>982</v>
      </c>
      <c r="O74" s="101"/>
      <c r="P74" s="158" t="s">
        <v>44</v>
      </c>
      <c r="Q74" s="159" t="s">
        <v>44</v>
      </c>
      <c r="R74" s="100">
        <v>0</v>
      </c>
      <c r="S74" s="97"/>
      <c r="T74" s="158" t="s">
        <v>44</v>
      </c>
      <c r="U74" s="159" t="s">
        <v>44</v>
      </c>
      <c r="V74" s="104">
        <v>58</v>
      </c>
      <c r="W74" s="104"/>
      <c r="X74" s="92">
        <v>18.2</v>
      </c>
      <c r="Y74" s="93"/>
      <c r="Z74" s="93">
        <v>0.83333333333333337</v>
      </c>
      <c r="AA74" s="93"/>
      <c r="AB74" s="158" t="s">
        <v>44</v>
      </c>
      <c r="AC74" s="159" t="s">
        <v>44</v>
      </c>
      <c r="AD74" s="122">
        <v>1024</v>
      </c>
      <c r="AE74" s="101"/>
      <c r="AF74" s="188" t="s">
        <v>44</v>
      </c>
      <c r="AG74" s="189" t="s">
        <v>44</v>
      </c>
      <c r="AH74" s="100">
        <v>1024</v>
      </c>
      <c r="AI74" s="101"/>
      <c r="AJ74" s="158" t="s">
        <v>44</v>
      </c>
      <c r="AK74" s="159" t="s">
        <v>44</v>
      </c>
      <c r="AL74" s="100">
        <v>0</v>
      </c>
      <c r="AM74" s="97"/>
      <c r="AN74" s="158" t="s">
        <v>44</v>
      </c>
      <c r="AO74" s="159" t="s">
        <v>44</v>
      </c>
      <c r="AP74" s="104">
        <v>56</v>
      </c>
      <c r="AQ74" s="104"/>
      <c r="AR74" s="92">
        <v>16.100000000000001</v>
      </c>
      <c r="AS74" s="93"/>
      <c r="AT74" s="822">
        <f t="shared" si="78"/>
        <v>7.2916666666666676E-3</v>
      </c>
      <c r="AU74" s="93"/>
      <c r="AV74" s="158" t="s">
        <v>44</v>
      </c>
      <c r="AW74" s="159" t="s">
        <v>44</v>
      </c>
      <c r="AX74" s="122">
        <f t="shared" si="68"/>
        <v>1035</v>
      </c>
      <c r="AY74" s="101"/>
      <c r="AZ74" s="188" t="s">
        <v>44</v>
      </c>
      <c r="BA74" s="189" t="s">
        <v>44</v>
      </c>
      <c r="BB74" s="100">
        <v>1035</v>
      </c>
      <c r="BC74" s="101"/>
      <c r="BD74" s="158" t="s">
        <v>44</v>
      </c>
      <c r="BE74" s="159" t="s">
        <v>44</v>
      </c>
      <c r="BF74" s="100">
        <v>0</v>
      </c>
      <c r="BG74" s="97"/>
      <c r="BH74" s="158" t="s">
        <v>44</v>
      </c>
      <c r="BI74" s="159" t="s">
        <v>44</v>
      </c>
      <c r="BJ74" s="104">
        <f t="shared" si="75"/>
        <v>64.285714285714278</v>
      </c>
      <c r="BK74" s="104"/>
      <c r="BL74" s="92">
        <v>18.5</v>
      </c>
      <c r="BM74" s="93"/>
      <c r="BN74" s="822">
        <f t="shared" si="98"/>
        <v>8.3748302399275689E-3</v>
      </c>
      <c r="BO74" s="93"/>
      <c r="BP74" s="158" t="s">
        <v>44</v>
      </c>
      <c r="BQ74" s="159" t="s">
        <v>44</v>
      </c>
      <c r="BR74" s="122">
        <f t="shared" si="69"/>
        <v>1041</v>
      </c>
      <c r="BS74" s="101"/>
      <c r="BT74" s="188" t="s">
        <v>44</v>
      </c>
      <c r="BU74" s="187" t="s">
        <v>44</v>
      </c>
      <c r="BV74" s="102">
        <v>1041</v>
      </c>
      <c r="BW74" s="101"/>
      <c r="BX74" s="158" t="s">
        <v>44</v>
      </c>
      <c r="BY74" s="159" t="s">
        <v>44</v>
      </c>
      <c r="BZ74" s="100">
        <v>0</v>
      </c>
      <c r="CA74" s="97"/>
      <c r="CB74" s="158" t="s">
        <v>44</v>
      </c>
      <c r="CC74" s="159" t="s">
        <v>44</v>
      </c>
      <c r="CD74" s="104">
        <f t="shared" si="76"/>
        <v>56.270270270270274</v>
      </c>
      <c r="CE74" s="104"/>
      <c r="CF74" s="375">
        <f t="shared" si="80"/>
        <v>69.8</v>
      </c>
      <c r="CG74" s="97"/>
      <c r="CH74" s="822">
        <f t="shared" si="79"/>
        <v>7.9680365296803651E-3</v>
      </c>
      <c r="CI74" s="179"/>
      <c r="CJ74" s="188" t="s">
        <v>44</v>
      </c>
      <c r="CK74" s="189" t="s">
        <v>44</v>
      </c>
      <c r="CL74" s="100">
        <f t="shared" si="70"/>
        <v>4082</v>
      </c>
      <c r="CM74" s="107"/>
      <c r="CN74" s="190" t="s">
        <v>44</v>
      </c>
      <c r="CO74" s="189" t="s">
        <v>44</v>
      </c>
      <c r="CP74" s="102">
        <f t="shared" si="71"/>
        <v>4082</v>
      </c>
      <c r="CQ74" s="97"/>
      <c r="CR74" s="188" t="s">
        <v>44</v>
      </c>
      <c r="CS74" s="189" t="s">
        <v>44</v>
      </c>
      <c r="CT74" s="100">
        <f t="shared" si="72"/>
        <v>0</v>
      </c>
      <c r="CU74" s="97"/>
      <c r="CV74" s="188" t="s">
        <v>44</v>
      </c>
      <c r="CW74" s="189" t="s">
        <v>44</v>
      </c>
      <c r="CX74" s="100">
        <f t="shared" si="74"/>
        <v>58.48137535816619</v>
      </c>
      <c r="CY74" s="174"/>
      <c r="CZ74" s="110">
        <f t="shared" si="82"/>
        <v>35.200000000000003</v>
      </c>
      <c r="DA74" s="111">
        <f t="shared" si="77"/>
        <v>0</v>
      </c>
      <c r="DB74" s="176">
        <f t="shared" si="100"/>
        <v>0.81049965461662454</v>
      </c>
      <c r="DC74" s="113">
        <f t="shared" si="100"/>
        <v>0</v>
      </c>
      <c r="DD74" s="100">
        <f t="shared" si="83"/>
        <v>2006</v>
      </c>
      <c r="DE74" s="102">
        <f t="shared" si="83"/>
        <v>0</v>
      </c>
      <c r="DF74" s="102" t="e">
        <f t="shared" si="83"/>
        <v>#VALUE!</v>
      </c>
      <c r="DG74" s="114" t="e">
        <f t="shared" si="83"/>
        <v>#VALUE!</v>
      </c>
      <c r="DH74" s="100">
        <f t="shared" si="83"/>
        <v>2006</v>
      </c>
      <c r="DI74" s="97">
        <f t="shared" si="83"/>
        <v>0</v>
      </c>
      <c r="DJ74" s="97" t="e">
        <f t="shared" si="83"/>
        <v>#VALUE!</v>
      </c>
      <c r="DK74" s="97" t="e">
        <f t="shared" si="83"/>
        <v>#VALUE!</v>
      </c>
      <c r="DL74" s="100">
        <f t="shared" si="83"/>
        <v>0</v>
      </c>
      <c r="DM74" s="97">
        <f t="shared" si="83"/>
        <v>0</v>
      </c>
      <c r="DN74" s="97" t="e">
        <f t="shared" si="83"/>
        <v>#VALUE!</v>
      </c>
      <c r="DO74" s="115" t="e">
        <f t="shared" si="83"/>
        <v>#VALUE!</v>
      </c>
      <c r="DP74" s="376">
        <f t="shared" si="99"/>
        <v>57</v>
      </c>
      <c r="DQ74" s="377" t="e">
        <f t="shared" si="99"/>
        <v>#DIV/0!</v>
      </c>
      <c r="DR74" s="117">
        <f t="shared" si="32"/>
        <v>35.200000000000003</v>
      </c>
      <c r="DS74" s="118">
        <f t="shared" si="84"/>
        <v>100</v>
      </c>
      <c r="DT74" s="104" t="e">
        <f t="shared" si="85"/>
        <v>#VALUE!</v>
      </c>
      <c r="DU74" s="118" t="e">
        <f t="shared" si="86"/>
        <v>#VALUE!</v>
      </c>
      <c r="DV74" s="104">
        <f t="shared" si="87"/>
        <v>2006</v>
      </c>
      <c r="DW74" s="119">
        <f t="shared" si="88"/>
        <v>100</v>
      </c>
      <c r="DX74" s="120" t="e">
        <f t="shared" si="89"/>
        <v>#VALUE!</v>
      </c>
      <c r="DY74" s="118" t="e">
        <f t="shared" si="90"/>
        <v>#VALUE!</v>
      </c>
      <c r="DZ74" s="104">
        <f t="shared" si="91"/>
        <v>2006</v>
      </c>
      <c r="EA74" s="119">
        <f t="shared" si="92"/>
        <v>100</v>
      </c>
      <c r="EB74" s="120" t="e">
        <f t="shared" si="93"/>
        <v>#VALUE!</v>
      </c>
      <c r="EC74" s="118" t="e">
        <f t="shared" si="94"/>
        <v>#VALUE!</v>
      </c>
      <c r="ED74" s="104">
        <f t="shared" si="95"/>
        <v>0</v>
      </c>
      <c r="EE74" s="121">
        <v>0</v>
      </c>
      <c r="EF74" s="120" t="e">
        <f t="shared" si="96"/>
        <v>#VALUE!</v>
      </c>
      <c r="EG74" s="121" t="e">
        <f t="shared" si="97"/>
        <v>#VALUE!</v>
      </c>
      <c r="EH74" s="122" t="e">
        <f t="shared" si="33"/>
        <v>#DIV/0!</v>
      </c>
      <c r="EI74" s="123" t="e">
        <f t="shared" si="34"/>
        <v>#DIV/0!</v>
      </c>
    </row>
    <row r="75" spans="1:139" ht="15.75" customHeight="1" x14ac:dyDescent="0.25">
      <c r="A75" s="374"/>
      <c r="B75" s="169"/>
      <c r="C75" s="91" t="s">
        <v>48</v>
      </c>
      <c r="D75" s="92">
        <v>15.4</v>
      </c>
      <c r="E75" s="93"/>
      <c r="F75" s="93">
        <v>0.71329319129226487</v>
      </c>
      <c r="G75" s="93"/>
      <c r="H75" s="158" t="s">
        <v>44</v>
      </c>
      <c r="I75" s="159" t="s">
        <v>44</v>
      </c>
      <c r="J75" s="122">
        <v>1183</v>
      </c>
      <c r="K75" s="101"/>
      <c r="L75" s="188" t="s">
        <v>44</v>
      </c>
      <c r="M75" s="189" t="s">
        <v>44</v>
      </c>
      <c r="N75" s="100">
        <v>1183</v>
      </c>
      <c r="O75" s="126"/>
      <c r="P75" s="158" t="s">
        <v>44</v>
      </c>
      <c r="Q75" s="159" t="s">
        <v>44</v>
      </c>
      <c r="R75" s="100">
        <v>0</v>
      </c>
      <c r="S75" s="97"/>
      <c r="T75" s="158" t="s">
        <v>44</v>
      </c>
      <c r="U75" s="159" t="s">
        <v>44</v>
      </c>
      <c r="V75" s="104">
        <v>77</v>
      </c>
      <c r="W75" s="104"/>
      <c r="X75" s="92">
        <v>15.5</v>
      </c>
      <c r="Y75" s="93"/>
      <c r="Z75" s="93">
        <v>0.70970695970695974</v>
      </c>
      <c r="AA75" s="93"/>
      <c r="AB75" s="158" t="s">
        <v>44</v>
      </c>
      <c r="AC75" s="159" t="s">
        <v>44</v>
      </c>
      <c r="AD75" s="122">
        <v>1198</v>
      </c>
      <c r="AE75" s="101"/>
      <c r="AF75" s="188" t="s">
        <v>44</v>
      </c>
      <c r="AG75" s="189" t="s">
        <v>44</v>
      </c>
      <c r="AH75" s="100">
        <v>1198</v>
      </c>
      <c r="AI75" s="126"/>
      <c r="AJ75" s="158" t="s">
        <v>44</v>
      </c>
      <c r="AK75" s="159" t="s">
        <v>44</v>
      </c>
      <c r="AL75" s="100">
        <v>0</v>
      </c>
      <c r="AM75" s="97"/>
      <c r="AN75" s="158" t="s">
        <v>44</v>
      </c>
      <c r="AO75" s="159" t="s">
        <v>44</v>
      </c>
      <c r="AP75" s="104">
        <v>77</v>
      </c>
      <c r="AQ75" s="104"/>
      <c r="AR75" s="92">
        <f>13.8+1.5+0.2</f>
        <v>15.5</v>
      </c>
      <c r="AS75" s="93"/>
      <c r="AT75" s="822">
        <f t="shared" si="78"/>
        <v>7.019927536231884E-3</v>
      </c>
      <c r="AU75" s="93"/>
      <c r="AV75" s="158" t="s">
        <v>44</v>
      </c>
      <c r="AW75" s="159" t="s">
        <v>44</v>
      </c>
      <c r="AX75" s="122">
        <f t="shared" si="68"/>
        <v>1193</v>
      </c>
      <c r="AY75" s="101"/>
      <c r="AZ75" s="188" t="s">
        <v>44</v>
      </c>
      <c r="BA75" s="189" t="s">
        <v>44</v>
      </c>
      <c r="BB75" s="100">
        <v>1193</v>
      </c>
      <c r="BC75" s="126"/>
      <c r="BD75" s="158" t="s">
        <v>44</v>
      </c>
      <c r="BE75" s="159" t="s">
        <v>44</v>
      </c>
      <c r="BF75" s="100">
        <v>0</v>
      </c>
      <c r="BG75" s="97"/>
      <c r="BH75" s="158" t="s">
        <v>44</v>
      </c>
      <c r="BI75" s="159" t="s">
        <v>44</v>
      </c>
      <c r="BJ75" s="104">
        <f t="shared" si="75"/>
        <v>76.967741935483872</v>
      </c>
      <c r="BK75" s="104"/>
      <c r="BL75" s="92">
        <v>16.5</v>
      </c>
      <c r="BM75" s="93"/>
      <c r="BN75" s="822">
        <f t="shared" si="98"/>
        <v>7.4694431869624265E-3</v>
      </c>
      <c r="BO75" s="93"/>
      <c r="BP75" s="158" t="s">
        <v>44</v>
      </c>
      <c r="BQ75" s="159" t="s">
        <v>44</v>
      </c>
      <c r="BR75" s="122">
        <f t="shared" si="69"/>
        <v>1142</v>
      </c>
      <c r="BS75" s="101"/>
      <c r="BT75" s="188" t="s">
        <v>44</v>
      </c>
      <c r="BU75" s="187" t="s">
        <v>44</v>
      </c>
      <c r="BV75" s="102">
        <v>1142</v>
      </c>
      <c r="BW75" s="126"/>
      <c r="BX75" s="158" t="s">
        <v>44</v>
      </c>
      <c r="BY75" s="159" t="s">
        <v>44</v>
      </c>
      <c r="BZ75" s="100">
        <v>0</v>
      </c>
      <c r="CA75" s="97"/>
      <c r="CB75" s="158" t="s">
        <v>44</v>
      </c>
      <c r="CC75" s="159" t="s">
        <v>44</v>
      </c>
      <c r="CD75" s="104">
        <f t="shared" si="76"/>
        <v>69.212121212121218</v>
      </c>
      <c r="CE75" s="104"/>
      <c r="CF75" s="375">
        <f t="shared" si="80"/>
        <v>62.9</v>
      </c>
      <c r="CG75" s="97"/>
      <c r="CH75" s="822">
        <f t="shared" si="79"/>
        <v>7.180365296803653E-3</v>
      </c>
      <c r="CI75" s="179"/>
      <c r="CJ75" s="188" t="s">
        <v>44</v>
      </c>
      <c r="CK75" s="189" t="s">
        <v>44</v>
      </c>
      <c r="CL75" s="100">
        <f t="shared" si="70"/>
        <v>4716</v>
      </c>
      <c r="CM75" s="107"/>
      <c r="CN75" s="190" t="s">
        <v>44</v>
      </c>
      <c r="CO75" s="189" t="s">
        <v>44</v>
      </c>
      <c r="CP75" s="102">
        <f t="shared" si="71"/>
        <v>4716</v>
      </c>
      <c r="CQ75" s="97"/>
      <c r="CR75" s="188" t="s">
        <v>44</v>
      </c>
      <c r="CS75" s="189" t="s">
        <v>44</v>
      </c>
      <c r="CT75" s="100">
        <f t="shared" si="72"/>
        <v>0</v>
      </c>
      <c r="CU75" s="97"/>
      <c r="CV75" s="188" t="s">
        <v>44</v>
      </c>
      <c r="CW75" s="189" t="s">
        <v>44</v>
      </c>
      <c r="CX75" s="100">
        <f t="shared" si="74"/>
        <v>74.976152623211448</v>
      </c>
      <c r="CY75" s="174"/>
      <c r="CZ75" s="110">
        <f t="shared" si="82"/>
        <v>30.9</v>
      </c>
      <c r="DA75" s="111">
        <f t="shared" si="77"/>
        <v>0</v>
      </c>
      <c r="DB75" s="176">
        <f t="shared" si="100"/>
        <v>0.71148975362652533</v>
      </c>
      <c r="DC75" s="113">
        <f t="shared" si="100"/>
        <v>0</v>
      </c>
      <c r="DD75" s="100">
        <f t="shared" si="83"/>
        <v>2381</v>
      </c>
      <c r="DE75" s="102">
        <f t="shared" si="83"/>
        <v>0</v>
      </c>
      <c r="DF75" s="102" t="e">
        <f t="shared" si="83"/>
        <v>#VALUE!</v>
      </c>
      <c r="DG75" s="114" t="e">
        <f t="shared" si="83"/>
        <v>#VALUE!</v>
      </c>
      <c r="DH75" s="100">
        <f t="shared" si="83"/>
        <v>2381</v>
      </c>
      <c r="DI75" s="97">
        <f t="shared" si="83"/>
        <v>0</v>
      </c>
      <c r="DJ75" s="97" t="e">
        <f t="shared" si="83"/>
        <v>#VALUE!</v>
      </c>
      <c r="DK75" s="97" t="e">
        <f t="shared" si="83"/>
        <v>#VALUE!</v>
      </c>
      <c r="DL75" s="100">
        <f t="shared" si="83"/>
        <v>0</v>
      </c>
      <c r="DM75" s="97">
        <f t="shared" si="83"/>
        <v>0</v>
      </c>
      <c r="DN75" s="97" t="e">
        <f t="shared" si="83"/>
        <v>#VALUE!</v>
      </c>
      <c r="DO75" s="115" t="e">
        <f t="shared" si="83"/>
        <v>#VALUE!</v>
      </c>
      <c r="DP75" s="376">
        <f t="shared" si="99"/>
        <v>77</v>
      </c>
      <c r="DQ75" s="377" t="e">
        <f t="shared" si="99"/>
        <v>#DIV/0!</v>
      </c>
      <c r="DR75" s="117">
        <f t="shared" si="32"/>
        <v>30.9</v>
      </c>
      <c r="DS75" s="118">
        <f t="shared" si="84"/>
        <v>100</v>
      </c>
      <c r="DT75" s="104" t="e">
        <f t="shared" si="85"/>
        <v>#VALUE!</v>
      </c>
      <c r="DU75" s="118" t="e">
        <f t="shared" si="86"/>
        <v>#VALUE!</v>
      </c>
      <c r="DV75" s="104">
        <f t="shared" si="87"/>
        <v>2381</v>
      </c>
      <c r="DW75" s="119">
        <f t="shared" si="88"/>
        <v>100</v>
      </c>
      <c r="DX75" s="120" t="e">
        <f t="shared" si="89"/>
        <v>#VALUE!</v>
      </c>
      <c r="DY75" s="118" t="e">
        <f t="shared" si="90"/>
        <v>#VALUE!</v>
      </c>
      <c r="DZ75" s="104">
        <f t="shared" si="91"/>
        <v>2381</v>
      </c>
      <c r="EA75" s="119">
        <f t="shared" si="92"/>
        <v>100</v>
      </c>
      <c r="EB75" s="120" t="e">
        <f t="shared" si="93"/>
        <v>#VALUE!</v>
      </c>
      <c r="EC75" s="118" t="e">
        <f t="shared" si="94"/>
        <v>#VALUE!</v>
      </c>
      <c r="ED75" s="104">
        <f t="shared" si="95"/>
        <v>0</v>
      </c>
      <c r="EE75" s="121">
        <v>0</v>
      </c>
      <c r="EF75" s="120" t="e">
        <f t="shared" si="96"/>
        <v>#VALUE!</v>
      </c>
      <c r="EG75" s="121" t="e">
        <f t="shared" si="97"/>
        <v>#VALUE!</v>
      </c>
      <c r="EH75" s="122" t="e">
        <f t="shared" si="33"/>
        <v>#DIV/0!</v>
      </c>
      <c r="EI75" s="123" t="e">
        <f t="shared" si="34"/>
        <v>#DIV/0!</v>
      </c>
    </row>
    <row r="76" spans="1:139" s="410" customFormat="1" ht="15.75" customHeight="1" x14ac:dyDescent="0.25">
      <c r="A76" s="378"/>
      <c r="B76" s="379"/>
      <c r="C76" s="380" t="s">
        <v>49</v>
      </c>
      <c r="D76" s="381">
        <v>12.4</v>
      </c>
      <c r="E76" s="382"/>
      <c r="F76" s="382">
        <v>0.57433997220935618</v>
      </c>
      <c r="G76" s="382"/>
      <c r="H76" s="383" t="s">
        <v>44</v>
      </c>
      <c r="I76" s="384" t="s">
        <v>44</v>
      </c>
      <c r="J76" s="385">
        <v>0</v>
      </c>
      <c r="K76" s="386"/>
      <c r="L76" s="387" t="s">
        <v>44</v>
      </c>
      <c r="M76" s="388" t="s">
        <v>44</v>
      </c>
      <c r="N76" s="389">
        <v>0</v>
      </c>
      <c r="O76" s="390"/>
      <c r="P76" s="383" t="s">
        <v>44</v>
      </c>
      <c r="Q76" s="384" t="s">
        <v>44</v>
      </c>
      <c r="R76" s="389">
        <v>0</v>
      </c>
      <c r="S76" s="391"/>
      <c r="T76" s="383" t="s">
        <v>44</v>
      </c>
      <c r="U76" s="384" t="s">
        <v>44</v>
      </c>
      <c r="V76" s="389">
        <v>0</v>
      </c>
      <c r="W76" s="392"/>
      <c r="X76" s="381">
        <v>12.7</v>
      </c>
      <c r="Y76" s="382"/>
      <c r="Z76" s="382">
        <v>0.58150183150183143</v>
      </c>
      <c r="AA76" s="382"/>
      <c r="AB76" s="383" t="s">
        <v>44</v>
      </c>
      <c r="AC76" s="384" t="s">
        <v>44</v>
      </c>
      <c r="AD76" s="385">
        <v>0</v>
      </c>
      <c r="AE76" s="386"/>
      <c r="AF76" s="387" t="s">
        <v>44</v>
      </c>
      <c r="AG76" s="388" t="s">
        <v>44</v>
      </c>
      <c r="AH76" s="389">
        <v>0</v>
      </c>
      <c r="AI76" s="390"/>
      <c r="AJ76" s="383" t="s">
        <v>44</v>
      </c>
      <c r="AK76" s="384" t="s">
        <v>44</v>
      </c>
      <c r="AL76" s="389">
        <v>0</v>
      </c>
      <c r="AM76" s="391"/>
      <c r="AN76" s="383" t="s">
        <v>44</v>
      </c>
      <c r="AO76" s="384" t="s">
        <v>44</v>
      </c>
      <c r="AP76" s="389">
        <v>0</v>
      </c>
      <c r="AQ76" s="392"/>
      <c r="AR76" s="381">
        <v>12.8</v>
      </c>
      <c r="AS76" s="382"/>
      <c r="AT76" s="829">
        <f t="shared" si="78"/>
        <v>5.7971014492753624E-3</v>
      </c>
      <c r="AU76" s="382"/>
      <c r="AV76" s="383" t="s">
        <v>44</v>
      </c>
      <c r="AW76" s="384" t="s">
        <v>44</v>
      </c>
      <c r="AX76" s="385">
        <f t="shared" si="68"/>
        <v>0</v>
      </c>
      <c r="AY76" s="386"/>
      <c r="AZ76" s="387" t="s">
        <v>44</v>
      </c>
      <c r="BA76" s="388" t="s">
        <v>44</v>
      </c>
      <c r="BB76" s="389">
        <v>0</v>
      </c>
      <c r="BC76" s="390"/>
      <c r="BD76" s="383" t="s">
        <v>44</v>
      </c>
      <c r="BE76" s="384" t="s">
        <v>44</v>
      </c>
      <c r="BF76" s="389">
        <v>0</v>
      </c>
      <c r="BG76" s="391"/>
      <c r="BH76" s="383" t="s">
        <v>44</v>
      </c>
      <c r="BI76" s="384" t="s">
        <v>44</v>
      </c>
      <c r="BJ76" s="389">
        <f t="shared" si="75"/>
        <v>0</v>
      </c>
      <c r="BK76" s="392"/>
      <c r="BL76" s="381">
        <f>12.8-0.1</f>
        <v>12.700000000000001</v>
      </c>
      <c r="BM76" s="382"/>
      <c r="BN76" s="829">
        <f t="shared" si="98"/>
        <v>5.7492077863286559E-3</v>
      </c>
      <c r="BO76" s="382"/>
      <c r="BP76" s="383" t="s">
        <v>44</v>
      </c>
      <c r="BQ76" s="384" t="s">
        <v>44</v>
      </c>
      <c r="BR76" s="385">
        <f t="shared" si="69"/>
        <v>0</v>
      </c>
      <c r="BS76" s="386"/>
      <c r="BT76" s="387" t="s">
        <v>44</v>
      </c>
      <c r="BU76" s="1051" t="s">
        <v>44</v>
      </c>
      <c r="BV76" s="397">
        <v>0</v>
      </c>
      <c r="BW76" s="390"/>
      <c r="BX76" s="383" t="s">
        <v>44</v>
      </c>
      <c r="BY76" s="384" t="s">
        <v>44</v>
      </c>
      <c r="BZ76" s="389">
        <v>0</v>
      </c>
      <c r="CA76" s="391"/>
      <c r="CB76" s="383" t="s">
        <v>44</v>
      </c>
      <c r="CC76" s="384" t="s">
        <v>44</v>
      </c>
      <c r="CD76" s="389">
        <f t="shared" si="76"/>
        <v>0</v>
      </c>
      <c r="CE76" s="392"/>
      <c r="CF76" s="393">
        <f t="shared" si="80"/>
        <v>50.6</v>
      </c>
      <c r="CG76" s="391"/>
      <c r="CH76" s="829">
        <f t="shared" si="79"/>
        <v>5.776255707762557E-3</v>
      </c>
      <c r="CI76" s="394"/>
      <c r="CJ76" s="387" t="s">
        <v>44</v>
      </c>
      <c r="CK76" s="388" t="s">
        <v>44</v>
      </c>
      <c r="CL76" s="389">
        <f t="shared" si="70"/>
        <v>0</v>
      </c>
      <c r="CM76" s="395"/>
      <c r="CN76" s="396" t="s">
        <v>44</v>
      </c>
      <c r="CO76" s="388" t="s">
        <v>44</v>
      </c>
      <c r="CP76" s="397">
        <f t="shared" si="71"/>
        <v>0</v>
      </c>
      <c r="CQ76" s="391"/>
      <c r="CR76" s="387" t="s">
        <v>44</v>
      </c>
      <c r="CS76" s="388" t="s">
        <v>44</v>
      </c>
      <c r="CT76" s="389">
        <f t="shared" si="72"/>
        <v>0</v>
      </c>
      <c r="CU76" s="391"/>
      <c r="CV76" s="387" t="s">
        <v>44</v>
      </c>
      <c r="CW76" s="388" t="s">
        <v>44</v>
      </c>
      <c r="CX76" s="389">
        <f t="shared" si="74"/>
        <v>0</v>
      </c>
      <c r="CY76" s="398"/>
      <c r="CZ76" s="399">
        <f t="shared" si="82"/>
        <v>25.1</v>
      </c>
      <c r="DA76" s="400">
        <f t="shared" si="77"/>
        <v>0</v>
      </c>
      <c r="DB76" s="176">
        <f t="shared" si="100"/>
        <v>0.57794151508174074</v>
      </c>
      <c r="DC76" s="401">
        <f t="shared" si="100"/>
        <v>0</v>
      </c>
      <c r="DD76" s="402">
        <f t="shared" si="83"/>
        <v>0</v>
      </c>
      <c r="DE76" s="402">
        <f t="shared" si="83"/>
        <v>0</v>
      </c>
      <c r="DF76" s="402" t="e">
        <f t="shared" si="83"/>
        <v>#VALUE!</v>
      </c>
      <c r="DG76" s="403" t="e">
        <f t="shared" si="83"/>
        <v>#VALUE!</v>
      </c>
      <c r="DH76" s="389">
        <f t="shared" si="83"/>
        <v>0</v>
      </c>
      <c r="DI76" s="391">
        <f t="shared" si="83"/>
        <v>0</v>
      </c>
      <c r="DJ76" s="391" t="e">
        <f t="shared" si="83"/>
        <v>#VALUE!</v>
      </c>
      <c r="DK76" s="391" t="e">
        <f t="shared" si="83"/>
        <v>#VALUE!</v>
      </c>
      <c r="DL76" s="389">
        <f t="shared" si="83"/>
        <v>0</v>
      </c>
      <c r="DM76" s="391">
        <f t="shared" si="83"/>
        <v>0</v>
      </c>
      <c r="DN76" s="391" t="e">
        <f t="shared" si="83"/>
        <v>#VALUE!</v>
      </c>
      <c r="DO76" s="404" t="e">
        <f t="shared" si="83"/>
        <v>#VALUE!</v>
      </c>
      <c r="DP76" s="389">
        <f t="shared" si="99"/>
        <v>0</v>
      </c>
      <c r="DQ76" s="392" t="e">
        <f t="shared" si="99"/>
        <v>#DIV/0!</v>
      </c>
      <c r="DR76" s="405">
        <f t="shared" si="32"/>
        <v>25.1</v>
      </c>
      <c r="DS76" s="406">
        <f t="shared" si="84"/>
        <v>100</v>
      </c>
      <c r="DT76" s="397" t="e">
        <f t="shared" si="85"/>
        <v>#VALUE!</v>
      </c>
      <c r="DU76" s="406" t="e">
        <f t="shared" si="86"/>
        <v>#VALUE!</v>
      </c>
      <c r="DV76" s="397">
        <f t="shared" si="87"/>
        <v>0</v>
      </c>
      <c r="DW76" s="407" t="e">
        <f t="shared" si="88"/>
        <v>#DIV/0!</v>
      </c>
      <c r="DX76" s="391" t="e">
        <f t="shared" si="89"/>
        <v>#VALUE!</v>
      </c>
      <c r="DY76" s="406" t="e">
        <f t="shared" si="90"/>
        <v>#VALUE!</v>
      </c>
      <c r="DZ76" s="397">
        <f t="shared" si="91"/>
        <v>0</v>
      </c>
      <c r="EA76" s="407" t="e">
        <f t="shared" si="92"/>
        <v>#DIV/0!</v>
      </c>
      <c r="EB76" s="391" t="e">
        <f t="shared" si="93"/>
        <v>#VALUE!</v>
      </c>
      <c r="EC76" s="406" t="e">
        <f t="shared" si="94"/>
        <v>#VALUE!</v>
      </c>
      <c r="ED76" s="397">
        <f t="shared" si="95"/>
        <v>0</v>
      </c>
      <c r="EE76" s="408">
        <v>0</v>
      </c>
      <c r="EF76" s="391" t="e">
        <f t="shared" si="96"/>
        <v>#VALUE!</v>
      </c>
      <c r="EG76" s="406" t="e">
        <f t="shared" si="97"/>
        <v>#VALUE!</v>
      </c>
      <c r="EH76" s="385" t="e">
        <f t="shared" si="33"/>
        <v>#DIV/0!</v>
      </c>
      <c r="EI76" s="409" t="e">
        <f t="shared" si="34"/>
        <v>#DIV/0!</v>
      </c>
    </row>
    <row r="77" spans="1:139" s="373" customFormat="1" ht="16.5" customHeight="1" x14ac:dyDescent="0.25">
      <c r="A77" s="1072" t="s">
        <v>69</v>
      </c>
      <c r="B77" s="347" t="s">
        <v>70</v>
      </c>
      <c r="C77" s="348"/>
      <c r="D77" s="349">
        <v>25.2</v>
      </c>
      <c r="E77" s="350"/>
      <c r="F77" s="350">
        <v>0.23168365986632219</v>
      </c>
      <c r="G77" s="350"/>
      <c r="H77" s="351" t="s">
        <v>44</v>
      </c>
      <c r="I77" s="352" t="s">
        <v>44</v>
      </c>
      <c r="J77" s="353">
        <v>298</v>
      </c>
      <c r="K77" s="354"/>
      <c r="L77" s="355" t="s">
        <v>44</v>
      </c>
      <c r="M77" s="356" t="s">
        <v>44</v>
      </c>
      <c r="N77" s="411">
        <v>298</v>
      </c>
      <c r="O77" s="412"/>
      <c r="P77" s="351" t="s">
        <v>44</v>
      </c>
      <c r="Q77" s="352" t="s">
        <v>44</v>
      </c>
      <c r="R77" s="411">
        <v>0</v>
      </c>
      <c r="S77" s="412"/>
      <c r="T77" s="351" t="s">
        <v>44</v>
      </c>
      <c r="U77" s="352" t="s">
        <v>44</v>
      </c>
      <c r="V77" s="358">
        <v>12</v>
      </c>
      <c r="W77" s="358"/>
      <c r="X77" s="349">
        <v>25.099999999999998</v>
      </c>
      <c r="Y77" s="350"/>
      <c r="Z77" s="350">
        <v>0.228662008399457</v>
      </c>
      <c r="AA77" s="350"/>
      <c r="AB77" s="351" t="s">
        <v>44</v>
      </c>
      <c r="AC77" s="352" t="s">
        <v>44</v>
      </c>
      <c r="AD77" s="353">
        <v>319</v>
      </c>
      <c r="AE77" s="354"/>
      <c r="AF77" s="355" t="s">
        <v>44</v>
      </c>
      <c r="AG77" s="356" t="s">
        <v>44</v>
      </c>
      <c r="AH77" s="411">
        <v>319</v>
      </c>
      <c r="AI77" s="412"/>
      <c r="AJ77" s="351" t="s">
        <v>44</v>
      </c>
      <c r="AK77" s="352" t="s">
        <v>44</v>
      </c>
      <c r="AL77" s="411">
        <v>0</v>
      </c>
      <c r="AM77" s="412"/>
      <c r="AN77" s="351" t="s">
        <v>44</v>
      </c>
      <c r="AO77" s="352" t="s">
        <v>44</v>
      </c>
      <c r="AP77" s="358">
        <v>13</v>
      </c>
      <c r="AQ77" s="358"/>
      <c r="AR77" s="349">
        <f>SUM(AR78:AR82)</f>
        <v>24.8</v>
      </c>
      <c r="AS77" s="350"/>
      <c r="AT77" s="837">
        <f>AR77/11091.9</f>
        <v>2.2358658119889289E-3</v>
      </c>
      <c r="AU77" s="350"/>
      <c r="AV77" s="351" t="s">
        <v>44</v>
      </c>
      <c r="AW77" s="352" t="s">
        <v>44</v>
      </c>
      <c r="AX77" s="353">
        <f t="shared" si="68"/>
        <v>320</v>
      </c>
      <c r="AY77" s="354"/>
      <c r="AZ77" s="355" t="s">
        <v>44</v>
      </c>
      <c r="BA77" s="356" t="s">
        <v>44</v>
      </c>
      <c r="BB77" s="349">
        <f>SUM(BB78:BB82)</f>
        <v>320</v>
      </c>
      <c r="BC77" s="412"/>
      <c r="BD77" s="351" t="s">
        <v>44</v>
      </c>
      <c r="BE77" s="352" t="s">
        <v>44</v>
      </c>
      <c r="BF77" s="411">
        <v>0</v>
      </c>
      <c r="BG77" s="412"/>
      <c r="BH77" s="351" t="s">
        <v>44</v>
      </c>
      <c r="BI77" s="352" t="s">
        <v>44</v>
      </c>
      <c r="BJ77" s="358">
        <f t="shared" si="75"/>
        <v>12.903225806451612</v>
      </c>
      <c r="BK77" s="358"/>
      <c r="BL77" s="349">
        <f>SUM(BL78:BL82)</f>
        <v>25.5</v>
      </c>
      <c r="BM77" s="350"/>
      <c r="BN77" s="834">
        <f>BL77/11156.9</f>
        <v>2.2855811202036409E-3</v>
      </c>
      <c r="BO77" s="350"/>
      <c r="BP77" s="351" t="s">
        <v>44</v>
      </c>
      <c r="BQ77" s="352" t="s">
        <v>44</v>
      </c>
      <c r="BR77" s="353">
        <f t="shared" si="69"/>
        <v>248.5</v>
      </c>
      <c r="BS77" s="354"/>
      <c r="BT77" s="355" t="s">
        <v>44</v>
      </c>
      <c r="BU77" s="352" t="s">
        <v>44</v>
      </c>
      <c r="BV77" s="1013">
        <f>SUM(BV78:BV82)</f>
        <v>248.5</v>
      </c>
      <c r="BW77" s="412"/>
      <c r="BX77" s="351" t="s">
        <v>44</v>
      </c>
      <c r="BY77" s="352" t="s">
        <v>44</v>
      </c>
      <c r="BZ77" s="411">
        <v>0</v>
      </c>
      <c r="CA77" s="412"/>
      <c r="CB77" s="351" t="s">
        <v>44</v>
      </c>
      <c r="CC77" s="352" t="s">
        <v>44</v>
      </c>
      <c r="CD77" s="358">
        <f t="shared" si="76"/>
        <v>9.7450980392156854</v>
      </c>
      <c r="CE77" s="358"/>
      <c r="CF77" s="349">
        <f t="shared" si="80"/>
        <v>100.6</v>
      </c>
      <c r="CG77" s="354"/>
      <c r="CH77" s="834">
        <f>CF77/44102.6</f>
        <v>2.2810446549636531E-3</v>
      </c>
      <c r="CI77" s="413"/>
      <c r="CJ77" s="355" t="s">
        <v>44</v>
      </c>
      <c r="CK77" s="356" t="s">
        <v>44</v>
      </c>
      <c r="CL77" s="357">
        <f t="shared" si="70"/>
        <v>1185.5</v>
      </c>
      <c r="CM77" s="362"/>
      <c r="CN77" s="363" t="s">
        <v>44</v>
      </c>
      <c r="CO77" s="356" t="s">
        <v>44</v>
      </c>
      <c r="CP77" s="358">
        <f t="shared" si="71"/>
        <v>1185.5</v>
      </c>
      <c r="CQ77" s="354"/>
      <c r="CR77" s="355" t="s">
        <v>44</v>
      </c>
      <c r="CS77" s="356" t="s">
        <v>44</v>
      </c>
      <c r="CT77" s="357">
        <f t="shared" si="72"/>
        <v>0</v>
      </c>
      <c r="CU77" s="354"/>
      <c r="CV77" s="355" t="s">
        <v>44</v>
      </c>
      <c r="CW77" s="356" t="s">
        <v>44</v>
      </c>
      <c r="CX77" s="357">
        <f t="shared" si="74"/>
        <v>11.784294234592446</v>
      </c>
      <c r="CY77" s="364"/>
      <c r="CZ77" s="414">
        <f t="shared" si="82"/>
        <v>50.3</v>
      </c>
      <c r="DA77" s="415">
        <f t="shared" si="77"/>
        <v>0</v>
      </c>
      <c r="DB77" s="416" t="e">
        <f>(CZ77/#REF!)*100</f>
        <v>#REF!</v>
      </c>
      <c r="DC77" s="417" t="e">
        <f>(DA77/#REF!)*100</f>
        <v>#REF!</v>
      </c>
      <c r="DD77" s="411">
        <f t="shared" si="83"/>
        <v>617</v>
      </c>
      <c r="DE77" s="418">
        <f t="shared" si="83"/>
        <v>0</v>
      </c>
      <c r="DF77" s="418" t="e">
        <f t="shared" si="83"/>
        <v>#VALUE!</v>
      </c>
      <c r="DG77" s="419" t="e">
        <f t="shared" si="83"/>
        <v>#VALUE!</v>
      </c>
      <c r="DH77" s="357">
        <f t="shared" si="83"/>
        <v>617</v>
      </c>
      <c r="DI77" s="354">
        <f t="shared" si="83"/>
        <v>0</v>
      </c>
      <c r="DJ77" s="354" t="e">
        <f t="shared" si="83"/>
        <v>#VALUE!</v>
      </c>
      <c r="DK77" s="354" t="e">
        <f t="shared" si="83"/>
        <v>#VALUE!</v>
      </c>
      <c r="DL77" s="357">
        <f t="shared" si="83"/>
        <v>0</v>
      </c>
      <c r="DM77" s="354">
        <f t="shared" si="83"/>
        <v>0</v>
      </c>
      <c r="DN77" s="354" t="e">
        <f t="shared" si="83"/>
        <v>#VALUE!</v>
      </c>
      <c r="DO77" s="362" t="e">
        <f t="shared" si="83"/>
        <v>#VALUE!</v>
      </c>
      <c r="DP77" s="357">
        <f t="shared" si="99"/>
        <v>12</v>
      </c>
      <c r="DQ77" s="369" t="e">
        <f t="shared" si="99"/>
        <v>#DIV/0!</v>
      </c>
      <c r="DR77" s="370">
        <f>CZ77-DA77</f>
        <v>50.3</v>
      </c>
      <c r="DS77" s="371">
        <f t="shared" si="84"/>
        <v>100</v>
      </c>
      <c r="DT77" s="358" t="e">
        <f t="shared" si="85"/>
        <v>#VALUE!</v>
      </c>
      <c r="DU77" s="371" t="e">
        <f t="shared" si="86"/>
        <v>#VALUE!</v>
      </c>
      <c r="DV77" s="358">
        <f t="shared" si="87"/>
        <v>617</v>
      </c>
      <c r="DW77" s="359">
        <f t="shared" si="88"/>
        <v>100</v>
      </c>
      <c r="DX77" s="354" t="e">
        <f t="shared" si="89"/>
        <v>#VALUE!</v>
      </c>
      <c r="DY77" s="371" t="e">
        <f t="shared" si="90"/>
        <v>#VALUE!</v>
      </c>
      <c r="DZ77" s="358">
        <f t="shared" si="91"/>
        <v>617</v>
      </c>
      <c r="EA77" s="359">
        <f t="shared" si="92"/>
        <v>100</v>
      </c>
      <c r="EB77" s="354" t="e">
        <f t="shared" si="93"/>
        <v>#VALUE!</v>
      </c>
      <c r="EC77" s="371" t="e">
        <f t="shared" si="94"/>
        <v>#VALUE!</v>
      </c>
      <c r="ED77" s="358">
        <f t="shared" si="95"/>
        <v>0</v>
      </c>
      <c r="EE77" s="367">
        <v>0</v>
      </c>
      <c r="EF77" s="354" t="e">
        <f t="shared" si="96"/>
        <v>#VALUE!</v>
      </c>
      <c r="EG77" s="367" t="e">
        <f t="shared" si="97"/>
        <v>#VALUE!</v>
      </c>
      <c r="EH77" s="353" t="e">
        <f t="shared" si="33"/>
        <v>#DIV/0!</v>
      </c>
      <c r="EI77" s="372" t="e">
        <f t="shared" si="34"/>
        <v>#DIV/0!</v>
      </c>
    </row>
    <row r="78" spans="1:139" s="5" customFormat="1" ht="15.75" customHeight="1" x14ac:dyDescent="0.25">
      <c r="A78" s="1070"/>
      <c r="B78" s="178"/>
      <c r="C78" s="91" t="s">
        <v>45</v>
      </c>
      <c r="D78" s="92">
        <v>7</v>
      </c>
      <c r="E78" s="93"/>
      <c r="F78" s="93">
        <v>0.32422417786012042</v>
      </c>
      <c r="G78" s="93"/>
      <c r="H78" s="158" t="s">
        <v>44</v>
      </c>
      <c r="I78" s="159" t="s">
        <v>44</v>
      </c>
      <c r="J78" s="122">
        <v>84</v>
      </c>
      <c r="K78" s="101"/>
      <c r="L78" s="188" t="s">
        <v>44</v>
      </c>
      <c r="M78" s="189" t="s">
        <v>44</v>
      </c>
      <c r="N78" s="184">
        <v>84</v>
      </c>
      <c r="O78" s="97"/>
      <c r="P78" s="158" t="s">
        <v>44</v>
      </c>
      <c r="Q78" s="159" t="s">
        <v>44</v>
      </c>
      <c r="R78" s="184">
        <v>0</v>
      </c>
      <c r="S78" s="101"/>
      <c r="T78" s="158" t="s">
        <v>44</v>
      </c>
      <c r="U78" s="159" t="s">
        <v>44</v>
      </c>
      <c r="V78" s="104">
        <v>12</v>
      </c>
      <c r="W78" s="104"/>
      <c r="X78" s="92">
        <v>6.9</v>
      </c>
      <c r="Y78" s="93"/>
      <c r="Z78" s="93">
        <v>0.31593406593406592</v>
      </c>
      <c r="AA78" s="93"/>
      <c r="AB78" s="158" t="s">
        <v>44</v>
      </c>
      <c r="AC78" s="159" t="s">
        <v>44</v>
      </c>
      <c r="AD78" s="122">
        <v>89</v>
      </c>
      <c r="AE78" s="101"/>
      <c r="AF78" s="188" t="s">
        <v>44</v>
      </c>
      <c r="AG78" s="189" t="s">
        <v>44</v>
      </c>
      <c r="AH78" s="184">
        <v>89</v>
      </c>
      <c r="AI78" s="97"/>
      <c r="AJ78" s="158" t="s">
        <v>44</v>
      </c>
      <c r="AK78" s="159" t="s">
        <v>44</v>
      </c>
      <c r="AL78" s="184">
        <v>0</v>
      </c>
      <c r="AM78" s="101"/>
      <c r="AN78" s="158" t="s">
        <v>44</v>
      </c>
      <c r="AO78" s="159" t="s">
        <v>44</v>
      </c>
      <c r="AP78" s="104">
        <v>13</v>
      </c>
      <c r="AQ78" s="104"/>
      <c r="AR78" s="92">
        <v>7</v>
      </c>
      <c r="AS78" s="93"/>
      <c r="AT78" s="822">
        <f t="shared" si="78"/>
        <v>3.170289855072464E-3</v>
      </c>
      <c r="AU78" s="93"/>
      <c r="AV78" s="158" t="s">
        <v>44</v>
      </c>
      <c r="AW78" s="159" t="s">
        <v>44</v>
      </c>
      <c r="AX78" s="122">
        <f t="shared" si="68"/>
        <v>89</v>
      </c>
      <c r="AY78" s="101"/>
      <c r="AZ78" s="188" t="s">
        <v>44</v>
      </c>
      <c r="BA78" s="189" t="s">
        <v>44</v>
      </c>
      <c r="BB78" s="184">
        <v>89</v>
      </c>
      <c r="BC78" s="97"/>
      <c r="BD78" s="158" t="s">
        <v>44</v>
      </c>
      <c r="BE78" s="159" t="s">
        <v>44</v>
      </c>
      <c r="BF78" s="184">
        <v>0</v>
      </c>
      <c r="BG78" s="101"/>
      <c r="BH78" s="158" t="s">
        <v>44</v>
      </c>
      <c r="BI78" s="159" t="s">
        <v>44</v>
      </c>
      <c r="BJ78" s="104">
        <f t="shared" si="75"/>
        <v>12.714285714285714</v>
      </c>
      <c r="BK78" s="104"/>
      <c r="BL78" s="92">
        <v>7.1</v>
      </c>
      <c r="BM78" s="93"/>
      <c r="BN78" s="822">
        <f t="shared" ref="BN78:BN82" si="101">BL78/2209</f>
        <v>3.2141240380262562E-3</v>
      </c>
      <c r="BO78" s="93"/>
      <c r="BP78" s="158" t="s">
        <v>44</v>
      </c>
      <c r="BQ78" s="159" t="s">
        <v>44</v>
      </c>
      <c r="BR78" s="122">
        <f t="shared" si="69"/>
        <v>70.5</v>
      </c>
      <c r="BS78" s="101"/>
      <c r="BT78" s="188" t="s">
        <v>44</v>
      </c>
      <c r="BU78" s="187" t="s">
        <v>44</v>
      </c>
      <c r="BV78" s="1049">
        <f>141/2</f>
        <v>70.5</v>
      </c>
      <c r="BW78" s="97"/>
      <c r="BX78" s="158" t="s">
        <v>44</v>
      </c>
      <c r="BY78" s="159" t="s">
        <v>44</v>
      </c>
      <c r="BZ78" s="184">
        <v>0</v>
      </c>
      <c r="CA78" s="101"/>
      <c r="CB78" s="158" t="s">
        <v>44</v>
      </c>
      <c r="CC78" s="159" t="s">
        <v>44</v>
      </c>
      <c r="CD78" s="104">
        <f t="shared" si="76"/>
        <v>9.929577464788732</v>
      </c>
      <c r="CE78" s="104"/>
      <c r="CF78" s="375">
        <f t="shared" si="80"/>
        <v>28</v>
      </c>
      <c r="CG78" s="97"/>
      <c r="CH78" s="822">
        <f t="shared" si="79"/>
        <v>3.1963470319634705E-3</v>
      </c>
      <c r="CI78" s="179"/>
      <c r="CJ78" s="188" t="s">
        <v>44</v>
      </c>
      <c r="CK78" s="189" t="s">
        <v>44</v>
      </c>
      <c r="CL78" s="100">
        <f t="shared" si="70"/>
        <v>332.5</v>
      </c>
      <c r="CM78" s="107"/>
      <c r="CN78" s="190" t="s">
        <v>44</v>
      </c>
      <c r="CO78" s="189" t="s">
        <v>44</v>
      </c>
      <c r="CP78" s="102">
        <f t="shared" si="71"/>
        <v>332.5</v>
      </c>
      <c r="CQ78" s="97"/>
      <c r="CR78" s="188" t="s">
        <v>44</v>
      </c>
      <c r="CS78" s="189" t="s">
        <v>44</v>
      </c>
      <c r="CT78" s="100">
        <f t="shared" si="72"/>
        <v>0</v>
      </c>
      <c r="CU78" s="97"/>
      <c r="CV78" s="188" t="s">
        <v>44</v>
      </c>
      <c r="CW78" s="189" t="s">
        <v>44</v>
      </c>
      <c r="CX78" s="100">
        <f t="shared" si="74"/>
        <v>11.875</v>
      </c>
      <c r="CY78" s="174"/>
      <c r="CZ78" s="110">
        <f t="shared" si="82"/>
        <v>13.9</v>
      </c>
      <c r="DA78" s="111">
        <f t="shared" si="77"/>
        <v>0</v>
      </c>
      <c r="DB78" s="176">
        <f>(CZ78/4343)*100</f>
        <v>0.32005526134008749</v>
      </c>
      <c r="DC78" s="113">
        <f>(DA78/4343)*100</f>
        <v>0</v>
      </c>
      <c r="DD78" s="100">
        <f t="shared" si="83"/>
        <v>173</v>
      </c>
      <c r="DE78" s="102">
        <f t="shared" si="83"/>
        <v>0</v>
      </c>
      <c r="DF78" s="102" t="e">
        <f t="shared" si="83"/>
        <v>#VALUE!</v>
      </c>
      <c r="DG78" s="114" t="e">
        <f t="shared" si="83"/>
        <v>#VALUE!</v>
      </c>
      <c r="DH78" s="100">
        <f t="shared" si="83"/>
        <v>173</v>
      </c>
      <c r="DI78" s="97">
        <f t="shared" si="83"/>
        <v>0</v>
      </c>
      <c r="DJ78" s="97" t="e">
        <f t="shared" si="83"/>
        <v>#VALUE!</v>
      </c>
      <c r="DK78" s="97" t="e">
        <f t="shared" si="83"/>
        <v>#VALUE!</v>
      </c>
      <c r="DL78" s="100">
        <f t="shared" si="83"/>
        <v>0</v>
      </c>
      <c r="DM78" s="97">
        <f t="shared" si="83"/>
        <v>0</v>
      </c>
      <c r="DN78" s="97" t="e">
        <f t="shared" si="83"/>
        <v>#VALUE!</v>
      </c>
      <c r="DO78" s="115" t="e">
        <f t="shared" si="83"/>
        <v>#VALUE!</v>
      </c>
      <c r="DP78" s="376">
        <f t="shared" si="99"/>
        <v>12</v>
      </c>
      <c r="DQ78" s="377" t="e">
        <f t="shared" si="99"/>
        <v>#DIV/0!</v>
      </c>
      <c r="DR78" s="117">
        <f t="shared" si="32"/>
        <v>13.9</v>
      </c>
      <c r="DS78" s="118">
        <f t="shared" si="84"/>
        <v>100</v>
      </c>
      <c r="DT78" s="104" t="e">
        <f t="shared" si="85"/>
        <v>#VALUE!</v>
      </c>
      <c r="DU78" s="118" t="e">
        <f t="shared" si="86"/>
        <v>#VALUE!</v>
      </c>
      <c r="DV78" s="104">
        <f t="shared" si="87"/>
        <v>173</v>
      </c>
      <c r="DW78" s="119">
        <f t="shared" si="88"/>
        <v>100</v>
      </c>
      <c r="DX78" s="120" t="e">
        <f t="shared" si="89"/>
        <v>#VALUE!</v>
      </c>
      <c r="DY78" s="118" t="e">
        <f t="shared" si="90"/>
        <v>#VALUE!</v>
      </c>
      <c r="DZ78" s="104">
        <f t="shared" si="91"/>
        <v>173</v>
      </c>
      <c r="EA78" s="119">
        <f t="shared" si="92"/>
        <v>100</v>
      </c>
      <c r="EB78" s="120" t="e">
        <f t="shared" si="93"/>
        <v>#VALUE!</v>
      </c>
      <c r="EC78" s="118" t="e">
        <f t="shared" si="94"/>
        <v>#VALUE!</v>
      </c>
      <c r="ED78" s="104">
        <f t="shared" si="95"/>
        <v>0</v>
      </c>
      <c r="EE78" s="121">
        <v>0</v>
      </c>
      <c r="EF78" s="120" t="e">
        <f t="shared" si="96"/>
        <v>#VALUE!</v>
      </c>
      <c r="EG78" s="121" t="e">
        <f t="shared" si="97"/>
        <v>#VALUE!</v>
      </c>
      <c r="EH78" s="122" t="e">
        <f t="shared" si="33"/>
        <v>#DIV/0!</v>
      </c>
      <c r="EI78" s="123" t="e">
        <f t="shared" si="34"/>
        <v>#DIV/0!</v>
      </c>
    </row>
    <row r="79" spans="1:139" s="124" customFormat="1" ht="15.75" customHeight="1" x14ac:dyDescent="0.25">
      <c r="A79" s="1070"/>
      <c r="B79" s="90"/>
      <c r="C79" s="91" t="s">
        <v>46</v>
      </c>
      <c r="D79" s="92">
        <v>7</v>
      </c>
      <c r="E79" s="93"/>
      <c r="F79" s="93">
        <v>0.32422417786012042</v>
      </c>
      <c r="G79" s="93"/>
      <c r="H79" s="158" t="s">
        <v>44</v>
      </c>
      <c r="I79" s="159" t="s">
        <v>44</v>
      </c>
      <c r="J79" s="122">
        <v>85</v>
      </c>
      <c r="K79" s="101"/>
      <c r="L79" s="188" t="s">
        <v>44</v>
      </c>
      <c r="M79" s="189" t="s">
        <v>44</v>
      </c>
      <c r="N79" s="100">
        <v>85</v>
      </c>
      <c r="O79" s="97"/>
      <c r="P79" s="158" t="s">
        <v>44</v>
      </c>
      <c r="Q79" s="159" t="s">
        <v>44</v>
      </c>
      <c r="R79" s="100">
        <v>0</v>
      </c>
      <c r="S79" s="101"/>
      <c r="T79" s="158" t="s">
        <v>44</v>
      </c>
      <c r="U79" s="159" t="s">
        <v>44</v>
      </c>
      <c r="V79" s="104">
        <v>12</v>
      </c>
      <c r="W79" s="104"/>
      <c r="X79" s="92">
        <v>7.1</v>
      </c>
      <c r="Y79" s="93"/>
      <c r="Z79" s="93">
        <v>0.32509157509157505</v>
      </c>
      <c r="AA79" s="93"/>
      <c r="AB79" s="158" t="s">
        <v>44</v>
      </c>
      <c r="AC79" s="159" t="s">
        <v>44</v>
      </c>
      <c r="AD79" s="122">
        <v>92</v>
      </c>
      <c r="AE79" s="101"/>
      <c r="AF79" s="188" t="s">
        <v>44</v>
      </c>
      <c r="AG79" s="189" t="s">
        <v>44</v>
      </c>
      <c r="AH79" s="100">
        <v>92</v>
      </c>
      <c r="AI79" s="97"/>
      <c r="AJ79" s="158" t="s">
        <v>44</v>
      </c>
      <c r="AK79" s="159" t="s">
        <v>44</v>
      </c>
      <c r="AL79" s="100">
        <v>0</v>
      </c>
      <c r="AM79" s="101"/>
      <c r="AN79" s="158" t="s">
        <v>44</v>
      </c>
      <c r="AO79" s="159" t="s">
        <v>44</v>
      </c>
      <c r="AP79" s="104">
        <v>13</v>
      </c>
      <c r="AQ79" s="104"/>
      <c r="AR79" s="92">
        <v>7.2</v>
      </c>
      <c r="AS79" s="93"/>
      <c r="AT79" s="822">
        <f t="shared" si="78"/>
        <v>3.2608695652173916E-3</v>
      </c>
      <c r="AU79" s="93"/>
      <c r="AV79" s="158" t="s">
        <v>44</v>
      </c>
      <c r="AW79" s="159" t="s">
        <v>44</v>
      </c>
      <c r="AX79" s="122">
        <f t="shared" si="68"/>
        <v>92</v>
      </c>
      <c r="AY79" s="101"/>
      <c r="AZ79" s="188" t="s">
        <v>44</v>
      </c>
      <c r="BA79" s="189" t="s">
        <v>44</v>
      </c>
      <c r="BB79" s="100">
        <v>92</v>
      </c>
      <c r="BC79" s="97"/>
      <c r="BD79" s="158" t="s">
        <v>44</v>
      </c>
      <c r="BE79" s="159" t="s">
        <v>44</v>
      </c>
      <c r="BF79" s="100">
        <v>0</v>
      </c>
      <c r="BG79" s="101"/>
      <c r="BH79" s="158" t="s">
        <v>44</v>
      </c>
      <c r="BI79" s="159" t="s">
        <v>44</v>
      </c>
      <c r="BJ79" s="104">
        <f t="shared" si="75"/>
        <v>12.777777777777777</v>
      </c>
      <c r="BK79" s="104"/>
      <c r="BL79" s="92">
        <v>7.2</v>
      </c>
      <c r="BM79" s="93"/>
      <c r="BN79" s="822">
        <f t="shared" si="101"/>
        <v>3.2593933906745133E-3</v>
      </c>
      <c r="BO79" s="93"/>
      <c r="BP79" s="158" t="s">
        <v>44</v>
      </c>
      <c r="BQ79" s="159" t="s">
        <v>44</v>
      </c>
      <c r="BR79" s="122">
        <f t="shared" si="69"/>
        <v>73</v>
      </c>
      <c r="BS79" s="101"/>
      <c r="BT79" s="188" t="s">
        <v>44</v>
      </c>
      <c r="BU79" s="187" t="s">
        <v>44</v>
      </c>
      <c r="BV79" s="102">
        <f>146/2</f>
        <v>73</v>
      </c>
      <c r="BW79" s="97"/>
      <c r="BX79" s="158" t="s">
        <v>44</v>
      </c>
      <c r="BY79" s="159" t="s">
        <v>44</v>
      </c>
      <c r="BZ79" s="100">
        <v>0</v>
      </c>
      <c r="CA79" s="101"/>
      <c r="CB79" s="158" t="s">
        <v>44</v>
      </c>
      <c r="CC79" s="159" t="s">
        <v>44</v>
      </c>
      <c r="CD79" s="104">
        <f t="shared" si="76"/>
        <v>10.138888888888889</v>
      </c>
      <c r="CE79" s="104"/>
      <c r="CF79" s="375">
        <f t="shared" si="80"/>
        <v>28.5</v>
      </c>
      <c r="CG79" s="97"/>
      <c r="CH79" s="822">
        <f t="shared" si="79"/>
        <v>3.2534246575342467E-3</v>
      </c>
      <c r="CI79" s="179"/>
      <c r="CJ79" s="188" t="s">
        <v>44</v>
      </c>
      <c r="CK79" s="189" t="s">
        <v>44</v>
      </c>
      <c r="CL79" s="100">
        <f t="shared" si="70"/>
        <v>342</v>
      </c>
      <c r="CM79" s="107"/>
      <c r="CN79" s="190" t="s">
        <v>44</v>
      </c>
      <c r="CO79" s="189" t="s">
        <v>44</v>
      </c>
      <c r="CP79" s="102">
        <f t="shared" si="71"/>
        <v>342</v>
      </c>
      <c r="CQ79" s="97"/>
      <c r="CR79" s="188" t="s">
        <v>44</v>
      </c>
      <c r="CS79" s="189" t="s">
        <v>44</v>
      </c>
      <c r="CT79" s="100">
        <f t="shared" si="72"/>
        <v>0</v>
      </c>
      <c r="CU79" s="97"/>
      <c r="CV79" s="188" t="s">
        <v>44</v>
      </c>
      <c r="CW79" s="189" t="s">
        <v>44</v>
      </c>
      <c r="CX79" s="100">
        <f t="shared" si="74"/>
        <v>12</v>
      </c>
      <c r="CY79" s="174"/>
      <c r="CZ79" s="110">
        <f t="shared" si="82"/>
        <v>14.1</v>
      </c>
      <c r="DA79" s="111">
        <f t="shared" si="77"/>
        <v>0</v>
      </c>
      <c r="DB79" s="176">
        <f t="shared" ref="DB79:DC82" si="102">(CZ79/4343)*100</f>
        <v>0.3246603730140456</v>
      </c>
      <c r="DC79" s="113">
        <f t="shared" si="102"/>
        <v>0</v>
      </c>
      <c r="DD79" s="100">
        <f t="shared" si="83"/>
        <v>177</v>
      </c>
      <c r="DE79" s="102">
        <f t="shared" si="83"/>
        <v>0</v>
      </c>
      <c r="DF79" s="102" t="e">
        <f t="shared" si="83"/>
        <v>#VALUE!</v>
      </c>
      <c r="DG79" s="114" t="e">
        <f t="shared" si="83"/>
        <v>#VALUE!</v>
      </c>
      <c r="DH79" s="100">
        <f t="shared" si="83"/>
        <v>177</v>
      </c>
      <c r="DI79" s="97">
        <f t="shared" si="83"/>
        <v>0</v>
      </c>
      <c r="DJ79" s="97" t="e">
        <f t="shared" si="83"/>
        <v>#VALUE!</v>
      </c>
      <c r="DK79" s="97" t="e">
        <f t="shared" si="83"/>
        <v>#VALUE!</v>
      </c>
      <c r="DL79" s="100">
        <f t="shared" si="83"/>
        <v>0</v>
      </c>
      <c r="DM79" s="97">
        <f t="shared" si="83"/>
        <v>0</v>
      </c>
      <c r="DN79" s="97" t="e">
        <f t="shared" si="83"/>
        <v>#VALUE!</v>
      </c>
      <c r="DO79" s="115" t="e">
        <f t="shared" si="83"/>
        <v>#VALUE!</v>
      </c>
      <c r="DP79" s="376">
        <f t="shared" si="99"/>
        <v>13</v>
      </c>
      <c r="DQ79" s="377" t="e">
        <f t="shared" si="99"/>
        <v>#DIV/0!</v>
      </c>
      <c r="DR79" s="117">
        <f t="shared" si="32"/>
        <v>14.1</v>
      </c>
      <c r="DS79" s="118">
        <f t="shared" si="84"/>
        <v>100</v>
      </c>
      <c r="DT79" s="104" t="e">
        <f t="shared" si="85"/>
        <v>#VALUE!</v>
      </c>
      <c r="DU79" s="118" t="e">
        <f t="shared" si="86"/>
        <v>#VALUE!</v>
      </c>
      <c r="DV79" s="104">
        <f t="shared" si="87"/>
        <v>177</v>
      </c>
      <c r="DW79" s="119">
        <f t="shared" si="88"/>
        <v>100</v>
      </c>
      <c r="DX79" s="120" t="e">
        <f t="shared" si="89"/>
        <v>#VALUE!</v>
      </c>
      <c r="DY79" s="118" t="e">
        <f t="shared" si="90"/>
        <v>#VALUE!</v>
      </c>
      <c r="DZ79" s="104">
        <f t="shared" si="91"/>
        <v>177</v>
      </c>
      <c r="EA79" s="119">
        <f t="shared" si="92"/>
        <v>100</v>
      </c>
      <c r="EB79" s="120" t="e">
        <f t="shared" si="93"/>
        <v>#VALUE!</v>
      </c>
      <c r="EC79" s="118" t="e">
        <f t="shared" si="94"/>
        <v>#VALUE!</v>
      </c>
      <c r="ED79" s="104">
        <f t="shared" si="95"/>
        <v>0</v>
      </c>
      <c r="EE79" s="121">
        <v>0</v>
      </c>
      <c r="EF79" s="120" t="e">
        <f t="shared" si="96"/>
        <v>#VALUE!</v>
      </c>
      <c r="EG79" s="121" t="e">
        <f t="shared" si="97"/>
        <v>#VALUE!</v>
      </c>
      <c r="EH79" s="122" t="e">
        <f t="shared" si="33"/>
        <v>#DIV/0!</v>
      </c>
      <c r="EI79" s="123" t="e">
        <f t="shared" si="34"/>
        <v>#DIV/0!</v>
      </c>
    </row>
    <row r="80" spans="1:139" s="124" customFormat="1" ht="15.75" customHeight="1" x14ac:dyDescent="0.25">
      <c r="A80" s="1070"/>
      <c r="B80" s="90"/>
      <c r="C80" s="91" t="s">
        <v>47</v>
      </c>
      <c r="D80" s="92">
        <v>6.9</v>
      </c>
      <c r="E80" s="93"/>
      <c r="F80" s="93">
        <v>0.3195924038906901</v>
      </c>
      <c r="G80" s="93"/>
      <c r="H80" s="158" t="s">
        <v>44</v>
      </c>
      <c r="I80" s="159" t="s">
        <v>44</v>
      </c>
      <c r="J80" s="122">
        <v>84</v>
      </c>
      <c r="K80" s="101"/>
      <c r="L80" s="188" t="s">
        <v>44</v>
      </c>
      <c r="M80" s="189" t="s">
        <v>44</v>
      </c>
      <c r="N80" s="100">
        <v>84</v>
      </c>
      <c r="O80" s="97"/>
      <c r="P80" s="158" t="s">
        <v>44</v>
      </c>
      <c r="Q80" s="159" t="s">
        <v>44</v>
      </c>
      <c r="R80" s="100">
        <v>0</v>
      </c>
      <c r="S80" s="97"/>
      <c r="T80" s="158" t="s">
        <v>44</v>
      </c>
      <c r="U80" s="159" t="s">
        <v>44</v>
      </c>
      <c r="V80" s="104">
        <v>12</v>
      </c>
      <c r="W80" s="104"/>
      <c r="X80" s="92">
        <v>6.9</v>
      </c>
      <c r="Y80" s="93"/>
      <c r="Z80" s="93">
        <v>0.31593406593406592</v>
      </c>
      <c r="AA80" s="93"/>
      <c r="AB80" s="158" t="s">
        <v>44</v>
      </c>
      <c r="AC80" s="159" t="s">
        <v>44</v>
      </c>
      <c r="AD80" s="122">
        <v>89</v>
      </c>
      <c r="AE80" s="101"/>
      <c r="AF80" s="188" t="s">
        <v>44</v>
      </c>
      <c r="AG80" s="189" t="s">
        <v>44</v>
      </c>
      <c r="AH80" s="100">
        <v>89</v>
      </c>
      <c r="AI80" s="97"/>
      <c r="AJ80" s="158" t="s">
        <v>44</v>
      </c>
      <c r="AK80" s="159" t="s">
        <v>44</v>
      </c>
      <c r="AL80" s="100">
        <v>0</v>
      </c>
      <c r="AM80" s="97"/>
      <c r="AN80" s="158" t="s">
        <v>44</v>
      </c>
      <c r="AO80" s="159" t="s">
        <v>44</v>
      </c>
      <c r="AP80" s="104">
        <v>13</v>
      </c>
      <c r="AQ80" s="104"/>
      <c r="AR80" s="92">
        <v>6.4</v>
      </c>
      <c r="AS80" s="93"/>
      <c r="AT80" s="822">
        <f t="shared" si="78"/>
        <v>2.8985507246376812E-3</v>
      </c>
      <c r="AU80" s="93"/>
      <c r="AV80" s="158" t="s">
        <v>44</v>
      </c>
      <c r="AW80" s="159" t="s">
        <v>44</v>
      </c>
      <c r="AX80" s="122">
        <f t="shared" si="68"/>
        <v>91</v>
      </c>
      <c r="AY80" s="101"/>
      <c r="AZ80" s="188" t="s">
        <v>44</v>
      </c>
      <c r="BA80" s="189" t="s">
        <v>44</v>
      </c>
      <c r="BB80" s="100">
        <v>91</v>
      </c>
      <c r="BC80" s="97"/>
      <c r="BD80" s="158" t="s">
        <v>44</v>
      </c>
      <c r="BE80" s="159" t="s">
        <v>44</v>
      </c>
      <c r="BF80" s="100">
        <v>0</v>
      </c>
      <c r="BG80" s="97"/>
      <c r="BH80" s="158" t="s">
        <v>44</v>
      </c>
      <c r="BI80" s="159" t="s">
        <v>44</v>
      </c>
      <c r="BJ80" s="104">
        <f t="shared" si="75"/>
        <v>14.21875</v>
      </c>
      <c r="BK80" s="104"/>
      <c r="BL80" s="92">
        <v>7</v>
      </c>
      <c r="BM80" s="93"/>
      <c r="BN80" s="822">
        <f t="shared" si="101"/>
        <v>3.1688546853779992E-3</v>
      </c>
      <c r="BO80" s="93"/>
      <c r="BP80" s="158" t="s">
        <v>44</v>
      </c>
      <c r="BQ80" s="159" t="s">
        <v>44</v>
      </c>
      <c r="BR80" s="122">
        <f t="shared" si="69"/>
        <v>70</v>
      </c>
      <c r="BS80" s="101"/>
      <c r="BT80" s="188" t="s">
        <v>44</v>
      </c>
      <c r="BU80" s="187" t="s">
        <v>44</v>
      </c>
      <c r="BV80" s="102">
        <v>70</v>
      </c>
      <c r="BW80" s="97"/>
      <c r="BX80" s="158" t="s">
        <v>44</v>
      </c>
      <c r="BY80" s="159" t="s">
        <v>44</v>
      </c>
      <c r="BZ80" s="100">
        <v>0</v>
      </c>
      <c r="CA80" s="97"/>
      <c r="CB80" s="158" t="s">
        <v>44</v>
      </c>
      <c r="CC80" s="159" t="s">
        <v>44</v>
      </c>
      <c r="CD80" s="104">
        <f t="shared" si="76"/>
        <v>10</v>
      </c>
      <c r="CE80" s="104"/>
      <c r="CF80" s="375">
        <f t="shared" si="80"/>
        <v>27.200000000000003</v>
      </c>
      <c r="CG80" s="97"/>
      <c r="CH80" s="822">
        <f t="shared" si="79"/>
        <v>3.1050228310502285E-3</v>
      </c>
      <c r="CI80" s="179"/>
      <c r="CJ80" s="188" t="s">
        <v>44</v>
      </c>
      <c r="CK80" s="189" t="s">
        <v>44</v>
      </c>
      <c r="CL80" s="100">
        <f t="shared" si="70"/>
        <v>334</v>
      </c>
      <c r="CM80" s="107"/>
      <c r="CN80" s="190" t="s">
        <v>44</v>
      </c>
      <c r="CO80" s="189" t="s">
        <v>44</v>
      </c>
      <c r="CP80" s="102">
        <f t="shared" si="71"/>
        <v>334</v>
      </c>
      <c r="CQ80" s="97"/>
      <c r="CR80" s="188" t="s">
        <v>44</v>
      </c>
      <c r="CS80" s="189" t="s">
        <v>44</v>
      </c>
      <c r="CT80" s="100">
        <f t="shared" si="72"/>
        <v>0</v>
      </c>
      <c r="CU80" s="97"/>
      <c r="CV80" s="188" t="s">
        <v>44</v>
      </c>
      <c r="CW80" s="189" t="s">
        <v>44</v>
      </c>
      <c r="CX80" s="100">
        <f t="shared" si="74"/>
        <v>12.27941176470588</v>
      </c>
      <c r="CY80" s="174"/>
      <c r="CZ80" s="110">
        <f t="shared" si="82"/>
        <v>13.8</v>
      </c>
      <c r="DA80" s="111">
        <f t="shared" si="77"/>
        <v>0</v>
      </c>
      <c r="DB80" s="176">
        <f t="shared" si="102"/>
        <v>0.31775270550310847</v>
      </c>
      <c r="DC80" s="113">
        <f t="shared" si="102"/>
        <v>0</v>
      </c>
      <c r="DD80" s="100">
        <f t="shared" si="83"/>
        <v>173</v>
      </c>
      <c r="DE80" s="102">
        <f t="shared" si="83"/>
        <v>0</v>
      </c>
      <c r="DF80" s="102" t="e">
        <f t="shared" si="83"/>
        <v>#VALUE!</v>
      </c>
      <c r="DG80" s="114" t="e">
        <f t="shared" si="83"/>
        <v>#VALUE!</v>
      </c>
      <c r="DH80" s="100">
        <f t="shared" si="83"/>
        <v>173</v>
      </c>
      <c r="DI80" s="97">
        <f t="shared" si="83"/>
        <v>0</v>
      </c>
      <c r="DJ80" s="97" t="e">
        <f t="shared" si="83"/>
        <v>#VALUE!</v>
      </c>
      <c r="DK80" s="97" t="e">
        <f t="shared" si="83"/>
        <v>#VALUE!</v>
      </c>
      <c r="DL80" s="100">
        <f t="shared" si="83"/>
        <v>0</v>
      </c>
      <c r="DM80" s="97">
        <f t="shared" si="83"/>
        <v>0</v>
      </c>
      <c r="DN80" s="97" t="e">
        <f t="shared" si="83"/>
        <v>#VALUE!</v>
      </c>
      <c r="DO80" s="115" t="e">
        <f t="shared" si="83"/>
        <v>#VALUE!</v>
      </c>
      <c r="DP80" s="376">
        <f t="shared" si="99"/>
        <v>13</v>
      </c>
      <c r="DQ80" s="377" t="e">
        <f t="shared" si="99"/>
        <v>#DIV/0!</v>
      </c>
      <c r="DR80" s="117">
        <f t="shared" si="32"/>
        <v>13.8</v>
      </c>
      <c r="DS80" s="118">
        <f t="shared" si="84"/>
        <v>100</v>
      </c>
      <c r="DT80" s="104" t="e">
        <f t="shared" si="85"/>
        <v>#VALUE!</v>
      </c>
      <c r="DU80" s="118" t="e">
        <f t="shared" si="86"/>
        <v>#VALUE!</v>
      </c>
      <c r="DV80" s="104">
        <f t="shared" si="87"/>
        <v>173</v>
      </c>
      <c r="DW80" s="119">
        <f t="shared" si="88"/>
        <v>100</v>
      </c>
      <c r="DX80" s="120" t="e">
        <f t="shared" si="89"/>
        <v>#VALUE!</v>
      </c>
      <c r="DY80" s="118" t="e">
        <f t="shared" si="90"/>
        <v>#VALUE!</v>
      </c>
      <c r="DZ80" s="104">
        <f t="shared" si="91"/>
        <v>173</v>
      </c>
      <c r="EA80" s="119">
        <f t="shared" si="92"/>
        <v>100</v>
      </c>
      <c r="EB80" s="120" t="e">
        <f t="shared" si="93"/>
        <v>#VALUE!</v>
      </c>
      <c r="EC80" s="118" t="e">
        <f t="shared" si="94"/>
        <v>#VALUE!</v>
      </c>
      <c r="ED80" s="104">
        <f t="shared" si="95"/>
        <v>0</v>
      </c>
      <c r="EE80" s="121">
        <v>0</v>
      </c>
      <c r="EF80" s="120" t="e">
        <f t="shared" si="96"/>
        <v>#VALUE!</v>
      </c>
      <c r="EG80" s="121" t="e">
        <f t="shared" si="97"/>
        <v>#VALUE!</v>
      </c>
      <c r="EH80" s="122" t="e">
        <f t="shared" si="33"/>
        <v>#DIV/0!</v>
      </c>
      <c r="EI80" s="123" t="e">
        <f t="shared" si="34"/>
        <v>#DIV/0!</v>
      </c>
    </row>
    <row r="81" spans="1:139" ht="15.75" customHeight="1" x14ac:dyDescent="0.25">
      <c r="A81" s="1070"/>
      <c r="B81" s="169"/>
      <c r="C81" s="91" t="s">
        <v>48</v>
      </c>
      <c r="D81" s="92">
        <v>3.7</v>
      </c>
      <c r="E81" s="93"/>
      <c r="F81" s="93">
        <v>0.17137563686892079</v>
      </c>
      <c r="G81" s="93"/>
      <c r="H81" s="158" t="s">
        <v>44</v>
      </c>
      <c r="I81" s="159" t="s">
        <v>44</v>
      </c>
      <c r="J81" s="122">
        <v>45</v>
      </c>
      <c r="K81" s="101"/>
      <c r="L81" s="188" t="s">
        <v>44</v>
      </c>
      <c r="M81" s="189" t="s">
        <v>44</v>
      </c>
      <c r="N81" s="100">
        <v>45</v>
      </c>
      <c r="O81" s="97"/>
      <c r="P81" s="158" t="s">
        <v>44</v>
      </c>
      <c r="Q81" s="159" t="s">
        <v>44</v>
      </c>
      <c r="R81" s="100">
        <v>0</v>
      </c>
      <c r="S81" s="97"/>
      <c r="T81" s="158" t="s">
        <v>44</v>
      </c>
      <c r="U81" s="159" t="s">
        <v>44</v>
      </c>
      <c r="V81" s="104">
        <v>12</v>
      </c>
      <c r="W81" s="104"/>
      <c r="X81" s="92">
        <v>3.7</v>
      </c>
      <c r="Y81" s="93"/>
      <c r="Z81" s="93">
        <v>0.16941391941391942</v>
      </c>
      <c r="AA81" s="93"/>
      <c r="AB81" s="158" t="s">
        <v>44</v>
      </c>
      <c r="AC81" s="159" t="s">
        <v>44</v>
      </c>
      <c r="AD81" s="122">
        <v>49</v>
      </c>
      <c r="AE81" s="101"/>
      <c r="AF81" s="188" t="s">
        <v>44</v>
      </c>
      <c r="AG81" s="189" t="s">
        <v>44</v>
      </c>
      <c r="AH81" s="100">
        <v>49</v>
      </c>
      <c r="AI81" s="97"/>
      <c r="AJ81" s="158" t="s">
        <v>44</v>
      </c>
      <c r="AK81" s="159" t="s">
        <v>44</v>
      </c>
      <c r="AL81" s="100">
        <v>0</v>
      </c>
      <c r="AM81" s="97"/>
      <c r="AN81" s="158" t="s">
        <v>44</v>
      </c>
      <c r="AO81" s="159" t="s">
        <v>44</v>
      </c>
      <c r="AP81" s="104">
        <v>13</v>
      </c>
      <c r="AQ81" s="104"/>
      <c r="AR81" s="92">
        <v>3.7</v>
      </c>
      <c r="AS81" s="93"/>
      <c r="AT81" s="822">
        <f t="shared" si="78"/>
        <v>1.6757246376811596E-3</v>
      </c>
      <c r="AU81" s="93"/>
      <c r="AV81" s="158" t="s">
        <v>44</v>
      </c>
      <c r="AW81" s="159" t="s">
        <v>44</v>
      </c>
      <c r="AX81" s="122">
        <f t="shared" si="68"/>
        <v>48</v>
      </c>
      <c r="AY81" s="101"/>
      <c r="AZ81" s="188" t="s">
        <v>44</v>
      </c>
      <c r="BA81" s="189" t="s">
        <v>44</v>
      </c>
      <c r="BB81" s="100">
        <v>48</v>
      </c>
      <c r="BC81" s="97"/>
      <c r="BD81" s="158" t="s">
        <v>44</v>
      </c>
      <c r="BE81" s="159" t="s">
        <v>44</v>
      </c>
      <c r="BF81" s="100">
        <v>0</v>
      </c>
      <c r="BG81" s="97"/>
      <c r="BH81" s="158" t="s">
        <v>44</v>
      </c>
      <c r="BI81" s="159" t="s">
        <v>44</v>
      </c>
      <c r="BJ81" s="104">
        <f t="shared" si="75"/>
        <v>12.972972972972972</v>
      </c>
      <c r="BK81" s="104"/>
      <c r="BL81" s="92">
        <v>3.7</v>
      </c>
      <c r="BM81" s="93"/>
      <c r="BN81" s="822">
        <f t="shared" si="101"/>
        <v>1.674966047985514E-3</v>
      </c>
      <c r="BO81" s="93"/>
      <c r="BP81" s="158" t="s">
        <v>44</v>
      </c>
      <c r="BQ81" s="159" t="s">
        <v>44</v>
      </c>
      <c r="BR81" s="122">
        <f t="shared" si="69"/>
        <v>35</v>
      </c>
      <c r="BS81" s="101"/>
      <c r="BT81" s="188" t="s">
        <v>44</v>
      </c>
      <c r="BU81" s="187" t="s">
        <v>44</v>
      </c>
      <c r="BV81" s="102">
        <v>35</v>
      </c>
      <c r="BW81" s="97"/>
      <c r="BX81" s="158" t="s">
        <v>44</v>
      </c>
      <c r="BY81" s="159" t="s">
        <v>44</v>
      </c>
      <c r="BZ81" s="100">
        <v>0</v>
      </c>
      <c r="CA81" s="97"/>
      <c r="CB81" s="158" t="s">
        <v>44</v>
      </c>
      <c r="CC81" s="159" t="s">
        <v>44</v>
      </c>
      <c r="CD81" s="104">
        <f t="shared" si="76"/>
        <v>9.4594594594594597</v>
      </c>
      <c r="CE81" s="104"/>
      <c r="CF81" s="375">
        <f t="shared" si="80"/>
        <v>14.8</v>
      </c>
      <c r="CG81" s="97"/>
      <c r="CH81" s="822">
        <f t="shared" si="79"/>
        <v>1.6894977168949773E-3</v>
      </c>
      <c r="CI81" s="179"/>
      <c r="CJ81" s="188" t="s">
        <v>44</v>
      </c>
      <c r="CK81" s="189" t="s">
        <v>44</v>
      </c>
      <c r="CL81" s="100">
        <f t="shared" si="70"/>
        <v>177</v>
      </c>
      <c r="CM81" s="107"/>
      <c r="CN81" s="190" t="s">
        <v>44</v>
      </c>
      <c r="CO81" s="189" t="s">
        <v>44</v>
      </c>
      <c r="CP81" s="102">
        <f t="shared" si="71"/>
        <v>177</v>
      </c>
      <c r="CQ81" s="97"/>
      <c r="CR81" s="188" t="s">
        <v>44</v>
      </c>
      <c r="CS81" s="189" t="s">
        <v>44</v>
      </c>
      <c r="CT81" s="100">
        <f t="shared" si="72"/>
        <v>0</v>
      </c>
      <c r="CU81" s="97"/>
      <c r="CV81" s="188" t="s">
        <v>44</v>
      </c>
      <c r="CW81" s="189" t="s">
        <v>44</v>
      </c>
      <c r="CX81" s="100">
        <f t="shared" si="74"/>
        <v>11.95945945945946</v>
      </c>
      <c r="CY81" s="174"/>
      <c r="CZ81" s="110">
        <f t="shared" si="82"/>
        <v>7.4</v>
      </c>
      <c r="DA81" s="111">
        <f t="shared" si="77"/>
        <v>0</v>
      </c>
      <c r="DB81" s="176">
        <f t="shared" si="102"/>
        <v>0.17038913193644947</v>
      </c>
      <c r="DC81" s="113">
        <f t="shared" si="102"/>
        <v>0</v>
      </c>
      <c r="DD81" s="100">
        <f t="shared" si="83"/>
        <v>94</v>
      </c>
      <c r="DE81" s="102">
        <f t="shared" si="83"/>
        <v>0</v>
      </c>
      <c r="DF81" s="102" t="e">
        <f t="shared" si="83"/>
        <v>#VALUE!</v>
      </c>
      <c r="DG81" s="114" t="e">
        <f t="shared" si="83"/>
        <v>#VALUE!</v>
      </c>
      <c r="DH81" s="100">
        <f t="shared" si="83"/>
        <v>94</v>
      </c>
      <c r="DI81" s="97">
        <f t="shared" si="83"/>
        <v>0</v>
      </c>
      <c r="DJ81" s="97" t="e">
        <f t="shared" si="83"/>
        <v>#VALUE!</v>
      </c>
      <c r="DK81" s="97" t="e">
        <f t="shared" si="83"/>
        <v>#VALUE!</v>
      </c>
      <c r="DL81" s="100">
        <f t="shared" si="83"/>
        <v>0</v>
      </c>
      <c r="DM81" s="97">
        <f t="shared" si="83"/>
        <v>0</v>
      </c>
      <c r="DN81" s="97" t="e">
        <f t="shared" si="83"/>
        <v>#VALUE!</v>
      </c>
      <c r="DO81" s="115" t="e">
        <f t="shared" si="83"/>
        <v>#VALUE!</v>
      </c>
      <c r="DP81" s="376">
        <f t="shared" si="99"/>
        <v>13</v>
      </c>
      <c r="DQ81" s="377" t="e">
        <f t="shared" si="99"/>
        <v>#DIV/0!</v>
      </c>
      <c r="DR81" s="117">
        <f t="shared" si="32"/>
        <v>7.4</v>
      </c>
      <c r="DS81" s="118">
        <f t="shared" si="84"/>
        <v>100</v>
      </c>
      <c r="DT81" s="104" t="e">
        <f t="shared" si="85"/>
        <v>#VALUE!</v>
      </c>
      <c r="DU81" s="118" t="e">
        <f t="shared" si="86"/>
        <v>#VALUE!</v>
      </c>
      <c r="DV81" s="104">
        <f t="shared" si="87"/>
        <v>94</v>
      </c>
      <c r="DW81" s="119">
        <f t="shared" si="88"/>
        <v>100</v>
      </c>
      <c r="DX81" s="120" t="e">
        <f t="shared" si="89"/>
        <v>#VALUE!</v>
      </c>
      <c r="DY81" s="118" t="e">
        <f t="shared" si="90"/>
        <v>#VALUE!</v>
      </c>
      <c r="DZ81" s="104">
        <f t="shared" si="91"/>
        <v>94</v>
      </c>
      <c r="EA81" s="119">
        <f t="shared" si="92"/>
        <v>100</v>
      </c>
      <c r="EB81" s="120" t="e">
        <f t="shared" si="93"/>
        <v>#VALUE!</v>
      </c>
      <c r="EC81" s="118" t="e">
        <f t="shared" si="94"/>
        <v>#VALUE!</v>
      </c>
      <c r="ED81" s="104">
        <f t="shared" si="95"/>
        <v>0</v>
      </c>
      <c r="EE81" s="121">
        <v>0</v>
      </c>
      <c r="EF81" s="120" t="e">
        <f t="shared" si="96"/>
        <v>#VALUE!</v>
      </c>
      <c r="EG81" s="121" t="e">
        <f t="shared" si="97"/>
        <v>#VALUE!</v>
      </c>
      <c r="EH81" s="122" t="e">
        <f t="shared" si="33"/>
        <v>#DIV/0!</v>
      </c>
      <c r="EI81" s="123" t="e">
        <f t="shared" si="34"/>
        <v>#DIV/0!</v>
      </c>
    </row>
    <row r="82" spans="1:139" ht="15.75" customHeight="1" x14ac:dyDescent="0.25">
      <c r="A82" s="1070"/>
      <c r="B82" s="169"/>
      <c r="C82" s="91" t="s">
        <v>49</v>
      </c>
      <c r="D82" s="92">
        <v>0.6</v>
      </c>
      <c r="E82" s="93"/>
      <c r="F82" s="93">
        <v>2.779064381658175E-2</v>
      </c>
      <c r="G82" s="93"/>
      <c r="H82" s="158" t="s">
        <v>44</v>
      </c>
      <c r="I82" s="159" t="s">
        <v>44</v>
      </c>
      <c r="J82" s="122">
        <v>0</v>
      </c>
      <c r="K82" s="101"/>
      <c r="L82" s="188" t="s">
        <v>44</v>
      </c>
      <c r="M82" s="189" t="s">
        <v>44</v>
      </c>
      <c r="N82" s="100">
        <v>0</v>
      </c>
      <c r="O82" s="97"/>
      <c r="P82" s="158" t="s">
        <v>44</v>
      </c>
      <c r="Q82" s="159" t="s">
        <v>44</v>
      </c>
      <c r="R82" s="100">
        <v>0</v>
      </c>
      <c r="S82" s="97"/>
      <c r="T82" s="158" t="s">
        <v>44</v>
      </c>
      <c r="U82" s="159" t="s">
        <v>44</v>
      </c>
      <c r="V82" s="104">
        <v>0</v>
      </c>
      <c r="W82" s="104"/>
      <c r="X82" s="92">
        <v>0.5</v>
      </c>
      <c r="Y82" s="93"/>
      <c r="Z82" s="93">
        <v>2.2893772893772892E-2</v>
      </c>
      <c r="AA82" s="93"/>
      <c r="AB82" s="158" t="s">
        <v>44</v>
      </c>
      <c r="AC82" s="159" t="s">
        <v>44</v>
      </c>
      <c r="AD82" s="122">
        <v>0</v>
      </c>
      <c r="AE82" s="101"/>
      <c r="AF82" s="188" t="s">
        <v>44</v>
      </c>
      <c r="AG82" s="189" t="s">
        <v>44</v>
      </c>
      <c r="AH82" s="100">
        <v>0</v>
      </c>
      <c r="AI82" s="97"/>
      <c r="AJ82" s="158" t="s">
        <v>44</v>
      </c>
      <c r="AK82" s="159" t="s">
        <v>44</v>
      </c>
      <c r="AL82" s="100">
        <v>0</v>
      </c>
      <c r="AM82" s="97"/>
      <c r="AN82" s="158" t="s">
        <v>44</v>
      </c>
      <c r="AO82" s="159" t="s">
        <v>44</v>
      </c>
      <c r="AP82" s="104">
        <v>0</v>
      </c>
      <c r="AQ82" s="104"/>
      <c r="AR82" s="92">
        <v>0.5</v>
      </c>
      <c r="AS82" s="93"/>
      <c r="AT82" s="822">
        <f t="shared" si="78"/>
        <v>2.2644927536231884E-4</v>
      </c>
      <c r="AU82" s="93"/>
      <c r="AV82" s="158" t="s">
        <v>44</v>
      </c>
      <c r="AW82" s="159" t="s">
        <v>44</v>
      </c>
      <c r="AX82" s="122">
        <f t="shared" si="68"/>
        <v>0</v>
      </c>
      <c r="AY82" s="101"/>
      <c r="AZ82" s="188" t="s">
        <v>44</v>
      </c>
      <c r="BA82" s="189" t="s">
        <v>44</v>
      </c>
      <c r="BB82" s="100">
        <v>0</v>
      </c>
      <c r="BC82" s="97"/>
      <c r="BD82" s="158" t="s">
        <v>44</v>
      </c>
      <c r="BE82" s="159" t="s">
        <v>44</v>
      </c>
      <c r="BF82" s="100">
        <v>0</v>
      </c>
      <c r="BG82" s="97"/>
      <c r="BH82" s="158" t="s">
        <v>44</v>
      </c>
      <c r="BI82" s="159" t="s">
        <v>44</v>
      </c>
      <c r="BJ82" s="104">
        <f t="shared" si="75"/>
        <v>0</v>
      </c>
      <c r="BK82" s="104"/>
      <c r="BL82" s="92">
        <v>0.5</v>
      </c>
      <c r="BM82" s="93"/>
      <c r="BN82" s="822">
        <f t="shared" si="101"/>
        <v>2.2634676324128565E-4</v>
      </c>
      <c r="BO82" s="93"/>
      <c r="BP82" s="158" t="s">
        <v>44</v>
      </c>
      <c r="BQ82" s="159" t="s">
        <v>44</v>
      </c>
      <c r="BR82" s="122">
        <f t="shared" si="69"/>
        <v>0</v>
      </c>
      <c r="BS82" s="101"/>
      <c r="BT82" s="188" t="s">
        <v>44</v>
      </c>
      <c r="BU82" s="187" t="s">
        <v>44</v>
      </c>
      <c r="BV82" s="102">
        <v>0</v>
      </c>
      <c r="BW82" s="97"/>
      <c r="BX82" s="158" t="s">
        <v>44</v>
      </c>
      <c r="BY82" s="159" t="s">
        <v>44</v>
      </c>
      <c r="BZ82" s="100">
        <v>0</v>
      </c>
      <c r="CA82" s="97"/>
      <c r="CB82" s="158" t="s">
        <v>44</v>
      </c>
      <c r="CC82" s="159" t="s">
        <v>44</v>
      </c>
      <c r="CD82" s="104">
        <f t="shared" si="76"/>
        <v>0</v>
      </c>
      <c r="CE82" s="104"/>
      <c r="CF82" s="375">
        <f t="shared" si="80"/>
        <v>2.1</v>
      </c>
      <c r="CG82" s="97"/>
      <c r="CH82" s="822">
        <f t="shared" si="79"/>
        <v>2.397260273972603E-4</v>
      </c>
      <c r="CI82" s="179"/>
      <c r="CJ82" s="188" t="s">
        <v>44</v>
      </c>
      <c r="CK82" s="189" t="s">
        <v>44</v>
      </c>
      <c r="CL82" s="100">
        <f t="shared" si="70"/>
        <v>0</v>
      </c>
      <c r="CM82" s="107"/>
      <c r="CN82" s="190" t="s">
        <v>44</v>
      </c>
      <c r="CO82" s="189" t="s">
        <v>44</v>
      </c>
      <c r="CP82" s="102">
        <f t="shared" si="71"/>
        <v>0</v>
      </c>
      <c r="CQ82" s="97"/>
      <c r="CR82" s="188" t="s">
        <v>44</v>
      </c>
      <c r="CS82" s="189" t="s">
        <v>44</v>
      </c>
      <c r="CT82" s="100">
        <f t="shared" si="72"/>
        <v>0</v>
      </c>
      <c r="CU82" s="97"/>
      <c r="CV82" s="188" t="s">
        <v>44</v>
      </c>
      <c r="CW82" s="189" t="s">
        <v>44</v>
      </c>
      <c r="CX82" s="100">
        <f t="shared" si="74"/>
        <v>0</v>
      </c>
      <c r="CY82" s="174"/>
      <c r="CZ82" s="110">
        <f t="shared" si="82"/>
        <v>1.1000000000000001</v>
      </c>
      <c r="DA82" s="111">
        <f t="shared" si="77"/>
        <v>0</v>
      </c>
      <c r="DB82" s="176">
        <f t="shared" si="102"/>
        <v>2.5328114206769517E-2</v>
      </c>
      <c r="DC82" s="113">
        <f t="shared" si="102"/>
        <v>0</v>
      </c>
      <c r="DD82" s="100">
        <f t="shared" si="83"/>
        <v>0</v>
      </c>
      <c r="DE82" s="102">
        <f t="shared" si="83"/>
        <v>0</v>
      </c>
      <c r="DF82" s="102" t="e">
        <f t="shared" si="83"/>
        <v>#VALUE!</v>
      </c>
      <c r="DG82" s="114" t="e">
        <f t="shared" si="83"/>
        <v>#VALUE!</v>
      </c>
      <c r="DH82" s="100">
        <f t="shared" si="83"/>
        <v>0</v>
      </c>
      <c r="DI82" s="97">
        <f t="shared" si="83"/>
        <v>0</v>
      </c>
      <c r="DJ82" s="97" t="e">
        <f t="shared" si="83"/>
        <v>#VALUE!</v>
      </c>
      <c r="DK82" s="97" t="e">
        <f t="shared" si="83"/>
        <v>#VALUE!</v>
      </c>
      <c r="DL82" s="100">
        <f t="shared" si="83"/>
        <v>0</v>
      </c>
      <c r="DM82" s="97">
        <f t="shared" si="83"/>
        <v>0</v>
      </c>
      <c r="DN82" s="97" t="e">
        <f t="shared" si="83"/>
        <v>#VALUE!</v>
      </c>
      <c r="DO82" s="115" t="e">
        <f t="shared" si="83"/>
        <v>#VALUE!</v>
      </c>
      <c r="DP82" s="376">
        <f t="shared" si="99"/>
        <v>0</v>
      </c>
      <c r="DQ82" s="377" t="e">
        <f t="shared" si="99"/>
        <v>#DIV/0!</v>
      </c>
      <c r="DR82" s="117">
        <f t="shared" si="32"/>
        <v>1.1000000000000001</v>
      </c>
      <c r="DS82" s="118">
        <f t="shared" si="84"/>
        <v>100</v>
      </c>
      <c r="DT82" s="104" t="e">
        <f t="shared" si="85"/>
        <v>#VALUE!</v>
      </c>
      <c r="DU82" s="118">
        <v>0</v>
      </c>
      <c r="DV82" s="104">
        <f t="shared" si="87"/>
        <v>0</v>
      </c>
      <c r="DW82" s="119">
        <v>0</v>
      </c>
      <c r="DX82" s="120" t="e">
        <f t="shared" si="89"/>
        <v>#VALUE!</v>
      </c>
      <c r="DY82" s="118">
        <v>0</v>
      </c>
      <c r="DZ82" s="104">
        <f t="shared" si="91"/>
        <v>0</v>
      </c>
      <c r="EA82" s="119">
        <v>0</v>
      </c>
      <c r="EB82" s="120" t="e">
        <f t="shared" si="93"/>
        <v>#VALUE!</v>
      </c>
      <c r="EC82" s="118">
        <v>0</v>
      </c>
      <c r="ED82" s="104">
        <f t="shared" si="95"/>
        <v>0</v>
      </c>
      <c r="EE82" s="121">
        <v>0</v>
      </c>
      <c r="EF82" s="120" t="e">
        <f t="shared" si="96"/>
        <v>#VALUE!</v>
      </c>
      <c r="EG82" s="121">
        <v>0</v>
      </c>
      <c r="EH82" s="122" t="e">
        <f t="shared" si="33"/>
        <v>#DIV/0!</v>
      </c>
      <c r="EI82" s="123">
        <v>0</v>
      </c>
    </row>
    <row r="83" spans="1:139" s="373" customFormat="1" ht="15.75" customHeight="1" x14ac:dyDescent="0.25">
      <c r="A83" s="1070"/>
      <c r="B83" s="347" t="s">
        <v>71</v>
      </c>
      <c r="C83" s="348"/>
      <c r="D83" s="349">
        <v>24.900000000000002</v>
      </c>
      <c r="E83" s="350"/>
      <c r="F83" s="350">
        <v>0.22892552105838984</v>
      </c>
      <c r="G83" s="350"/>
      <c r="H83" s="351" t="s">
        <v>44</v>
      </c>
      <c r="I83" s="352" t="s">
        <v>44</v>
      </c>
      <c r="J83" s="353">
        <v>298</v>
      </c>
      <c r="K83" s="354"/>
      <c r="L83" s="355" t="s">
        <v>44</v>
      </c>
      <c r="M83" s="356" t="s">
        <v>44</v>
      </c>
      <c r="N83" s="420">
        <v>298</v>
      </c>
      <c r="O83" s="421"/>
      <c r="P83" s="351" t="s">
        <v>44</v>
      </c>
      <c r="Q83" s="352" t="s">
        <v>44</v>
      </c>
      <c r="R83" s="420">
        <v>0</v>
      </c>
      <c r="S83" s="421"/>
      <c r="T83" s="351" t="s">
        <v>44</v>
      </c>
      <c r="U83" s="352" t="s">
        <v>44</v>
      </c>
      <c r="V83" s="358">
        <v>12</v>
      </c>
      <c r="W83" s="358"/>
      <c r="X83" s="349">
        <v>25.099999999999998</v>
      </c>
      <c r="Y83" s="350"/>
      <c r="Z83" s="350">
        <v>0.228662008399457</v>
      </c>
      <c r="AA83" s="350"/>
      <c r="AB83" s="351" t="s">
        <v>44</v>
      </c>
      <c r="AC83" s="352" t="s">
        <v>44</v>
      </c>
      <c r="AD83" s="353">
        <v>319</v>
      </c>
      <c r="AE83" s="354"/>
      <c r="AF83" s="355" t="s">
        <v>44</v>
      </c>
      <c r="AG83" s="356" t="s">
        <v>44</v>
      </c>
      <c r="AH83" s="420">
        <v>319</v>
      </c>
      <c r="AI83" s="421"/>
      <c r="AJ83" s="351" t="s">
        <v>44</v>
      </c>
      <c r="AK83" s="352" t="s">
        <v>44</v>
      </c>
      <c r="AL83" s="420">
        <v>0</v>
      </c>
      <c r="AM83" s="421"/>
      <c r="AN83" s="351" t="s">
        <v>44</v>
      </c>
      <c r="AO83" s="352" t="s">
        <v>44</v>
      </c>
      <c r="AP83" s="358">
        <v>13</v>
      </c>
      <c r="AQ83" s="358"/>
      <c r="AR83" s="349">
        <f>SUM(AR84:AR88)</f>
        <v>24.8</v>
      </c>
      <c r="AS83" s="350"/>
      <c r="AT83" s="834">
        <f>AR83/11091.9</f>
        <v>2.2358658119889289E-3</v>
      </c>
      <c r="AU83" s="350"/>
      <c r="AV83" s="351" t="s">
        <v>44</v>
      </c>
      <c r="AW83" s="352" t="s">
        <v>44</v>
      </c>
      <c r="AX83" s="353">
        <f t="shared" si="68"/>
        <v>320</v>
      </c>
      <c r="AY83" s="354"/>
      <c r="AZ83" s="355" t="s">
        <v>44</v>
      </c>
      <c r="BA83" s="356" t="s">
        <v>44</v>
      </c>
      <c r="BB83" s="349">
        <f>SUM(BB84:BB88)</f>
        <v>320</v>
      </c>
      <c r="BC83" s="421"/>
      <c r="BD83" s="351" t="s">
        <v>44</v>
      </c>
      <c r="BE83" s="352" t="s">
        <v>44</v>
      </c>
      <c r="BF83" s="420">
        <v>0</v>
      </c>
      <c r="BG83" s="421"/>
      <c r="BH83" s="351" t="s">
        <v>44</v>
      </c>
      <c r="BI83" s="352" t="s">
        <v>44</v>
      </c>
      <c r="BJ83" s="358">
        <f t="shared" si="75"/>
        <v>12.903225806451612</v>
      </c>
      <c r="BK83" s="358"/>
      <c r="BL83" s="349">
        <f>SUM(BL84:BL88)</f>
        <v>26.200000000000003</v>
      </c>
      <c r="BM83" s="350"/>
      <c r="BN83" s="834">
        <f>BL83/11156.9</f>
        <v>2.3483225627190353E-3</v>
      </c>
      <c r="BO83" s="350"/>
      <c r="BP83" s="351" t="s">
        <v>44</v>
      </c>
      <c r="BQ83" s="352" t="s">
        <v>44</v>
      </c>
      <c r="BR83" s="353">
        <f t="shared" si="69"/>
        <v>259.5</v>
      </c>
      <c r="BS83" s="354"/>
      <c r="BT83" s="355" t="s">
        <v>44</v>
      </c>
      <c r="BU83" s="352" t="s">
        <v>44</v>
      </c>
      <c r="BV83" s="1013">
        <f>SUM(BV84:BV88)</f>
        <v>259.5</v>
      </c>
      <c r="BW83" s="421"/>
      <c r="BX83" s="351" t="s">
        <v>44</v>
      </c>
      <c r="BY83" s="352" t="s">
        <v>44</v>
      </c>
      <c r="BZ83" s="420">
        <v>0</v>
      </c>
      <c r="CA83" s="421"/>
      <c r="CB83" s="351" t="s">
        <v>44</v>
      </c>
      <c r="CC83" s="352" t="s">
        <v>44</v>
      </c>
      <c r="CD83" s="358">
        <f t="shared" si="76"/>
        <v>9.9045801526717554</v>
      </c>
      <c r="CE83" s="358"/>
      <c r="CF83" s="422">
        <f t="shared" si="80"/>
        <v>101</v>
      </c>
      <c r="CG83" s="421"/>
      <c r="CH83" s="833">
        <f>CF83/44102.6</f>
        <v>2.2901144150231506E-3</v>
      </c>
      <c r="CI83" s="424"/>
      <c r="CJ83" s="355" t="s">
        <v>44</v>
      </c>
      <c r="CK83" s="356" t="s">
        <v>44</v>
      </c>
      <c r="CL83" s="420">
        <f t="shared" si="70"/>
        <v>1196.5</v>
      </c>
      <c r="CM83" s="425"/>
      <c r="CN83" s="363" t="s">
        <v>44</v>
      </c>
      <c r="CO83" s="356" t="s">
        <v>44</v>
      </c>
      <c r="CP83" s="426">
        <f t="shared" si="71"/>
        <v>1196.5</v>
      </c>
      <c r="CQ83" s="421"/>
      <c r="CR83" s="355" t="s">
        <v>44</v>
      </c>
      <c r="CS83" s="356" t="s">
        <v>44</v>
      </c>
      <c r="CT83" s="420">
        <f t="shared" si="72"/>
        <v>0</v>
      </c>
      <c r="CU83" s="421"/>
      <c r="CV83" s="355" t="s">
        <v>44</v>
      </c>
      <c r="CW83" s="356" t="s">
        <v>44</v>
      </c>
      <c r="CX83" s="420">
        <f t="shared" si="74"/>
        <v>11.846534653465346</v>
      </c>
      <c r="CY83" s="427"/>
      <c r="CZ83" s="428">
        <f t="shared" si="82"/>
        <v>50</v>
      </c>
      <c r="DA83" s="429">
        <f t="shared" si="77"/>
        <v>0</v>
      </c>
      <c r="DB83" s="423" t="e">
        <f>(CZ83/#REF!)*100</f>
        <v>#REF!</v>
      </c>
      <c r="DC83" s="430" t="e">
        <f>(DA83/#REF!)*100</f>
        <v>#REF!</v>
      </c>
      <c r="DD83" s="420">
        <f t="shared" si="83"/>
        <v>617</v>
      </c>
      <c r="DE83" s="426">
        <f t="shared" si="83"/>
        <v>0</v>
      </c>
      <c r="DF83" s="426" t="e">
        <f t="shared" si="83"/>
        <v>#VALUE!</v>
      </c>
      <c r="DG83" s="431" t="e">
        <f t="shared" si="83"/>
        <v>#VALUE!</v>
      </c>
      <c r="DH83" s="420">
        <f t="shared" si="83"/>
        <v>617</v>
      </c>
      <c r="DI83" s="421">
        <f t="shared" si="83"/>
        <v>0</v>
      </c>
      <c r="DJ83" s="421" t="e">
        <f t="shared" si="83"/>
        <v>#VALUE!</v>
      </c>
      <c r="DK83" s="421" t="e">
        <f t="shared" si="83"/>
        <v>#VALUE!</v>
      </c>
      <c r="DL83" s="420">
        <f t="shared" si="83"/>
        <v>0</v>
      </c>
      <c r="DM83" s="421">
        <f t="shared" si="83"/>
        <v>0</v>
      </c>
      <c r="DN83" s="421" t="e">
        <f t="shared" si="83"/>
        <v>#VALUE!</v>
      </c>
      <c r="DO83" s="425" t="e">
        <f t="shared" si="83"/>
        <v>#VALUE!</v>
      </c>
      <c r="DP83" s="357">
        <f t="shared" si="99"/>
        <v>12</v>
      </c>
      <c r="DQ83" s="369" t="e">
        <f t="shared" si="99"/>
        <v>#DIV/0!</v>
      </c>
      <c r="DR83" s="432">
        <f t="shared" ref="DR83:DR88" si="103">CZ83-DA83</f>
        <v>50</v>
      </c>
      <c r="DS83" s="371">
        <f t="shared" si="84"/>
        <v>100</v>
      </c>
      <c r="DT83" s="358" t="e">
        <f t="shared" si="85"/>
        <v>#VALUE!</v>
      </c>
      <c r="DU83" s="371" t="e">
        <f t="shared" ref="DU83:DU98" si="104">ABS((DT83/(DD83+DF83)*100))</f>
        <v>#VALUE!</v>
      </c>
      <c r="DV83" s="358">
        <f t="shared" si="87"/>
        <v>617</v>
      </c>
      <c r="DW83" s="359">
        <f t="shared" ref="DW83:DW98" si="105">ABS((DV83/DD83)*100)</f>
        <v>100</v>
      </c>
      <c r="DX83" s="354" t="e">
        <f t="shared" si="89"/>
        <v>#VALUE!</v>
      </c>
      <c r="DY83" s="371" t="e">
        <f t="shared" ref="DY83:DY98" si="106">ABS((DX83/DF83)*100)</f>
        <v>#VALUE!</v>
      </c>
      <c r="DZ83" s="358">
        <f t="shared" si="91"/>
        <v>617</v>
      </c>
      <c r="EA83" s="359">
        <f t="shared" ref="EA83:EA98" si="107">ABS((DZ83/DH83)*100)</f>
        <v>100</v>
      </c>
      <c r="EB83" s="354" t="e">
        <f t="shared" si="93"/>
        <v>#VALUE!</v>
      </c>
      <c r="EC83" s="371" t="e">
        <f t="shared" ref="EC83:EC98" si="108">ABS((EB83/DJ83)*100)</f>
        <v>#VALUE!</v>
      </c>
      <c r="ED83" s="358">
        <f t="shared" si="95"/>
        <v>0</v>
      </c>
      <c r="EE83" s="367">
        <v>0</v>
      </c>
      <c r="EF83" s="354" t="e">
        <f t="shared" si="96"/>
        <v>#VALUE!</v>
      </c>
      <c r="EG83" s="367" t="e">
        <f t="shared" ref="EG83:EG98" si="109">ABS((EF83/DN83)*100)</f>
        <v>#VALUE!</v>
      </c>
      <c r="EH83" s="433" t="e">
        <f t="shared" ref="EH83:EH90" si="110">DP83-DQ83</f>
        <v>#DIV/0!</v>
      </c>
      <c r="EI83" s="434" t="e">
        <f t="shared" ref="EI83:EI90" si="111">ABS(EH83/DP83)*100</f>
        <v>#DIV/0!</v>
      </c>
    </row>
    <row r="84" spans="1:139" s="5" customFormat="1" ht="15.75" customHeight="1" x14ac:dyDescent="0.25">
      <c r="A84" s="1070"/>
      <c r="B84" s="178"/>
      <c r="C84" s="91" t="s">
        <v>45</v>
      </c>
      <c r="D84" s="92">
        <v>6.7</v>
      </c>
      <c r="E84" s="93"/>
      <c r="F84" s="93">
        <v>0.31032885595182957</v>
      </c>
      <c r="G84" s="93"/>
      <c r="H84" s="158" t="s">
        <v>44</v>
      </c>
      <c r="I84" s="159" t="s">
        <v>44</v>
      </c>
      <c r="J84" s="122">
        <v>84</v>
      </c>
      <c r="K84" s="101"/>
      <c r="L84" s="188" t="s">
        <v>44</v>
      </c>
      <c r="M84" s="189" t="s">
        <v>44</v>
      </c>
      <c r="N84" s="184">
        <v>84</v>
      </c>
      <c r="O84" s="97"/>
      <c r="P84" s="158" t="s">
        <v>44</v>
      </c>
      <c r="Q84" s="159" t="s">
        <v>44</v>
      </c>
      <c r="R84" s="184">
        <v>0</v>
      </c>
      <c r="S84" s="101"/>
      <c r="T84" s="158" t="s">
        <v>44</v>
      </c>
      <c r="U84" s="159" t="s">
        <v>44</v>
      </c>
      <c r="V84" s="104">
        <v>13</v>
      </c>
      <c r="W84" s="104"/>
      <c r="X84" s="92">
        <v>6.9</v>
      </c>
      <c r="Y84" s="93"/>
      <c r="Z84" s="93">
        <v>0.31593406593406592</v>
      </c>
      <c r="AA84" s="93"/>
      <c r="AB84" s="158" t="s">
        <v>44</v>
      </c>
      <c r="AC84" s="159" t="s">
        <v>44</v>
      </c>
      <c r="AD84" s="122">
        <v>89</v>
      </c>
      <c r="AE84" s="101"/>
      <c r="AF84" s="188" t="s">
        <v>44</v>
      </c>
      <c r="AG84" s="189" t="s">
        <v>44</v>
      </c>
      <c r="AH84" s="184">
        <v>89</v>
      </c>
      <c r="AI84" s="97"/>
      <c r="AJ84" s="158" t="s">
        <v>44</v>
      </c>
      <c r="AK84" s="159" t="s">
        <v>44</v>
      </c>
      <c r="AL84" s="184">
        <v>0</v>
      </c>
      <c r="AM84" s="101"/>
      <c r="AN84" s="158" t="s">
        <v>44</v>
      </c>
      <c r="AO84" s="159" t="s">
        <v>44</v>
      </c>
      <c r="AP84" s="104">
        <v>13</v>
      </c>
      <c r="AQ84" s="104"/>
      <c r="AR84" s="92">
        <v>7</v>
      </c>
      <c r="AS84" s="93"/>
      <c r="AT84" s="822">
        <f t="shared" si="78"/>
        <v>3.170289855072464E-3</v>
      </c>
      <c r="AU84" s="93"/>
      <c r="AV84" s="158" t="s">
        <v>44</v>
      </c>
      <c r="AW84" s="159" t="s">
        <v>44</v>
      </c>
      <c r="AX84" s="122">
        <f t="shared" si="68"/>
        <v>89</v>
      </c>
      <c r="AY84" s="101"/>
      <c r="AZ84" s="188" t="s">
        <v>44</v>
      </c>
      <c r="BA84" s="189" t="s">
        <v>44</v>
      </c>
      <c r="BB84" s="184">
        <v>89</v>
      </c>
      <c r="BC84" s="97"/>
      <c r="BD84" s="158" t="s">
        <v>44</v>
      </c>
      <c r="BE84" s="159" t="s">
        <v>44</v>
      </c>
      <c r="BF84" s="184">
        <v>0</v>
      </c>
      <c r="BG84" s="101"/>
      <c r="BH84" s="158" t="s">
        <v>44</v>
      </c>
      <c r="BI84" s="159" t="s">
        <v>44</v>
      </c>
      <c r="BJ84" s="104">
        <f t="shared" si="75"/>
        <v>12.714285714285714</v>
      </c>
      <c r="BK84" s="104"/>
      <c r="BL84" s="92">
        <f>14.2-BL78</f>
        <v>7.1</v>
      </c>
      <c r="BM84" s="93"/>
      <c r="BN84" s="822">
        <f t="shared" ref="BN84:BN88" si="112">BL84/2209</f>
        <v>3.2141240380262562E-3</v>
      </c>
      <c r="BO84" s="93"/>
      <c r="BP84" s="158" t="s">
        <v>44</v>
      </c>
      <c r="BQ84" s="159" t="s">
        <v>44</v>
      </c>
      <c r="BR84" s="122">
        <f t="shared" si="69"/>
        <v>70.5</v>
      </c>
      <c r="BS84" s="101"/>
      <c r="BT84" s="188" t="s">
        <v>44</v>
      </c>
      <c r="BU84" s="187" t="s">
        <v>44</v>
      </c>
      <c r="BV84" s="1049">
        <f>141/2</f>
        <v>70.5</v>
      </c>
      <c r="BW84" s="97"/>
      <c r="BX84" s="158" t="s">
        <v>44</v>
      </c>
      <c r="BY84" s="159" t="s">
        <v>44</v>
      </c>
      <c r="BZ84" s="184">
        <v>0</v>
      </c>
      <c r="CA84" s="101"/>
      <c r="CB84" s="158" t="s">
        <v>44</v>
      </c>
      <c r="CC84" s="159" t="s">
        <v>44</v>
      </c>
      <c r="CD84" s="104">
        <f t="shared" si="76"/>
        <v>9.929577464788732</v>
      </c>
      <c r="CE84" s="104"/>
      <c r="CF84" s="103">
        <f t="shared" si="80"/>
        <v>27.7</v>
      </c>
      <c r="CG84" s="102"/>
      <c r="CH84" s="822">
        <f t="shared" si="79"/>
        <v>3.1621004566210046E-3</v>
      </c>
      <c r="CI84" s="179"/>
      <c r="CJ84" s="188" t="s">
        <v>44</v>
      </c>
      <c r="CK84" s="189" t="s">
        <v>44</v>
      </c>
      <c r="CL84" s="100">
        <f t="shared" si="70"/>
        <v>332.5</v>
      </c>
      <c r="CM84" s="107"/>
      <c r="CN84" s="190" t="s">
        <v>44</v>
      </c>
      <c r="CO84" s="189" t="s">
        <v>44</v>
      </c>
      <c r="CP84" s="102">
        <f t="shared" si="71"/>
        <v>332.5</v>
      </c>
      <c r="CQ84" s="97"/>
      <c r="CR84" s="188" t="s">
        <v>44</v>
      </c>
      <c r="CS84" s="189" t="s">
        <v>44</v>
      </c>
      <c r="CT84" s="100">
        <f t="shared" si="72"/>
        <v>0</v>
      </c>
      <c r="CU84" s="97"/>
      <c r="CV84" s="188" t="s">
        <v>44</v>
      </c>
      <c r="CW84" s="189" t="s">
        <v>44</v>
      </c>
      <c r="CX84" s="100">
        <f t="shared" si="74"/>
        <v>12.003610108303249</v>
      </c>
      <c r="CY84" s="174"/>
      <c r="CZ84" s="110">
        <f t="shared" si="82"/>
        <v>13.600000000000001</v>
      </c>
      <c r="DA84" s="111">
        <f t="shared" si="77"/>
        <v>0</v>
      </c>
      <c r="DB84" s="176">
        <f>(CZ84/4343)*100</f>
        <v>0.31314759382915036</v>
      </c>
      <c r="DC84" s="401">
        <f>(DA84/4343)*100</f>
        <v>0</v>
      </c>
      <c r="DD84" s="102">
        <f t="shared" si="83"/>
        <v>173</v>
      </c>
      <c r="DE84" s="102">
        <f t="shared" si="83"/>
        <v>0</v>
      </c>
      <c r="DF84" s="102" t="e">
        <f t="shared" si="83"/>
        <v>#VALUE!</v>
      </c>
      <c r="DG84" s="114" t="e">
        <f t="shared" si="83"/>
        <v>#VALUE!</v>
      </c>
      <c r="DH84" s="100">
        <f t="shared" si="83"/>
        <v>173</v>
      </c>
      <c r="DI84" s="97">
        <f t="shared" si="83"/>
        <v>0</v>
      </c>
      <c r="DJ84" s="97" t="e">
        <f t="shared" si="83"/>
        <v>#VALUE!</v>
      </c>
      <c r="DK84" s="97" t="e">
        <f t="shared" si="83"/>
        <v>#VALUE!</v>
      </c>
      <c r="DL84" s="100">
        <f t="shared" si="83"/>
        <v>0</v>
      </c>
      <c r="DM84" s="97">
        <f t="shared" si="83"/>
        <v>0</v>
      </c>
      <c r="DN84" s="97" t="e">
        <f t="shared" si="83"/>
        <v>#VALUE!</v>
      </c>
      <c r="DO84" s="115" t="e">
        <f t="shared" si="83"/>
        <v>#VALUE!</v>
      </c>
      <c r="DP84" s="376">
        <f t="shared" si="99"/>
        <v>13</v>
      </c>
      <c r="DQ84" s="377" t="e">
        <f t="shared" si="99"/>
        <v>#DIV/0!</v>
      </c>
      <c r="DR84" s="117">
        <f t="shared" si="103"/>
        <v>13.600000000000001</v>
      </c>
      <c r="DS84" s="118">
        <f t="shared" si="84"/>
        <v>100</v>
      </c>
      <c r="DT84" s="104" t="e">
        <f t="shared" si="85"/>
        <v>#VALUE!</v>
      </c>
      <c r="DU84" s="118" t="e">
        <f t="shared" si="104"/>
        <v>#VALUE!</v>
      </c>
      <c r="DV84" s="104">
        <f t="shared" si="87"/>
        <v>173</v>
      </c>
      <c r="DW84" s="119">
        <f t="shared" si="105"/>
        <v>100</v>
      </c>
      <c r="DX84" s="120" t="e">
        <f t="shared" si="89"/>
        <v>#VALUE!</v>
      </c>
      <c r="DY84" s="118" t="e">
        <f t="shared" si="106"/>
        <v>#VALUE!</v>
      </c>
      <c r="DZ84" s="104">
        <f t="shared" si="91"/>
        <v>173</v>
      </c>
      <c r="EA84" s="119">
        <f t="shared" si="107"/>
        <v>100</v>
      </c>
      <c r="EB84" s="120" t="e">
        <f t="shared" si="93"/>
        <v>#VALUE!</v>
      </c>
      <c r="EC84" s="118" t="e">
        <f t="shared" si="108"/>
        <v>#VALUE!</v>
      </c>
      <c r="ED84" s="104">
        <f t="shared" si="95"/>
        <v>0</v>
      </c>
      <c r="EE84" s="121">
        <v>0</v>
      </c>
      <c r="EF84" s="120" t="e">
        <f t="shared" si="96"/>
        <v>#VALUE!</v>
      </c>
      <c r="EG84" s="121" t="e">
        <f t="shared" si="109"/>
        <v>#VALUE!</v>
      </c>
      <c r="EH84" s="122" t="e">
        <f t="shared" si="110"/>
        <v>#DIV/0!</v>
      </c>
      <c r="EI84" s="123" t="e">
        <f t="shared" si="111"/>
        <v>#DIV/0!</v>
      </c>
    </row>
    <row r="85" spans="1:139" s="124" customFormat="1" ht="15.75" customHeight="1" x14ac:dyDescent="0.25">
      <c r="A85" s="1070"/>
      <c r="B85" s="90"/>
      <c r="C85" s="91" t="s">
        <v>46</v>
      </c>
      <c r="D85" s="92">
        <v>7</v>
      </c>
      <c r="E85" s="93"/>
      <c r="F85" s="93">
        <v>0.32422417786012042</v>
      </c>
      <c r="G85" s="93"/>
      <c r="H85" s="158" t="s">
        <v>44</v>
      </c>
      <c r="I85" s="159" t="s">
        <v>44</v>
      </c>
      <c r="J85" s="122">
        <v>85</v>
      </c>
      <c r="K85" s="101"/>
      <c r="L85" s="188" t="s">
        <v>44</v>
      </c>
      <c r="M85" s="189" t="s">
        <v>44</v>
      </c>
      <c r="N85" s="100">
        <v>85</v>
      </c>
      <c r="O85" s="97"/>
      <c r="P85" s="158" t="s">
        <v>44</v>
      </c>
      <c r="Q85" s="159" t="s">
        <v>44</v>
      </c>
      <c r="R85" s="100">
        <v>0</v>
      </c>
      <c r="S85" s="101"/>
      <c r="T85" s="158" t="s">
        <v>44</v>
      </c>
      <c r="U85" s="159" t="s">
        <v>44</v>
      </c>
      <c r="V85" s="104">
        <v>12</v>
      </c>
      <c r="W85" s="104"/>
      <c r="X85" s="92">
        <v>7.1</v>
      </c>
      <c r="Y85" s="93"/>
      <c r="Z85" s="93">
        <v>0.32509157509157505</v>
      </c>
      <c r="AA85" s="93"/>
      <c r="AB85" s="158" t="s">
        <v>44</v>
      </c>
      <c r="AC85" s="159" t="s">
        <v>44</v>
      </c>
      <c r="AD85" s="122">
        <v>92</v>
      </c>
      <c r="AE85" s="101"/>
      <c r="AF85" s="188" t="s">
        <v>44</v>
      </c>
      <c r="AG85" s="189" t="s">
        <v>44</v>
      </c>
      <c r="AH85" s="100">
        <v>92</v>
      </c>
      <c r="AI85" s="97"/>
      <c r="AJ85" s="158" t="s">
        <v>44</v>
      </c>
      <c r="AK85" s="159" t="s">
        <v>44</v>
      </c>
      <c r="AL85" s="100">
        <v>0</v>
      </c>
      <c r="AM85" s="101"/>
      <c r="AN85" s="158" t="s">
        <v>44</v>
      </c>
      <c r="AO85" s="159" t="s">
        <v>44</v>
      </c>
      <c r="AP85" s="104">
        <v>13</v>
      </c>
      <c r="AQ85" s="104"/>
      <c r="AR85" s="92">
        <v>7.2</v>
      </c>
      <c r="AS85" s="93"/>
      <c r="AT85" s="822">
        <f t="shared" si="78"/>
        <v>3.2608695652173916E-3</v>
      </c>
      <c r="AU85" s="93"/>
      <c r="AV85" s="158" t="s">
        <v>44</v>
      </c>
      <c r="AW85" s="159" t="s">
        <v>44</v>
      </c>
      <c r="AX85" s="122">
        <f t="shared" si="68"/>
        <v>92</v>
      </c>
      <c r="AY85" s="101"/>
      <c r="AZ85" s="188" t="s">
        <v>44</v>
      </c>
      <c r="BA85" s="189" t="s">
        <v>44</v>
      </c>
      <c r="BB85" s="100">
        <v>92</v>
      </c>
      <c r="BC85" s="97"/>
      <c r="BD85" s="158" t="s">
        <v>44</v>
      </c>
      <c r="BE85" s="159" t="s">
        <v>44</v>
      </c>
      <c r="BF85" s="100">
        <v>0</v>
      </c>
      <c r="BG85" s="101"/>
      <c r="BH85" s="158" t="s">
        <v>44</v>
      </c>
      <c r="BI85" s="159" t="s">
        <v>44</v>
      </c>
      <c r="BJ85" s="104">
        <f t="shared" si="75"/>
        <v>12.777777777777777</v>
      </c>
      <c r="BK85" s="104"/>
      <c r="BL85" s="92">
        <f>14.3-BL79</f>
        <v>7.1000000000000005</v>
      </c>
      <c r="BM85" s="93"/>
      <c r="BN85" s="822">
        <f t="shared" si="112"/>
        <v>3.2141240380262562E-3</v>
      </c>
      <c r="BO85" s="93"/>
      <c r="BP85" s="158" t="s">
        <v>44</v>
      </c>
      <c r="BQ85" s="159" t="s">
        <v>44</v>
      </c>
      <c r="BR85" s="122">
        <f t="shared" si="69"/>
        <v>73</v>
      </c>
      <c r="BS85" s="101"/>
      <c r="BT85" s="188" t="s">
        <v>44</v>
      </c>
      <c r="BU85" s="187" t="s">
        <v>44</v>
      </c>
      <c r="BV85" s="102">
        <f>146/2</f>
        <v>73</v>
      </c>
      <c r="BW85" s="97"/>
      <c r="BX85" s="158" t="s">
        <v>44</v>
      </c>
      <c r="BY85" s="159" t="s">
        <v>44</v>
      </c>
      <c r="BZ85" s="100">
        <v>0</v>
      </c>
      <c r="CA85" s="101"/>
      <c r="CB85" s="158" t="s">
        <v>44</v>
      </c>
      <c r="CC85" s="159" t="s">
        <v>44</v>
      </c>
      <c r="CD85" s="104">
        <f t="shared" si="76"/>
        <v>10.28169014084507</v>
      </c>
      <c r="CE85" s="104"/>
      <c r="CF85" s="103">
        <f t="shared" si="80"/>
        <v>28.4</v>
      </c>
      <c r="CG85" s="102"/>
      <c r="CH85" s="822">
        <f t="shared" si="79"/>
        <v>3.2420091324200911E-3</v>
      </c>
      <c r="CI85" s="179"/>
      <c r="CJ85" s="188" t="s">
        <v>44</v>
      </c>
      <c r="CK85" s="189" t="s">
        <v>44</v>
      </c>
      <c r="CL85" s="100">
        <f t="shared" si="70"/>
        <v>342</v>
      </c>
      <c r="CM85" s="107"/>
      <c r="CN85" s="190" t="s">
        <v>44</v>
      </c>
      <c r="CO85" s="189" t="s">
        <v>44</v>
      </c>
      <c r="CP85" s="102">
        <f t="shared" si="71"/>
        <v>342</v>
      </c>
      <c r="CQ85" s="97"/>
      <c r="CR85" s="188" t="s">
        <v>44</v>
      </c>
      <c r="CS85" s="189" t="s">
        <v>44</v>
      </c>
      <c r="CT85" s="100">
        <f t="shared" si="72"/>
        <v>0</v>
      </c>
      <c r="CU85" s="97"/>
      <c r="CV85" s="188" t="s">
        <v>44</v>
      </c>
      <c r="CW85" s="189" t="s">
        <v>44</v>
      </c>
      <c r="CX85" s="100">
        <f t="shared" si="74"/>
        <v>12.042253521126762</v>
      </c>
      <c r="CY85" s="174"/>
      <c r="CZ85" s="110">
        <f t="shared" si="82"/>
        <v>14.1</v>
      </c>
      <c r="DA85" s="111">
        <f t="shared" si="77"/>
        <v>0</v>
      </c>
      <c r="DB85" s="176">
        <f t="shared" ref="DB85:DC88" si="113">(CZ85/4343)*100</f>
        <v>0.3246603730140456</v>
      </c>
      <c r="DC85" s="401">
        <f t="shared" si="113"/>
        <v>0</v>
      </c>
      <c r="DD85" s="102">
        <f t="shared" si="83"/>
        <v>177</v>
      </c>
      <c r="DE85" s="102">
        <f t="shared" si="83"/>
        <v>0</v>
      </c>
      <c r="DF85" s="102" t="e">
        <f t="shared" si="83"/>
        <v>#VALUE!</v>
      </c>
      <c r="DG85" s="114" t="e">
        <f t="shared" si="83"/>
        <v>#VALUE!</v>
      </c>
      <c r="DH85" s="100">
        <f t="shared" si="83"/>
        <v>177</v>
      </c>
      <c r="DI85" s="97">
        <f t="shared" si="83"/>
        <v>0</v>
      </c>
      <c r="DJ85" s="97" t="e">
        <f t="shared" si="83"/>
        <v>#VALUE!</v>
      </c>
      <c r="DK85" s="97" t="e">
        <f t="shared" si="83"/>
        <v>#VALUE!</v>
      </c>
      <c r="DL85" s="100">
        <f t="shared" si="83"/>
        <v>0</v>
      </c>
      <c r="DM85" s="97">
        <f t="shared" si="83"/>
        <v>0</v>
      </c>
      <c r="DN85" s="97" t="e">
        <f t="shared" si="83"/>
        <v>#VALUE!</v>
      </c>
      <c r="DO85" s="115" t="e">
        <f t="shared" si="83"/>
        <v>#VALUE!</v>
      </c>
      <c r="DP85" s="376">
        <f t="shared" si="99"/>
        <v>13</v>
      </c>
      <c r="DQ85" s="377" t="e">
        <f t="shared" si="99"/>
        <v>#DIV/0!</v>
      </c>
      <c r="DR85" s="117">
        <f t="shared" si="103"/>
        <v>14.1</v>
      </c>
      <c r="DS85" s="118">
        <f t="shared" si="84"/>
        <v>100</v>
      </c>
      <c r="DT85" s="104" t="e">
        <f t="shared" si="85"/>
        <v>#VALUE!</v>
      </c>
      <c r="DU85" s="118" t="e">
        <f>ABS((DT85/(DD85+DF85)*100))</f>
        <v>#VALUE!</v>
      </c>
      <c r="DV85" s="104">
        <f t="shared" si="87"/>
        <v>177</v>
      </c>
      <c r="DW85" s="119">
        <f t="shared" si="105"/>
        <v>100</v>
      </c>
      <c r="DX85" s="120" t="e">
        <f t="shared" si="89"/>
        <v>#VALUE!</v>
      </c>
      <c r="DY85" s="118" t="e">
        <f t="shared" si="106"/>
        <v>#VALUE!</v>
      </c>
      <c r="DZ85" s="104">
        <f t="shared" si="91"/>
        <v>177</v>
      </c>
      <c r="EA85" s="119">
        <f t="shared" si="107"/>
        <v>100</v>
      </c>
      <c r="EB85" s="120" t="e">
        <f t="shared" si="93"/>
        <v>#VALUE!</v>
      </c>
      <c r="EC85" s="118" t="e">
        <f t="shared" si="108"/>
        <v>#VALUE!</v>
      </c>
      <c r="ED85" s="104">
        <f t="shared" si="95"/>
        <v>0</v>
      </c>
      <c r="EE85" s="121">
        <v>0</v>
      </c>
      <c r="EF85" s="120" t="e">
        <f t="shared" si="96"/>
        <v>#VALUE!</v>
      </c>
      <c r="EG85" s="121" t="e">
        <f t="shared" si="109"/>
        <v>#VALUE!</v>
      </c>
      <c r="EH85" s="122" t="e">
        <f t="shared" si="110"/>
        <v>#DIV/0!</v>
      </c>
      <c r="EI85" s="123" t="e">
        <f t="shared" si="111"/>
        <v>#DIV/0!</v>
      </c>
    </row>
    <row r="86" spans="1:139" s="124" customFormat="1" ht="15.75" customHeight="1" x14ac:dyDescent="0.25">
      <c r="A86" s="1070"/>
      <c r="B86" s="90"/>
      <c r="C86" s="91" t="s">
        <v>47</v>
      </c>
      <c r="D86" s="92">
        <v>6.9</v>
      </c>
      <c r="E86" s="93"/>
      <c r="F86" s="93">
        <v>0.3195924038906901</v>
      </c>
      <c r="G86" s="93"/>
      <c r="H86" s="158" t="s">
        <v>44</v>
      </c>
      <c r="I86" s="159" t="s">
        <v>44</v>
      </c>
      <c r="J86" s="122">
        <v>84</v>
      </c>
      <c r="K86" s="101"/>
      <c r="L86" s="188" t="s">
        <v>44</v>
      </c>
      <c r="M86" s="189" t="s">
        <v>44</v>
      </c>
      <c r="N86" s="100">
        <v>84</v>
      </c>
      <c r="O86" s="97"/>
      <c r="P86" s="158" t="s">
        <v>44</v>
      </c>
      <c r="Q86" s="159" t="s">
        <v>44</v>
      </c>
      <c r="R86" s="100">
        <v>0</v>
      </c>
      <c r="S86" s="97"/>
      <c r="T86" s="158" t="s">
        <v>44</v>
      </c>
      <c r="U86" s="159" t="s">
        <v>44</v>
      </c>
      <c r="V86" s="104">
        <v>12</v>
      </c>
      <c r="W86" s="104"/>
      <c r="X86" s="92">
        <v>6.9</v>
      </c>
      <c r="Y86" s="93"/>
      <c r="Z86" s="93">
        <v>0.31593406593406592</v>
      </c>
      <c r="AA86" s="93"/>
      <c r="AB86" s="158" t="s">
        <v>44</v>
      </c>
      <c r="AC86" s="159" t="s">
        <v>44</v>
      </c>
      <c r="AD86" s="122">
        <v>89</v>
      </c>
      <c r="AE86" s="101"/>
      <c r="AF86" s="188" t="s">
        <v>44</v>
      </c>
      <c r="AG86" s="189" t="s">
        <v>44</v>
      </c>
      <c r="AH86" s="100">
        <v>89</v>
      </c>
      <c r="AI86" s="97"/>
      <c r="AJ86" s="158" t="s">
        <v>44</v>
      </c>
      <c r="AK86" s="159" t="s">
        <v>44</v>
      </c>
      <c r="AL86" s="100">
        <v>0</v>
      </c>
      <c r="AM86" s="97"/>
      <c r="AN86" s="158" t="s">
        <v>44</v>
      </c>
      <c r="AO86" s="159" t="s">
        <v>44</v>
      </c>
      <c r="AP86" s="104">
        <v>13</v>
      </c>
      <c r="AQ86" s="104"/>
      <c r="AR86" s="92">
        <v>6.4</v>
      </c>
      <c r="AS86" s="93"/>
      <c r="AT86" s="822">
        <f t="shared" si="78"/>
        <v>2.8985507246376812E-3</v>
      </c>
      <c r="AU86" s="93"/>
      <c r="AV86" s="158" t="s">
        <v>44</v>
      </c>
      <c r="AW86" s="159" t="s">
        <v>44</v>
      </c>
      <c r="AX86" s="122">
        <f t="shared" si="68"/>
        <v>91</v>
      </c>
      <c r="AY86" s="101"/>
      <c r="AZ86" s="188" t="s">
        <v>44</v>
      </c>
      <c r="BA86" s="189" t="s">
        <v>44</v>
      </c>
      <c r="BB86" s="100">
        <v>91</v>
      </c>
      <c r="BC86" s="97"/>
      <c r="BD86" s="158" t="s">
        <v>44</v>
      </c>
      <c r="BE86" s="159" t="s">
        <v>44</v>
      </c>
      <c r="BF86" s="100">
        <v>0</v>
      </c>
      <c r="BG86" s="97"/>
      <c r="BH86" s="158" t="s">
        <v>44</v>
      </c>
      <c r="BI86" s="159" t="s">
        <v>44</v>
      </c>
      <c r="BJ86" s="104">
        <f t="shared" si="75"/>
        <v>14.21875</v>
      </c>
      <c r="BK86" s="104"/>
      <c r="BL86" s="92">
        <f>14.4-BL80</f>
        <v>7.4</v>
      </c>
      <c r="BM86" s="93"/>
      <c r="BN86" s="822">
        <f t="shared" si="112"/>
        <v>3.3499320959710279E-3</v>
      </c>
      <c r="BO86" s="93"/>
      <c r="BP86" s="158" t="s">
        <v>44</v>
      </c>
      <c r="BQ86" s="159" t="s">
        <v>44</v>
      </c>
      <c r="BR86" s="122">
        <f t="shared" si="69"/>
        <v>74</v>
      </c>
      <c r="BS86" s="101"/>
      <c r="BT86" s="188" t="s">
        <v>44</v>
      </c>
      <c r="BU86" s="187" t="s">
        <v>44</v>
      </c>
      <c r="BV86" s="102">
        <v>74</v>
      </c>
      <c r="BW86" s="97"/>
      <c r="BX86" s="158" t="s">
        <v>44</v>
      </c>
      <c r="BY86" s="159" t="s">
        <v>44</v>
      </c>
      <c r="BZ86" s="100">
        <v>0</v>
      </c>
      <c r="CA86" s="97"/>
      <c r="CB86" s="158" t="s">
        <v>44</v>
      </c>
      <c r="CC86" s="159" t="s">
        <v>44</v>
      </c>
      <c r="CD86" s="104">
        <f t="shared" si="76"/>
        <v>10</v>
      </c>
      <c r="CE86" s="104"/>
      <c r="CF86" s="103">
        <f t="shared" si="80"/>
        <v>27.6</v>
      </c>
      <c r="CG86" s="102"/>
      <c r="CH86" s="822">
        <f t="shared" si="79"/>
        <v>3.1506849315068495E-3</v>
      </c>
      <c r="CI86" s="179"/>
      <c r="CJ86" s="188" t="s">
        <v>44</v>
      </c>
      <c r="CK86" s="189" t="s">
        <v>44</v>
      </c>
      <c r="CL86" s="100">
        <f t="shared" si="70"/>
        <v>338</v>
      </c>
      <c r="CM86" s="107"/>
      <c r="CN86" s="190" t="s">
        <v>44</v>
      </c>
      <c r="CO86" s="189" t="s">
        <v>44</v>
      </c>
      <c r="CP86" s="102">
        <f t="shared" si="71"/>
        <v>338</v>
      </c>
      <c r="CQ86" s="97"/>
      <c r="CR86" s="188" t="s">
        <v>44</v>
      </c>
      <c r="CS86" s="189" t="s">
        <v>44</v>
      </c>
      <c r="CT86" s="100">
        <f t="shared" si="72"/>
        <v>0</v>
      </c>
      <c r="CU86" s="97"/>
      <c r="CV86" s="188" t="s">
        <v>44</v>
      </c>
      <c r="CW86" s="189" t="s">
        <v>44</v>
      </c>
      <c r="CX86" s="100">
        <f t="shared" si="74"/>
        <v>12.246376811594203</v>
      </c>
      <c r="CY86" s="174"/>
      <c r="CZ86" s="110">
        <f t="shared" si="82"/>
        <v>13.8</v>
      </c>
      <c r="DA86" s="111">
        <f t="shared" si="77"/>
        <v>0</v>
      </c>
      <c r="DB86" s="176">
        <f t="shared" si="113"/>
        <v>0.31775270550310847</v>
      </c>
      <c r="DC86" s="401">
        <f t="shared" si="113"/>
        <v>0</v>
      </c>
      <c r="DD86" s="102">
        <f t="shared" si="83"/>
        <v>173</v>
      </c>
      <c r="DE86" s="102">
        <f t="shared" si="83"/>
        <v>0</v>
      </c>
      <c r="DF86" s="102" t="e">
        <f t="shared" si="83"/>
        <v>#VALUE!</v>
      </c>
      <c r="DG86" s="114" t="e">
        <f t="shared" si="83"/>
        <v>#VALUE!</v>
      </c>
      <c r="DH86" s="100">
        <f t="shared" si="83"/>
        <v>173</v>
      </c>
      <c r="DI86" s="97">
        <f t="shared" si="83"/>
        <v>0</v>
      </c>
      <c r="DJ86" s="97" t="e">
        <f t="shared" si="83"/>
        <v>#VALUE!</v>
      </c>
      <c r="DK86" s="97" t="e">
        <f t="shared" si="83"/>
        <v>#VALUE!</v>
      </c>
      <c r="DL86" s="100">
        <f t="shared" si="83"/>
        <v>0</v>
      </c>
      <c r="DM86" s="97">
        <f t="shared" si="83"/>
        <v>0</v>
      </c>
      <c r="DN86" s="97" t="e">
        <f t="shared" si="83"/>
        <v>#VALUE!</v>
      </c>
      <c r="DO86" s="115" t="e">
        <f t="shared" si="83"/>
        <v>#VALUE!</v>
      </c>
      <c r="DP86" s="376">
        <f t="shared" si="99"/>
        <v>13</v>
      </c>
      <c r="DQ86" s="377" t="e">
        <f t="shared" si="99"/>
        <v>#DIV/0!</v>
      </c>
      <c r="DR86" s="117">
        <f t="shared" si="103"/>
        <v>13.8</v>
      </c>
      <c r="DS86" s="118">
        <f t="shared" si="84"/>
        <v>100</v>
      </c>
      <c r="DT86" s="104" t="e">
        <f t="shared" si="85"/>
        <v>#VALUE!</v>
      </c>
      <c r="DU86" s="118" t="e">
        <f t="shared" si="104"/>
        <v>#VALUE!</v>
      </c>
      <c r="DV86" s="104">
        <f t="shared" si="87"/>
        <v>173</v>
      </c>
      <c r="DW86" s="119">
        <f t="shared" si="105"/>
        <v>100</v>
      </c>
      <c r="DX86" s="120" t="e">
        <f t="shared" si="89"/>
        <v>#VALUE!</v>
      </c>
      <c r="DY86" s="118" t="e">
        <f t="shared" si="106"/>
        <v>#VALUE!</v>
      </c>
      <c r="DZ86" s="104">
        <f t="shared" si="91"/>
        <v>173</v>
      </c>
      <c r="EA86" s="119">
        <f t="shared" si="107"/>
        <v>100</v>
      </c>
      <c r="EB86" s="120" t="e">
        <f t="shared" si="93"/>
        <v>#VALUE!</v>
      </c>
      <c r="EC86" s="118" t="e">
        <f t="shared" si="108"/>
        <v>#VALUE!</v>
      </c>
      <c r="ED86" s="104">
        <f t="shared" si="95"/>
        <v>0</v>
      </c>
      <c r="EE86" s="121">
        <v>0</v>
      </c>
      <c r="EF86" s="120" t="e">
        <f t="shared" si="96"/>
        <v>#VALUE!</v>
      </c>
      <c r="EG86" s="121" t="e">
        <f t="shared" si="109"/>
        <v>#VALUE!</v>
      </c>
      <c r="EH86" s="122" t="e">
        <f t="shared" si="110"/>
        <v>#DIV/0!</v>
      </c>
      <c r="EI86" s="123" t="e">
        <f t="shared" si="111"/>
        <v>#DIV/0!</v>
      </c>
    </row>
    <row r="87" spans="1:139" ht="15.75" customHeight="1" x14ac:dyDescent="0.25">
      <c r="A87" s="1070"/>
      <c r="B87" s="169"/>
      <c r="C87" s="91" t="s">
        <v>48</v>
      </c>
      <c r="D87" s="92">
        <v>3.7</v>
      </c>
      <c r="E87" s="93"/>
      <c r="F87" s="93">
        <v>0.17137563686892079</v>
      </c>
      <c r="G87" s="93"/>
      <c r="H87" s="158" t="s">
        <v>44</v>
      </c>
      <c r="I87" s="159" t="s">
        <v>44</v>
      </c>
      <c r="J87" s="122">
        <v>45</v>
      </c>
      <c r="K87" s="101"/>
      <c r="L87" s="188" t="s">
        <v>44</v>
      </c>
      <c r="M87" s="189" t="s">
        <v>44</v>
      </c>
      <c r="N87" s="100">
        <v>45</v>
      </c>
      <c r="O87" s="97"/>
      <c r="P87" s="158" t="s">
        <v>44</v>
      </c>
      <c r="Q87" s="159" t="s">
        <v>44</v>
      </c>
      <c r="R87" s="100">
        <v>0</v>
      </c>
      <c r="S87" s="97"/>
      <c r="T87" s="158" t="s">
        <v>44</v>
      </c>
      <c r="U87" s="159" t="s">
        <v>44</v>
      </c>
      <c r="V87" s="104">
        <v>12</v>
      </c>
      <c r="W87" s="104"/>
      <c r="X87" s="92">
        <v>3.7</v>
      </c>
      <c r="Y87" s="93"/>
      <c r="Z87" s="93">
        <v>0.16941391941391942</v>
      </c>
      <c r="AA87" s="93"/>
      <c r="AB87" s="158" t="s">
        <v>44</v>
      </c>
      <c r="AC87" s="159" t="s">
        <v>44</v>
      </c>
      <c r="AD87" s="122">
        <v>49</v>
      </c>
      <c r="AE87" s="101"/>
      <c r="AF87" s="188" t="s">
        <v>44</v>
      </c>
      <c r="AG87" s="189" t="s">
        <v>44</v>
      </c>
      <c r="AH87" s="100">
        <v>49</v>
      </c>
      <c r="AI87" s="97"/>
      <c r="AJ87" s="158" t="s">
        <v>44</v>
      </c>
      <c r="AK87" s="159" t="s">
        <v>44</v>
      </c>
      <c r="AL87" s="100">
        <v>0</v>
      </c>
      <c r="AM87" s="97"/>
      <c r="AN87" s="158" t="s">
        <v>44</v>
      </c>
      <c r="AO87" s="159" t="s">
        <v>44</v>
      </c>
      <c r="AP87" s="104">
        <v>13</v>
      </c>
      <c r="AQ87" s="104"/>
      <c r="AR87" s="92">
        <v>3.7</v>
      </c>
      <c r="AS87" s="93"/>
      <c r="AT87" s="822">
        <f t="shared" si="78"/>
        <v>1.6757246376811596E-3</v>
      </c>
      <c r="AU87" s="93"/>
      <c r="AV87" s="158" t="s">
        <v>44</v>
      </c>
      <c r="AW87" s="159" t="s">
        <v>44</v>
      </c>
      <c r="AX87" s="122">
        <f t="shared" si="68"/>
        <v>48</v>
      </c>
      <c r="AY87" s="101"/>
      <c r="AZ87" s="188" t="s">
        <v>44</v>
      </c>
      <c r="BA87" s="189" t="s">
        <v>44</v>
      </c>
      <c r="BB87" s="100">
        <v>48</v>
      </c>
      <c r="BC87" s="97"/>
      <c r="BD87" s="158" t="s">
        <v>44</v>
      </c>
      <c r="BE87" s="159" t="s">
        <v>44</v>
      </c>
      <c r="BF87" s="100">
        <v>0</v>
      </c>
      <c r="BG87" s="97"/>
      <c r="BH87" s="158" t="s">
        <v>44</v>
      </c>
      <c r="BI87" s="159" t="s">
        <v>44</v>
      </c>
      <c r="BJ87" s="104">
        <f t="shared" si="75"/>
        <v>12.972972972972972</v>
      </c>
      <c r="BK87" s="104"/>
      <c r="BL87" s="92">
        <f>7.7-BL81</f>
        <v>4</v>
      </c>
      <c r="BM87" s="93"/>
      <c r="BN87" s="822">
        <f t="shared" si="112"/>
        <v>1.8107741059302852E-3</v>
      </c>
      <c r="BO87" s="93"/>
      <c r="BP87" s="158" t="s">
        <v>44</v>
      </c>
      <c r="BQ87" s="159" t="s">
        <v>44</v>
      </c>
      <c r="BR87" s="122">
        <f t="shared" si="69"/>
        <v>42</v>
      </c>
      <c r="BS87" s="101"/>
      <c r="BT87" s="188" t="s">
        <v>44</v>
      </c>
      <c r="BU87" s="187" t="s">
        <v>44</v>
      </c>
      <c r="BV87" s="102">
        <v>42</v>
      </c>
      <c r="BW87" s="97"/>
      <c r="BX87" s="158" t="s">
        <v>44</v>
      </c>
      <c r="BY87" s="159" t="s">
        <v>44</v>
      </c>
      <c r="BZ87" s="100">
        <v>0</v>
      </c>
      <c r="CA87" s="97"/>
      <c r="CB87" s="158" t="s">
        <v>44</v>
      </c>
      <c r="CC87" s="159" t="s">
        <v>44</v>
      </c>
      <c r="CD87" s="104">
        <f t="shared" si="76"/>
        <v>10.5</v>
      </c>
      <c r="CE87" s="104"/>
      <c r="CF87" s="103">
        <f t="shared" si="80"/>
        <v>15.100000000000001</v>
      </c>
      <c r="CG87" s="102"/>
      <c r="CH87" s="822">
        <f t="shared" si="79"/>
        <v>1.7237442922374432E-3</v>
      </c>
      <c r="CI87" s="179"/>
      <c r="CJ87" s="188" t="s">
        <v>44</v>
      </c>
      <c r="CK87" s="189" t="s">
        <v>44</v>
      </c>
      <c r="CL87" s="100">
        <f t="shared" si="70"/>
        <v>184</v>
      </c>
      <c r="CM87" s="107"/>
      <c r="CN87" s="190" t="s">
        <v>44</v>
      </c>
      <c r="CO87" s="189" t="s">
        <v>44</v>
      </c>
      <c r="CP87" s="102">
        <f t="shared" si="71"/>
        <v>184</v>
      </c>
      <c r="CQ87" s="97"/>
      <c r="CR87" s="188" t="s">
        <v>44</v>
      </c>
      <c r="CS87" s="189" t="s">
        <v>44</v>
      </c>
      <c r="CT87" s="100">
        <f t="shared" si="72"/>
        <v>0</v>
      </c>
      <c r="CU87" s="97"/>
      <c r="CV87" s="188" t="s">
        <v>44</v>
      </c>
      <c r="CW87" s="189" t="s">
        <v>44</v>
      </c>
      <c r="CX87" s="100">
        <f t="shared" si="74"/>
        <v>12.185430463576157</v>
      </c>
      <c r="CY87" s="174"/>
      <c r="CZ87" s="110">
        <f t="shared" si="82"/>
        <v>7.4</v>
      </c>
      <c r="DA87" s="111">
        <f t="shared" si="77"/>
        <v>0</v>
      </c>
      <c r="DB87" s="176">
        <f t="shared" si="113"/>
        <v>0.17038913193644947</v>
      </c>
      <c r="DC87" s="401">
        <f t="shared" si="113"/>
        <v>0</v>
      </c>
      <c r="DD87" s="102">
        <f t="shared" si="83"/>
        <v>94</v>
      </c>
      <c r="DE87" s="102">
        <f t="shared" si="83"/>
        <v>0</v>
      </c>
      <c r="DF87" s="102" t="e">
        <f t="shared" si="83"/>
        <v>#VALUE!</v>
      </c>
      <c r="DG87" s="114" t="e">
        <f t="shared" si="83"/>
        <v>#VALUE!</v>
      </c>
      <c r="DH87" s="100">
        <f t="shared" si="83"/>
        <v>94</v>
      </c>
      <c r="DI87" s="97">
        <f t="shared" si="83"/>
        <v>0</v>
      </c>
      <c r="DJ87" s="97" t="e">
        <f t="shared" si="83"/>
        <v>#VALUE!</v>
      </c>
      <c r="DK87" s="97" t="e">
        <f t="shared" si="83"/>
        <v>#VALUE!</v>
      </c>
      <c r="DL87" s="100">
        <f t="shared" si="83"/>
        <v>0</v>
      </c>
      <c r="DM87" s="97">
        <f t="shared" si="83"/>
        <v>0</v>
      </c>
      <c r="DN87" s="97" t="e">
        <f t="shared" si="83"/>
        <v>#VALUE!</v>
      </c>
      <c r="DO87" s="115" t="e">
        <f t="shared" si="83"/>
        <v>#VALUE!</v>
      </c>
      <c r="DP87" s="376">
        <f t="shared" si="99"/>
        <v>13</v>
      </c>
      <c r="DQ87" s="377" t="e">
        <f t="shared" si="99"/>
        <v>#DIV/0!</v>
      </c>
      <c r="DR87" s="117">
        <f t="shared" si="103"/>
        <v>7.4</v>
      </c>
      <c r="DS87" s="118">
        <f t="shared" si="84"/>
        <v>100</v>
      </c>
      <c r="DT87" s="104" t="e">
        <f t="shared" si="85"/>
        <v>#VALUE!</v>
      </c>
      <c r="DU87" s="118" t="e">
        <f t="shared" si="104"/>
        <v>#VALUE!</v>
      </c>
      <c r="DV87" s="104">
        <f t="shared" si="87"/>
        <v>94</v>
      </c>
      <c r="DW87" s="119">
        <f t="shared" si="105"/>
        <v>100</v>
      </c>
      <c r="DX87" s="120" t="e">
        <f t="shared" si="89"/>
        <v>#VALUE!</v>
      </c>
      <c r="DY87" s="118" t="e">
        <f t="shared" si="106"/>
        <v>#VALUE!</v>
      </c>
      <c r="DZ87" s="104">
        <f t="shared" si="91"/>
        <v>94</v>
      </c>
      <c r="EA87" s="119">
        <f t="shared" si="107"/>
        <v>100</v>
      </c>
      <c r="EB87" s="120" t="e">
        <f t="shared" si="93"/>
        <v>#VALUE!</v>
      </c>
      <c r="EC87" s="118" t="e">
        <f t="shared" si="108"/>
        <v>#VALUE!</v>
      </c>
      <c r="ED87" s="104">
        <f t="shared" si="95"/>
        <v>0</v>
      </c>
      <c r="EE87" s="121">
        <v>0</v>
      </c>
      <c r="EF87" s="120" t="e">
        <f t="shared" si="96"/>
        <v>#VALUE!</v>
      </c>
      <c r="EG87" s="121" t="e">
        <f t="shared" si="109"/>
        <v>#VALUE!</v>
      </c>
      <c r="EH87" s="122" t="e">
        <f t="shared" si="110"/>
        <v>#DIV/0!</v>
      </c>
      <c r="EI87" s="123" t="e">
        <f t="shared" si="111"/>
        <v>#DIV/0!</v>
      </c>
    </row>
    <row r="88" spans="1:139" s="410" customFormat="1" ht="15.75" customHeight="1" x14ac:dyDescent="0.25">
      <c r="A88" s="1073"/>
      <c r="B88" s="379"/>
      <c r="C88" s="380" t="s">
        <v>49</v>
      </c>
      <c r="D88" s="381">
        <v>0.6</v>
      </c>
      <c r="E88" s="93"/>
      <c r="F88" s="382">
        <v>2.779064381658175E-2</v>
      </c>
      <c r="G88" s="382"/>
      <c r="H88" s="383" t="s">
        <v>44</v>
      </c>
      <c r="I88" s="384" t="s">
        <v>44</v>
      </c>
      <c r="J88" s="385">
        <v>0</v>
      </c>
      <c r="K88" s="386"/>
      <c r="L88" s="188" t="s">
        <v>44</v>
      </c>
      <c r="M88" s="189" t="s">
        <v>44</v>
      </c>
      <c r="N88" s="389">
        <v>0</v>
      </c>
      <c r="O88" s="391"/>
      <c r="P88" s="383" t="s">
        <v>44</v>
      </c>
      <c r="Q88" s="384" t="s">
        <v>44</v>
      </c>
      <c r="R88" s="389">
        <v>0</v>
      </c>
      <c r="S88" s="391"/>
      <c r="T88" s="383" t="s">
        <v>44</v>
      </c>
      <c r="U88" s="384" t="s">
        <v>44</v>
      </c>
      <c r="V88" s="389">
        <v>0</v>
      </c>
      <c r="W88" s="392"/>
      <c r="X88" s="381">
        <v>0.5</v>
      </c>
      <c r="Y88" s="93"/>
      <c r="Z88" s="382">
        <v>2.2893772893772892E-2</v>
      </c>
      <c r="AA88" s="382"/>
      <c r="AB88" s="383" t="s">
        <v>44</v>
      </c>
      <c r="AC88" s="384" t="s">
        <v>44</v>
      </c>
      <c r="AD88" s="385">
        <v>0</v>
      </c>
      <c r="AE88" s="386"/>
      <c r="AF88" s="188" t="s">
        <v>44</v>
      </c>
      <c r="AG88" s="189" t="s">
        <v>44</v>
      </c>
      <c r="AH88" s="389">
        <v>0</v>
      </c>
      <c r="AI88" s="391"/>
      <c r="AJ88" s="383" t="s">
        <v>44</v>
      </c>
      <c r="AK88" s="384" t="s">
        <v>44</v>
      </c>
      <c r="AL88" s="389">
        <v>0</v>
      </c>
      <c r="AM88" s="391"/>
      <c r="AN88" s="383" t="s">
        <v>44</v>
      </c>
      <c r="AO88" s="384" t="s">
        <v>44</v>
      </c>
      <c r="AP88" s="389">
        <v>0</v>
      </c>
      <c r="AQ88" s="392"/>
      <c r="AR88" s="381">
        <v>0.5</v>
      </c>
      <c r="AS88" s="93"/>
      <c r="AT88" s="829">
        <f t="shared" si="78"/>
        <v>2.2644927536231884E-4</v>
      </c>
      <c r="AU88" s="382"/>
      <c r="AV88" s="383" t="s">
        <v>44</v>
      </c>
      <c r="AW88" s="384" t="s">
        <v>44</v>
      </c>
      <c r="AX88" s="385">
        <f t="shared" si="68"/>
        <v>0</v>
      </c>
      <c r="AY88" s="386"/>
      <c r="AZ88" s="188" t="s">
        <v>44</v>
      </c>
      <c r="BA88" s="189" t="s">
        <v>44</v>
      </c>
      <c r="BB88" s="389">
        <v>0</v>
      </c>
      <c r="BC88" s="391"/>
      <c r="BD88" s="383" t="s">
        <v>44</v>
      </c>
      <c r="BE88" s="384" t="s">
        <v>44</v>
      </c>
      <c r="BF88" s="389">
        <v>0</v>
      </c>
      <c r="BG88" s="391"/>
      <c r="BH88" s="383" t="s">
        <v>44</v>
      </c>
      <c r="BI88" s="384" t="s">
        <v>44</v>
      </c>
      <c r="BJ88" s="389">
        <f t="shared" si="75"/>
        <v>0</v>
      </c>
      <c r="BK88" s="392"/>
      <c r="BL88" s="381">
        <f>1.1-BL82</f>
        <v>0.60000000000000009</v>
      </c>
      <c r="BM88" s="93"/>
      <c r="BN88" s="829">
        <f t="shared" si="112"/>
        <v>2.7161611588954283E-4</v>
      </c>
      <c r="BO88" s="382"/>
      <c r="BP88" s="383" t="s">
        <v>44</v>
      </c>
      <c r="BQ88" s="384" t="s">
        <v>44</v>
      </c>
      <c r="BR88" s="385">
        <f t="shared" si="69"/>
        <v>0</v>
      </c>
      <c r="BS88" s="386"/>
      <c r="BT88" s="188" t="s">
        <v>44</v>
      </c>
      <c r="BU88" s="187" t="s">
        <v>44</v>
      </c>
      <c r="BV88" s="397">
        <v>0</v>
      </c>
      <c r="BW88" s="391"/>
      <c r="BX88" s="383" t="s">
        <v>44</v>
      </c>
      <c r="BY88" s="384" t="s">
        <v>44</v>
      </c>
      <c r="BZ88" s="389">
        <v>0</v>
      </c>
      <c r="CA88" s="391"/>
      <c r="CB88" s="383" t="s">
        <v>44</v>
      </c>
      <c r="CC88" s="384" t="s">
        <v>44</v>
      </c>
      <c r="CD88" s="389">
        <f t="shared" si="76"/>
        <v>0</v>
      </c>
      <c r="CE88" s="392"/>
      <c r="CF88" s="267">
        <f t="shared" si="80"/>
        <v>2.2000000000000002</v>
      </c>
      <c r="CG88" s="397"/>
      <c r="CH88" s="829">
        <f t="shared" si="79"/>
        <v>2.5114155251141555E-4</v>
      </c>
      <c r="CI88" s="394"/>
      <c r="CJ88" s="188" t="s">
        <v>44</v>
      </c>
      <c r="CK88" s="189" t="s">
        <v>44</v>
      </c>
      <c r="CL88" s="389">
        <f t="shared" si="70"/>
        <v>0</v>
      </c>
      <c r="CM88" s="395"/>
      <c r="CN88" s="190" t="s">
        <v>44</v>
      </c>
      <c r="CO88" s="189" t="s">
        <v>44</v>
      </c>
      <c r="CP88" s="397">
        <f t="shared" si="71"/>
        <v>0</v>
      </c>
      <c r="CQ88" s="391"/>
      <c r="CR88" s="188" t="s">
        <v>44</v>
      </c>
      <c r="CS88" s="189" t="s">
        <v>44</v>
      </c>
      <c r="CT88" s="389">
        <f t="shared" si="72"/>
        <v>0</v>
      </c>
      <c r="CU88" s="391"/>
      <c r="CV88" s="188" t="s">
        <v>44</v>
      </c>
      <c r="CW88" s="189" t="s">
        <v>44</v>
      </c>
      <c r="CX88" s="389">
        <f t="shared" si="74"/>
        <v>0</v>
      </c>
      <c r="CY88" s="398"/>
      <c r="CZ88" s="110">
        <f t="shared" si="82"/>
        <v>1.1000000000000001</v>
      </c>
      <c r="DA88" s="111">
        <f t="shared" si="77"/>
        <v>0</v>
      </c>
      <c r="DB88" s="176">
        <f t="shared" si="113"/>
        <v>2.5328114206769517E-2</v>
      </c>
      <c r="DC88" s="406">
        <f t="shared" si="113"/>
        <v>0</v>
      </c>
      <c r="DD88" s="389">
        <f t="shared" si="83"/>
        <v>0</v>
      </c>
      <c r="DE88" s="397">
        <f t="shared" si="83"/>
        <v>0</v>
      </c>
      <c r="DF88" s="397" t="e">
        <f t="shared" si="83"/>
        <v>#VALUE!</v>
      </c>
      <c r="DG88" s="435" t="e">
        <f t="shared" si="83"/>
        <v>#VALUE!</v>
      </c>
      <c r="DH88" s="389">
        <f t="shared" si="83"/>
        <v>0</v>
      </c>
      <c r="DI88" s="391">
        <f t="shared" si="83"/>
        <v>0</v>
      </c>
      <c r="DJ88" s="391" t="e">
        <f t="shared" si="83"/>
        <v>#VALUE!</v>
      </c>
      <c r="DK88" s="391" t="e">
        <f t="shared" si="83"/>
        <v>#VALUE!</v>
      </c>
      <c r="DL88" s="389">
        <f t="shared" si="83"/>
        <v>0</v>
      </c>
      <c r="DM88" s="391">
        <f t="shared" si="83"/>
        <v>0</v>
      </c>
      <c r="DN88" s="391" t="e">
        <f t="shared" si="83"/>
        <v>#VALUE!</v>
      </c>
      <c r="DO88" s="404" t="e">
        <f t="shared" si="83"/>
        <v>#VALUE!</v>
      </c>
      <c r="DP88" s="389">
        <f t="shared" si="99"/>
        <v>0</v>
      </c>
      <c r="DQ88" s="392" t="e">
        <f t="shared" si="99"/>
        <v>#DIV/0!</v>
      </c>
      <c r="DR88" s="405">
        <f t="shared" si="103"/>
        <v>1.1000000000000001</v>
      </c>
      <c r="DS88" s="406">
        <f t="shared" si="84"/>
        <v>100</v>
      </c>
      <c r="DT88" s="397" t="e">
        <f t="shared" si="85"/>
        <v>#VALUE!</v>
      </c>
      <c r="DU88" s="406">
        <v>0</v>
      </c>
      <c r="DV88" s="397">
        <f t="shared" si="87"/>
        <v>0</v>
      </c>
      <c r="DW88" s="407">
        <v>0</v>
      </c>
      <c r="DX88" s="391" t="e">
        <f t="shared" si="89"/>
        <v>#VALUE!</v>
      </c>
      <c r="DY88" s="406">
        <v>0</v>
      </c>
      <c r="DZ88" s="397">
        <f t="shared" si="91"/>
        <v>0</v>
      </c>
      <c r="EA88" s="407">
        <v>0</v>
      </c>
      <c r="EB88" s="391" t="e">
        <f t="shared" si="93"/>
        <v>#VALUE!</v>
      </c>
      <c r="EC88" s="406">
        <v>0</v>
      </c>
      <c r="ED88" s="397">
        <f t="shared" si="95"/>
        <v>0</v>
      </c>
      <c r="EE88" s="408">
        <v>0</v>
      </c>
      <c r="EF88" s="391" t="e">
        <f t="shared" si="96"/>
        <v>#VALUE!</v>
      </c>
      <c r="EG88" s="408">
        <v>0</v>
      </c>
      <c r="EH88" s="385" t="e">
        <f t="shared" si="110"/>
        <v>#DIV/0!</v>
      </c>
      <c r="EI88" s="409">
        <v>0</v>
      </c>
    </row>
    <row r="89" spans="1:139" s="470" customFormat="1" ht="15.75" customHeight="1" thickBot="1" x14ac:dyDescent="0.35">
      <c r="A89" s="436" t="s">
        <v>72</v>
      </c>
      <c r="B89" s="437" t="s">
        <v>73</v>
      </c>
      <c r="C89" s="438"/>
      <c r="D89" s="439" t="s">
        <v>44</v>
      </c>
      <c r="E89" s="440" t="s">
        <v>44</v>
      </c>
      <c r="F89" s="441" t="s">
        <v>44</v>
      </c>
      <c r="G89" s="442" t="s">
        <v>44</v>
      </c>
      <c r="H89" s="443" t="s">
        <v>44</v>
      </c>
      <c r="I89" s="444" t="s">
        <v>44</v>
      </c>
      <c r="J89" s="445">
        <v>510029</v>
      </c>
      <c r="K89" s="446"/>
      <c r="L89" s="447" t="s">
        <v>44</v>
      </c>
      <c r="M89" s="448" t="s">
        <v>44</v>
      </c>
      <c r="N89" s="449">
        <v>510029</v>
      </c>
      <c r="O89" s="450"/>
      <c r="P89" s="443" t="s">
        <v>44</v>
      </c>
      <c r="Q89" s="444" t="s">
        <v>44</v>
      </c>
      <c r="R89" s="451">
        <v>0</v>
      </c>
      <c r="S89" s="450"/>
      <c r="T89" s="443" t="s">
        <v>44</v>
      </c>
      <c r="U89" s="444" t="s">
        <v>44</v>
      </c>
      <c r="V89" s="452" t="s">
        <v>44</v>
      </c>
      <c r="W89" s="453"/>
      <c r="X89" s="439" t="s">
        <v>44</v>
      </c>
      <c r="Y89" s="440" t="s">
        <v>44</v>
      </c>
      <c r="Z89" s="441" t="s">
        <v>44</v>
      </c>
      <c r="AA89" s="442" t="s">
        <v>44</v>
      </c>
      <c r="AB89" s="443" t="s">
        <v>44</v>
      </c>
      <c r="AC89" s="444" t="s">
        <v>44</v>
      </c>
      <c r="AD89" s="445">
        <v>510028.7</v>
      </c>
      <c r="AE89" s="446"/>
      <c r="AF89" s="447" t="s">
        <v>44</v>
      </c>
      <c r="AG89" s="448" t="s">
        <v>44</v>
      </c>
      <c r="AH89" s="449">
        <v>510028.7</v>
      </c>
      <c r="AI89" s="450"/>
      <c r="AJ89" s="443" t="s">
        <v>44</v>
      </c>
      <c r="AK89" s="444" t="s">
        <v>44</v>
      </c>
      <c r="AL89" s="451">
        <v>0</v>
      </c>
      <c r="AM89" s="450"/>
      <c r="AN89" s="443" t="s">
        <v>44</v>
      </c>
      <c r="AO89" s="444" t="s">
        <v>44</v>
      </c>
      <c r="AP89" s="452" t="s">
        <v>44</v>
      </c>
      <c r="AQ89" s="453"/>
      <c r="AR89" s="439" t="s">
        <v>44</v>
      </c>
      <c r="AS89" s="440" t="s">
        <v>44</v>
      </c>
      <c r="AT89" s="441" t="s">
        <v>44</v>
      </c>
      <c r="AU89" s="442" t="s">
        <v>44</v>
      </c>
      <c r="AV89" s="443" t="s">
        <v>44</v>
      </c>
      <c r="AW89" s="444" t="s">
        <v>44</v>
      </c>
      <c r="AX89" s="445">
        <f t="shared" si="68"/>
        <v>510029</v>
      </c>
      <c r="AY89" s="446"/>
      <c r="AZ89" s="447" t="s">
        <v>44</v>
      </c>
      <c r="BA89" s="448" t="s">
        <v>44</v>
      </c>
      <c r="BB89" s="449">
        <v>510029</v>
      </c>
      <c r="BC89" s="450"/>
      <c r="BD89" s="443" t="s">
        <v>44</v>
      </c>
      <c r="BE89" s="444" t="s">
        <v>44</v>
      </c>
      <c r="BF89" s="451">
        <v>0</v>
      </c>
      <c r="BG89" s="450"/>
      <c r="BH89" s="443" t="s">
        <v>44</v>
      </c>
      <c r="BI89" s="444" t="s">
        <v>44</v>
      </c>
      <c r="BJ89" s="452" t="s">
        <v>44</v>
      </c>
      <c r="BK89" s="453"/>
      <c r="BL89" s="439" t="s">
        <v>44</v>
      </c>
      <c r="BM89" s="440" t="s">
        <v>44</v>
      </c>
      <c r="BN89" s="441" t="s">
        <v>44</v>
      </c>
      <c r="BO89" s="442" t="s">
        <v>44</v>
      </c>
      <c r="BP89" s="443" t="s">
        <v>44</v>
      </c>
      <c r="BQ89" s="444" t="s">
        <v>44</v>
      </c>
      <c r="BR89" s="445">
        <f t="shared" si="69"/>
        <v>510029</v>
      </c>
      <c r="BS89" s="446"/>
      <c r="BT89" s="447" t="s">
        <v>44</v>
      </c>
      <c r="BU89" s="448" t="s">
        <v>44</v>
      </c>
      <c r="BV89" s="1050">
        <v>510029</v>
      </c>
      <c r="BW89" s="450"/>
      <c r="BX89" s="443" t="s">
        <v>44</v>
      </c>
      <c r="BY89" s="444" t="s">
        <v>44</v>
      </c>
      <c r="BZ89" s="451">
        <v>0</v>
      </c>
      <c r="CA89" s="450"/>
      <c r="CB89" s="443" t="s">
        <v>44</v>
      </c>
      <c r="CC89" s="444" t="s">
        <v>44</v>
      </c>
      <c r="CD89" s="452" t="s">
        <v>44</v>
      </c>
      <c r="CE89" s="453"/>
      <c r="CF89" s="439" t="s">
        <v>44</v>
      </c>
      <c r="CG89" s="441" t="s">
        <v>44</v>
      </c>
      <c r="CH89" s="441" t="s">
        <v>44</v>
      </c>
      <c r="CI89" s="442" t="s">
        <v>44</v>
      </c>
      <c r="CJ89" s="447" t="s">
        <v>44</v>
      </c>
      <c r="CK89" s="448" t="s">
        <v>44</v>
      </c>
      <c r="CL89" s="454">
        <f t="shared" si="70"/>
        <v>2040115.7</v>
      </c>
      <c r="CM89" s="455"/>
      <c r="CN89" s="447" t="s">
        <v>44</v>
      </c>
      <c r="CO89" s="448" t="s">
        <v>44</v>
      </c>
      <c r="CP89" s="445">
        <f t="shared" si="71"/>
        <v>2040115.7</v>
      </c>
      <c r="CQ89" s="450"/>
      <c r="CR89" s="447" t="s">
        <v>44</v>
      </c>
      <c r="CS89" s="448" t="s">
        <v>44</v>
      </c>
      <c r="CT89" s="445">
        <f t="shared" si="72"/>
        <v>0</v>
      </c>
      <c r="CU89" s="450"/>
      <c r="CV89" s="447" t="s">
        <v>44</v>
      </c>
      <c r="CW89" s="448" t="s">
        <v>44</v>
      </c>
      <c r="CX89" s="456" t="s">
        <v>44</v>
      </c>
      <c r="CY89" s="457"/>
      <c r="CZ89" s="439" t="s">
        <v>44</v>
      </c>
      <c r="DA89" s="458" t="s">
        <v>44</v>
      </c>
      <c r="DB89" s="441" t="s">
        <v>44</v>
      </c>
      <c r="DC89" s="442" t="s">
        <v>44</v>
      </c>
      <c r="DD89" s="459">
        <f t="shared" si="83"/>
        <v>1020057.7</v>
      </c>
      <c r="DE89" s="459">
        <f t="shared" si="83"/>
        <v>0</v>
      </c>
      <c r="DF89" s="459" t="e">
        <f t="shared" si="83"/>
        <v>#VALUE!</v>
      </c>
      <c r="DG89" s="7" t="e">
        <f t="shared" si="83"/>
        <v>#VALUE!</v>
      </c>
      <c r="DH89" s="460">
        <f t="shared" si="83"/>
        <v>1020057.7</v>
      </c>
      <c r="DI89" s="461">
        <f t="shared" si="83"/>
        <v>0</v>
      </c>
      <c r="DJ89" s="461" t="e">
        <f t="shared" si="83"/>
        <v>#VALUE!</v>
      </c>
      <c r="DK89" s="462" t="e">
        <f t="shared" si="83"/>
        <v>#VALUE!</v>
      </c>
      <c r="DL89" s="460">
        <f t="shared" si="83"/>
        <v>0</v>
      </c>
      <c r="DM89" s="461">
        <f t="shared" si="83"/>
        <v>0</v>
      </c>
      <c r="DN89" s="461" t="e">
        <f t="shared" si="83"/>
        <v>#VALUE!</v>
      </c>
      <c r="DO89" s="463" t="e">
        <f t="shared" si="83"/>
        <v>#VALUE!</v>
      </c>
      <c r="DP89" s="464" t="s">
        <v>44</v>
      </c>
      <c r="DQ89" s="465" t="s">
        <v>44</v>
      </c>
      <c r="DR89" s="439" t="s">
        <v>44</v>
      </c>
      <c r="DS89" s="442" t="s">
        <v>44</v>
      </c>
      <c r="DT89" s="459" t="e">
        <f t="shared" si="85"/>
        <v>#VALUE!</v>
      </c>
      <c r="DU89" s="466" t="e">
        <f t="shared" si="104"/>
        <v>#VALUE!</v>
      </c>
      <c r="DV89" s="459">
        <f t="shared" si="87"/>
        <v>1020057.7</v>
      </c>
      <c r="DW89" s="467">
        <f t="shared" si="105"/>
        <v>100</v>
      </c>
      <c r="DX89" s="468" t="e">
        <f t="shared" si="89"/>
        <v>#VALUE!</v>
      </c>
      <c r="DY89" s="466">
        <v>0</v>
      </c>
      <c r="DZ89" s="459">
        <f t="shared" si="91"/>
        <v>1020057.7</v>
      </c>
      <c r="EA89" s="467">
        <f t="shared" si="107"/>
        <v>100</v>
      </c>
      <c r="EB89" s="468" t="e">
        <f t="shared" si="93"/>
        <v>#VALUE!</v>
      </c>
      <c r="EC89" s="466">
        <v>0</v>
      </c>
      <c r="ED89" s="459">
        <f t="shared" si="95"/>
        <v>0</v>
      </c>
      <c r="EE89" s="469">
        <v>0</v>
      </c>
      <c r="EF89" s="468" t="e">
        <f t="shared" si="96"/>
        <v>#VALUE!</v>
      </c>
      <c r="EG89" s="469">
        <v>0</v>
      </c>
      <c r="EH89" s="464" t="s">
        <v>44</v>
      </c>
      <c r="EI89" s="465" t="s">
        <v>44</v>
      </c>
    </row>
    <row r="90" spans="1:139" s="493" customFormat="1" ht="15.75" customHeight="1" thickBot="1" x14ac:dyDescent="0.35">
      <c r="A90" s="471"/>
      <c r="B90" s="472" t="s">
        <v>74</v>
      </c>
      <c r="C90" s="473"/>
      <c r="D90" s="474">
        <v>10876.900000000003</v>
      </c>
      <c r="E90" s="475"/>
      <c r="F90" s="476">
        <v>100.00000000000001</v>
      </c>
      <c r="G90" s="476"/>
      <c r="H90" s="477">
        <v>2597594</v>
      </c>
      <c r="I90" s="478"/>
      <c r="J90" s="477">
        <v>1685479</v>
      </c>
      <c r="K90" s="476"/>
      <c r="L90" s="476">
        <v>912115</v>
      </c>
      <c r="M90" s="479"/>
      <c r="N90" s="477">
        <v>1666667</v>
      </c>
      <c r="O90" s="476"/>
      <c r="P90" s="477">
        <v>886829</v>
      </c>
      <c r="Q90" s="478"/>
      <c r="R90" s="477">
        <v>18812</v>
      </c>
      <c r="S90" s="476"/>
      <c r="T90" s="477">
        <v>25286</v>
      </c>
      <c r="U90" s="478"/>
      <c r="V90" s="477">
        <v>155</v>
      </c>
      <c r="W90" s="480"/>
      <c r="X90" s="474">
        <v>10976.900000000003</v>
      </c>
      <c r="Y90" s="475"/>
      <c r="Z90" s="476">
        <v>100</v>
      </c>
      <c r="AA90" s="476"/>
      <c r="AB90" s="477">
        <v>2891827</v>
      </c>
      <c r="AC90" s="478"/>
      <c r="AD90" s="477">
        <v>1677710</v>
      </c>
      <c r="AE90" s="476"/>
      <c r="AF90" s="476">
        <v>1214117</v>
      </c>
      <c r="AG90" s="479"/>
      <c r="AH90" s="477">
        <v>1662537</v>
      </c>
      <c r="AI90" s="476"/>
      <c r="AJ90" s="477">
        <v>1186421</v>
      </c>
      <c r="AK90" s="478"/>
      <c r="AL90" s="477">
        <v>15173</v>
      </c>
      <c r="AM90" s="476"/>
      <c r="AN90" s="477">
        <v>27696</v>
      </c>
      <c r="AO90" s="478"/>
      <c r="AP90" s="477">
        <v>153</v>
      </c>
      <c r="AQ90" s="480"/>
      <c r="AR90" s="474">
        <f>AR83+AR77+AR71+AR66+AR65</f>
        <v>11091.9</v>
      </c>
      <c r="AS90" s="475"/>
      <c r="AT90" s="838">
        <f>AT83+AT77+AT71+AT66+AT65</f>
        <v>1.0041109409500548</v>
      </c>
      <c r="AU90" s="476"/>
      <c r="AV90" s="477">
        <f>AX90+AZ90</f>
        <v>4000745.9531588703</v>
      </c>
      <c r="AW90" s="478"/>
      <c r="AX90" s="477">
        <f t="shared" si="68"/>
        <v>1685729.9531588701</v>
      </c>
      <c r="AY90" s="476"/>
      <c r="AZ90" s="476">
        <f>BD90+BH90</f>
        <v>2315016</v>
      </c>
      <c r="BA90" s="479"/>
      <c r="BB90" s="477">
        <f>BB89+BB65+BB66+BB71+BB77+BB83</f>
        <v>1668677.9531588701</v>
      </c>
      <c r="BC90" s="476"/>
      <c r="BD90" s="481">
        <f>1211569+920264+98995+4725-128937</f>
        <v>2106616</v>
      </c>
      <c r="BE90" s="482"/>
      <c r="BF90" s="481">
        <f>BF89+BF65+BF66+BF71+BF77+BF83</f>
        <v>17052</v>
      </c>
      <c r="BG90" s="483"/>
      <c r="BH90" s="481">
        <f>27867+53764-2168+128937</f>
        <v>208400</v>
      </c>
      <c r="BI90" s="478"/>
      <c r="BJ90" s="477">
        <f>AX90/AR90</f>
        <v>151.9784665529684</v>
      </c>
      <c r="BK90" s="480"/>
      <c r="BL90" s="474">
        <f>BL83+BL77+BL71+BL66+BL65</f>
        <v>11156.900000000001</v>
      </c>
      <c r="BM90" s="475"/>
      <c r="BN90" s="838">
        <f>BN83+BN77+BN71+BN66+BN65</f>
        <v>1</v>
      </c>
      <c r="BO90" s="476"/>
      <c r="BP90" s="477">
        <f>BR90+BT90</f>
        <v>2694216.4400000004</v>
      </c>
      <c r="BQ90" s="478"/>
      <c r="BR90" s="477">
        <f t="shared" si="69"/>
        <v>1776768.4400000002</v>
      </c>
      <c r="BS90" s="476"/>
      <c r="BT90" s="476">
        <f>BX90+CB90</f>
        <v>917448</v>
      </c>
      <c r="BU90" s="479"/>
      <c r="BV90" s="477">
        <f>BV89+BV65+BV66+BV71+BV77+BV83</f>
        <v>1756917.4400000002</v>
      </c>
      <c r="BW90" s="476"/>
      <c r="BX90" s="481">
        <f>939849-50075</f>
        <v>889774</v>
      </c>
      <c r="BY90" s="482"/>
      <c r="BZ90" s="481">
        <f>BZ89+BZ65+BZ66+BZ71+BZ77+BZ83</f>
        <v>19851</v>
      </c>
      <c r="CA90" s="483"/>
      <c r="CB90" s="481">
        <v>27674</v>
      </c>
      <c r="CC90" s="478"/>
      <c r="CD90" s="477">
        <f>BR90/BL90</f>
        <v>159.25287848775196</v>
      </c>
      <c r="CE90" s="480"/>
      <c r="CF90" s="484">
        <f>BL90+AR90+X90+D90</f>
        <v>44102.600000000006</v>
      </c>
      <c r="CG90" s="476"/>
      <c r="CH90" s="838">
        <f>CH83+CH77+CH71+CH66+CH65</f>
        <v>1.0000000000000002</v>
      </c>
      <c r="CI90" s="479"/>
      <c r="CJ90" s="476">
        <f t="shared" ref="CJ90:CJ91" si="114">BP90+AV90+AB90+H90</f>
        <v>12184383.393158872</v>
      </c>
      <c r="CK90" s="479"/>
      <c r="CL90" s="477">
        <f t="shared" si="70"/>
        <v>6825687.3931588698</v>
      </c>
      <c r="CM90" s="485"/>
      <c r="CN90" s="477">
        <f t="shared" si="70"/>
        <v>5358696</v>
      </c>
      <c r="CO90" s="479"/>
      <c r="CP90" s="477">
        <f t="shared" si="71"/>
        <v>6754799.3931588698</v>
      </c>
      <c r="CQ90" s="476"/>
      <c r="CR90" s="477">
        <f t="shared" ref="CR90" si="115">BX90+BD90+AJ90+P90</f>
        <v>5069640</v>
      </c>
      <c r="CS90" s="477"/>
      <c r="CT90" s="477">
        <f t="shared" si="72"/>
        <v>70888</v>
      </c>
      <c r="CU90" s="477"/>
      <c r="CV90" s="477">
        <f t="shared" ref="CV90" si="116">CB90+BH90+AN90+T90</f>
        <v>289056</v>
      </c>
      <c r="CW90" s="479"/>
      <c r="CX90" s="477">
        <f>CL90/CF90</f>
        <v>154.76836724272195</v>
      </c>
      <c r="CY90" s="480"/>
      <c r="CZ90" s="486">
        <f>CZ65+CZ71+CZ77+CZ83</f>
        <v>20541.000000000004</v>
      </c>
      <c r="DA90" s="485">
        <f>DA65+DA71+DA77+DA83</f>
        <v>0</v>
      </c>
      <c r="DB90" s="476" t="e">
        <f>DB83+DB77+DB71+DB56+DB50+DB45+DB39+DB33+DB28+DB26+DB19+DB13</f>
        <v>#REF!</v>
      </c>
      <c r="DC90" s="485" t="e">
        <f>DC83+DC77+DC71+DC56+DC50+DC45+DC39+DC33+DC28+DC26+DC19+DC13</f>
        <v>#REF!</v>
      </c>
      <c r="DD90" s="477">
        <f t="shared" si="83"/>
        <v>3363189</v>
      </c>
      <c r="DE90" s="478">
        <f t="shared" si="83"/>
        <v>0</v>
      </c>
      <c r="DF90" s="478">
        <f t="shared" si="83"/>
        <v>2126232</v>
      </c>
      <c r="DG90" s="486">
        <f t="shared" si="83"/>
        <v>0</v>
      </c>
      <c r="DH90" s="477">
        <f t="shared" si="83"/>
        <v>3329204</v>
      </c>
      <c r="DI90" s="477">
        <f t="shared" si="83"/>
        <v>0</v>
      </c>
      <c r="DJ90" s="477">
        <f t="shared" si="83"/>
        <v>2073250</v>
      </c>
      <c r="DK90" s="477">
        <f t="shared" si="83"/>
        <v>0</v>
      </c>
      <c r="DL90" s="477">
        <f t="shared" si="83"/>
        <v>33985</v>
      </c>
      <c r="DM90" s="477">
        <f t="shared" si="83"/>
        <v>0</v>
      </c>
      <c r="DN90" s="477">
        <f t="shared" si="83"/>
        <v>52982</v>
      </c>
      <c r="DO90" s="487">
        <f t="shared" si="83"/>
        <v>0</v>
      </c>
      <c r="DP90" s="477">
        <f>ROUND((DD90/CZ90),0)</f>
        <v>164</v>
      </c>
      <c r="DQ90" s="480" t="e">
        <f>ROUND((DE90/DA90),0)</f>
        <v>#DIV/0!</v>
      </c>
      <c r="DR90" s="488">
        <f>CZ90-DA90</f>
        <v>20541.000000000004</v>
      </c>
      <c r="DS90" s="489">
        <f>ABS((DR90/CZ90)*100)</f>
        <v>100</v>
      </c>
      <c r="DT90" s="478">
        <f t="shared" si="85"/>
        <v>5489421</v>
      </c>
      <c r="DU90" s="489">
        <f t="shared" si="104"/>
        <v>100</v>
      </c>
      <c r="DV90" s="478">
        <f t="shared" si="87"/>
        <v>3363189</v>
      </c>
      <c r="DW90" s="490">
        <f t="shared" si="105"/>
        <v>100</v>
      </c>
      <c r="DX90" s="476">
        <f t="shared" si="89"/>
        <v>2126232</v>
      </c>
      <c r="DY90" s="489">
        <f t="shared" si="106"/>
        <v>100</v>
      </c>
      <c r="DZ90" s="478">
        <f t="shared" si="91"/>
        <v>3329204</v>
      </c>
      <c r="EA90" s="490">
        <f t="shared" si="107"/>
        <v>100</v>
      </c>
      <c r="EB90" s="476">
        <f t="shared" si="93"/>
        <v>2073250</v>
      </c>
      <c r="EC90" s="489">
        <f t="shared" si="108"/>
        <v>100</v>
      </c>
      <c r="ED90" s="478">
        <f t="shared" si="95"/>
        <v>33985</v>
      </c>
      <c r="EE90" s="491">
        <f t="shared" ref="EE90:EE98" si="117">ABS((ED90/DL90)*100)</f>
        <v>100</v>
      </c>
      <c r="EF90" s="476">
        <f t="shared" si="96"/>
        <v>52982</v>
      </c>
      <c r="EG90" s="489">
        <f t="shared" si="109"/>
        <v>100</v>
      </c>
      <c r="EH90" s="487" t="e">
        <f t="shared" si="110"/>
        <v>#DIV/0!</v>
      </c>
      <c r="EI90" s="492" t="e">
        <f t="shared" si="111"/>
        <v>#DIV/0!</v>
      </c>
    </row>
    <row r="91" spans="1:139" s="470" customFormat="1" ht="15.75" customHeight="1" x14ac:dyDescent="0.25">
      <c r="A91" s="494" t="s">
        <v>75</v>
      </c>
      <c r="B91" s="495" t="s">
        <v>76</v>
      </c>
      <c r="C91" s="496"/>
      <c r="D91" s="497" t="s">
        <v>44</v>
      </c>
      <c r="E91" s="498" t="s">
        <v>44</v>
      </c>
      <c r="F91" s="499" t="s">
        <v>44</v>
      </c>
      <c r="G91" s="500" t="s">
        <v>44</v>
      </c>
      <c r="H91" s="501">
        <v>255523</v>
      </c>
      <c r="I91" s="233"/>
      <c r="J91" s="502">
        <v>166780</v>
      </c>
      <c r="K91" s="503"/>
      <c r="L91" s="504">
        <v>88743</v>
      </c>
      <c r="M91" s="233"/>
      <c r="N91" s="502">
        <v>166780</v>
      </c>
      <c r="O91" s="503"/>
      <c r="P91" s="501">
        <v>88743</v>
      </c>
      <c r="Q91" s="505"/>
      <c r="R91" s="506">
        <v>0</v>
      </c>
      <c r="S91" s="504"/>
      <c r="T91" s="501">
        <v>0</v>
      </c>
      <c r="U91" s="233"/>
      <c r="V91" s="507" t="s">
        <v>44</v>
      </c>
      <c r="W91" s="508" t="s">
        <v>44</v>
      </c>
      <c r="X91" s="497" t="s">
        <v>44</v>
      </c>
      <c r="Y91" s="498" t="s">
        <v>44</v>
      </c>
      <c r="Z91" s="499" t="s">
        <v>44</v>
      </c>
      <c r="AA91" s="500" t="s">
        <v>44</v>
      </c>
      <c r="AB91" s="501">
        <v>15851</v>
      </c>
      <c r="AC91" s="233"/>
      <c r="AD91" s="502">
        <v>9250</v>
      </c>
      <c r="AE91" s="503"/>
      <c r="AF91" s="504">
        <v>6601</v>
      </c>
      <c r="AG91" s="233"/>
      <c r="AH91" s="502">
        <v>9250</v>
      </c>
      <c r="AI91" s="503"/>
      <c r="AJ91" s="501">
        <v>6601</v>
      </c>
      <c r="AK91" s="505"/>
      <c r="AL91" s="506">
        <v>0</v>
      </c>
      <c r="AM91" s="504"/>
      <c r="AN91" s="501">
        <v>0</v>
      </c>
      <c r="AO91" s="233"/>
      <c r="AP91" s="507" t="s">
        <v>44</v>
      </c>
      <c r="AQ91" s="508" t="s">
        <v>44</v>
      </c>
      <c r="AR91" s="497" t="s">
        <v>44</v>
      </c>
      <c r="AS91" s="498" t="s">
        <v>44</v>
      </c>
      <c r="AT91" s="499" t="s">
        <v>44</v>
      </c>
      <c r="AU91" s="500" t="s">
        <v>44</v>
      </c>
      <c r="AV91" s="245">
        <f>AX91+AZ91</f>
        <v>160324</v>
      </c>
      <c r="AW91" s="233"/>
      <c r="AX91" s="502">
        <f t="shared" si="68"/>
        <v>153750</v>
      </c>
      <c r="AY91" s="503"/>
      <c r="AZ91" s="504">
        <f>BD91+BH91</f>
        <v>6574</v>
      </c>
      <c r="BA91" s="505"/>
      <c r="BB91" s="506">
        <f>8750</f>
        <v>8750</v>
      </c>
      <c r="BC91" s="504"/>
      <c r="BD91" s="501">
        <v>6574</v>
      </c>
      <c r="BE91" s="505"/>
      <c r="BF91" s="506">
        <v>145000</v>
      </c>
      <c r="BG91" s="504"/>
      <c r="BH91" s="501">
        <v>0</v>
      </c>
      <c r="BI91" s="233"/>
      <c r="BJ91" s="507" t="s">
        <v>44</v>
      </c>
      <c r="BK91" s="508" t="s">
        <v>44</v>
      </c>
      <c r="BL91" s="497" t="s">
        <v>44</v>
      </c>
      <c r="BM91" s="498" t="s">
        <v>44</v>
      </c>
      <c r="BN91" s="499" t="s">
        <v>44</v>
      </c>
      <c r="BO91" s="500" t="s">
        <v>44</v>
      </c>
      <c r="BP91" s="245">
        <f>BR91+BT91</f>
        <v>191014</v>
      </c>
      <c r="BQ91" s="233"/>
      <c r="BR91" s="502">
        <f t="shared" si="69"/>
        <v>113408</v>
      </c>
      <c r="BS91" s="503"/>
      <c r="BT91" s="504">
        <f>BX91+CB91</f>
        <v>77606</v>
      </c>
      <c r="BU91" s="505"/>
      <c r="BV91" s="506">
        <f>'plans (27122022)'!BV90</f>
        <v>113408</v>
      </c>
      <c r="BW91" s="504"/>
      <c r="BX91" s="501">
        <v>77606</v>
      </c>
      <c r="BY91" s="505"/>
      <c r="BZ91" s="506"/>
      <c r="CA91" s="504"/>
      <c r="CB91" s="501">
        <v>0</v>
      </c>
      <c r="CC91" s="233"/>
      <c r="CD91" s="507" t="s">
        <v>44</v>
      </c>
      <c r="CE91" s="508" t="s">
        <v>44</v>
      </c>
      <c r="CF91" s="497" t="s">
        <v>44</v>
      </c>
      <c r="CG91" s="510" t="s">
        <v>44</v>
      </c>
      <c r="CH91" s="499" t="s">
        <v>44</v>
      </c>
      <c r="CI91" s="500" t="s">
        <v>44</v>
      </c>
      <c r="CJ91" s="504">
        <f t="shared" si="114"/>
        <v>622712</v>
      </c>
      <c r="CK91" s="233"/>
      <c r="CL91" s="502">
        <f t="shared" si="70"/>
        <v>443188</v>
      </c>
      <c r="CM91" s="511"/>
      <c r="CN91" s="504">
        <f>BT91+AZ91+AF91+L91</f>
        <v>179524</v>
      </c>
      <c r="CO91" s="233"/>
      <c r="CP91" s="512">
        <f t="shared" si="71"/>
        <v>298188</v>
      </c>
      <c r="CQ91" s="503"/>
      <c r="CR91" s="502">
        <f t="shared" ref="CR91" si="118">BX91+BD91+AJ91+P91</f>
        <v>179524</v>
      </c>
      <c r="CS91" s="502"/>
      <c r="CT91" s="502">
        <f t="shared" si="72"/>
        <v>145000</v>
      </c>
      <c r="CU91" s="266"/>
      <c r="CV91" s="504">
        <v>0</v>
      </c>
      <c r="CW91" s="233"/>
      <c r="CX91" s="507" t="s">
        <v>44</v>
      </c>
      <c r="CY91" s="508" t="s">
        <v>44</v>
      </c>
      <c r="CZ91" s="497" t="s">
        <v>44</v>
      </c>
      <c r="DA91" s="510" t="s">
        <v>44</v>
      </c>
      <c r="DB91" s="499" t="s">
        <v>44</v>
      </c>
      <c r="DC91" s="500" t="s">
        <v>44</v>
      </c>
      <c r="DD91" s="502">
        <f t="shared" si="83"/>
        <v>176030</v>
      </c>
      <c r="DE91" s="513">
        <f t="shared" si="83"/>
        <v>0</v>
      </c>
      <c r="DF91" s="513">
        <f t="shared" si="83"/>
        <v>95344</v>
      </c>
      <c r="DG91" s="514">
        <f t="shared" si="83"/>
        <v>0</v>
      </c>
      <c r="DH91" s="502">
        <f t="shared" si="83"/>
        <v>176030</v>
      </c>
      <c r="DI91" s="502">
        <f t="shared" si="83"/>
        <v>0</v>
      </c>
      <c r="DJ91" s="502">
        <f t="shared" si="83"/>
        <v>95344</v>
      </c>
      <c r="DK91" s="502">
        <f t="shared" si="83"/>
        <v>0</v>
      </c>
      <c r="DL91" s="502">
        <f t="shared" si="83"/>
        <v>0</v>
      </c>
      <c r="DM91" s="502">
        <f t="shared" si="83"/>
        <v>0</v>
      </c>
      <c r="DN91" s="502">
        <f t="shared" si="83"/>
        <v>0</v>
      </c>
      <c r="DO91" s="515">
        <f t="shared" si="83"/>
        <v>0</v>
      </c>
      <c r="DP91" s="507" t="s">
        <v>44</v>
      </c>
      <c r="DQ91" s="508" t="s">
        <v>44</v>
      </c>
      <c r="DR91" s="499" t="s">
        <v>44</v>
      </c>
      <c r="DS91" s="500" t="s">
        <v>44</v>
      </c>
      <c r="DT91" s="513">
        <f t="shared" si="85"/>
        <v>271374</v>
      </c>
      <c r="DU91" s="516">
        <f t="shared" si="104"/>
        <v>100</v>
      </c>
      <c r="DV91" s="513">
        <f t="shared" si="87"/>
        <v>176030</v>
      </c>
      <c r="DW91" s="517">
        <f t="shared" si="105"/>
        <v>100</v>
      </c>
      <c r="DX91" s="503">
        <f t="shared" si="89"/>
        <v>95344</v>
      </c>
      <c r="DY91" s="516">
        <f t="shared" si="106"/>
        <v>100</v>
      </c>
      <c r="DZ91" s="513">
        <f t="shared" si="91"/>
        <v>176030</v>
      </c>
      <c r="EA91" s="517">
        <f t="shared" si="107"/>
        <v>100</v>
      </c>
      <c r="EB91" s="503">
        <f t="shared" si="93"/>
        <v>95344</v>
      </c>
      <c r="EC91" s="516">
        <f t="shared" si="108"/>
        <v>100</v>
      </c>
      <c r="ED91" s="513">
        <f t="shared" si="95"/>
        <v>0</v>
      </c>
      <c r="EE91" s="339">
        <v>0</v>
      </c>
      <c r="EF91" s="503">
        <f t="shared" si="96"/>
        <v>0</v>
      </c>
      <c r="EG91" s="516" t="e">
        <f t="shared" si="109"/>
        <v>#DIV/0!</v>
      </c>
      <c r="EH91" s="507" t="s">
        <v>44</v>
      </c>
      <c r="EI91" s="508" t="s">
        <v>44</v>
      </c>
    </row>
    <row r="92" spans="1:139" s="5" customFormat="1" ht="28.5" customHeight="1" x14ac:dyDescent="0.25">
      <c r="A92" s="1072" t="s">
        <v>77</v>
      </c>
      <c r="B92" s="518" t="s">
        <v>78</v>
      </c>
      <c r="C92" s="519"/>
      <c r="D92" s="520" t="s">
        <v>44</v>
      </c>
      <c r="E92" s="521" t="s">
        <v>44</v>
      </c>
      <c r="F92" s="452" t="s">
        <v>44</v>
      </c>
      <c r="G92" s="452" t="s">
        <v>44</v>
      </c>
      <c r="H92" s="522" t="s">
        <v>44</v>
      </c>
      <c r="I92" s="95" t="s">
        <v>44</v>
      </c>
      <c r="J92" s="376">
        <v>168976</v>
      </c>
      <c r="K92" s="120"/>
      <c r="L92" s="168" t="s">
        <v>44</v>
      </c>
      <c r="M92" s="95" t="s">
        <v>44</v>
      </c>
      <c r="N92" s="523">
        <v>166426</v>
      </c>
      <c r="O92" s="524"/>
      <c r="P92" s="522" t="s">
        <v>44</v>
      </c>
      <c r="Q92" s="95" t="s">
        <v>44</v>
      </c>
      <c r="R92" s="523">
        <v>2550</v>
      </c>
      <c r="S92" s="524"/>
      <c r="T92" s="522" t="s">
        <v>44</v>
      </c>
      <c r="U92" s="95" t="s">
        <v>44</v>
      </c>
      <c r="V92" s="525" t="s">
        <v>44</v>
      </c>
      <c r="W92" s="457" t="s">
        <v>44</v>
      </c>
      <c r="X92" s="520" t="s">
        <v>44</v>
      </c>
      <c r="Y92" s="521" t="s">
        <v>44</v>
      </c>
      <c r="Z92" s="452" t="s">
        <v>44</v>
      </c>
      <c r="AA92" s="452" t="s">
        <v>44</v>
      </c>
      <c r="AB92" s="522" t="s">
        <v>44</v>
      </c>
      <c r="AC92" s="95" t="s">
        <v>44</v>
      </c>
      <c r="AD92" s="376">
        <v>168976</v>
      </c>
      <c r="AE92" s="120"/>
      <c r="AF92" s="168" t="s">
        <v>44</v>
      </c>
      <c r="AG92" s="95" t="s">
        <v>44</v>
      </c>
      <c r="AH92" s="523">
        <v>166426</v>
      </c>
      <c r="AI92" s="524"/>
      <c r="AJ92" s="522" t="s">
        <v>44</v>
      </c>
      <c r="AK92" s="95" t="s">
        <v>44</v>
      </c>
      <c r="AL92" s="523">
        <v>2550</v>
      </c>
      <c r="AM92" s="524"/>
      <c r="AN92" s="522" t="s">
        <v>44</v>
      </c>
      <c r="AO92" s="95" t="s">
        <v>44</v>
      </c>
      <c r="AP92" s="525" t="s">
        <v>44</v>
      </c>
      <c r="AQ92" s="457" t="s">
        <v>44</v>
      </c>
      <c r="AR92" s="520" t="s">
        <v>44</v>
      </c>
      <c r="AS92" s="521" t="s">
        <v>44</v>
      </c>
      <c r="AT92" s="452" t="s">
        <v>44</v>
      </c>
      <c r="AU92" s="452" t="s">
        <v>44</v>
      </c>
      <c r="AV92" s="522" t="s">
        <v>44</v>
      </c>
      <c r="AW92" s="95" t="s">
        <v>44</v>
      </c>
      <c r="AX92" s="376">
        <f t="shared" si="68"/>
        <v>177297.30000000002</v>
      </c>
      <c r="AY92" s="120"/>
      <c r="AZ92" s="168" t="s">
        <v>44</v>
      </c>
      <c r="BA92" s="95" t="s">
        <v>44</v>
      </c>
      <c r="BB92" s="523">
        <f>166426*1.05</f>
        <v>174747.30000000002</v>
      </c>
      <c r="BC92" s="524"/>
      <c r="BD92" s="522" t="s">
        <v>44</v>
      </c>
      <c r="BE92" s="95" t="s">
        <v>44</v>
      </c>
      <c r="BF92" s="523">
        <v>2550</v>
      </c>
      <c r="BG92" s="524"/>
      <c r="BH92" s="522" t="s">
        <v>44</v>
      </c>
      <c r="BI92" s="95" t="s">
        <v>44</v>
      </c>
      <c r="BJ92" s="525" t="s">
        <v>44</v>
      </c>
      <c r="BK92" s="457" t="s">
        <v>44</v>
      </c>
      <c r="BL92" s="520" t="s">
        <v>44</v>
      </c>
      <c r="BM92" s="521" t="s">
        <v>44</v>
      </c>
      <c r="BN92" s="452" t="s">
        <v>44</v>
      </c>
      <c r="BO92" s="452" t="s">
        <v>44</v>
      </c>
      <c r="BP92" s="522" t="s">
        <v>44</v>
      </c>
      <c r="BQ92" s="95" t="s">
        <v>44</v>
      </c>
      <c r="BR92" s="376">
        <f t="shared" si="69"/>
        <v>183327.30000000002</v>
      </c>
      <c r="BS92" s="120"/>
      <c r="BT92" s="168" t="s">
        <v>44</v>
      </c>
      <c r="BU92" s="95" t="s">
        <v>44</v>
      </c>
      <c r="BV92" s="523">
        <f>164426*1.05+8130</f>
        <v>180777.30000000002</v>
      </c>
      <c r="BW92" s="524"/>
      <c r="BX92" s="522" t="s">
        <v>44</v>
      </c>
      <c r="BY92" s="95" t="s">
        <v>44</v>
      </c>
      <c r="BZ92" s="523">
        <v>2550</v>
      </c>
      <c r="CA92" s="524"/>
      <c r="CB92" s="522" t="s">
        <v>44</v>
      </c>
      <c r="CC92" s="95" t="s">
        <v>44</v>
      </c>
      <c r="CD92" s="525" t="s">
        <v>44</v>
      </c>
      <c r="CE92" s="457" t="s">
        <v>44</v>
      </c>
      <c r="CF92" s="526" t="s">
        <v>44</v>
      </c>
      <c r="CG92" s="452" t="s">
        <v>44</v>
      </c>
      <c r="CH92" s="452" t="s">
        <v>44</v>
      </c>
      <c r="CI92" s="453" t="s">
        <v>44</v>
      </c>
      <c r="CJ92" s="168" t="s">
        <v>44</v>
      </c>
      <c r="CK92" s="95" t="s">
        <v>44</v>
      </c>
      <c r="CL92" s="376">
        <f t="shared" si="70"/>
        <v>698576.60000000009</v>
      </c>
      <c r="CM92" s="527"/>
      <c r="CN92" s="168" t="s">
        <v>44</v>
      </c>
      <c r="CO92" s="95" t="s">
        <v>44</v>
      </c>
      <c r="CP92" s="376">
        <f t="shared" si="71"/>
        <v>688376.60000000009</v>
      </c>
      <c r="CQ92" s="120"/>
      <c r="CR92" s="168" t="s">
        <v>44</v>
      </c>
      <c r="CS92" s="95" t="s">
        <v>44</v>
      </c>
      <c r="CT92" s="376">
        <f t="shared" si="72"/>
        <v>10200</v>
      </c>
      <c r="CU92" s="104"/>
      <c r="CV92" s="168" t="s">
        <v>44</v>
      </c>
      <c r="CW92" s="95" t="s">
        <v>44</v>
      </c>
      <c r="CX92" s="464" t="s">
        <v>44</v>
      </c>
      <c r="CY92" s="457" t="s">
        <v>44</v>
      </c>
      <c r="CZ92" s="526" t="s">
        <v>44</v>
      </c>
      <c r="DA92" s="528" t="s">
        <v>44</v>
      </c>
      <c r="DB92" s="452" t="s">
        <v>44</v>
      </c>
      <c r="DC92" s="453" t="s">
        <v>44</v>
      </c>
      <c r="DD92" s="104">
        <f t="shared" si="83"/>
        <v>337952</v>
      </c>
      <c r="DE92" s="104">
        <f t="shared" si="83"/>
        <v>0</v>
      </c>
      <c r="DF92" s="104" t="e">
        <f t="shared" si="83"/>
        <v>#VALUE!</v>
      </c>
      <c r="DG92" s="529" t="e">
        <f t="shared" ref="DG92:DO98" si="119">M92+AG92</f>
        <v>#VALUE!</v>
      </c>
      <c r="DH92" s="523">
        <f t="shared" si="119"/>
        <v>332852</v>
      </c>
      <c r="DI92" s="524">
        <f t="shared" si="119"/>
        <v>0</v>
      </c>
      <c r="DJ92" s="524" t="e">
        <f t="shared" si="119"/>
        <v>#VALUE!</v>
      </c>
      <c r="DK92" s="530" t="e">
        <f t="shared" si="119"/>
        <v>#VALUE!</v>
      </c>
      <c r="DL92" s="523">
        <f t="shared" si="119"/>
        <v>5100</v>
      </c>
      <c r="DM92" s="524">
        <f t="shared" si="119"/>
        <v>0</v>
      </c>
      <c r="DN92" s="524" t="e">
        <f t="shared" si="119"/>
        <v>#VALUE!</v>
      </c>
      <c r="DO92" s="531" t="e">
        <f t="shared" si="119"/>
        <v>#VALUE!</v>
      </c>
      <c r="DP92" s="464" t="s">
        <v>44</v>
      </c>
      <c r="DQ92" s="457" t="s">
        <v>44</v>
      </c>
      <c r="DR92" s="452" t="s">
        <v>44</v>
      </c>
      <c r="DS92" s="453" t="s">
        <v>44</v>
      </c>
      <c r="DT92" s="104" t="e">
        <f t="shared" si="85"/>
        <v>#VALUE!</v>
      </c>
      <c r="DU92" s="118" t="e">
        <f t="shared" si="104"/>
        <v>#VALUE!</v>
      </c>
      <c r="DV92" s="104">
        <f t="shared" si="87"/>
        <v>337952</v>
      </c>
      <c r="DW92" s="119">
        <f t="shared" si="105"/>
        <v>100</v>
      </c>
      <c r="DX92" s="120" t="e">
        <f t="shared" si="89"/>
        <v>#VALUE!</v>
      </c>
      <c r="DY92" s="118" t="e">
        <f t="shared" si="106"/>
        <v>#VALUE!</v>
      </c>
      <c r="DZ92" s="104">
        <f t="shared" si="91"/>
        <v>332852</v>
      </c>
      <c r="EA92" s="119">
        <f t="shared" si="107"/>
        <v>100</v>
      </c>
      <c r="EB92" s="120" t="e">
        <f t="shared" si="93"/>
        <v>#VALUE!</v>
      </c>
      <c r="EC92" s="118" t="e">
        <f t="shared" si="108"/>
        <v>#VALUE!</v>
      </c>
      <c r="ED92" s="104">
        <f t="shared" si="95"/>
        <v>5100</v>
      </c>
      <c r="EE92" s="121">
        <v>0</v>
      </c>
      <c r="EF92" s="120" t="e">
        <f t="shared" si="96"/>
        <v>#VALUE!</v>
      </c>
      <c r="EG92" s="121" t="e">
        <f t="shared" si="109"/>
        <v>#VALUE!</v>
      </c>
      <c r="EH92" s="464" t="s">
        <v>44</v>
      </c>
      <c r="EI92" s="457" t="s">
        <v>44</v>
      </c>
    </row>
    <row r="93" spans="1:139" s="5" customFormat="1" ht="15.75" customHeight="1" x14ac:dyDescent="0.25">
      <c r="A93" s="1070"/>
      <c r="B93" s="100" t="s">
        <v>79</v>
      </c>
      <c r="C93" s="532"/>
      <c r="D93" s="533" t="s">
        <v>44</v>
      </c>
      <c r="E93" s="534" t="s">
        <v>44</v>
      </c>
      <c r="F93" s="535" t="s">
        <v>44</v>
      </c>
      <c r="G93" s="535" t="s">
        <v>44</v>
      </c>
      <c r="H93" s="536" t="s">
        <v>44</v>
      </c>
      <c r="I93" s="159" t="s">
        <v>44</v>
      </c>
      <c r="J93" s="108" t="s">
        <v>44</v>
      </c>
      <c r="K93" s="108" t="s">
        <v>44</v>
      </c>
      <c r="L93" s="108" t="s">
        <v>44</v>
      </c>
      <c r="M93" s="159" t="s">
        <v>44</v>
      </c>
      <c r="N93" s="108" t="s">
        <v>44</v>
      </c>
      <c r="O93" s="108" t="s">
        <v>44</v>
      </c>
      <c r="P93" s="536" t="s">
        <v>44</v>
      </c>
      <c r="Q93" s="159" t="s">
        <v>44</v>
      </c>
      <c r="R93" s="108" t="s">
        <v>44</v>
      </c>
      <c r="S93" s="108" t="s">
        <v>44</v>
      </c>
      <c r="T93" s="536" t="s">
        <v>44</v>
      </c>
      <c r="U93" s="159" t="s">
        <v>44</v>
      </c>
      <c r="V93" s="108" t="s">
        <v>44</v>
      </c>
      <c r="W93" s="108" t="s">
        <v>44</v>
      </c>
      <c r="X93" s="533" t="s">
        <v>44</v>
      </c>
      <c r="Y93" s="534" t="s">
        <v>44</v>
      </c>
      <c r="Z93" s="535" t="s">
        <v>44</v>
      </c>
      <c r="AA93" s="535" t="s">
        <v>44</v>
      </c>
      <c r="AB93" s="536" t="s">
        <v>44</v>
      </c>
      <c r="AC93" s="159" t="s">
        <v>44</v>
      </c>
      <c r="AD93" s="108" t="s">
        <v>44</v>
      </c>
      <c r="AE93" s="108" t="s">
        <v>44</v>
      </c>
      <c r="AF93" s="108" t="s">
        <v>44</v>
      </c>
      <c r="AG93" s="159" t="s">
        <v>44</v>
      </c>
      <c r="AH93" s="108" t="s">
        <v>44</v>
      </c>
      <c r="AI93" s="108" t="s">
        <v>44</v>
      </c>
      <c r="AJ93" s="536" t="s">
        <v>44</v>
      </c>
      <c r="AK93" s="159" t="s">
        <v>44</v>
      </c>
      <c r="AL93" s="108" t="s">
        <v>44</v>
      </c>
      <c r="AM93" s="108" t="s">
        <v>44</v>
      </c>
      <c r="AN93" s="536" t="s">
        <v>44</v>
      </c>
      <c r="AO93" s="159" t="s">
        <v>44</v>
      </c>
      <c r="AP93" s="108" t="s">
        <v>44</v>
      </c>
      <c r="AQ93" s="108" t="s">
        <v>44</v>
      </c>
      <c r="AR93" s="533" t="s">
        <v>44</v>
      </c>
      <c r="AS93" s="534" t="s">
        <v>44</v>
      </c>
      <c r="AT93" s="535" t="s">
        <v>44</v>
      </c>
      <c r="AU93" s="535" t="s">
        <v>44</v>
      </c>
      <c r="AV93" s="536" t="s">
        <v>44</v>
      </c>
      <c r="AW93" s="159" t="s">
        <v>44</v>
      </c>
      <c r="AX93" s="108" t="s">
        <v>44</v>
      </c>
      <c r="AY93" s="108" t="s">
        <v>44</v>
      </c>
      <c r="AZ93" s="108" t="s">
        <v>44</v>
      </c>
      <c r="BA93" s="159" t="s">
        <v>44</v>
      </c>
      <c r="BB93" s="108" t="s">
        <v>44</v>
      </c>
      <c r="BC93" s="108" t="s">
        <v>44</v>
      </c>
      <c r="BD93" s="536" t="s">
        <v>44</v>
      </c>
      <c r="BE93" s="159" t="s">
        <v>44</v>
      </c>
      <c r="BF93" s="108" t="s">
        <v>44</v>
      </c>
      <c r="BG93" s="108" t="s">
        <v>44</v>
      </c>
      <c r="BH93" s="536" t="s">
        <v>44</v>
      </c>
      <c r="BI93" s="159" t="s">
        <v>44</v>
      </c>
      <c r="BJ93" s="108" t="s">
        <v>44</v>
      </c>
      <c r="BK93" s="108" t="s">
        <v>44</v>
      </c>
      <c r="BL93" s="533" t="s">
        <v>44</v>
      </c>
      <c r="BM93" s="534" t="s">
        <v>44</v>
      </c>
      <c r="BN93" s="535" t="s">
        <v>44</v>
      </c>
      <c r="BO93" s="535" t="s">
        <v>44</v>
      </c>
      <c r="BP93" s="536" t="s">
        <v>44</v>
      </c>
      <c r="BQ93" s="159" t="s">
        <v>44</v>
      </c>
      <c r="BR93" s="108" t="s">
        <v>44</v>
      </c>
      <c r="BS93" s="108" t="s">
        <v>44</v>
      </c>
      <c r="BT93" s="108" t="s">
        <v>44</v>
      </c>
      <c r="BU93" s="159" t="s">
        <v>44</v>
      </c>
      <c r="BV93" s="108" t="s">
        <v>44</v>
      </c>
      <c r="BW93" s="108" t="s">
        <v>44</v>
      </c>
      <c r="BX93" s="536" t="s">
        <v>44</v>
      </c>
      <c r="BY93" s="159" t="s">
        <v>44</v>
      </c>
      <c r="BZ93" s="108" t="s">
        <v>44</v>
      </c>
      <c r="CA93" s="108" t="s">
        <v>44</v>
      </c>
      <c r="CB93" s="536" t="s">
        <v>44</v>
      </c>
      <c r="CC93" s="159" t="s">
        <v>44</v>
      </c>
      <c r="CD93" s="108" t="s">
        <v>44</v>
      </c>
      <c r="CE93" s="108" t="s">
        <v>44</v>
      </c>
      <c r="CF93" s="537" t="s">
        <v>44</v>
      </c>
      <c r="CG93" s="535" t="s">
        <v>44</v>
      </c>
      <c r="CH93" s="535" t="s">
        <v>44</v>
      </c>
      <c r="CI93" s="538" t="s">
        <v>44</v>
      </c>
      <c r="CJ93" s="108" t="s">
        <v>44</v>
      </c>
      <c r="CK93" s="159" t="s">
        <v>44</v>
      </c>
      <c r="CL93" s="108" t="s">
        <v>44</v>
      </c>
      <c r="CM93" s="108" t="s">
        <v>44</v>
      </c>
      <c r="CN93" s="108" t="s">
        <v>44</v>
      </c>
      <c r="CO93" s="159" t="s">
        <v>44</v>
      </c>
      <c r="CP93" s="108" t="s">
        <v>44</v>
      </c>
      <c r="CQ93" s="108" t="s">
        <v>44</v>
      </c>
      <c r="CR93" s="108" t="s">
        <v>44</v>
      </c>
      <c r="CS93" s="159" t="s">
        <v>44</v>
      </c>
      <c r="CT93" s="108" t="s">
        <v>44</v>
      </c>
      <c r="CU93" s="108" t="s">
        <v>44</v>
      </c>
      <c r="CV93" s="108" t="s">
        <v>44</v>
      </c>
      <c r="CW93" s="159" t="s">
        <v>44</v>
      </c>
      <c r="CX93" s="108" t="s">
        <v>44</v>
      </c>
      <c r="CY93" s="539" t="s">
        <v>44</v>
      </c>
      <c r="CZ93" s="537" t="s">
        <v>44</v>
      </c>
      <c r="DA93" s="540" t="s">
        <v>44</v>
      </c>
      <c r="DB93" s="535" t="s">
        <v>44</v>
      </c>
      <c r="DC93" s="538" t="s">
        <v>44</v>
      </c>
      <c r="DD93" s="104" t="e">
        <f t="shared" ref="DD93:DF98" si="120">J93+AD93</f>
        <v>#VALUE!</v>
      </c>
      <c r="DE93" s="104" t="e">
        <f t="shared" si="120"/>
        <v>#VALUE!</v>
      </c>
      <c r="DF93" s="104" t="e">
        <f t="shared" si="120"/>
        <v>#VALUE!</v>
      </c>
      <c r="DG93" s="529" t="e">
        <f t="shared" si="119"/>
        <v>#VALUE!</v>
      </c>
      <c r="DH93" s="100" t="e">
        <f t="shared" si="119"/>
        <v>#VALUE!</v>
      </c>
      <c r="DI93" s="97" t="e">
        <f t="shared" si="119"/>
        <v>#VALUE!</v>
      </c>
      <c r="DJ93" s="97" t="e">
        <f t="shared" si="119"/>
        <v>#VALUE!</v>
      </c>
      <c r="DK93" s="127" t="e">
        <f t="shared" si="119"/>
        <v>#VALUE!</v>
      </c>
      <c r="DL93" s="100" t="e">
        <f t="shared" si="119"/>
        <v>#VALUE!</v>
      </c>
      <c r="DM93" s="97" t="e">
        <f t="shared" si="119"/>
        <v>#VALUE!</v>
      </c>
      <c r="DN93" s="97" t="e">
        <f t="shared" si="119"/>
        <v>#VALUE!</v>
      </c>
      <c r="DO93" s="115" t="e">
        <f t="shared" si="119"/>
        <v>#VALUE!</v>
      </c>
      <c r="DP93" s="541" t="s">
        <v>44</v>
      </c>
      <c r="DQ93" s="542" t="s">
        <v>44</v>
      </c>
      <c r="DR93" s="535" t="s">
        <v>44</v>
      </c>
      <c r="DS93" s="538" t="s">
        <v>44</v>
      </c>
      <c r="DT93" s="104" t="e">
        <f t="shared" si="85"/>
        <v>#VALUE!</v>
      </c>
      <c r="DU93" s="118">
        <v>0</v>
      </c>
      <c r="DV93" s="104" t="e">
        <f t="shared" si="87"/>
        <v>#VALUE!</v>
      </c>
      <c r="DW93" s="119">
        <v>0</v>
      </c>
      <c r="DX93" s="120" t="e">
        <f t="shared" si="89"/>
        <v>#VALUE!</v>
      </c>
      <c r="DY93" s="118">
        <v>0</v>
      </c>
      <c r="DZ93" s="104" t="e">
        <f t="shared" si="91"/>
        <v>#VALUE!</v>
      </c>
      <c r="EA93" s="119">
        <v>0</v>
      </c>
      <c r="EB93" s="120" t="e">
        <f t="shared" si="93"/>
        <v>#VALUE!</v>
      </c>
      <c r="EC93" s="118">
        <v>0</v>
      </c>
      <c r="ED93" s="104" t="e">
        <f t="shared" si="95"/>
        <v>#VALUE!</v>
      </c>
      <c r="EE93" s="121">
        <v>0</v>
      </c>
      <c r="EF93" s="120" t="e">
        <f t="shared" si="96"/>
        <v>#VALUE!</v>
      </c>
      <c r="EG93" s="121">
        <v>0</v>
      </c>
      <c r="EH93" s="541" t="s">
        <v>44</v>
      </c>
      <c r="EI93" s="542" t="s">
        <v>44</v>
      </c>
    </row>
    <row r="94" spans="1:139" s="5" customFormat="1" ht="15.75" customHeight="1" x14ac:dyDescent="0.25">
      <c r="A94" s="1070"/>
      <c r="B94" s="100" t="s">
        <v>80</v>
      </c>
      <c r="C94" s="543"/>
      <c r="D94" s="533" t="s">
        <v>44</v>
      </c>
      <c r="E94" s="534" t="s">
        <v>44</v>
      </c>
      <c r="F94" s="535" t="s">
        <v>44</v>
      </c>
      <c r="G94" s="535" t="s">
        <v>44</v>
      </c>
      <c r="H94" s="544" t="s">
        <v>44</v>
      </c>
      <c r="I94" s="545" t="s">
        <v>44</v>
      </c>
      <c r="J94" s="108" t="s">
        <v>44</v>
      </c>
      <c r="K94" s="108" t="s">
        <v>44</v>
      </c>
      <c r="L94" s="108" t="s">
        <v>44</v>
      </c>
      <c r="M94" s="159" t="s">
        <v>44</v>
      </c>
      <c r="N94" s="108" t="s">
        <v>44</v>
      </c>
      <c r="O94" s="108" t="s">
        <v>44</v>
      </c>
      <c r="P94" s="544" t="s">
        <v>44</v>
      </c>
      <c r="Q94" s="545" t="s">
        <v>44</v>
      </c>
      <c r="R94" s="108" t="s">
        <v>44</v>
      </c>
      <c r="S94" s="108" t="s">
        <v>44</v>
      </c>
      <c r="T94" s="544" t="s">
        <v>44</v>
      </c>
      <c r="U94" s="545" t="s">
        <v>44</v>
      </c>
      <c r="V94" s="108" t="s">
        <v>44</v>
      </c>
      <c r="W94" s="108" t="s">
        <v>44</v>
      </c>
      <c r="X94" s="533" t="s">
        <v>44</v>
      </c>
      <c r="Y94" s="534" t="s">
        <v>44</v>
      </c>
      <c r="Z94" s="535" t="s">
        <v>44</v>
      </c>
      <c r="AA94" s="535" t="s">
        <v>44</v>
      </c>
      <c r="AB94" s="544" t="s">
        <v>44</v>
      </c>
      <c r="AC94" s="545" t="s">
        <v>44</v>
      </c>
      <c r="AD94" s="108" t="s">
        <v>44</v>
      </c>
      <c r="AE94" s="108" t="s">
        <v>44</v>
      </c>
      <c r="AF94" s="108" t="s">
        <v>44</v>
      </c>
      <c r="AG94" s="159" t="s">
        <v>44</v>
      </c>
      <c r="AH94" s="108" t="s">
        <v>44</v>
      </c>
      <c r="AI94" s="108" t="s">
        <v>44</v>
      </c>
      <c r="AJ94" s="544" t="s">
        <v>44</v>
      </c>
      <c r="AK94" s="545" t="s">
        <v>44</v>
      </c>
      <c r="AL94" s="108" t="s">
        <v>44</v>
      </c>
      <c r="AM94" s="108" t="s">
        <v>44</v>
      </c>
      <c r="AN94" s="544" t="s">
        <v>44</v>
      </c>
      <c r="AO94" s="545" t="s">
        <v>44</v>
      </c>
      <c r="AP94" s="108" t="s">
        <v>44</v>
      </c>
      <c r="AQ94" s="108" t="s">
        <v>44</v>
      </c>
      <c r="AR94" s="533" t="s">
        <v>44</v>
      </c>
      <c r="AS94" s="534" t="s">
        <v>44</v>
      </c>
      <c r="AT94" s="535" t="s">
        <v>44</v>
      </c>
      <c r="AU94" s="535" t="s">
        <v>44</v>
      </c>
      <c r="AV94" s="544" t="s">
        <v>44</v>
      </c>
      <c r="AW94" s="545" t="s">
        <v>44</v>
      </c>
      <c r="AX94" s="108" t="s">
        <v>44</v>
      </c>
      <c r="AY94" s="108" t="s">
        <v>44</v>
      </c>
      <c r="AZ94" s="108" t="s">
        <v>44</v>
      </c>
      <c r="BA94" s="159" t="s">
        <v>44</v>
      </c>
      <c r="BB94" s="108" t="s">
        <v>44</v>
      </c>
      <c r="BC94" s="108" t="s">
        <v>44</v>
      </c>
      <c r="BD94" s="544" t="s">
        <v>44</v>
      </c>
      <c r="BE94" s="545" t="s">
        <v>44</v>
      </c>
      <c r="BF94" s="108" t="s">
        <v>44</v>
      </c>
      <c r="BG94" s="108" t="s">
        <v>44</v>
      </c>
      <c r="BH94" s="544" t="s">
        <v>44</v>
      </c>
      <c r="BI94" s="545" t="s">
        <v>44</v>
      </c>
      <c r="BJ94" s="108" t="s">
        <v>44</v>
      </c>
      <c r="BK94" s="108" t="s">
        <v>44</v>
      </c>
      <c r="BL94" s="533" t="s">
        <v>44</v>
      </c>
      <c r="BM94" s="534" t="s">
        <v>44</v>
      </c>
      <c r="BN94" s="535" t="s">
        <v>44</v>
      </c>
      <c r="BO94" s="535" t="s">
        <v>44</v>
      </c>
      <c r="BP94" s="544" t="s">
        <v>44</v>
      </c>
      <c r="BQ94" s="545" t="s">
        <v>44</v>
      </c>
      <c r="BR94" s="108" t="s">
        <v>44</v>
      </c>
      <c r="BS94" s="108" t="s">
        <v>44</v>
      </c>
      <c r="BT94" s="108" t="s">
        <v>44</v>
      </c>
      <c r="BU94" s="159" t="s">
        <v>44</v>
      </c>
      <c r="BV94" s="108" t="s">
        <v>44</v>
      </c>
      <c r="BW94" s="108" t="s">
        <v>44</v>
      </c>
      <c r="BX94" s="544" t="s">
        <v>44</v>
      </c>
      <c r="BY94" s="545" t="s">
        <v>44</v>
      </c>
      <c r="BZ94" s="108" t="s">
        <v>44</v>
      </c>
      <c r="CA94" s="108" t="s">
        <v>44</v>
      </c>
      <c r="CB94" s="544" t="s">
        <v>44</v>
      </c>
      <c r="CC94" s="545" t="s">
        <v>44</v>
      </c>
      <c r="CD94" s="108" t="s">
        <v>44</v>
      </c>
      <c r="CE94" s="108" t="s">
        <v>44</v>
      </c>
      <c r="CF94" s="546" t="s">
        <v>44</v>
      </c>
      <c r="CG94" s="547" t="s">
        <v>44</v>
      </c>
      <c r="CH94" s="547" t="s">
        <v>44</v>
      </c>
      <c r="CI94" s="548" t="s">
        <v>44</v>
      </c>
      <c r="CJ94" s="108" t="s">
        <v>44</v>
      </c>
      <c r="CK94" s="159" t="s">
        <v>44</v>
      </c>
      <c r="CL94" s="108" t="s">
        <v>44</v>
      </c>
      <c r="CM94" s="108" t="s">
        <v>44</v>
      </c>
      <c r="CN94" s="108" t="s">
        <v>44</v>
      </c>
      <c r="CO94" s="159" t="s">
        <v>44</v>
      </c>
      <c r="CP94" s="108" t="s">
        <v>44</v>
      </c>
      <c r="CQ94" s="108" t="s">
        <v>44</v>
      </c>
      <c r="CR94" s="108" t="s">
        <v>44</v>
      </c>
      <c r="CS94" s="159" t="s">
        <v>44</v>
      </c>
      <c r="CT94" s="108" t="s">
        <v>44</v>
      </c>
      <c r="CU94" s="108" t="s">
        <v>44</v>
      </c>
      <c r="CV94" s="108" t="s">
        <v>44</v>
      </c>
      <c r="CW94" s="159" t="s">
        <v>44</v>
      </c>
      <c r="CX94" s="108" t="s">
        <v>44</v>
      </c>
      <c r="CY94" s="539" t="s">
        <v>44</v>
      </c>
      <c r="CZ94" s="546"/>
      <c r="DA94" s="549"/>
      <c r="DB94" s="547"/>
      <c r="DC94" s="548"/>
      <c r="DD94" s="459"/>
      <c r="DE94" s="459"/>
      <c r="DF94" s="459"/>
      <c r="DG94" s="7"/>
      <c r="DH94" s="550"/>
      <c r="DI94" s="551"/>
      <c r="DJ94" s="551"/>
      <c r="DK94" s="552"/>
      <c r="DL94" s="550"/>
      <c r="DM94" s="551"/>
      <c r="DN94" s="551"/>
      <c r="DO94" s="553"/>
      <c r="DP94" s="554"/>
      <c r="DQ94" s="555"/>
      <c r="DR94" s="547"/>
      <c r="DS94" s="548"/>
      <c r="DT94" s="459"/>
      <c r="DU94" s="466"/>
      <c r="DV94" s="459"/>
      <c r="DW94" s="467"/>
      <c r="DX94" s="468"/>
      <c r="DY94" s="466"/>
      <c r="DZ94" s="459"/>
      <c r="EA94" s="467"/>
      <c r="EB94" s="468"/>
      <c r="EC94" s="466"/>
      <c r="ED94" s="459"/>
      <c r="EE94" s="469"/>
      <c r="EF94" s="468"/>
      <c r="EG94" s="469"/>
      <c r="EH94" s="554"/>
      <c r="EI94" s="555"/>
    </row>
    <row r="95" spans="1:139" s="5" customFormat="1" ht="15.75" customHeight="1" x14ac:dyDescent="0.25">
      <c r="A95" s="1070"/>
      <c r="B95" s="100" t="s">
        <v>81</v>
      </c>
      <c r="C95" s="543"/>
      <c r="D95" s="533" t="s">
        <v>44</v>
      </c>
      <c r="E95" s="534" t="s">
        <v>44</v>
      </c>
      <c r="F95" s="535" t="s">
        <v>44</v>
      </c>
      <c r="G95" s="535" t="s">
        <v>44</v>
      </c>
      <c r="H95" s="544" t="s">
        <v>44</v>
      </c>
      <c r="I95" s="545" t="s">
        <v>44</v>
      </c>
      <c r="J95" s="108" t="s">
        <v>44</v>
      </c>
      <c r="K95" s="108" t="s">
        <v>44</v>
      </c>
      <c r="L95" s="108" t="s">
        <v>44</v>
      </c>
      <c r="M95" s="159" t="s">
        <v>44</v>
      </c>
      <c r="N95" s="108" t="s">
        <v>44</v>
      </c>
      <c r="O95" s="108" t="s">
        <v>44</v>
      </c>
      <c r="P95" s="544" t="s">
        <v>44</v>
      </c>
      <c r="Q95" s="545" t="s">
        <v>44</v>
      </c>
      <c r="R95" s="108" t="s">
        <v>44</v>
      </c>
      <c r="S95" s="108" t="s">
        <v>44</v>
      </c>
      <c r="T95" s="544" t="s">
        <v>44</v>
      </c>
      <c r="U95" s="545" t="s">
        <v>44</v>
      </c>
      <c r="V95" s="108" t="s">
        <v>44</v>
      </c>
      <c r="W95" s="108" t="s">
        <v>44</v>
      </c>
      <c r="X95" s="533" t="s">
        <v>44</v>
      </c>
      <c r="Y95" s="534" t="s">
        <v>44</v>
      </c>
      <c r="Z95" s="535" t="s">
        <v>44</v>
      </c>
      <c r="AA95" s="535" t="s">
        <v>44</v>
      </c>
      <c r="AB95" s="544" t="s">
        <v>44</v>
      </c>
      <c r="AC95" s="545" t="s">
        <v>44</v>
      </c>
      <c r="AD95" s="108" t="s">
        <v>44</v>
      </c>
      <c r="AE95" s="108" t="s">
        <v>44</v>
      </c>
      <c r="AF95" s="108" t="s">
        <v>44</v>
      </c>
      <c r="AG95" s="159" t="s">
        <v>44</v>
      </c>
      <c r="AH95" s="108" t="s">
        <v>44</v>
      </c>
      <c r="AI95" s="108" t="s">
        <v>44</v>
      </c>
      <c r="AJ95" s="544" t="s">
        <v>44</v>
      </c>
      <c r="AK95" s="545" t="s">
        <v>44</v>
      </c>
      <c r="AL95" s="108" t="s">
        <v>44</v>
      </c>
      <c r="AM95" s="108" t="s">
        <v>44</v>
      </c>
      <c r="AN95" s="544" t="s">
        <v>44</v>
      </c>
      <c r="AO95" s="545" t="s">
        <v>44</v>
      </c>
      <c r="AP95" s="108" t="s">
        <v>44</v>
      </c>
      <c r="AQ95" s="108" t="s">
        <v>44</v>
      </c>
      <c r="AR95" s="533" t="s">
        <v>44</v>
      </c>
      <c r="AS95" s="534" t="s">
        <v>44</v>
      </c>
      <c r="AT95" s="535" t="s">
        <v>44</v>
      </c>
      <c r="AU95" s="535" t="s">
        <v>44</v>
      </c>
      <c r="AV95" s="544" t="s">
        <v>44</v>
      </c>
      <c r="AW95" s="545" t="s">
        <v>44</v>
      </c>
      <c r="AX95" s="108" t="s">
        <v>44</v>
      </c>
      <c r="AY95" s="108" t="s">
        <v>44</v>
      </c>
      <c r="AZ95" s="108" t="s">
        <v>44</v>
      </c>
      <c r="BA95" s="159" t="s">
        <v>44</v>
      </c>
      <c r="BB95" s="108" t="s">
        <v>44</v>
      </c>
      <c r="BC95" s="108" t="s">
        <v>44</v>
      </c>
      <c r="BD95" s="544" t="s">
        <v>44</v>
      </c>
      <c r="BE95" s="545" t="s">
        <v>44</v>
      </c>
      <c r="BF95" s="108" t="s">
        <v>44</v>
      </c>
      <c r="BG95" s="108" t="s">
        <v>44</v>
      </c>
      <c r="BH95" s="544" t="s">
        <v>44</v>
      </c>
      <c r="BI95" s="545" t="s">
        <v>44</v>
      </c>
      <c r="BJ95" s="108" t="s">
        <v>44</v>
      </c>
      <c r="BK95" s="108" t="s">
        <v>44</v>
      </c>
      <c r="BL95" s="533" t="s">
        <v>44</v>
      </c>
      <c r="BM95" s="534" t="s">
        <v>44</v>
      </c>
      <c r="BN95" s="535" t="s">
        <v>44</v>
      </c>
      <c r="BO95" s="535" t="s">
        <v>44</v>
      </c>
      <c r="BP95" s="544" t="s">
        <v>44</v>
      </c>
      <c r="BQ95" s="545" t="s">
        <v>44</v>
      </c>
      <c r="BR95" s="108" t="s">
        <v>44</v>
      </c>
      <c r="BS95" s="108" t="s">
        <v>44</v>
      </c>
      <c r="BT95" s="108" t="s">
        <v>44</v>
      </c>
      <c r="BU95" s="159" t="s">
        <v>44</v>
      </c>
      <c r="BV95" s="108" t="s">
        <v>44</v>
      </c>
      <c r="BW95" s="108" t="s">
        <v>44</v>
      </c>
      <c r="BX95" s="544" t="s">
        <v>44</v>
      </c>
      <c r="BY95" s="545" t="s">
        <v>44</v>
      </c>
      <c r="BZ95" s="108" t="s">
        <v>44</v>
      </c>
      <c r="CA95" s="108" t="s">
        <v>44</v>
      </c>
      <c r="CB95" s="544" t="s">
        <v>44</v>
      </c>
      <c r="CC95" s="545" t="s">
        <v>44</v>
      </c>
      <c r="CD95" s="108" t="s">
        <v>44</v>
      </c>
      <c r="CE95" s="108" t="s">
        <v>44</v>
      </c>
      <c r="CF95" s="546" t="s">
        <v>44</v>
      </c>
      <c r="CG95" s="547" t="s">
        <v>44</v>
      </c>
      <c r="CH95" s="547" t="s">
        <v>44</v>
      </c>
      <c r="CI95" s="548" t="s">
        <v>44</v>
      </c>
      <c r="CJ95" s="108" t="s">
        <v>44</v>
      </c>
      <c r="CK95" s="159" t="s">
        <v>44</v>
      </c>
      <c r="CL95" s="108" t="s">
        <v>44</v>
      </c>
      <c r="CM95" s="108" t="s">
        <v>44</v>
      </c>
      <c r="CN95" s="108" t="s">
        <v>44</v>
      </c>
      <c r="CO95" s="159" t="s">
        <v>44</v>
      </c>
      <c r="CP95" s="108" t="s">
        <v>44</v>
      </c>
      <c r="CQ95" s="108" t="s">
        <v>44</v>
      </c>
      <c r="CR95" s="108" t="s">
        <v>44</v>
      </c>
      <c r="CS95" s="159" t="s">
        <v>44</v>
      </c>
      <c r="CT95" s="108" t="s">
        <v>44</v>
      </c>
      <c r="CU95" s="108" t="s">
        <v>44</v>
      </c>
      <c r="CV95" s="108" t="s">
        <v>44</v>
      </c>
      <c r="CW95" s="159" t="s">
        <v>44</v>
      </c>
      <c r="CX95" s="108" t="s">
        <v>44</v>
      </c>
      <c r="CY95" s="539" t="s">
        <v>44</v>
      </c>
      <c r="CZ95" s="546"/>
      <c r="DA95" s="549"/>
      <c r="DB95" s="547"/>
      <c r="DC95" s="548"/>
      <c r="DD95" s="459"/>
      <c r="DE95" s="459"/>
      <c r="DF95" s="459"/>
      <c r="DG95" s="7"/>
      <c r="DH95" s="550"/>
      <c r="DI95" s="551"/>
      <c r="DJ95" s="551"/>
      <c r="DK95" s="552"/>
      <c r="DL95" s="550"/>
      <c r="DM95" s="551"/>
      <c r="DN95" s="551"/>
      <c r="DO95" s="553"/>
      <c r="DP95" s="554"/>
      <c r="DQ95" s="555"/>
      <c r="DR95" s="547"/>
      <c r="DS95" s="548"/>
      <c r="DT95" s="459"/>
      <c r="DU95" s="466"/>
      <c r="DV95" s="459"/>
      <c r="DW95" s="467"/>
      <c r="DX95" s="468"/>
      <c r="DY95" s="466"/>
      <c r="DZ95" s="459"/>
      <c r="EA95" s="467"/>
      <c r="EB95" s="468"/>
      <c r="EC95" s="466"/>
      <c r="ED95" s="459"/>
      <c r="EE95" s="469"/>
      <c r="EF95" s="468"/>
      <c r="EG95" s="469"/>
      <c r="EH95" s="554"/>
      <c r="EI95" s="555"/>
    </row>
    <row r="96" spans="1:139" s="5" customFormat="1" ht="15.75" customHeight="1" x14ac:dyDescent="0.25">
      <c r="A96" s="1070"/>
      <c r="B96" s="556" t="s">
        <v>82</v>
      </c>
      <c r="C96" s="557"/>
      <c r="D96" s="558" t="s">
        <v>44</v>
      </c>
      <c r="E96" s="559" t="s">
        <v>44</v>
      </c>
      <c r="F96" s="560" t="s">
        <v>44</v>
      </c>
      <c r="G96" s="561" t="s">
        <v>44</v>
      </c>
      <c r="H96" s="562" t="s">
        <v>44</v>
      </c>
      <c r="I96" s="384" t="s">
        <v>44</v>
      </c>
      <c r="J96" s="563" t="s">
        <v>44</v>
      </c>
      <c r="K96" s="563" t="s">
        <v>44</v>
      </c>
      <c r="L96" s="563" t="s">
        <v>44</v>
      </c>
      <c r="M96" s="384" t="s">
        <v>44</v>
      </c>
      <c r="N96" s="563" t="s">
        <v>44</v>
      </c>
      <c r="O96" s="563" t="s">
        <v>44</v>
      </c>
      <c r="P96" s="562" t="s">
        <v>44</v>
      </c>
      <c r="Q96" s="384" t="s">
        <v>44</v>
      </c>
      <c r="R96" s="563" t="s">
        <v>44</v>
      </c>
      <c r="S96" s="563" t="s">
        <v>44</v>
      </c>
      <c r="T96" s="562" t="s">
        <v>44</v>
      </c>
      <c r="U96" s="384" t="s">
        <v>44</v>
      </c>
      <c r="V96" s="563" t="s">
        <v>44</v>
      </c>
      <c r="W96" s="563" t="s">
        <v>44</v>
      </c>
      <c r="X96" s="558" t="s">
        <v>44</v>
      </c>
      <c r="Y96" s="559" t="s">
        <v>44</v>
      </c>
      <c r="Z96" s="560" t="s">
        <v>44</v>
      </c>
      <c r="AA96" s="561" t="s">
        <v>44</v>
      </c>
      <c r="AB96" s="562" t="s">
        <v>44</v>
      </c>
      <c r="AC96" s="384" t="s">
        <v>44</v>
      </c>
      <c r="AD96" s="563" t="s">
        <v>44</v>
      </c>
      <c r="AE96" s="563" t="s">
        <v>44</v>
      </c>
      <c r="AF96" s="563" t="s">
        <v>44</v>
      </c>
      <c r="AG96" s="384" t="s">
        <v>44</v>
      </c>
      <c r="AH96" s="563" t="s">
        <v>44</v>
      </c>
      <c r="AI96" s="563" t="s">
        <v>44</v>
      </c>
      <c r="AJ96" s="562" t="s">
        <v>44</v>
      </c>
      <c r="AK96" s="384" t="s">
        <v>44</v>
      </c>
      <c r="AL96" s="563" t="s">
        <v>44</v>
      </c>
      <c r="AM96" s="563" t="s">
        <v>44</v>
      </c>
      <c r="AN96" s="562" t="s">
        <v>44</v>
      </c>
      <c r="AO96" s="384" t="s">
        <v>44</v>
      </c>
      <c r="AP96" s="563" t="s">
        <v>44</v>
      </c>
      <c r="AQ96" s="563" t="s">
        <v>44</v>
      </c>
      <c r="AR96" s="558" t="s">
        <v>44</v>
      </c>
      <c r="AS96" s="559" t="s">
        <v>44</v>
      </c>
      <c r="AT96" s="560" t="s">
        <v>44</v>
      </c>
      <c r="AU96" s="561" t="s">
        <v>44</v>
      </c>
      <c r="AV96" s="562" t="s">
        <v>44</v>
      </c>
      <c r="AW96" s="384" t="s">
        <v>44</v>
      </c>
      <c r="AX96" s="563" t="s">
        <v>44</v>
      </c>
      <c r="AY96" s="563" t="s">
        <v>44</v>
      </c>
      <c r="AZ96" s="563" t="s">
        <v>44</v>
      </c>
      <c r="BA96" s="384" t="s">
        <v>44</v>
      </c>
      <c r="BB96" s="563" t="s">
        <v>44</v>
      </c>
      <c r="BC96" s="563" t="s">
        <v>44</v>
      </c>
      <c r="BD96" s="562" t="s">
        <v>44</v>
      </c>
      <c r="BE96" s="384" t="s">
        <v>44</v>
      </c>
      <c r="BF96" s="563" t="s">
        <v>44</v>
      </c>
      <c r="BG96" s="563" t="s">
        <v>44</v>
      </c>
      <c r="BH96" s="562" t="s">
        <v>44</v>
      </c>
      <c r="BI96" s="384" t="s">
        <v>44</v>
      </c>
      <c r="BJ96" s="563" t="s">
        <v>44</v>
      </c>
      <c r="BK96" s="563" t="s">
        <v>44</v>
      </c>
      <c r="BL96" s="558" t="s">
        <v>44</v>
      </c>
      <c r="BM96" s="559" t="s">
        <v>44</v>
      </c>
      <c r="BN96" s="560" t="s">
        <v>44</v>
      </c>
      <c r="BO96" s="561" t="s">
        <v>44</v>
      </c>
      <c r="BP96" s="562" t="s">
        <v>44</v>
      </c>
      <c r="BQ96" s="384" t="s">
        <v>44</v>
      </c>
      <c r="BR96" s="563" t="s">
        <v>44</v>
      </c>
      <c r="BS96" s="563" t="s">
        <v>44</v>
      </c>
      <c r="BT96" s="563" t="s">
        <v>44</v>
      </c>
      <c r="BU96" s="384" t="s">
        <v>44</v>
      </c>
      <c r="BV96" s="563" t="s">
        <v>44</v>
      </c>
      <c r="BW96" s="563" t="s">
        <v>44</v>
      </c>
      <c r="BX96" s="562" t="s">
        <v>44</v>
      </c>
      <c r="BY96" s="384" t="s">
        <v>44</v>
      </c>
      <c r="BZ96" s="563" t="s">
        <v>44</v>
      </c>
      <c r="CA96" s="563" t="s">
        <v>44</v>
      </c>
      <c r="CB96" s="562" t="s">
        <v>44</v>
      </c>
      <c r="CC96" s="384" t="s">
        <v>44</v>
      </c>
      <c r="CD96" s="563" t="s">
        <v>44</v>
      </c>
      <c r="CE96" s="563" t="s">
        <v>44</v>
      </c>
      <c r="CF96" s="558" t="s">
        <v>44</v>
      </c>
      <c r="CG96" s="560" t="s">
        <v>44</v>
      </c>
      <c r="CH96" s="560" t="s">
        <v>44</v>
      </c>
      <c r="CI96" s="561" t="s">
        <v>44</v>
      </c>
      <c r="CJ96" s="563" t="s">
        <v>44</v>
      </c>
      <c r="CK96" s="384" t="s">
        <v>44</v>
      </c>
      <c r="CL96" s="563" t="s">
        <v>44</v>
      </c>
      <c r="CM96" s="563" t="s">
        <v>44</v>
      </c>
      <c r="CN96" s="563" t="s">
        <v>44</v>
      </c>
      <c r="CO96" s="384" t="s">
        <v>44</v>
      </c>
      <c r="CP96" s="563" t="s">
        <v>44</v>
      </c>
      <c r="CQ96" s="563" t="s">
        <v>44</v>
      </c>
      <c r="CR96" s="563" t="s">
        <v>44</v>
      </c>
      <c r="CS96" s="384" t="s">
        <v>44</v>
      </c>
      <c r="CT96" s="563" t="s">
        <v>44</v>
      </c>
      <c r="CU96" s="563" t="s">
        <v>44</v>
      </c>
      <c r="CV96" s="563" t="s">
        <v>44</v>
      </c>
      <c r="CW96" s="384" t="s">
        <v>44</v>
      </c>
      <c r="CX96" s="563" t="s">
        <v>44</v>
      </c>
      <c r="CY96" s="564" t="s">
        <v>44</v>
      </c>
      <c r="CZ96" s="558" t="s">
        <v>44</v>
      </c>
      <c r="DA96" s="565" t="s">
        <v>44</v>
      </c>
      <c r="DB96" s="560" t="s">
        <v>44</v>
      </c>
      <c r="DC96" s="561" t="s">
        <v>44</v>
      </c>
      <c r="DD96" s="459" t="e">
        <f t="shared" si="120"/>
        <v>#VALUE!</v>
      </c>
      <c r="DE96" s="459" t="e">
        <f t="shared" si="120"/>
        <v>#VALUE!</v>
      </c>
      <c r="DF96" s="459" t="e">
        <f t="shared" si="120"/>
        <v>#VALUE!</v>
      </c>
      <c r="DG96" s="7" t="e">
        <f t="shared" si="119"/>
        <v>#VALUE!</v>
      </c>
      <c r="DH96" s="389" t="e">
        <f t="shared" si="119"/>
        <v>#VALUE!</v>
      </c>
      <c r="DI96" s="391" t="e">
        <f t="shared" si="119"/>
        <v>#VALUE!</v>
      </c>
      <c r="DJ96" s="391" t="e">
        <f t="shared" si="119"/>
        <v>#VALUE!</v>
      </c>
      <c r="DK96" s="566" t="e">
        <f t="shared" si="119"/>
        <v>#VALUE!</v>
      </c>
      <c r="DL96" s="389" t="e">
        <f t="shared" si="119"/>
        <v>#VALUE!</v>
      </c>
      <c r="DM96" s="391" t="e">
        <f t="shared" si="119"/>
        <v>#VALUE!</v>
      </c>
      <c r="DN96" s="391" t="e">
        <f t="shared" si="119"/>
        <v>#VALUE!</v>
      </c>
      <c r="DO96" s="404" t="e">
        <f t="shared" si="119"/>
        <v>#VALUE!</v>
      </c>
      <c r="DP96" s="567" t="s">
        <v>44</v>
      </c>
      <c r="DQ96" s="568" t="s">
        <v>44</v>
      </c>
      <c r="DR96" s="560" t="s">
        <v>44</v>
      </c>
      <c r="DS96" s="561" t="s">
        <v>44</v>
      </c>
      <c r="DT96" s="389" t="e">
        <f t="shared" si="85"/>
        <v>#VALUE!</v>
      </c>
      <c r="DU96" s="406">
        <v>0</v>
      </c>
      <c r="DV96" s="397" t="e">
        <f t="shared" si="87"/>
        <v>#VALUE!</v>
      </c>
      <c r="DW96" s="407">
        <v>0</v>
      </c>
      <c r="DX96" s="391" t="e">
        <f t="shared" si="89"/>
        <v>#VALUE!</v>
      </c>
      <c r="DY96" s="406">
        <v>0</v>
      </c>
      <c r="DZ96" s="397" t="e">
        <f t="shared" si="91"/>
        <v>#VALUE!</v>
      </c>
      <c r="EA96" s="407">
        <v>0</v>
      </c>
      <c r="EB96" s="391" t="e">
        <f t="shared" si="93"/>
        <v>#VALUE!</v>
      </c>
      <c r="EC96" s="406">
        <v>0</v>
      </c>
      <c r="ED96" s="397" t="e">
        <f t="shared" si="95"/>
        <v>#VALUE!</v>
      </c>
      <c r="EE96" s="408">
        <v>0</v>
      </c>
      <c r="EF96" s="391" t="e">
        <f t="shared" si="96"/>
        <v>#VALUE!</v>
      </c>
      <c r="EG96" s="406">
        <v>0</v>
      </c>
      <c r="EH96" s="567" t="s">
        <v>44</v>
      </c>
      <c r="EI96" s="568" t="s">
        <v>44</v>
      </c>
    </row>
    <row r="97" spans="1:140" s="606" customFormat="1" ht="15.75" customHeight="1" thickBot="1" x14ac:dyDescent="0.35">
      <c r="A97" s="569"/>
      <c r="B97" s="570" t="s">
        <v>83</v>
      </c>
      <c r="C97" s="571"/>
      <c r="D97" s="572" t="s">
        <v>44</v>
      </c>
      <c r="E97" s="573" t="s">
        <v>44</v>
      </c>
      <c r="F97" s="573" t="s">
        <v>44</v>
      </c>
      <c r="G97" s="574" t="s">
        <v>44</v>
      </c>
      <c r="H97" s="575">
        <v>260958</v>
      </c>
      <c r="I97" s="576"/>
      <c r="J97" s="577">
        <v>168976</v>
      </c>
      <c r="K97" s="578"/>
      <c r="L97" s="579">
        <v>91982</v>
      </c>
      <c r="M97" s="576"/>
      <c r="N97" s="580">
        <v>166426</v>
      </c>
      <c r="O97" s="581"/>
      <c r="P97" s="582">
        <v>88555</v>
      </c>
      <c r="Q97" s="583"/>
      <c r="R97" s="584">
        <v>2550</v>
      </c>
      <c r="S97" s="582"/>
      <c r="T97" s="582">
        <v>3427</v>
      </c>
      <c r="U97" s="585" t="s">
        <v>44</v>
      </c>
      <c r="V97" s="586" t="s">
        <v>44</v>
      </c>
      <c r="W97" s="587" t="s">
        <v>44</v>
      </c>
      <c r="X97" s="572" t="s">
        <v>44</v>
      </c>
      <c r="Y97" s="573" t="s">
        <v>44</v>
      </c>
      <c r="Z97" s="573" t="s">
        <v>44</v>
      </c>
      <c r="AA97" s="574" t="s">
        <v>44</v>
      </c>
      <c r="AB97" s="575">
        <v>292396</v>
      </c>
      <c r="AC97" s="576"/>
      <c r="AD97" s="577">
        <v>168976</v>
      </c>
      <c r="AE97" s="578"/>
      <c r="AF97" s="579">
        <v>123420</v>
      </c>
      <c r="AG97" s="576"/>
      <c r="AH97" s="580">
        <v>166426</v>
      </c>
      <c r="AI97" s="581"/>
      <c r="AJ97" s="582">
        <v>118765</v>
      </c>
      <c r="AK97" s="585"/>
      <c r="AL97" s="584">
        <v>2550</v>
      </c>
      <c r="AM97" s="582"/>
      <c r="AN97" s="582">
        <v>4655</v>
      </c>
      <c r="AO97" s="585"/>
      <c r="AP97" s="586" t="s">
        <v>44</v>
      </c>
      <c r="AQ97" s="587" t="s">
        <v>44</v>
      </c>
      <c r="AR97" s="572" t="s">
        <v>44</v>
      </c>
      <c r="AS97" s="573" t="s">
        <v>44</v>
      </c>
      <c r="AT97" s="573" t="s">
        <v>44</v>
      </c>
      <c r="AU97" s="574" t="s">
        <v>44</v>
      </c>
      <c r="AV97" s="575">
        <f>AX97+AZ97</f>
        <v>307106.30000000005</v>
      </c>
      <c r="AW97" s="576"/>
      <c r="AX97" s="577">
        <f t="shared" ref="AX97:AX98" si="121">BB97+BF97</f>
        <v>177297.30000000002</v>
      </c>
      <c r="AY97" s="578"/>
      <c r="AZ97" s="579">
        <f t="shared" ref="AZ97:AZ98" si="122">BD97+BH97</f>
        <v>129809</v>
      </c>
      <c r="BA97" s="576"/>
      <c r="BB97" s="580">
        <f>BB92</f>
        <v>174747.30000000002</v>
      </c>
      <c r="BC97" s="581"/>
      <c r="BD97" s="582">
        <v>125035</v>
      </c>
      <c r="BE97" s="583"/>
      <c r="BF97" s="584">
        <f>BF92</f>
        <v>2550</v>
      </c>
      <c r="BG97" s="582"/>
      <c r="BH97" s="582">
        <v>4774</v>
      </c>
      <c r="BI97" s="585"/>
      <c r="BJ97" s="586" t="s">
        <v>44</v>
      </c>
      <c r="BK97" s="587" t="s">
        <v>44</v>
      </c>
      <c r="BL97" s="572" t="s">
        <v>44</v>
      </c>
      <c r="BM97" s="573" t="s">
        <v>44</v>
      </c>
      <c r="BN97" s="573" t="s">
        <v>44</v>
      </c>
      <c r="BO97" s="574" t="s">
        <v>44</v>
      </c>
      <c r="BP97" s="575">
        <f>BR97+BT97</f>
        <v>295844.30000000005</v>
      </c>
      <c r="BQ97" s="576"/>
      <c r="BR97" s="577">
        <f t="shared" ref="BR97:BR98" si="123">BV97+BZ97</f>
        <v>183327.30000000002</v>
      </c>
      <c r="BS97" s="578"/>
      <c r="BT97" s="579">
        <f t="shared" ref="BT97:BT98" si="124">BX97+CB97</f>
        <v>112517</v>
      </c>
      <c r="BU97" s="576"/>
      <c r="BV97" s="580">
        <f>BV92</f>
        <v>180777.30000000002</v>
      </c>
      <c r="BW97" s="581"/>
      <c r="BX97" s="582">
        <v>112517</v>
      </c>
      <c r="BY97" s="583"/>
      <c r="BZ97" s="584">
        <f>BZ92</f>
        <v>2550</v>
      </c>
      <c r="CA97" s="582"/>
      <c r="CB97" s="582"/>
      <c r="CC97" s="585"/>
      <c r="CD97" s="586" t="s">
        <v>44</v>
      </c>
      <c r="CE97" s="587" t="s">
        <v>44</v>
      </c>
      <c r="CF97" s="588" t="s">
        <v>44</v>
      </c>
      <c r="CG97" s="589" t="s">
        <v>44</v>
      </c>
      <c r="CH97" s="589" t="s">
        <v>44</v>
      </c>
      <c r="CI97" s="590" t="s">
        <v>44</v>
      </c>
      <c r="CJ97" s="579">
        <f t="shared" ref="CJ97" si="125">BP97+AV97+AB97+H97</f>
        <v>1156304.6000000001</v>
      </c>
      <c r="CK97" s="982">
        <f t="shared" ref="CK97:CK98" si="126">BQ97+AW97+AC97+I97</f>
        <v>0</v>
      </c>
      <c r="CL97" s="575">
        <f t="shared" ref="CL97:CL98" si="127">BR97+AX97+AD97+J97</f>
        <v>698576.60000000009</v>
      </c>
      <c r="CM97" s="983">
        <f t="shared" ref="CM97:CM98" si="128">BS97+AY97+AE97+K97</f>
        <v>0</v>
      </c>
      <c r="CN97" s="579">
        <f t="shared" ref="CN97:CN98" si="129">BT97+AZ97+AF97+L97</f>
        <v>457728</v>
      </c>
      <c r="CO97" s="982">
        <f t="shared" ref="CO97:CO98" si="130">BU97+BA97+AG97+M97</f>
        <v>0</v>
      </c>
      <c r="CP97" s="575">
        <f t="shared" ref="CP97:CP98" si="131">BV97+BB97+AH97+N97</f>
        <v>688376.60000000009</v>
      </c>
      <c r="CQ97" s="579">
        <f t="shared" ref="CQ97:CQ98" si="132">BW97+BC97+AI97+O97</f>
        <v>0</v>
      </c>
      <c r="CR97" s="575">
        <f t="shared" ref="CR97:CR98" si="133">BX97+BD97+AJ97+P97</f>
        <v>444872</v>
      </c>
      <c r="CS97" s="575">
        <f t="shared" ref="CS97:CS98" si="134">BY97+BE97+AK97+Q97</f>
        <v>0</v>
      </c>
      <c r="CT97" s="575">
        <f t="shared" ref="CT97:CT98" si="135">BZ97+BF97+AL97+R97</f>
        <v>10200</v>
      </c>
      <c r="CU97" s="575">
        <f t="shared" ref="CU97:CU98" si="136">CA97+BG97+AM97+S97</f>
        <v>0</v>
      </c>
      <c r="CV97" s="575">
        <f t="shared" ref="CV97:CV98" si="137">CB97+BH97+AN97+T97</f>
        <v>12856</v>
      </c>
      <c r="CW97" s="982"/>
      <c r="CX97" s="586" t="s">
        <v>44</v>
      </c>
      <c r="CY97" s="592" t="s">
        <v>44</v>
      </c>
      <c r="CZ97" s="593"/>
      <c r="DA97" s="578"/>
      <c r="DB97" s="578"/>
      <c r="DC97" s="594"/>
      <c r="DD97" s="577">
        <f t="shared" si="120"/>
        <v>337952</v>
      </c>
      <c r="DE97" s="595">
        <f t="shared" si="120"/>
        <v>0</v>
      </c>
      <c r="DF97" s="595">
        <f t="shared" si="120"/>
        <v>215402</v>
      </c>
      <c r="DG97" s="596">
        <f t="shared" si="119"/>
        <v>0</v>
      </c>
      <c r="DH97" s="577">
        <f t="shared" si="119"/>
        <v>332852</v>
      </c>
      <c r="DI97" s="578">
        <f t="shared" si="119"/>
        <v>0</v>
      </c>
      <c r="DJ97" s="578">
        <f t="shared" si="119"/>
        <v>207320</v>
      </c>
      <c r="DK97" s="594">
        <f t="shared" si="119"/>
        <v>0</v>
      </c>
      <c r="DL97" s="577">
        <f t="shared" si="119"/>
        <v>5100</v>
      </c>
      <c r="DM97" s="578">
        <f t="shared" si="119"/>
        <v>0</v>
      </c>
      <c r="DN97" s="578">
        <f t="shared" si="119"/>
        <v>8082</v>
      </c>
      <c r="DO97" s="591" t="e">
        <f t="shared" si="119"/>
        <v>#VALUE!</v>
      </c>
      <c r="DP97" s="577"/>
      <c r="DQ97" s="597"/>
      <c r="DR97" s="598"/>
      <c r="DS97" s="591"/>
      <c r="DT97" s="599">
        <f t="shared" si="85"/>
        <v>553354</v>
      </c>
      <c r="DU97" s="600">
        <f t="shared" si="104"/>
        <v>100</v>
      </c>
      <c r="DV97" s="601">
        <f t="shared" si="87"/>
        <v>337952</v>
      </c>
      <c r="DW97" s="602">
        <f t="shared" si="105"/>
        <v>100</v>
      </c>
      <c r="DX97" s="199">
        <f t="shared" si="89"/>
        <v>215402</v>
      </c>
      <c r="DY97" s="600">
        <f t="shared" si="106"/>
        <v>100</v>
      </c>
      <c r="DZ97" s="601">
        <f t="shared" si="91"/>
        <v>332852</v>
      </c>
      <c r="EA97" s="602">
        <f t="shared" si="107"/>
        <v>100</v>
      </c>
      <c r="EB97" s="199">
        <f t="shared" si="93"/>
        <v>207320</v>
      </c>
      <c r="EC97" s="600">
        <f t="shared" si="108"/>
        <v>100</v>
      </c>
      <c r="ED97" s="601">
        <f t="shared" si="95"/>
        <v>5100</v>
      </c>
      <c r="EE97" s="603">
        <v>0</v>
      </c>
      <c r="EF97" s="199" t="e">
        <f t="shared" si="96"/>
        <v>#VALUE!</v>
      </c>
      <c r="EG97" s="603" t="e">
        <f t="shared" si="109"/>
        <v>#VALUE!</v>
      </c>
      <c r="EH97" s="604"/>
      <c r="EI97" s="605"/>
    </row>
    <row r="98" spans="1:140" s="628" customFormat="1" ht="17.25" customHeight="1" thickTop="1" thickBot="1" x14ac:dyDescent="0.35">
      <c r="A98" s="607"/>
      <c r="B98" s="608" t="s">
        <v>84</v>
      </c>
      <c r="C98" s="473"/>
      <c r="D98" s="609"/>
      <c r="E98" s="610"/>
      <c r="F98" s="473"/>
      <c r="G98" s="611"/>
      <c r="H98" s="612">
        <v>3114075</v>
      </c>
      <c r="I98" s="613"/>
      <c r="J98" s="612">
        <v>2021235</v>
      </c>
      <c r="K98" s="614"/>
      <c r="L98" s="614">
        <v>1092840</v>
      </c>
      <c r="M98" s="613"/>
      <c r="N98" s="612">
        <v>1999873</v>
      </c>
      <c r="O98" s="614"/>
      <c r="P98" s="614">
        <v>1064127</v>
      </c>
      <c r="Q98" s="613"/>
      <c r="R98" s="612">
        <v>21362</v>
      </c>
      <c r="S98" s="614"/>
      <c r="T98" s="614">
        <v>28713</v>
      </c>
      <c r="U98" s="613"/>
      <c r="V98" s="615"/>
      <c r="W98" s="616"/>
      <c r="X98" s="609"/>
      <c r="Y98" s="610"/>
      <c r="Z98" s="473"/>
      <c r="AA98" s="611"/>
      <c r="AB98" s="612">
        <v>3200074</v>
      </c>
      <c r="AC98" s="613"/>
      <c r="AD98" s="612">
        <v>1855936</v>
      </c>
      <c r="AE98" s="614"/>
      <c r="AF98" s="614">
        <v>1344138</v>
      </c>
      <c r="AG98" s="613"/>
      <c r="AH98" s="612">
        <v>1838213</v>
      </c>
      <c r="AI98" s="614"/>
      <c r="AJ98" s="614">
        <v>1311787</v>
      </c>
      <c r="AK98" s="613"/>
      <c r="AL98" s="612">
        <v>17723</v>
      </c>
      <c r="AM98" s="614"/>
      <c r="AN98" s="614">
        <v>32351</v>
      </c>
      <c r="AO98" s="613"/>
      <c r="AP98" s="615"/>
      <c r="AQ98" s="616"/>
      <c r="AR98" s="609"/>
      <c r="AS98" s="610"/>
      <c r="AT98" s="473"/>
      <c r="AU98" s="611"/>
      <c r="AV98" s="612">
        <f>AX98+AZ98</f>
        <v>4468176.2531588702</v>
      </c>
      <c r="AW98" s="613"/>
      <c r="AX98" s="612">
        <f t="shared" si="121"/>
        <v>2016777.2531588702</v>
      </c>
      <c r="AY98" s="614"/>
      <c r="AZ98" s="614">
        <f t="shared" si="122"/>
        <v>2451399</v>
      </c>
      <c r="BA98" s="613"/>
      <c r="BB98" s="612">
        <f>BB97+BB91+BB90</f>
        <v>1852175.2531588702</v>
      </c>
      <c r="BC98" s="614"/>
      <c r="BD98" s="612">
        <f>BD97+BD91+BD90</f>
        <v>2238225</v>
      </c>
      <c r="BE98" s="613"/>
      <c r="BF98" s="612">
        <f>BF97+BF91+BF90</f>
        <v>164602</v>
      </c>
      <c r="BG98" s="614"/>
      <c r="BH98" s="612">
        <f>BH97+BH91+BH90</f>
        <v>213174</v>
      </c>
      <c r="BI98" s="612">
        <f>BI97+BI91+BI90</f>
        <v>0</v>
      </c>
      <c r="BJ98" s="615"/>
      <c r="BK98" s="616"/>
      <c r="BL98" s="609"/>
      <c r="BM98" s="610"/>
      <c r="BN98" s="473"/>
      <c r="BO98" s="611"/>
      <c r="BP98" s="612">
        <f>BR98+BT98</f>
        <v>3181074.74</v>
      </c>
      <c r="BQ98" s="613"/>
      <c r="BR98" s="612">
        <f t="shared" si="123"/>
        <v>2073503.7400000002</v>
      </c>
      <c r="BS98" s="614"/>
      <c r="BT98" s="614">
        <f t="shared" si="124"/>
        <v>1107571</v>
      </c>
      <c r="BU98" s="613"/>
      <c r="BV98" s="612">
        <f>BV97+BV91+BV90</f>
        <v>2051102.7400000002</v>
      </c>
      <c r="BW98" s="614"/>
      <c r="BX98" s="612">
        <f>BX97+BX91+BX90</f>
        <v>1079897</v>
      </c>
      <c r="BY98" s="613"/>
      <c r="BZ98" s="612">
        <f>BZ97+BZ91+BZ90</f>
        <v>22401</v>
      </c>
      <c r="CA98" s="614"/>
      <c r="CB98" s="612">
        <f>CB97+CB91+CB90</f>
        <v>27674</v>
      </c>
      <c r="CC98" s="612">
        <f>CC97+CC91+CC90</f>
        <v>0</v>
      </c>
      <c r="CD98" s="615"/>
      <c r="CE98" s="616"/>
      <c r="CF98" s="617"/>
      <c r="CG98" s="618"/>
      <c r="CH98" s="618"/>
      <c r="CI98" s="619"/>
      <c r="CJ98" s="984">
        <f>BP98+AV98+AB98+H98</f>
        <v>13963399.993158869</v>
      </c>
      <c r="CK98" s="985">
        <f t="shared" si="126"/>
        <v>0</v>
      </c>
      <c r="CL98" s="986">
        <f t="shared" si="127"/>
        <v>7967451.9931588704</v>
      </c>
      <c r="CM98" s="987">
        <f t="shared" si="128"/>
        <v>0</v>
      </c>
      <c r="CN98" s="984">
        <f t="shared" si="129"/>
        <v>5995948</v>
      </c>
      <c r="CO98" s="985">
        <f t="shared" si="130"/>
        <v>0</v>
      </c>
      <c r="CP98" s="986">
        <f t="shared" si="131"/>
        <v>7741363.9931588704</v>
      </c>
      <c r="CQ98" s="984">
        <f t="shared" si="132"/>
        <v>0</v>
      </c>
      <c r="CR98" s="986">
        <f t="shared" si="133"/>
        <v>5694036</v>
      </c>
      <c r="CS98" s="986">
        <f t="shared" si="134"/>
        <v>0</v>
      </c>
      <c r="CT98" s="986">
        <f t="shared" si="135"/>
        <v>226088</v>
      </c>
      <c r="CU98" s="986">
        <f t="shared" si="136"/>
        <v>0</v>
      </c>
      <c r="CV98" s="986">
        <f t="shared" si="137"/>
        <v>301912</v>
      </c>
      <c r="CW98" s="985"/>
      <c r="CX98" s="612"/>
      <c r="CY98" s="616"/>
      <c r="CZ98" s="621"/>
      <c r="DA98" s="614"/>
      <c r="DB98" s="614"/>
      <c r="DC98" s="613"/>
      <c r="DD98" s="612">
        <f t="shared" si="120"/>
        <v>3877171</v>
      </c>
      <c r="DE98" s="622">
        <f t="shared" si="120"/>
        <v>0</v>
      </c>
      <c r="DF98" s="622">
        <f t="shared" si="120"/>
        <v>2436978</v>
      </c>
      <c r="DG98" s="618">
        <f t="shared" si="119"/>
        <v>0</v>
      </c>
      <c r="DH98" s="612">
        <f t="shared" si="119"/>
        <v>3838086</v>
      </c>
      <c r="DI98" s="614">
        <f t="shared" si="119"/>
        <v>0</v>
      </c>
      <c r="DJ98" s="614">
        <f t="shared" si="119"/>
        <v>2375914</v>
      </c>
      <c r="DK98" s="613">
        <f t="shared" si="119"/>
        <v>0</v>
      </c>
      <c r="DL98" s="612">
        <f t="shared" si="119"/>
        <v>39085</v>
      </c>
      <c r="DM98" s="614">
        <f t="shared" si="119"/>
        <v>0</v>
      </c>
      <c r="DN98" s="614">
        <f t="shared" si="119"/>
        <v>61064</v>
      </c>
      <c r="DO98" s="620">
        <f t="shared" si="119"/>
        <v>0</v>
      </c>
      <c r="DP98" s="612"/>
      <c r="DQ98" s="616"/>
      <c r="DR98" s="621"/>
      <c r="DS98" s="620"/>
      <c r="DT98" s="612">
        <f t="shared" si="85"/>
        <v>6314149</v>
      </c>
      <c r="DU98" s="623">
        <f t="shared" si="104"/>
        <v>100</v>
      </c>
      <c r="DV98" s="622">
        <f t="shared" si="87"/>
        <v>3877171</v>
      </c>
      <c r="DW98" s="624">
        <f t="shared" si="105"/>
        <v>100</v>
      </c>
      <c r="DX98" s="614">
        <f t="shared" si="89"/>
        <v>2436978</v>
      </c>
      <c r="DY98" s="623">
        <f t="shared" si="106"/>
        <v>100</v>
      </c>
      <c r="DZ98" s="622">
        <f t="shared" si="91"/>
        <v>3838086</v>
      </c>
      <c r="EA98" s="624">
        <f t="shared" si="107"/>
        <v>100</v>
      </c>
      <c r="EB98" s="614">
        <f t="shared" si="93"/>
        <v>2375914</v>
      </c>
      <c r="EC98" s="623">
        <f t="shared" si="108"/>
        <v>100</v>
      </c>
      <c r="ED98" s="622">
        <f t="shared" si="95"/>
        <v>39085</v>
      </c>
      <c r="EE98" s="625">
        <f t="shared" si="117"/>
        <v>100</v>
      </c>
      <c r="EF98" s="614">
        <f t="shared" si="96"/>
        <v>61064</v>
      </c>
      <c r="EG98" s="623">
        <f t="shared" si="109"/>
        <v>100</v>
      </c>
      <c r="EH98" s="626"/>
      <c r="EI98" s="627"/>
    </row>
    <row r="99" spans="1:140" s="636" customFormat="1" ht="4.5" customHeight="1" thickBot="1" x14ac:dyDescent="0.35">
      <c r="A99" s="629"/>
      <c r="B99" s="630"/>
      <c r="C99" s="631"/>
      <c r="D99" s="632"/>
      <c r="E99" s="632"/>
      <c r="F99" s="631"/>
      <c r="G99" s="631"/>
      <c r="H99" s="633"/>
      <c r="I99" s="633"/>
      <c r="J99" s="633"/>
      <c r="K99" s="633"/>
      <c r="L99" s="633"/>
      <c r="M99" s="633"/>
      <c r="N99" s="633"/>
      <c r="O99" s="633"/>
      <c r="P99" s="633"/>
      <c r="Q99" s="633"/>
      <c r="R99" s="633"/>
      <c r="S99" s="633"/>
      <c r="T99" s="633"/>
      <c r="U99" s="633"/>
      <c r="V99" s="634"/>
      <c r="W99" s="634"/>
      <c r="X99" s="632"/>
      <c r="Y99" s="632"/>
      <c r="Z99" s="631"/>
      <c r="AA99" s="631"/>
      <c r="AB99" s="633"/>
      <c r="AC99" s="633"/>
      <c r="AD99" s="633"/>
      <c r="AE99" s="633"/>
      <c r="AF99" s="633"/>
      <c r="AG99" s="633"/>
      <c r="AH99" s="633"/>
      <c r="AI99" s="633"/>
      <c r="AJ99" s="633"/>
      <c r="AK99" s="633"/>
      <c r="AL99" s="633"/>
      <c r="AM99" s="633"/>
      <c r="AN99" s="633"/>
      <c r="AO99" s="633"/>
      <c r="AP99" s="634"/>
      <c r="AQ99" s="634"/>
      <c r="AR99" s="632"/>
      <c r="AS99" s="632"/>
      <c r="AT99" s="631"/>
      <c r="AU99" s="631"/>
      <c r="AV99" s="633"/>
      <c r="AW99" s="633"/>
      <c r="AX99" s="633"/>
      <c r="AY99" s="633"/>
      <c r="AZ99" s="633"/>
      <c r="BA99" s="633"/>
      <c r="BB99" s="633"/>
      <c r="BC99" s="633"/>
      <c r="BD99" s="633"/>
      <c r="BE99" s="633"/>
      <c r="BF99" s="633"/>
      <c r="BG99" s="633"/>
      <c r="BH99" s="633"/>
      <c r="BI99" s="633"/>
      <c r="BJ99" s="634"/>
      <c r="BK99" s="634"/>
      <c r="BL99" s="632"/>
      <c r="BM99" s="632"/>
      <c r="BN99" s="631"/>
      <c r="BO99" s="631"/>
      <c r="BP99" s="633"/>
      <c r="BQ99" s="633"/>
      <c r="BR99" s="633"/>
      <c r="BS99" s="633"/>
      <c r="BT99" s="633"/>
      <c r="BU99" s="633"/>
      <c r="BV99" s="633"/>
      <c r="BW99" s="633"/>
      <c r="BX99" s="633"/>
      <c r="BY99" s="633"/>
      <c r="BZ99" s="633"/>
      <c r="CA99" s="633"/>
      <c r="CB99" s="633"/>
      <c r="CC99" s="633"/>
      <c r="CD99" s="634"/>
      <c r="CE99" s="634"/>
      <c r="CF99" s="635"/>
      <c r="CG99" s="633"/>
      <c r="CH99" s="633"/>
      <c r="CI99" s="633"/>
      <c r="CJ99" s="633"/>
      <c r="CK99" s="633"/>
      <c r="CL99" s="633"/>
      <c r="CM99" s="633"/>
      <c r="CN99" s="633"/>
      <c r="CO99" s="633"/>
      <c r="CP99" s="633"/>
      <c r="CQ99" s="631"/>
      <c r="CR99" s="633"/>
      <c r="CS99" s="633"/>
      <c r="CT99" s="633"/>
      <c r="CU99" s="631"/>
      <c r="CV99" s="633"/>
      <c r="CW99" s="633"/>
      <c r="CX99" s="634"/>
      <c r="CY99" s="634"/>
      <c r="CZ99" s="629"/>
      <c r="DA99" s="632"/>
      <c r="DD99" s="637"/>
      <c r="DE99" s="637"/>
      <c r="DF99" s="637"/>
      <c r="DG99" s="637"/>
      <c r="DH99" s="637"/>
      <c r="DI99" s="637"/>
      <c r="DJ99" s="637"/>
      <c r="DK99" s="637"/>
      <c r="DL99" s="637"/>
      <c r="DM99" s="637"/>
      <c r="DN99" s="637"/>
      <c r="DO99" s="637"/>
      <c r="DP99" s="634"/>
      <c r="DQ99" s="634"/>
      <c r="DR99" s="638"/>
      <c r="DS99" s="639"/>
      <c r="EH99" s="629"/>
      <c r="EI99" s="629"/>
    </row>
    <row r="100" spans="1:140" s="5" customFormat="1" ht="15.75" customHeight="1" x14ac:dyDescent="0.3">
      <c r="A100" s="640"/>
      <c r="B100" s="641" t="s">
        <v>85</v>
      </c>
      <c r="C100" s="642"/>
      <c r="D100" s="643"/>
      <c r="E100" s="643"/>
      <c r="F100" s="642"/>
      <c r="G100" s="642"/>
      <c r="H100" s="644"/>
      <c r="I100" s="644"/>
      <c r="J100" s="644"/>
      <c r="K100" s="644"/>
      <c r="L100" s="644"/>
      <c r="M100" s="644"/>
      <c r="N100" s="644"/>
      <c r="O100" s="644"/>
      <c r="P100" s="644"/>
      <c r="Q100" s="644"/>
      <c r="R100" s="644"/>
      <c r="S100" s="644"/>
      <c r="T100" s="644"/>
      <c r="U100" s="645"/>
      <c r="V100" s="646"/>
      <c r="W100" s="647"/>
      <c r="X100" s="643"/>
      <c r="Y100" s="643"/>
      <c r="Z100" s="642"/>
      <c r="AA100" s="642"/>
      <c r="AB100" s="644"/>
      <c r="AC100" s="644"/>
      <c r="AD100" s="644"/>
      <c r="AE100" s="644"/>
      <c r="AF100" s="644"/>
      <c r="AG100" s="644"/>
      <c r="AH100" s="644"/>
      <c r="AI100" s="644"/>
      <c r="AJ100" s="644"/>
      <c r="AK100" s="644"/>
      <c r="AL100" s="644"/>
      <c r="AM100" s="644"/>
      <c r="AN100" s="644"/>
      <c r="AO100" s="645"/>
      <c r="AP100" s="646"/>
      <c r="AQ100" s="647"/>
      <c r="AR100" s="643"/>
      <c r="AS100" s="643"/>
      <c r="AT100" s="642"/>
      <c r="AU100" s="642"/>
      <c r="AV100" s="644"/>
      <c r="AW100" s="644"/>
      <c r="AX100" s="644"/>
      <c r="AY100" s="644"/>
      <c r="AZ100" s="644"/>
      <c r="BA100" s="644"/>
      <c r="BB100" s="644"/>
      <c r="BC100" s="644"/>
      <c r="BD100" s="644"/>
      <c r="BE100" s="644"/>
      <c r="BF100" s="644"/>
      <c r="BG100" s="644"/>
      <c r="BH100" s="644"/>
      <c r="BI100" s="645"/>
      <c r="BJ100" s="646"/>
      <c r="BK100" s="647"/>
      <c r="BL100" s="643"/>
      <c r="BM100" s="643"/>
      <c r="BN100" s="642"/>
      <c r="BO100" s="642"/>
      <c r="BP100" s="644"/>
      <c r="BQ100" s="644"/>
      <c r="BR100" s="644"/>
      <c r="BS100" s="644"/>
      <c r="BT100" s="644"/>
      <c r="BU100" s="644"/>
      <c r="BV100" s="644"/>
      <c r="BW100" s="644"/>
      <c r="BX100" s="644"/>
      <c r="BY100" s="644"/>
      <c r="BZ100" s="644"/>
      <c r="CA100" s="644"/>
      <c r="CB100" s="644"/>
      <c r="CC100" s="645"/>
      <c r="CD100" s="646"/>
      <c r="CE100" s="647"/>
      <c r="CF100" s="648"/>
      <c r="CG100" s="649"/>
      <c r="CH100" s="649"/>
      <c r="CI100" s="649"/>
      <c r="CJ100" s="644"/>
      <c r="CK100" s="644"/>
      <c r="CL100" s="649"/>
      <c r="CM100" s="649"/>
      <c r="CN100" s="644"/>
      <c r="CO100" s="644"/>
      <c r="CP100" s="649"/>
      <c r="CQ100" s="650"/>
      <c r="CR100" s="644"/>
      <c r="CS100" s="644"/>
      <c r="CT100" s="649"/>
      <c r="CU100" s="650"/>
      <c r="CV100" s="644"/>
      <c r="CW100" s="644"/>
      <c r="CX100" s="646"/>
      <c r="CY100" s="647"/>
      <c r="CZ100" s="651"/>
      <c r="DA100" s="643"/>
      <c r="DB100" s="652"/>
      <c r="DC100" s="652"/>
      <c r="DD100" s="650"/>
      <c r="DE100" s="650"/>
      <c r="DF100" s="650"/>
      <c r="DG100" s="650"/>
      <c r="DH100" s="650"/>
      <c r="DI100" s="650"/>
      <c r="DJ100" s="650"/>
      <c r="DK100" s="650"/>
      <c r="DL100" s="650"/>
      <c r="DM100" s="650"/>
      <c r="DN100" s="650"/>
      <c r="DO100" s="650"/>
      <c r="DP100" s="646"/>
      <c r="DQ100" s="647"/>
      <c r="DR100" s="653"/>
      <c r="DS100" s="654"/>
      <c r="DT100" s="655"/>
      <c r="DU100" s="652"/>
      <c r="DV100" s="652"/>
      <c r="DW100" s="652"/>
      <c r="DX100" s="652"/>
      <c r="DY100" s="652"/>
      <c r="DZ100" s="652"/>
      <c r="EA100" s="652"/>
      <c r="EB100" s="652"/>
      <c r="EC100" s="652"/>
      <c r="ED100" s="652"/>
      <c r="EE100" s="652"/>
      <c r="EF100" s="652"/>
      <c r="EG100" s="652"/>
      <c r="EH100" s="656"/>
      <c r="EI100" s="647"/>
    </row>
    <row r="101" spans="1:140" s="667" customFormat="1" ht="15.75" customHeight="1" x14ac:dyDescent="0.25">
      <c r="A101" s="657"/>
      <c r="B101" s="658" t="s">
        <v>45</v>
      </c>
      <c r="C101" s="97"/>
      <c r="D101" s="93">
        <v>2159</v>
      </c>
      <c r="E101" s="93"/>
      <c r="F101" s="176">
        <v>100</v>
      </c>
      <c r="G101" s="97"/>
      <c r="H101" s="108" t="s">
        <v>44</v>
      </c>
      <c r="I101" s="108" t="s">
        <v>44</v>
      </c>
      <c r="J101" s="97">
        <v>631038</v>
      </c>
      <c r="K101" s="97"/>
      <c r="L101" s="108" t="s">
        <v>44</v>
      </c>
      <c r="M101" s="159" t="s">
        <v>44</v>
      </c>
      <c r="N101" s="102">
        <v>621148</v>
      </c>
      <c r="O101" s="97"/>
      <c r="P101" s="108" t="s">
        <v>44</v>
      </c>
      <c r="Q101" s="159" t="s">
        <v>44</v>
      </c>
      <c r="R101" s="97">
        <v>9890</v>
      </c>
      <c r="S101" s="97"/>
      <c r="T101" s="108" t="s">
        <v>44</v>
      </c>
      <c r="U101" s="159" t="s">
        <v>44</v>
      </c>
      <c r="V101" s="659">
        <v>292</v>
      </c>
      <c r="W101" s="660"/>
      <c r="X101" s="93">
        <v>2184.0000000000005</v>
      </c>
      <c r="Y101" s="93"/>
      <c r="Z101" s="176">
        <v>100</v>
      </c>
      <c r="AA101" s="97"/>
      <c r="AB101" s="108" t="s">
        <v>44</v>
      </c>
      <c r="AC101" s="108" t="s">
        <v>44</v>
      </c>
      <c r="AD101" s="97">
        <v>638374</v>
      </c>
      <c r="AE101" s="97"/>
      <c r="AF101" s="108" t="s">
        <v>44</v>
      </c>
      <c r="AG101" s="159" t="s">
        <v>44</v>
      </c>
      <c r="AH101" s="102">
        <v>628420</v>
      </c>
      <c r="AI101" s="97"/>
      <c r="AJ101" s="108" t="s">
        <v>44</v>
      </c>
      <c r="AK101" s="159" t="s">
        <v>44</v>
      </c>
      <c r="AL101" s="97">
        <v>9954</v>
      </c>
      <c r="AM101" s="97"/>
      <c r="AN101" s="108" t="s">
        <v>44</v>
      </c>
      <c r="AO101" s="159" t="s">
        <v>44</v>
      </c>
      <c r="AP101" s="659">
        <v>292</v>
      </c>
      <c r="AQ101" s="660"/>
      <c r="AR101" s="93">
        <f>AR84+AR78+AR72+AR67+AR57+AR51+AR46+AR40+AR34+AR29+AR27+AR20+AR14</f>
        <v>2208</v>
      </c>
      <c r="AS101" s="93"/>
      <c r="AT101" s="820">
        <f>AT84+AT78+AT72+AT67+AT57+AT51+AT46+AT40+AT34+AT29+AT27+AT20+AT14</f>
        <v>0.99999999999999989</v>
      </c>
      <c r="AU101" s="97"/>
      <c r="AV101" s="108" t="s">
        <v>44</v>
      </c>
      <c r="AW101" s="108" t="s">
        <v>44</v>
      </c>
      <c r="AX101" s="97">
        <f t="shared" ref="AX101:AX107" si="138">BB101+BF101</f>
        <v>635325.95000000007</v>
      </c>
      <c r="AY101" s="97"/>
      <c r="AZ101" s="108" t="s">
        <v>44</v>
      </c>
      <c r="BA101" s="159" t="s">
        <v>44</v>
      </c>
      <c r="BB101" s="102">
        <f>BB84+BB78+BB72+BB67+BB57+BB51+BB46+BB40+BB34+BB29+BB27+BB20+BB14</f>
        <v>624109.95000000007</v>
      </c>
      <c r="BC101" s="97"/>
      <c r="BD101" s="108" t="s">
        <v>44</v>
      </c>
      <c r="BE101" s="159" t="s">
        <v>44</v>
      </c>
      <c r="BF101" s="97">
        <f>BF84+BF78+BF72+BF67+BF57+BF51+BF46+BF40+BF34+BF29+BF27+BF20+BF14</f>
        <v>11216</v>
      </c>
      <c r="BG101" s="97"/>
      <c r="BH101" s="108" t="s">
        <v>44</v>
      </c>
      <c r="BI101" s="159" t="s">
        <v>44</v>
      </c>
      <c r="BJ101" s="659">
        <f t="shared" ref="BJ101:BJ107" si="139">AX101/AR101</f>
        <v>287.73820199275366</v>
      </c>
      <c r="BK101" s="660"/>
      <c r="BL101" s="93">
        <f>BL84+BL78+BL72+BL67+BL57+BL51+BL46+BL40+BL34+BL29+BL27+BL20+BL14</f>
        <v>2209</v>
      </c>
      <c r="BM101" s="93"/>
      <c r="BN101" s="820">
        <f>BN84+BN78+BN72+BN67+BN57+BN51+BN46+BN40+BN34+BN29+BN27+BN20+BN14</f>
        <v>1.0000000000000002</v>
      </c>
      <c r="BO101" s="97"/>
      <c r="BP101" s="108" t="s">
        <v>44</v>
      </c>
      <c r="BQ101" s="108" t="s">
        <v>44</v>
      </c>
      <c r="BR101" s="97">
        <f t="shared" ref="BR101:BR107" si="140">BV101+BZ101</f>
        <v>696988.90999999992</v>
      </c>
      <c r="BS101" s="97"/>
      <c r="BT101" s="108" t="s">
        <v>44</v>
      </c>
      <c r="BU101" s="159" t="s">
        <v>44</v>
      </c>
      <c r="BV101" s="102">
        <f>BV84+BV78+BV72+BV67+BV57+BV51+BV46+BV40+BV34+BV29+BV27+BV20+BV14</f>
        <v>686059.90999999992</v>
      </c>
      <c r="BW101" s="97"/>
      <c r="BX101" s="108" t="s">
        <v>44</v>
      </c>
      <c r="BY101" s="159" t="s">
        <v>44</v>
      </c>
      <c r="BZ101" s="97">
        <f>BZ84+BZ78+BZ72+BZ67+BZ57+BZ51+BZ46+BZ40+BZ34+BZ29+BZ27+BZ20+BZ14</f>
        <v>10929</v>
      </c>
      <c r="CA101" s="97"/>
      <c r="CB101" s="108" t="s">
        <v>44</v>
      </c>
      <c r="CC101" s="159" t="s">
        <v>44</v>
      </c>
      <c r="CD101" s="659">
        <f t="shared" ref="CD101:CD107" si="141">BR101/BL101</f>
        <v>315.52236758714349</v>
      </c>
      <c r="CE101" s="660"/>
      <c r="CF101" s="92">
        <f t="shared" ref="CF101:CF107" si="142">BL101+AR101+X101+D101</f>
        <v>8760</v>
      </c>
      <c r="CG101" s="97"/>
      <c r="CH101" s="820">
        <f>CH84+CH78+CH72+CH67+CH57+CH51+CH46+CH40+CH34+CH29+CH27+CH20+CH14</f>
        <v>0.99999999999999989</v>
      </c>
      <c r="CI101" s="97"/>
      <c r="CJ101" s="108" t="s">
        <v>44</v>
      </c>
      <c r="CK101" s="159" t="s">
        <v>44</v>
      </c>
      <c r="CL101" s="97">
        <f t="shared" ref="CL101:CL107" si="143">BR101+AX101+AD101+J101</f>
        <v>2601726.86</v>
      </c>
      <c r="CM101" s="97"/>
      <c r="CN101" s="108" t="s">
        <v>44</v>
      </c>
      <c r="CO101" s="159" t="s">
        <v>44</v>
      </c>
      <c r="CP101" s="97">
        <f t="shared" ref="CP101:CP107" si="144">BV101+BB101+AH101+N101</f>
        <v>2559737.86</v>
      </c>
      <c r="CQ101" s="97"/>
      <c r="CR101" s="108" t="s">
        <v>44</v>
      </c>
      <c r="CS101" s="159" t="s">
        <v>44</v>
      </c>
      <c r="CT101" s="97">
        <f t="shared" ref="CT101:CT107" si="145">BZ101+BF101+AL101+R101</f>
        <v>41989</v>
      </c>
      <c r="CU101" s="97"/>
      <c r="CV101" s="108" t="s">
        <v>44</v>
      </c>
      <c r="CW101" s="159" t="s">
        <v>44</v>
      </c>
      <c r="CX101" s="659">
        <f t="shared" ref="CX101:CX107" si="146">CL101/CF101</f>
        <v>297.00078310502283</v>
      </c>
      <c r="CY101" s="174"/>
      <c r="CZ101" s="661">
        <f t="shared" ref="CZ101:DA107" si="147">D101+X101</f>
        <v>4343</v>
      </c>
      <c r="DA101" s="97">
        <f t="shared" si="147"/>
        <v>0</v>
      </c>
      <c r="DB101" s="93">
        <f>DB14+DB20+DB29+DB34+DB40+DB46+DB51+DB72+DB78+DB57+DB27+DB84</f>
        <v>89.905595210683856</v>
      </c>
      <c r="DC101" s="111">
        <f>DC14+DC20+DC29+DC34+DC40+DC46+DC51+DC72+DC78+DC57+DC27+DC84</f>
        <v>0</v>
      </c>
      <c r="DD101" s="100">
        <f t="shared" ref="DD101:DO107" si="148">J101+AD101</f>
        <v>1269412</v>
      </c>
      <c r="DE101" s="120">
        <f t="shared" si="148"/>
        <v>0</v>
      </c>
      <c r="DF101" s="120" t="e">
        <f t="shared" si="148"/>
        <v>#VALUE!</v>
      </c>
      <c r="DG101" s="107" t="e">
        <f t="shared" si="148"/>
        <v>#VALUE!</v>
      </c>
      <c r="DH101" s="100">
        <f t="shared" si="148"/>
        <v>1249568</v>
      </c>
      <c r="DI101" s="120">
        <f t="shared" si="148"/>
        <v>0</v>
      </c>
      <c r="DJ101" s="120" t="e">
        <f t="shared" si="148"/>
        <v>#VALUE!</v>
      </c>
      <c r="DK101" s="107" t="e">
        <f t="shared" si="148"/>
        <v>#VALUE!</v>
      </c>
      <c r="DL101" s="100">
        <f t="shared" si="148"/>
        <v>19844</v>
      </c>
      <c r="DM101" s="107">
        <f t="shared" si="148"/>
        <v>0</v>
      </c>
      <c r="DN101" s="97" t="e">
        <f t="shared" si="148"/>
        <v>#VALUE!</v>
      </c>
      <c r="DO101" s="120" t="e">
        <f t="shared" si="148"/>
        <v>#VALUE!</v>
      </c>
      <c r="DP101" s="662">
        <f>ROUND((DD101/CZ101),0)</f>
        <v>292</v>
      </c>
      <c r="DQ101" s="663" t="e">
        <f>ROUND((DE101/DA101),0)</f>
        <v>#DIV/0!</v>
      </c>
      <c r="DR101" s="117">
        <f>CZ101-DA101</f>
        <v>4343</v>
      </c>
      <c r="DS101" s="401">
        <f>ABS((DR101/CZ101)*100)</f>
        <v>100</v>
      </c>
      <c r="DT101" s="104" t="e">
        <f>(DD101+DF101)-(DE101+DG101)</f>
        <v>#VALUE!</v>
      </c>
      <c r="DU101" s="401" t="e">
        <f t="shared" ref="DU101:DU107" si="149">ABS((DT101/(DD101+DF101))*100)</f>
        <v>#VALUE!</v>
      </c>
      <c r="DV101" s="102">
        <f>DD101-DE101</f>
        <v>1269412</v>
      </c>
      <c r="DW101" s="176">
        <f>ABS((DV101/DD101)*100)</f>
        <v>100</v>
      </c>
      <c r="DX101" s="97" t="e">
        <f>DF101-DG101</f>
        <v>#VALUE!</v>
      </c>
      <c r="DY101" s="401" t="e">
        <f>ABS((DX101/DF101)*100)</f>
        <v>#VALUE!</v>
      </c>
      <c r="DZ101" s="102">
        <f>DH101-DI101</f>
        <v>1249568</v>
      </c>
      <c r="EA101" s="176">
        <f>ABS((DZ101/DH101)*100)</f>
        <v>100</v>
      </c>
      <c r="EB101" s="97" t="e">
        <f>DJ101-DK101</f>
        <v>#VALUE!</v>
      </c>
      <c r="EC101" s="401" t="e">
        <f>ABS((EB101/DJ101)*100)</f>
        <v>#VALUE!</v>
      </c>
      <c r="ED101" s="102">
        <f>DL101-DM101</f>
        <v>19844</v>
      </c>
      <c r="EE101" s="176">
        <f>ABS((ED101/DL101)*100)</f>
        <v>100</v>
      </c>
      <c r="EF101" s="97" t="e">
        <f>DN101-DO101</f>
        <v>#VALUE!</v>
      </c>
      <c r="EG101" s="113" t="e">
        <f>ABS((EF101/DN101)*100)</f>
        <v>#VALUE!</v>
      </c>
      <c r="EH101" s="664" t="e">
        <f>DP101-DQ101</f>
        <v>#DIV/0!</v>
      </c>
      <c r="EI101" s="665" t="e">
        <f>ABS(EH101/DP101)*100</f>
        <v>#DIV/0!</v>
      </c>
      <c r="EJ101" s="666"/>
    </row>
    <row r="102" spans="1:140" s="667" customFormat="1" ht="15.75" customHeight="1" x14ac:dyDescent="0.25">
      <c r="A102" s="657"/>
      <c r="B102" s="658" t="s">
        <v>86</v>
      </c>
      <c r="C102" s="97"/>
      <c r="D102" s="93">
        <v>11.9</v>
      </c>
      <c r="E102" s="93"/>
      <c r="F102" s="176">
        <v>100</v>
      </c>
      <c r="G102" s="668"/>
      <c r="H102" s="108" t="s">
        <v>44</v>
      </c>
      <c r="I102" s="108" t="s">
        <v>44</v>
      </c>
      <c r="J102" s="97">
        <v>5526</v>
      </c>
      <c r="K102" s="97"/>
      <c r="L102" s="108" t="s">
        <v>44</v>
      </c>
      <c r="M102" s="159" t="s">
        <v>44</v>
      </c>
      <c r="N102" s="102">
        <v>5526</v>
      </c>
      <c r="O102" s="97"/>
      <c r="P102" s="108" t="s">
        <v>44</v>
      </c>
      <c r="Q102" s="159" t="s">
        <v>44</v>
      </c>
      <c r="R102" s="97">
        <v>0</v>
      </c>
      <c r="S102" s="97"/>
      <c r="T102" s="108" t="s">
        <v>44</v>
      </c>
      <c r="U102" s="159" t="s">
        <v>44</v>
      </c>
      <c r="V102" s="659">
        <v>464</v>
      </c>
      <c r="W102" s="660"/>
      <c r="X102" s="93">
        <v>11.9</v>
      </c>
      <c r="Y102" s="93"/>
      <c r="Z102" s="176">
        <v>100</v>
      </c>
      <c r="AA102" s="668"/>
      <c r="AB102" s="108" t="s">
        <v>44</v>
      </c>
      <c r="AC102" s="108" t="s">
        <v>44</v>
      </c>
      <c r="AD102" s="97">
        <v>5127</v>
      </c>
      <c r="AE102" s="97"/>
      <c r="AF102" s="108" t="s">
        <v>44</v>
      </c>
      <c r="AG102" s="159" t="s">
        <v>44</v>
      </c>
      <c r="AH102" s="102">
        <v>5127</v>
      </c>
      <c r="AI102" s="97"/>
      <c r="AJ102" s="108" t="s">
        <v>44</v>
      </c>
      <c r="AK102" s="159" t="s">
        <v>44</v>
      </c>
      <c r="AL102" s="97">
        <v>0</v>
      </c>
      <c r="AM102" s="97"/>
      <c r="AN102" s="108" t="s">
        <v>44</v>
      </c>
      <c r="AO102" s="159" t="s">
        <v>44</v>
      </c>
      <c r="AP102" s="659">
        <v>431</v>
      </c>
      <c r="AQ102" s="660"/>
      <c r="AR102" s="93">
        <f>AR68+AR25</f>
        <v>11.9</v>
      </c>
      <c r="AS102" s="93"/>
      <c r="AT102" s="820">
        <f>AT68+AT25</f>
        <v>1</v>
      </c>
      <c r="AU102" s="668"/>
      <c r="AV102" s="108" t="s">
        <v>44</v>
      </c>
      <c r="AW102" s="108" t="s">
        <v>44</v>
      </c>
      <c r="AX102" s="97">
        <f t="shared" si="138"/>
        <v>5186</v>
      </c>
      <c r="AY102" s="97"/>
      <c r="AZ102" s="108" t="s">
        <v>44</v>
      </c>
      <c r="BA102" s="159" t="s">
        <v>44</v>
      </c>
      <c r="BB102" s="102">
        <f>BB68+BB25</f>
        <v>5186</v>
      </c>
      <c r="BC102" s="97"/>
      <c r="BD102" s="108" t="s">
        <v>44</v>
      </c>
      <c r="BE102" s="159" t="s">
        <v>44</v>
      </c>
      <c r="BF102" s="97">
        <f>BF68+BF25</f>
        <v>0</v>
      </c>
      <c r="BG102" s="97"/>
      <c r="BH102" s="108" t="s">
        <v>44</v>
      </c>
      <c r="BI102" s="159" t="s">
        <v>44</v>
      </c>
      <c r="BJ102" s="659">
        <f t="shared" si="139"/>
        <v>435.79831932773106</v>
      </c>
      <c r="BK102" s="660"/>
      <c r="BL102" s="93">
        <f>BL68+BL25</f>
        <v>11.9</v>
      </c>
      <c r="BM102" s="93"/>
      <c r="BN102" s="820">
        <f>BN68+BN25</f>
        <v>1</v>
      </c>
      <c r="BO102" s="668"/>
      <c r="BP102" s="108" t="s">
        <v>44</v>
      </c>
      <c r="BQ102" s="108" t="s">
        <v>44</v>
      </c>
      <c r="BR102" s="97">
        <f t="shared" si="140"/>
        <v>5600</v>
      </c>
      <c r="BS102" s="97"/>
      <c r="BT102" s="108" t="s">
        <v>44</v>
      </c>
      <c r="BU102" s="159" t="s">
        <v>44</v>
      </c>
      <c r="BV102" s="102">
        <f>BV68+BV25</f>
        <v>5600</v>
      </c>
      <c r="BW102" s="97"/>
      <c r="BX102" s="108" t="s">
        <v>44</v>
      </c>
      <c r="BY102" s="159" t="s">
        <v>44</v>
      </c>
      <c r="BZ102" s="97">
        <f>BZ68+BZ25</f>
        <v>0</v>
      </c>
      <c r="CA102" s="97"/>
      <c r="CB102" s="108" t="s">
        <v>44</v>
      </c>
      <c r="CC102" s="159" t="s">
        <v>44</v>
      </c>
      <c r="CD102" s="659">
        <f t="shared" si="141"/>
        <v>470.58823529411762</v>
      </c>
      <c r="CE102" s="660"/>
      <c r="CF102" s="92">
        <f t="shared" si="142"/>
        <v>47.6</v>
      </c>
      <c r="CG102" s="97"/>
      <c r="CH102" s="820">
        <f>CH68+CH25</f>
        <v>0.99999999999999989</v>
      </c>
      <c r="CI102" s="97"/>
      <c r="CJ102" s="108" t="s">
        <v>44</v>
      </c>
      <c r="CK102" s="159" t="s">
        <v>44</v>
      </c>
      <c r="CL102" s="97">
        <f t="shared" si="143"/>
        <v>21439</v>
      </c>
      <c r="CM102" s="97"/>
      <c r="CN102" s="108" t="s">
        <v>44</v>
      </c>
      <c r="CO102" s="159" t="s">
        <v>44</v>
      </c>
      <c r="CP102" s="97">
        <f t="shared" si="144"/>
        <v>21439</v>
      </c>
      <c r="CQ102" s="97"/>
      <c r="CR102" s="108" t="s">
        <v>44</v>
      </c>
      <c r="CS102" s="159" t="s">
        <v>44</v>
      </c>
      <c r="CT102" s="97">
        <f t="shared" si="145"/>
        <v>0</v>
      </c>
      <c r="CU102" s="97"/>
      <c r="CV102" s="108" t="s">
        <v>44</v>
      </c>
      <c r="CW102" s="159" t="s">
        <v>44</v>
      </c>
      <c r="CX102" s="659">
        <f t="shared" si="146"/>
        <v>450.39915966386553</v>
      </c>
      <c r="CY102" s="174"/>
      <c r="CZ102" s="92">
        <f t="shared" si="147"/>
        <v>23.8</v>
      </c>
      <c r="DA102" s="93">
        <f t="shared" si="147"/>
        <v>0</v>
      </c>
      <c r="DB102" s="93">
        <f>DB25</f>
        <v>96.069868995633186</v>
      </c>
      <c r="DC102" s="111">
        <f>DC25</f>
        <v>0</v>
      </c>
      <c r="DD102" s="376">
        <f t="shared" si="148"/>
        <v>10653</v>
      </c>
      <c r="DE102" s="120">
        <f t="shared" si="148"/>
        <v>0</v>
      </c>
      <c r="DF102" s="120" t="e">
        <f t="shared" si="148"/>
        <v>#VALUE!</v>
      </c>
      <c r="DG102" s="107" t="e">
        <f t="shared" si="148"/>
        <v>#VALUE!</v>
      </c>
      <c r="DH102" s="376">
        <f t="shared" si="148"/>
        <v>10653</v>
      </c>
      <c r="DI102" s="120">
        <f t="shared" si="148"/>
        <v>0</v>
      </c>
      <c r="DJ102" s="120" t="e">
        <f t="shared" si="148"/>
        <v>#VALUE!</v>
      </c>
      <c r="DK102" s="107" t="e">
        <f t="shared" si="148"/>
        <v>#VALUE!</v>
      </c>
      <c r="DL102" s="376">
        <f t="shared" si="148"/>
        <v>0</v>
      </c>
      <c r="DM102" s="107">
        <f t="shared" si="148"/>
        <v>0</v>
      </c>
      <c r="DN102" s="120" t="e">
        <f t="shared" si="148"/>
        <v>#VALUE!</v>
      </c>
      <c r="DO102" s="120" t="e">
        <f t="shared" si="148"/>
        <v>#VALUE!</v>
      </c>
      <c r="DP102" s="662">
        <f>ROUND((DD102/CZ102),0)</f>
        <v>448</v>
      </c>
      <c r="DQ102" s="663" t="e">
        <f t="shared" ref="DQ102:DQ107" si="150">ROUND((DE102/DA102),0)</f>
        <v>#DIV/0!</v>
      </c>
      <c r="DR102" s="117">
        <f t="shared" ref="DR102:DR107" si="151">CZ102-DA102</f>
        <v>23.8</v>
      </c>
      <c r="DS102" s="401">
        <f>ABS((DR102/CZ102)*100)</f>
        <v>100</v>
      </c>
      <c r="DT102" s="104" t="e">
        <f t="shared" ref="DT102:DT107" si="152">(DD102+DF102)-(DE102+DG102)</f>
        <v>#VALUE!</v>
      </c>
      <c r="DU102" s="401" t="e">
        <f t="shared" si="149"/>
        <v>#VALUE!</v>
      </c>
      <c r="DV102" s="102">
        <f t="shared" ref="DV102:DV107" si="153">DD102-DE102</f>
        <v>10653</v>
      </c>
      <c r="DW102" s="176">
        <f t="shared" ref="DW102:DW107" si="154">ABS((DV102/DD102)*100)</f>
        <v>100</v>
      </c>
      <c r="DX102" s="97" t="e">
        <f t="shared" ref="DX102:DX107" si="155">DF102-DG102</f>
        <v>#VALUE!</v>
      </c>
      <c r="DY102" s="401" t="e">
        <f t="shared" ref="DY102:DY106" si="156">ABS((DX102/DF102)*100)</f>
        <v>#VALUE!</v>
      </c>
      <c r="DZ102" s="102">
        <f t="shared" ref="DZ102:DZ107" si="157">DH102-DI102</f>
        <v>10653</v>
      </c>
      <c r="EA102" s="176">
        <f t="shared" ref="EA102:EA107" si="158">ABS((DZ102/DH102)*100)</f>
        <v>100</v>
      </c>
      <c r="EB102" s="97" t="e">
        <f t="shared" ref="EB102:EB107" si="159">DJ102-DK102</f>
        <v>#VALUE!</v>
      </c>
      <c r="EC102" s="401" t="e">
        <f t="shared" ref="EC102:EC106" si="160">ABS((EB102/DJ102)*100)</f>
        <v>#VALUE!</v>
      </c>
      <c r="ED102" s="102">
        <f t="shared" ref="ED102:ED107" si="161">DL102-DM102</f>
        <v>0</v>
      </c>
      <c r="EE102" s="176">
        <v>0</v>
      </c>
      <c r="EF102" s="97" t="e">
        <f t="shared" ref="EF102:EF107" si="162">DN102-DO102</f>
        <v>#VALUE!</v>
      </c>
      <c r="EG102" s="113" t="e">
        <f t="shared" ref="EG102:EG106" si="163">ABS((EF102/DN102)*100)</f>
        <v>#VALUE!</v>
      </c>
      <c r="EH102" s="664" t="e">
        <f>DP102-DQ102</f>
        <v>#DIV/0!</v>
      </c>
      <c r="EI102" s="665" t="e">
        <f t="shared" ref="EI102:EI107" si="164">ABS(EH102/DP102)*100</f>
        <v>#DIV/0!</v>
      </c>
      <c r="EJ102" s="666"/>
    </row>
    <row r="103" spans="1:140" s="667" customFormat="1" ht="15.75" customHeight="1" x14ac:dyDescent="0.25">
      <c r="A103" s="657"/>
      <c r="B103" s="658" t="s">
        <v>46</v>
      </c>
      <c r="C103" s="97"/>
      <c r="D103" s="93">
        <v>2159</v>
      </c>
      <c r="E103" s="93"/>
      <c r="F103" s="176">
        <v>99.999999999999986</v>
      </c>
      <c r="G103" s="97"/>
      <c r="H103" s="108" t="s">
        <v>44</v>
      </c>
      <c r="I103" s="108" t="s">
        <v>44</v>
      </c>
      <c r="J103" s="97">
        <v>86185</v>
      </c>
      <c r="K103" s="97"/>
      <c r="L103" s="108" t="s">
        <v>44</v>
      </c>
      <c r="M103" s="159" t="s">
        <v>44</v>
      </c>
      <c r="N103" s="102">
        <v>86185</v>
      </c>
      <c r="O103" s="97"/>
      <c r="P103" s="108" t="s">
        <v>44</v>
      </c>
      <c r="Q103" s="159" t="s">
        <v>44</v>
      </c>
      <c r="R103" s="97">
        <v>0</v>
      </c>
      <c r="S103" s="97"/>
      <c r="T103" s="108" t="s">
        <v>44</v>
      </c>
      <c r="U103" s="159" t="s">
        <v>44</v>
      </c>
      <c r="V103" s="659">
        <v>40</v>
      </c>
      <c r="W103" s="660"/>
      <c r="X103" s="93">
        <v>2184</v>
      </c>
      <c r="Y103" s="93"/>
      <c r="Z103" s="176">
        <v>100</v>
      </c>
      <c r="AA103" s="97"/>
      <c r="AB103" s="108" t="s">
        <v>44</v>
      </c>
      <c r="AC103" s="108" t="s">
        <v>44</v>
      </c>
      <c r="AD103" s="97">
        <v>89646</v>
      </c>
      <c r="AE103" s="97"/>
      <c r="AF103" s="108" t="s">
        <v>44</v>
      </c>
      <c r="AG103" s="159" t="s">
        <v>44</v>
      </c>
      <c r="AH103" s="102">
        <v>89646</v>
      </c>
      <c r="AI103" s="97"/>
      <c r="AJ103" s="108" t="s">
        <v>44</v>
      </c>
      <c r="AK103" s="159" t="s">
        <v>44</v>
      </c>
      <c r="AL103" s="97">
        <v>0</v>
      </c>
      <c r="AM103" s="97"/>
      <c r="AN103" s="108" t="s">
        <v>44</v>
      </c>
      <c r="AO103" s="159" t="s">
        <v>44</v>
      </c>
      <c r="AP103" s="659">
        <v>41</v>
      </c>
      <c r="AQ103" s="660"/>
      <c r="AR103" s="93">
        <f>AR15+AR21+AR30+AR35+AR41+AR47+AR52+AR58+AR73+AR79+AR85</f>
        <v>2207.9999999999995</v>
      </c>
      <c r="AS103" s="93"/>
      <c r="AT103" s="820">
        <f>AT15+AT21+AT30+AT35+AT41+AT47+AT52+AT58+AT73+AT79+AT85</f>
        <v>1</v>
      </c>
      <c r="AU103" s="97"/>
      <c r="AV103" s="108" t="s">
        <v>44</v>
      </c>
      <c r="AW103" s="108" t="s">
        <v>44</v>
      </c>
      <c r="AX103" s="97">
        <f t="shared" si="138"/>
        <v>100721.15000000001</v>
      </c>
      <c r="AY103" s="97"/>
      <c r="AZ103" s="108" t="s">
        <v>44</v>
      </c>
      <c r="BA103" s="159" t="s">
        <v>44</v>
      </c>
      <c r="BB103" s="102">
        <f>BB15+BB21+BB30+BB35+BB41+BB47+BB52+BB58+BB73+BB79+BB85</f>
        <v>100721.15000000001</v>
      </c>
      <c r="BC103" s="97"/>
      <c r="BD103" s="108" t="s">
        <v>44</v>
      </c>
      <c r="BE103" s="159" t="s">
        <v>44</v>
      </c>
      <c r="BF103" s="97">
        <f>BF15+BF21+BF30+BF35+BF41+BF47+BF52+BF58+BF73+BF79+BF85</f>
        <v>0</v>
      </c>
      <c r="BG103" s="97"/>
      <c r="BH103" s="108" t="s">
        <v>44</v>
      </c>
      <c r="BI103" s="159" t="s">
        <v>44</v>
      </c>
      <c r="BJ103" s="659">
        <f t="shared" si="139"/>
        <v>45.616462862318855</v>
      </c>
      <c r="BK103" s="660"/>
      <c r="BL103" s="93">
        <f>BL15+BL21+BL30+BL35+BL41+BL47+BL52+BL58+BL73+BL79+BL85</f>
        <v>2208.9999999999995</v>
      </c>
      <c r="BM103" s="93"/>
      <c r="BN103" s="820">
        <f>BN15+BN21+BN30+BN35+BN41+BN47+BN52+BN58+BN73+BN79+BN85</f>
        <v>1</v>
      </c>
      <c r="BO103" s="97"/>
      <c r="BP103" s="108" t="s">
        <v>44</v>
      </c>
      <c r="BQ103" s="108" t="s">
        <v>44</v>
      </c>
      <c r="BR103" s="97">
        <f t="shared" si="140"/>
        <v>97260.700000000012</v>
      </c>
      <c r="BS103" s="97"/>
      <c r="BT103" s="108" t="s">
        <v>44</v>
      </c>
      <c r="BU103" s="159" t="s">
        <v>44</v>
      </c>
      <c r="BV103" s="102">
        <f>BV15+BV21+BV30+BV35+BV41+BV47+BV52+BV58+BV73+BV79+BV85</f>
        <v>97260.700000000012</v>
      </c>
      <c r="BW103" s="97"/>
      <c r="BX103" s="108" t="s">
        <v>44</v>
      </c>
      <c r="BY103" s="159" t="s">
        <v>44</v>
      </c>
      <c r="BZ103" s="97">
        <f>BZ15+BZ21+BZ30+BZ35+BZ41+BZ47+BZ52+BZ58+BZ73+BZ79+BZ85</f>
        <v>0</v>
      </c>
      <c r="CA103" s="97"/>
      <c r="CB103" s="108" t="s">
        <v>44</v>
      </c>
      <c r="CC103" s="159" t="s">
        <v>44</v>
      </c>
      <c r="CD103" s="659">
        <f t="shared" si="141"/>
        <v>44.029289271163435</v>
      </c>
      <c r="CE103" s="660"/>
      <c r="CF103" s="92">
        <f t="shared" si="142"/>
        <v>8760</v>
      </c>
      <c r="CG103" s="97"/>
      <c r="CH103" s="820">
        <f>CH15+CH21+CH30+CH35+CH41+CH47+CH52+CH58+CH73+CH79+CH85</f>
        <v>1</v>
      </c>
      <c r="CI103" s="97"/>
      <c r="CJ103" s="108" t="s">
        <v>44</v>
      </c>
      <c r="CK103" s="159" t="s">
        <v>44</v>
      </c>
      <c r="CL103" s="97">
        <f t="shared" si="143"/>
        <v>373812.85000000003</v>
      </c>
      <c r="CM103" s="97"/>
      <c r="CN103" s="108" t="s">
        <v>44</v>
      </c>
      <c r="CO103" s="159" t="s">
        <v>44</v>
      </c>
      <c r="CP103" s="97">
        <f t="shared" si="144"/>
        <v>373812.85000000003</v>
      </c>
      <c r="CQ103" s="97"/>
      <c r="CR103" s="108" t="s">
        <v>44</v>
      </c>
      <c r="CS103" s="159" t="s">
        <v>44</v>
      </c>
      <c r="CT103" s="97">
        <f t="shared" si="145"/>
        <v>0</v>
      </c>
      <c r="CU103" s="97"/>
      <c r="CV103" s="108" t="s">
        <v>44</v>
      </c>
      <c r="CW103" s="159" t="s">
        <v>44</v>
      </c>
      <c r="CX103" s="659">
        <f t="shared" si="146"/>
        <v>42.672699771689501</v>
      </c>
      <c r="CY103" s="174"/>
      <c r="CZ103" s="661">
        <f t="shared" si="147"/>
        <v>4343</v>
      </c>
      <c r="DA103" s="97">
        <f t="shared" si="147"/>
        <v>0</v>
      </c>
      <c r="DB103" s="93">
        <f>DB15+DB21+DB30+DB41+DB47+DB52+DB58+DB73+DB79+DB85+DB35</f>
        <v>99.999999999999986</v>
      </c>
      <c r="DC103" s="111">
        <f>DC15+DC21+DC30+DC41+DC47+DC52+DC58+DC73+DC79+DC85+DC35</f>
        <v>0</v>
      </c>
      <c r="DD103" s="376">
        <f t="shared" si="148"/>
        <v>175831</v>
      </c>
      <c r="DE103" s="120">
        <f t="shared" si="148"/>
        <v>0</v>
      </c>
      <c r="DF103" s="120" t="e">
        <f t="shared" si="148"/>
        <v>#VALUE!</v>
      </c>
      <c r="DG103" s="107" t="e">
        <f t="shared" si="148"/>
        <v>#VALUE!</v>
      </c>
      <c r="DH103" s="376">
        <f t="shared" si="148"/>
        <v>175831</v>
      </c>
      <c r="DI103" s="120">
        <f t="shared" si="148"/>
        <v>0</v>
      </c>
      <c r="DJ103" s="120" t="e">
        <f t="shared" si="148"/>
        <v>#VALUE!</v>
      </c>
      <c r="DK103" s="107" t="e">
        <f t="shared" si="148"/>
        <v>#VALUE!</v>
      </c>
      <c r="DL103" s="376">
        <f t="shared" si="148"/>
        <v>0</v>
      </c>
      <c r="DM103" s="107">
        <f t="shared" si="148"/>
        <v>0</v>
      </c>
      <c r="DN103" s="120" t="e">
        <f t="shared" si="148"/>
        <v>#VALUE!</v>
      </c>
      <c r="DO103" s="120" t="e">
        <f t="shared" si="148"/>
        <v>#VALUE!</v>
      </c>
      <c r="DP103" s="662">
        <f t="shared" ref="DP103:DP107" si="165">ROUND((DD103/CZ103),0)</f>
        <v>40</v>
      </c>
      <c r="DQ103" s="663" t="e">
        <f t="shared" si="150"/>
        <v>#DIV/0!</v>
      </c>
      <c r="DR103" s="117">
        <f t="shared" si="151"/>
        <v>4343</v>
      </c>
      <c r="DS103" s="401">
        <f t="shared" ref="DS103:DS107" si="166">ABS((DR103/CZ103)*100)</f>
        <v>100</v>
      </c>
      <c r="DT103" s="104" t="e">
        <f t="shared" si="152"/>
        <v>#VALUE!</v>
      </c>
      <c r="DU103" s="401" t="e">
        <f t="shared" si="149"/>
        <v>#VALUE!</v>
      </c>
      <c r="DV103" s="102">
        <f t="shared" si="153"/>
        <v>175831</v>
      </c>
      <c r="DW103" s="176">
        <f t="shared" si="154"/>
        <v>100</v>
      </c>
      <c r="DX103" s="97" t="e">
        <f t="shared" si="155"/>
        <v>#VALUE!</v>
      </c>
      <c r="DY103" s="401" t="e">
        <f t="shared" si="156"/>
        <v>#VALUE!</v>
      </c>
      <c r="DZ103" s="102">
        <f t="shared" si="157"/>
        <v>175831</v>
      </c>
      <c r="EA103" s="176">
        <f t="shared" si="158"/>
        <v>100</v>
      </c>
      <c r="EB103" s="97" t="e">
        <f t="shared" si="159"/>
        <v>#VALUE!</v>
      </c>
      <c r="EC103" s="401" t="e">
        <f t="shared" si="160"/>
        <v>#VALUE!</v>
      </c>
      <c r="ED103" s="102">
        <f t="shared" si="161"/>
        <v>0</v>
      </c>
      <c r="EE103" s="176">
        <v>0</v>
      </c>
      <c r="EF103" s="97" t="e">
        <f t="shared" si="162"/>
        <v>#VALUE!</v>
      </c>
      <c r="EG103" s="113" t="e">
        <f t="shared" si="163"/>
        <v>#VALUE!</v>
      </c>
      <c r="EH103" s="664" t="e">
        <f t="shared" ref="EH103:EH107" si="167">DP103-DQ103</f>
        <v>#DIV/0!</v>
      </c>
      <c r="EI103" s="665" t="e">
        <f t="shared" si="164"/>
        <v>#DIV/0!</v>
      </c>
      <c r="EJ103" s="666"/>
    </row>
    <row r="104" spans="1:140" s="667" customFormat="1" ht="15.75" customHeight="1" x14ac:dyDescent="0.25">
      <c r="A104" s="657"/>
      <c r="B104" s="658" t="s">
        <v>47</v>
      </c>
      <c r="C104" s="97"/>
      <c r="D104" s="93">
        <v>2159.0000000000005</v>
      </c>
      <c r="E104" s="93"/>
      <c r="F104" s="176">
        <v>100.00000000000001</v>
      </c>
      <c r="G104" s="97"/>
      <c r="H104" s="108" t="s">
        <v>44</v>
      </c>
      <c r="I104" s="108" t="s">
        <v>44</v>
      </c>
      <c r="J104" s="97">
        <v>147111</v>
      </c>
      <c r="K104" s="97"/>
      <c r="L104" s="108" t="s">
        <v>44</v>
      </c>
      <c r="M104" s="159" t="s">
        <v>44</v>
      </c>
      <c r="N104" s="102">
        <v>147111</v>
      </c>
      <c r="O104" s="97"/>
      <c r="P104" s="108" t="s">
        <v>44</v>
      </c>
      <c r="Q104" s="159" t="s">
        <v>44</v>
      </c>
      <c r="R104" s="97">
        <v>0</v>
      </c>
      <c r="S104" s="97"/>
      <c r="T104" s="108" t="s">
        <v>44</v>
      </c>
      <c r="U104" s="159" t="s">
        <v>44</v>
      </c>
      <c r="V104" s="659">
        <v>68</v>
      </c>
      <c r="W104" s="660"/>
      <c r="X104" s="93">
        <v>2184.0000000000005</v>
      </c>
      <c r="Y104" s="93"/>
      <c r="Z104" s="176">
        <v>100</v>
      </c>
      <c r="AA104" s="97"/>
      <c r="AB104" s="108" t="s">
        <v>44</v>
      </c>
      <c r="AC104" s="108" t="s">
        <v>44</v>
      </c>
      <c r="AD104" s="97">
        <v>134580</v>
      </c>
      <c r="AE104" s="97"/>
      <c r="AF104" s="108" t="s">
        <v>44</v>
      </c>
      <c r="AG104" s="159" t="s">
        <v>44</v>
      </c>
      <c r="AH104" s="102">
        <v>134580</v>
      </c>
      <c r="AI104" s="97"/>
      <c r="AJ104" s="108" t="s">
        <v>44</v>
      </c>
      <c r="AK104" s="159" t="s">
        <v>44</v>
      </c>
      <c r="AL104" s="97">
        <v>0</v>
      </c>
      <c r="AM104" s="97"/>
      <c r="AN104" s="108" t="s">
        <v>44</v>
      </c>
      <c r="AO104" s="159" t="s">
        <v>44</v>
      </c>
      <c r="AP104" s="659">
        <v>62</v>
      </c>
      <c r="AQ104" s="660"/>
      <c r="AR104" s="93">
        <f>AR16+AR22+AR36+AR42+AR53+AR59+AR69+AR74+AR80+AR86</f>
        <v>2208</v>
      </c>
      <c r="AS104" s="93"/>
      <c r="AT104" s="820">
        <f>AT16+AT22+AT36+AT42+AT53+AT59+AT69+AT74+AT80+AT86</f>
        <v>1</v>
      </c>
      <c r="AU104" s="97"/>
      <c r="AV104" s="108" t="s">
        <v>44</v>
      </c>
      <c r="AW104" s="108" t="s">
        <v>44</v>
      </c>
      <c r="AX104" s="97">
        <f t="shared" si="138"/>
        <v>132411.65</v>
      </c>
      <c r="AY104" s="97"/>
      <c r="AZ104" s="108" t="s">
        <v>44</v>
      </c>
      <c r="BA104" s="159" t="s">
        <v>44</v>
      </c>
      <c r="BB104" s="102">
        <f>BB16+BB22+BB36+BB42+BB53+BB59+BB69+BB74+BB80+BB86</f>
        <v>132411.65</v>
      </c>
      <c r="BC104" s="97"/>
      <c r="BD104" s="108" t="s">
        <v>44</v>
      </c>
      <c r="BE104" s="159" t="s">
        <v>44</v>
      </c>
      <c r="BF104" s="97">
        <f>BF16+BF22+BF36+BF42+BF53+BF59+BF69+BF74+BF80+BF86</f>
        <v>0</v>
      </c>
      <c r="BG104" s="97"/>
      <c r="BH104" s="108" t="s">
        <v>44</v>
      </c>
      <c r="BI104" s="159" t="s">
        <v>44</v>
      </c>
      <c r="BJ104" s="659">
        <f t="shared" si="139"/>
        <v>59.969044384057966</v>
      </c>
      <c r="BK104" s="660"/>
      <c r="BL104" s="93">
        <f>BL16+BL22+BL36+BL42+BL53+BL59+BL69+BL74+BL80+BL86</f>
        <v>2209</v>
      </c>
      <c r="BM104" s="93"/>
      <c r="BN104" s="820">
        <f>BN16+BN22+BN36+BN42+BN53+BN59+BN69+BN74+BN80+BN86</f>
        <v>1</v>
      </c>
      <c r="BO104" s="97"/>
      <c r="BP104" s="108" t="s">
        <v>44</v>
      </c>
      <c r="BQ104" s="108" t="s">
        <v>44</v>
      </c>
      <c r="BR104" s="97">
        <f t="shared" si="140"/>
        <v>153924.49000000002</v>
      </c>
      <c r="BS104" s="97"/>
      <c r="BT104" s="108" t="s">
        <v>44</v>
      </c>
      <c r="BU104" s="159" t="s">
        <v>44</v>
      </c>
      <c r="BV104" s="102">
        <f>BV16+BV22+BV36+BV42+BV53+BV59+BV69+BV74+BV80+BV86</f>
        <v>153924.49000000002</v>
      </c>
      <c r="BW104" s="97"/>
      <c r="BX104" s="108" t="s">
        <v>44</v>
      </c>
      <c r="BY104" s="159" t="s">
        <v>44</v>
      </c>
      <c r="BZ104" s="97">
        <f>BZ16+BZ22+BZ36+BZ42+BZ53+BZ59+BZ69+BZ74+BZ80+BZ86</f>
        <v>0</v>
      </c>
      <c r="CA104" s="97"/>
      <c r="CB104" s="108" t="s">
        <v>44</v>
      </c>
      <c r="CC104" s="159" t="s">
        <v>44</v>
      </c>
      <c r="CD104" s="659">
        <f t="shared" si="141"/>
        <v>69.680620190131293</v>
      </c>
      <c r="CE104" s="660"/>
      <c r="CF104" s="92">
        <f t="shared" si="142"/>
        <v>8760</v>
      </c>
      <c r="CG104" s="97"/>
      <c r="CH104" s="820">
        <f>CH16+CH22+CH36+CH42+CH53+CH59+CH69+CH74+CH80+CH86</f>
        <v>1</v>
      </c>
      <c r="CI104" s="97"/>
      <c r="CJ104" s="108" t="s">
        <v>44</v>
      </c>
      <c r="CK104" s="159" t="s">
        <v>44</v>
      </c>
      <c r="CL104" s="97">
        <f t="shared" si="143"/>
        <v>568027.14</v>
      </c>
      <c r="CM104" s="97"/>
      <c r="CN104" s="108" t="s">
        <v>44</v>
      </c>
      <c r="CO104" s="159" t="s">
        <v>44</v>
      </c>
      <c r="CP104" s="97">
        <f t="shared" si="144"/>
        <v>568027.14</v>
      </c>
      <c r="CQ104" s="97"/>
      <c r="CR104" s="108" t="s">
        <v>44</v>
      </c>
      <c r="CS104" s="159" t="s">
        <v>44</v>
      </c>
      <c r="CT104" s="97">
        <f t="shared" si="145"/>
        <v>0</v>
      </c>
      <c r="CU104" s="97"/>
      <c r="CV104" s="108" t="s">
        <v>44</v>
      </c>
      <c r="CW104" s="159" t="s">
        <v>44</v>
      </c>
      <c r="CX104" s="659">
        <f t="shared" si="146"/>
        <v>64.843280821917816</v>
      </c>
      <c r="CY104" s="174"/>
      <c r="CZ104" s="661">
        <f t="shared" si="147"/>
        <v>4343.0000000000009</v>
      </c>
      <c r="DA104" s="97">
        <f t="shared" si="147"/>
        <v>0</v>
      </c>
      <c r="DB104" s="93">
        <f>DB16+DB36+DB42+DB53+DB59+DB74+DB80+DB22+DB86</f>
        <v>82.954179138844125</v>
      </c>
      <c r="DC104" s="111">
        <f>DC16+DC36+DC42+DC53+DC59+DC74+DC80+DC22+DC86</f>
        <v>0</v>
      </c>
      <c r="DD104" s="376">
        <f t="shared" si="148"/>
        <v>281691</v>
      </c>
      <c r="DE104" s="120">
        <f t="shared" si="148"/>
        <v>0</v>
      </c>
      <c r="DF104" s="120" t="e">
        <f t="shared" si="148"/>
        <v>#VALUE!</v>
      </c>
      <c r="DG104" s="107" t="e">
        <f t="shared" si="148"/>
        <v>#VALUE!</v>
      </c>
      <c r="DH104" s="376">
        <f t="shared" si="148"/>
        <v>281691</v>
      </c>
      <c r="DI104" s="120">
        <f t="shared" si="148"/>
        <v>0</v>
      </c>
      <c r="DJ104" s="120" t="e">
        <f t="shared" si="148"/>
        <v>#VALUE!</v>
      </c>
      <c r="DK104" s="107" t="e">
        <f t="shared" si="148"/>
        <v>#VALUE!</v>
      </c>
      <c r="DL104" s="376">
        <f t="shared" si="148"/>
        <v>0</v>
      </c>
      <c r="DM104" s="107">
        <f t="shared" si="148"/>
        <v>0</v>
      </c>
      <c r="DN104" s="120" t="e">
        <f t="shared" si="148"/>
        <v>#VALUE!</v>
      </c>
      <c r="DO104" s="120" t="e">
        <f t="shared" si="148"/>
        <v>#VALUE!</v>
      </c>
      <c r="DP104" s="662">
        <f t="shared" si="165"/>
        <v>65</v>
      </c>
      <c r="DQ104" s="663" t="e">
        <f t="shared" si="150"/>
        <v>#DIV/0!</v>
      </c>
      <c r="DR104" s="117">
        <f t="shared" si="151"/>
        <v>4343.0000000000009</v>
      </c>
      <c r="DS104" s="401">
        <f t="shared" si="166"/>
        <v>100</v>
      </c>
      <c r="DT104" s="104" t="e">
        <f t="shared" si="152"/>
        <v>#VALUE!</v>
      </c>
      <c r="DU104" s="401" t="e">
        <f t="shared" si="149"/>
        <v>#VALUE!</v>
      </c>
      <c r="DV104" s="102">
        <f t="shared" si="153"/>
        <v>281691</v>
      </c>
      <c r="DW104" s="176">
        <f t="shared" si="154"/>
        <v>100</v>
      </c>
      <c r="DX104" s="97" t="e">
        <f t="shared" si="155"/>
        <v>#VALUE!</v>
      </c>
      <c r="DY104" s="401" t="e">
        <f t="shared" si="156"/>
        <v>#VALUE!</v>
      </c>
      <c r="DZ104" s="102">
        <f t="shared" si="157"/>
        <v>281691</v>
      </c>
      <c r="EA104" s="176">
        <f t="shared" si="158"/>
        <v>100</v>
      </c>
      <c r="EB104" s="97" t="e">
        <f t="shared" si="159"/>
        <v>#VALUE!</v>
      </c>
      <c r="EC104" s="401" t="e">
        <f t="shared" si="160"/>
        <v>#VALUE!</v>
      </c>
      <c r="ED104" s="102">
        <f t="shared" si="161"/>
        <v>0</v>
      </c>
      <c r="EE104" s="176">
        <v>0</v>
      </c>
      <c r="EF104" s="97" t="e">
        <f t="shared" si="162"/>
        <v>#VALUE!</v>
      </c>
      <c r="EG104" s="113" t="e">
        <f t="shared" si="163"/>
        <v>#VALUE!</v>
      </c>
      <c r="EH104" s="664" t="e">
        <f t="shared" si="167"/>
        <v>#DIV/0!</v>
      </c>
      <c r="EI104" s="665" t="e">
        <f t="shared" si="164"/>
        <v>#DIV/0!</v>
      </c>
      <c r="EJ104" s="666"/>
    </row>
    <row r="105" spans="1:140" s="667" customFormat="1" ht="15.75" customHeight="1" x14ac:dyDescent="0.25">
      <c r="A105" s="657"/>
      <c r="B105" s="658" t="s">
        <v>48</v>
      </c>
      <c r="C105" s="97"/>
      <c r="D105" s="93">
        <v>2158.9999999999995</v>
      </c>
      <c r="E105" s="93"/>
      <c r="F105" s="176">
        <v>99.999999999999986</v>
      </c>
      <c r="G105" s="97"/>
      <c r="H105" s="108" t="s">
        <v>44</v>
      </c>
      <c r="I105" s="108" t="s">
        <v>44</v>
      </c>
      <c r="J105" s="97">
        <v>258907</v>
      </c>
      <c r="K105" s="97"/>
      <c r="L105" s="108" t="s">
        <v>44</v>
      </c>
      <c r="M105" s="159" t="s">
        <v>44</v>
      </c>
      <c r="N105" s="102">
        <v>249985</v>
      </c>
      <c r="O105" s="97"/>
      <c r="P105" s="108" t="s">
        <v>44</v>
      </c>
      <c r="Q105" s="159" t="s">
        <v>44</v>
      </c>
      <c r="R105" s="97">
        <v>8922</v>
      </c>
      <c r="S105" s="97"/>
      <c r="T105" s="108" t="s">
        <v>44</v>
      </c>
      <c r="U105" s="159" t="s">
        <v>44</v>
      </c>
      <c r="V105" s="659">
        <v>120</v>
      </c>
      <c r="W105" s="660"/>
      <c r="X105" s="93">
        <v>2184</v>
      </c>
      <c r="Y105" s="93"/>
      <c r="Z105" s="176">
        <v>100</v>
      </c>
      <c r="AA105" s="97"/>
      <c r="AB105" s="108" t="s">
        <v>44</v>
      </c>
      <c r="AC105" s="108" t="s">
        <v>44</v>
      </c>
      <c r="AD105" s="97">
        <v>257039</v>
      </c>
      <c r="AE105" s="97"/>
      <c r="AF105" s="108" t="s">
        <v>44</v>
      </c>
      <c r="AG105" s="159" t="s">
        <v>44</v>
      </c>
      <c r="AH105" s="102">
        <v>251820</v>
      </c>
      <c r="AI105" s="97"/>
      <c r="AJ105" s="108" t="s">
        <v>44</v>
      </c>
      <c r="AK105" s="159" t="s">
        <v>44</v>
      </c>
      <c r="AL105" s="97">
        <v>5219</v>
      </c>
      <c r="AM105" s="97"/>
      <c r="AN105" s="108" t="s">
        <v>44</v>
      </c>
      <c r="AO105" s="159" t="s">
        <v>44</v>
      </c>
      <c r="AP105" s="659">
        <v>118</v>
      </c>
      <c r="AQ105" s="660"/>
      <c r="AR105" s="93">
        <f>AR17+AR23+AR31+AR43+AR48+AR54+AR60+AR70+AR75+AR81+AR87+AR37</f>
        <v>2207.9999999999995</v>
      </c>
      <c r="AS105" s="93"/>
      <c r="AT105" s="820">
        <f>AT17+AT23+AT31+AT37+AT43+AT48+AT54+AT60+AT70+AT75+AT81+AT87</f>
        <v>1</v>
      </c>
      <c r="AU105" s="97"/>
      <c r="AV105" s="108" t="s">
        <v>44</v>
      </c>
      <c r="AW105" s="108" t="s">
        <v>44</v>
      </c>
      <c r="AX105" s="97">
        <f t="shared" si="138"/>
        <v>266029.28000000003</v>
      </c>
      <c r="AY105" s="97"/>
      <c r="AZ105" s="108" t="s">
        <v>44</v>
      </c>
      <c r="BA105" s="159" t="s">
        <v>44</v>
      </c>
      <c r="BB105" s="102">
        <f>BB17+BB23+BB31+BB43+BB48+BB54+BB60+BB70+BB75+BB81+BB87+BB37</f>
        <v>260193.28000000003</v>
      </c>
      <c r="BC105" s="97"/>
      <c r="BD105" s="108" t="s">
        <v>44</v>
      </c>
      <c r="BE105" s="159" t="s">
        <v>44</v>
      </c>
      <c r="BF105" s="97">
        <f>BF17+BF23+BF31+BF43+BF48+BF54+BF60+BF70+BF75+BF81+BF87+BF37</f>
        <v>5836</v>
      </c>
      <c r="BG105" s="97"/>
      <c r="BH105" s="108" t="s">
        <v>44</v>
      </c>
      <c r="BI105" s="159" t="s">
        <v>44</v>
      </c>
      <c r="BJ105" s="659">
        <f t="shared" si="139"/>
        <v>120.48427536231888</v>
      </c>
      <c r="BK105" s="660"/>
      <c r="BL105" s="93">
        <f>BL17+BL23+BL31+BL43+BL48+BL54+BL60+BL70+BL75+BL81+BL87+BL37</f>
        <v>2209</v>
      </c>
      <c r="BM105" s="93"/>
      <c r="BN105" s="820">
        <f>BN17+BN23+BN31+BN37+BN43+BN48+BN54+BN60+BN70+BN75+BN81+BN87</f>
        <v>1</v>
      </c>
      <c r="BO105" s="97"/>
      <c r="BP105" s="108" t="s">
        <v>44</v>
      </c>
      <c r="BQ105" s="108" t="s">
        <v>44</v>
      </c>
      <c r="BR105" s="97">
        <f t="shared" si="140"/>
        <v>269416.53999999998</v>
      </c>
      <c r="BS105" s="97"/>
      <c r="BT105" s="108" t="s">
        <v>44</v>
      </c>
      <c r="BU105" s="159" t="s">
        <v>44</v>
      </c>
      <c r="BV105" s="102">
        <f>BV17+BV23+BV31+BV43+BV48+BV54+BV60+BV70+BV75+BV81+BV87+BV37</f>
        <v>260494.53999999998</v>
      </c>
      <c r="BW105" s="97"/>
      <c r="BX105" s="108" t="s">
        <v>44</v>
      </c>
      <c r="BY105" s="159" t="s">
        <v>44</v>
      </c>
      <c r="BZ105" s="97">
        <f>BZ17+BZ23+BZ31+BZ43+BZ48+BZ54+BZ60+BZ70+BZ75+BZ81+BZ87+BZ37</f>
        <v>8922</v>
      </c>
      <c r="CA105" s="97"/>
      <c r="CB105" s="108" t="s">
        <v>44</v>
      </c>
      <c r="CC105" s="159" t="s">
        <v>44</v>
      </c>
      <c r="CD105" s="659">
        <f t="shared" si="141"/>
        <v>121.96312358533272</v>
      </c>
      <c r="CE105" s="660"/>
      <c r="CF105" s="92">
        <f t="shared" si="142"/>
        <v>8760</v>
      </c>
      <c r="CG105" s="97"/>
      <c r="CH105" s="820">
        <f>CH17+CH23+CH31+CH37+CH43+CH48+CH54+CH60+CH70+CH75+CH81+CH87</f>
        <v>0.99999999999999989</v>
      </c>
      <c r="CI105" s="97"/>
      <c r="CJ105" s="108" t="s">
        <v>44</v>
      </c>
      <c r="CK105" s="159" t="s">
        <v>44</v>
      </c>
      <c r="CL105" s="97">
        <f t="shared" si="143"/>
        <v>1051391.82</v>
      </c>
      <c r="CM105" s="97"/>
      <c r="CN105" s="108" t="s">
        <v>44</v>
      </c>
      <c r="CO105" s="159" t="s">
        <v>44</v>
      </c>
      <c r="CP105" s="97">
        <f t="shared" si="144"/>
        <v>1022492.8200000001</v>
      </c>
      <c r="CQ105" s="97"/>
      <c r="CR105" s="108" t="s">
        <v>44</v>
      </c>
      <c r="CS105" s="159" t="s">
        <v>44</v>
      </c>
      <c r="CT105" s="97">
        <f t="shared" si="145"/>
        <v>28899</v>
      </c>
      <c r="CU105" s="97"/>
      <c r="CV105" s="108" t="s">
        <v>44</v>
      </c>
      <c r="CW105" s="159" t="s">
        <v>44</v>
      </c>
      <c r="CX105" s="659">
        <f t="shared" si="146"/>
        <v>120.02189726027397</v>
      </c>
      <c r="CY105" s="174"/>
      <c r="CZ105" s="661">
        <f t="shared" si="147"/>
        <v>4343</v>
      </c>
      <c r="DA105" s="97">
        <f t="shared" si="147"/>
        <v>0</v>
      </c>
      <c r="DB105" s="93">
        <f>DB17+DB23+DB31+DB37+DB43+DB48+DB54+DB60+DB75+DB81+DB87</f>
        <v>96.953718627676722</v>
      </c>
      <c r="DC105" s="111">
        <f>DC17+DC23+DC31+DC37+DC43+DC48+DC54+DC60+DC75+DC81+DC87</f>
        <v>0</v>
      </c>
      <c r="DD105" s="376">
        <f t="shared" si="148"/>
        <v>515946</v>
      </c>
      <c r="DE105" s="120">
        <f t="shared" si="148"/>
        <v>0</v>
      </c>
      <c r="DF105" s="120" t="e">
        <f t="shared" si="148"/>
        <v>#VALUE!</v>
      </c>
      <c r="DG105" s="107" t="e">
        <f t="shared" si="148"/>
        <v>#VALUE!</v>
      </c>
      <c r="DH105" s="376">
        <f t="shared" si="148"/>
        <v>501805</v>
      </c>
      <c r="DI105" s="120">
        <f t="shared" si="148"/>
        <v>0</v>
      </c>
      <c r="DJ105" s="120" t="e">
        <f t="shared" si="148"/>
        <v>#VALUE!</v>
      </c>
      <c r="DK105" s="107" t="e">
        <f t="shared" si="148"/>
        <v>#VALUE!</v>
      </c>
      <c r="DL105" s="376">
        <f t="shared" si="148"/>
        <v>14141</v>
      </c>
      <c r="DM105" s="107">
        <f t="shared" si="148"/>
        <v>0</v>
      </c>
      <c r="DN105" s="120" t="e">
        <f t="shared" si="148"/>
        <v>#VALUE!</v>
      </c>
      <c r="DO105" s="120" t="e">
        <f t="shared" si="148"/>
        <v>#VALUE!</v>
      </c>
      <c r="DP105" s="662">
        <f t="shared" si="165"/>
        <v>119</v>
      </c>
      <c r="DQ105" s="663" t="e">
        <f t="shared" si="150"/>
        <v>#DIV/0!</v>
      </c>
      <c r="DR105" s="117">
        <f t="shared" si="151"/>
        <v>4343</v>
      </c>
      <c r="DS105" s="401">
        <f t="shared" si="166"/>
        <v>100</v>
      </c>
      <c r="DT105" s="104" t="e">
        <f t="shared" si="152"/>
        <v>#VALUE!</v>
      </c>
      <c r="DU105" s="401" t="e">
        <f t="shared" si="149"/>
        <v>#VALUE!</v>
      </c>
      <c r="DV105" s="102">
        <f t="shared" si="153"/>
        <v>515946</v>
      </c>
      <c r="DW105" s="176">
        <f t="shared" si="154"/>
        <v>100</v>
      </c>
      <c r="DX105" s="97" t="e">
        <f t="shared" si="155"/>
        <v>#VALUE!</v>
      </c>
      <c r="DY105" s="401" t="e">
        <f t="shared" si="156"/>
        <v>#VALUE!</v>
      </c>
      <c r="DZ105" s="102">
        <f t="shared" si="157"/>
        <v>501805</v>
      </c>
      <c r="EA105" s="176">
        <f t="shared" si="158"/>
        <v>100</v>
      </c>
      <c r="EB105" s="97" t="e">
        <f t="shared" si="159"/>
        <v>#VALUE!</v>
      </c>
      <c r="EC105" s="401" t="e">
        <f t="shared" si="160"/>
        <v>#VALUE!</v>
      </c>
      <c r="ED105" s="102">
        <f t="shared" si="161"/>
        <v>14141</v>
      </c>
      <c r="EE105" s="176">
        <f t="shared" ref="EE105" si="168">ABS((ED105/DL105)*100)</f>
        <v>100</v>
      </c>
      <c r="EF105" s="97" t="e">
        <f t="shared" si="162"/>
        <v>#VALUE!</v>
      </c>
      <c r="EG105" s="113" t="e">
        <f t="shared" si="163"/>
        <v>#VALUE!</v>
      </c>
      <c r="EH105" s="664" t="e">
        <f t="shared" si="167"/>
        <v>#DIV/0!</v>
      </c>
      <c r="EI105" s="665" t="e">
        <f t="shared" si="164"/>
        <v>#DIV/0!</v>
      </c>
      <c r="EJ105" s="666"/>
    </row>
    <row r="106" spans="1:140" s="667" customFormat="1" ht="15.75" customHeight="1" x14ac:dyDescent="0.25">
      <c r="A106" s="657"/>
      <c r="B106" s="658" t="s">
        <v>49</v>
      </c>
      <c r="C106" s="97"/>
      <c r="D106" s="93">
        <v>2159</v>
      </c>
      <c r="E106" s="93"/>
      <c r="F106" s="176">
        <v>100.00000000000001</v>
      </c>
      <c r="G106" s="97"/>
      <c r="H106" s="108" t="s">
        <v>44</v>
      </c>
      <c r="I106" s="108" t="s">
        <v>44</v>
      </c>
      <c r="J106" s="97">
        <v>46595</v>
      </c>
      <c r="K106" s="97"/>
      <c r="L106" s="108" t="s">
        <v>44</v>
      </c>
      <c r="M106" s="159" t="s">
        <v>44</v>
      </c>
      <c r="N106" s="102">
        <v>46595</v>
      </c>
      <c r="O106" s="97"/>
      <c r="P106" s="108" t="s">
        <v>44</v>
      </c>
      <c r="Q106" s="159" t="s">
        <v>44</v>
      </c>
      <c r="R106" s="97">
        <v>0</v>
      </c>
      <c r="S106" s="97"/>
      <c r="T106" s="108" t="s">
        <v>44</v>
      </c>
      <c r="U106" s="159" t="s">
        <v>44</v>
      </c>
      <c r="V106" s="659">
        <v>22</v>
      </c>
      <c r="W106" s="660"/>
      <c r="X106" s="93">
        <v>2184</v>
      </c>
      <c r="Y106" s="93"/>
      <c r="Z106" s="176">
        <v>99.999999999999986</v>
      </c>
      <c r="AA106" s="97"/>
      <c r="AB106" s="108" t="s">
        <v>44</v>
      </c>
      <c r="AC106" s="108" t="s">
        <v>44</v>
      </c>
      <c r="AD106" s="97">
        <v>42859</v>
      </c>
      <c r="AE106" s="97"/>
      <c r="AF106" s="108" t="s">
        <v>44</v>
      </c>
      <c r="AG106" s="159" t="s">
        <v>44</v>
      </c>
      <c r="AH106" s="102">
        <v>42859</v>
      </c>
      <c r="AI106" s="97"/>
      <c r="AJ106" s="108" t="s">
        <v>44</v>
      </c>
      <c r="AK106" s="159" t="s">
        <v>44</v>
      </c>
      <c r="AL106" s="97">
        <v>0</v>
      </c>
      <c r="AM106" s="97"/>
      <c r="AN106" s="108" t="s">
        <v>44</v>
      </c>
      <c r="AO106" s="159" t="s">
        <v>44</v>
      </c>
      <c r="AP106" s="659">
        <v>20</v>
      </c>
      <c r="AQ106" s="660"/>
      <c r="AR106" s="93">
        <f>AR18+AR24+AR32+AR38+AR44+AR49+AR55+AR61+AR76+AR82+AR88</f>
        <v>2208</v>
      </c>
      <c r="AS106" s="93"/>
      <c r="AT106" s="820">
        <f>AT18+AT24+AT32+AT38+AT44+AT49+AT55+AT61+AT76+AT82+AT88</f>
        <v>1</v>
      </c>
      <c r="AU106" s="97"/>
      <c r="AV106" s="108" t="s">
        <v>44</v>
      </c>
      <c r="AW106" s="108" t="s">
        <v>44</v>
      </c>
      <c r="AX106" s="97">
        <f t="shared" si="138"/>
        <v>35976.9</v>
      </c>
      <c r="AY106" s="97"/>
      <c r="AZ106" s="108" t="s">
        <v>44</v>
      </c>
      <c r="BA106" s="159" t="s">
        <v>44</v>
      </c>
      <c r="BB106" s="102">
        <f>BB18+BB24+BB32+BB38+BB44+BB49+BB55+BB61+BB76+BB82+BB88</f>
        <v>35976.9</v>
      </c>
      <c r="BC106" s="97"/>
      <c r="BD106" s="108" t="s">
        <v>44</v>
      </c>
      <c r="BE106" s="159" t="s">
        <v>44</v>
      </c>
      <c r="BF106" s="97">
        <f>BF18+BF24+BF32+BF38+BF44+BF49+BF55+BF61+BF76+BF82+BF88</f>
        <v>0</v>
      </c>
      <c r="BG106" s="97"/>
      <c r="BH106" s="108" t="s">
        <v>44</v>
      </c>
      <c r="BI106" s="159" t="s">
        <v>44</v>
      </c>
      <c r="BJ106" s="659">
        <f t="shared" si="139"/>
        <v>16.293885869565219</v>
      </c>
      <c r="BK106" s="660"/>
      <c r="BL106" s="93">
        <f>BL18+BL24+BL32+BL38+BL44+BL49+BL55+BL61+BL76+BL82+BL88</f>
        <v>2208.9999999999995</v>
      </c>
      <c r="BM106" s="93"/>
      <c r="BN106" s="820">
        <f>BN18+BN24+BN32+BN38+BN44+BN49+BN55+BN61+BN76+BN82+BN88</f>
        <v>1</v>
      </c>
      <c r="BO106" s="97"/>
      <c r="BP106" s="108" t="s">
        <v>44</v>
      </c>
      <c r="BQ106" s="108" t="s">
        <v>44</v>
      </c>
      <c r="BR106" s="97">
        <f t="shared" si="140"/>
        <v>43423.8</v>
      </c>
      <c r="BS106" s="97"/>
      <c r="BT106" s="108" t="s">
        <v>44</v>
      </c>
      <c r="BU106" s="159" t="s">
        <v>44</v>
      </c>
      <c r="BV106" s="102">
        <f>BV18+BV24+BV32+BV38+BV44+BV49+BV55+BV61+BV76+BV82+BV88</f>
        <v>43423.8</v>
      </c>
      <c r="BW106" s="97"/>
      <c r="BX106" s="108" t="s">
        <v>44</v>
      </c>
      <c r="BY106" s="159" t="s">
        <v>44</v>
      </c>
      <c r="BZ106" s="97">
        <f>BZ18+BZ24+BZ32+BZ38+BZ44+BZ49+BZ55+BZ61+BZ76+BZ82+BZ88</f>
        <v>0</v>
      </c>
      <c r="CA106" s="97"/>
      <c r="CB106" s="108" t="s">
        <v>44</v>
      </c>
      <c r="CC106" s="159" t="s">
        <v>44</v>
      </c>
      <c r="CD106" s="659">
        <f t="shared" si="141"/>
        <v>19.657673155273883</v>
      </c>
      <c r="CE106" s="660"/>
      <c r="CF106" s="92">
        <f t="shared" si="142"/>
        <v>8760</v>
      </c>
      <c r="CG106" s="97"/>
      <c r="CH106" s="820">
        <f>CH18+CH24+CH32+CH38+CH44+CH49+CH55+CH61+CH76+CH82+CH88</f>
        <v>0.99999999999999989</v>
      </c>
      <c r="CI106" s="97"/>
      <c r="CJ106" s="108" t="s">
        <v>44</v>
      </c>
      <c r="CK106" s="159" t="s">
        <v>44</v>
      </c>
      <c r="CL106" s="97">
        <f t="shared" si="143"/>
        <v>168854.7</v>
      </c>
      <c r="CM106" s="97"/>
      <c r="CN106" s="108" t="s">
        <v>44</v>
      </c>
      <c r="CO106" s="159" t="s">
        <v>44</v>
      </c>
      <c r="CP106" s="97">
        <f t="shared" si="144"/>
        <v>168854.7</v>
      </c>
      <c r="CQ106" s="97"/>
      <c r="CR106" s="108" t="s">
        <v>44</v>
      </c>
      <c r="CS106" s="159" t="s">
        <v>44</v>
      </c>
      <c r="CT106" s="97">
        <f t="shared" si="145"/>
        <v>0</v>
      </c>
      <c r="CU106" s="97"/>
      <c r="CV106" s="108" t="s">
        <v>44</v>
      </c>
      <c r="CW106" s="159" t="s">
        <v>44</v>
      </c>
      <c r="CX106" s="659">
        <f t="shared" si="146"/>
        <v>19.275650684931509</v>
      </c>
      <c r="CY106" s="174"/>
      <c r="CZ106" s="661">
        <f t="shared" si="147"/>
        <v>4343</v>
      </c>
      <c r="DA106" s="97">
        <f t="shared" si="147"/>
        <v>0</v>
      </c>
      <c r="DB106" s="93">
        <f>DB18+DB24+DB32+DB38+DB44+DB49+DB55+DB61+DB76+DB82+DB88</f>
        <v>100.00000000000001</v>
      </c>
      <c r="DC106" s="111">
        <f>DC18+DC24+DC32+DC38+DC44+DC49+DC55+DC61+DC76+DC82+DC88</f>
        <v>0</v>
      </c>
      <c r="DD106" s="100">
        <f t="shared" si="148"/>
        <v>89454</v>
      </c>
      <c r="DE106" s="97">
        <f t="shared" si="148"/>
        <v>0</v>
      </c>
      <c r="DF106" s="97" t="e">
        <f t="shared" si="148"/>
        <v>#VALUE!</v>
      </c>
      <c r="DG106" s="115" t="e">
        <f t="shared" si="148"/>
        <v>#VALUE!</v>
      </c>
      <c r="DH106" s="100">
        <f t="shared" si="148"/>
        <v>89454</v>
      </c>
      <c r="DI106" s="97">
        <f t="shared" si="148"/>
        <v>0</v>
      </c>
      <c r="DJ106" s="97" t="e">
        <f t="shared" si="148"/>
        <v>#VALUE!</v>
      </c>
      <c r="DK106" s="115" t="e">
        <f t="shared" si="148"/>
        <v>#VALUE!</v>
      </c>
      <c r="DL106" s="100">
        <f t="shared" si="148"/>
        <v>0</v>
      </c>
      <c r="DM106" s="115">
        <f t="shared" si="148"/>
        <v>0</v>
      </c>
      <c r="DN106" s="97" t="e">
        <f t="shared" si="148"/>
        <v>#VALUE!</v>
      </c>
      <c r="DO106" s="115" t="e">
        <f t="shared" si="148"/>
        <v>#VALUE!</v>
      </c>
      <c r="DP106" s="669">
        <f t="shared" si="165"/>
        <v>21</v>
      </c>
      <c r="DQ106" s="663" t="e">
        <f t="shared" si="150"/>
        <v>#DIV/0!</v>
      </c>
      <c r="DR106" s="117">
        <f t="shared" si="151"/>
        <v>4343</v>
      </c>
      <c r="DS106" s="401">
        <f t="shared" si="166"/>
        <v>100</v>
      </c>
      <c r="DT106" s="104" t="e">
        <f t="shared" si="152"/>
        <v>#VALUE!</v>
      </c>
      <c r="DU106" s="401" t="e">
        <f t="shared" si="149"/>
        <v>#VALUE!</v>
      </c>
      <c r="DV106" s="100">
        <f t="shared" si="153"/>
        <v>89454</v>
      </c>
      <c r="DW106" s="176">
        <f t="shared" si="154"/>
        <v>100</v>
      </c>
      <c r="DX106" s="97" t="e">
        <f t="shared" si="155"/>
        <v>#VALUE!</v>
      </c>
      <c r="DY106" s="401" t="e">
        <f t="shared" si="156"/>
        <v>#VALUE!</v>
      </c>
      <c r="DZ106" s="102">
        <f t="shared" si="157"/>
        <v>89454</v>
      </c>
      <c r="EA106" s="176">
        <f t="shared" si="158"/>
        <v>100</v>
      </c>
      <c r="EB106" s="97" t="e">
        <f t="shared" si="159"/>
        <v>#VALUE!</v>
      </c>
      <c r="EC106" s="401" t="e">
        <f t="shared" si="160"/>
        <v>#VALUE!</v>
      </c>
      <c r="ED106" s="102">
        <f t="shared" si="161"/>
        <v>0</v>
      </c>
      <c r="EE106" s="176">
        <v>0</v>
      </c>
      <c r="EF106" s="97" t="e">
        <f t="shared" si="162"/>
        <v>#VALUE!</v>
      </c>
      <c r="EG106" s="401" t="e">
        <f t="shared" si="163"/>
        <v>#VALUE!</v>
      </c>
      <c r="EH106" s="664" t="e">
        <f t="shared" si="167"/>
        <v>#DIV/0!</v>
      </c>
      <c r="EI106" s="665" t="e">
        <f t="shared" si="164"/>
        <v>#DIV/0!</v>
      </c>
      <c r="EJ106" s="666"/>
    </row>
    <row r="107" spans="1:140" s="667" customFormat="1" ht="15.75" customHeight="1" thickBot="1" x14ac:dyDescent="0.3">
      <c r="A107" s="670"/>
      <c r="B107" s="671" t="s">
        <v>63</v>
      </c>
      <c r="C107" s="672"/>
      <c r="D107" s="673">
        <v>70</v>
      </c>
      <c r="E107" s="673"/>
      <c r="F107" s="674">
        <v>100</v>
      </c>
      <c r="G107" s="672"/>
      <c r="H107" s="675" t="s">
        <v>44</v>
      </c>
      <c r="I107" s="675" t="s">
        <v>44</v>
      </c>
      <c r="J107" s="672">
        <v>87.540528022232522</v>
      </c>
      <c r="K107" s="672"/>
      <c r="L107" s="675" t="s">
        <v>44</v>
      </c>
      <c r="M107" s="676" t="s">
        <v>44</v>
      </c>
      <c r="N107" s="677">
        <v>87.540528022232522</v>
      </c>
      <c r="O107" s="672"/>
      <c r="P107" s="675" t="s">
        <v>44</v>
      </c>
      <c r="Q107" s="676" t="s">
        <v>44</v>
      </c>
      <c r="R107" s="672">
        <v>0</v>
      </c>
      <c r="S107" s="672"/>
      <c r="T107" s="675" t="s">
        <v>44</v>
      </c>
      <c r="U107" s="676" t="s">
        <v>44</v>
      </c>
      <c r="V107" s="678">
        <v>1</v>
      </c>
      <c r="W107" s="679"/>
      <c r="X107" s="673">
        <v>45</v>
      </c>
      <c r="Y107" s="673"/>
      <c r="Z107" s="674">
        <v>100</v>
      </c>
      <c r="AA107" s="672"/>
      <c r="AB107" s="675" t="s">
        <v>44</v>
      </c>
      <c r="AC107" s="675" t="s">
        <v>44</v>
      </c>
      <c r="AD107" s="672">
        <v>56.276053728578049</v>
      </c>
      <c r="AE107" s="672"/>
      <c r="AF107" s="675" t="s">
        <v>44</v>
      </c>
      <c r="AG107" s="676" t="s">
        <v>44</v>
      </c>
      <c r="AH107" s="677">
        <v>56.276053728578049</v>
      </c>
      <c r="AI107" s="672"/>
      <c r="AJ107" s="675" t="s">
        <v>44</v>
      </c>
      <c r="AK107" s="676" t="s">
        <v>44</v>
      </c>
      <c r="AL107" s="672">
        <v>0</v>
      </c>
      <c r="AM107" s="672"/>
      <c r="AN107" s="675" t="s">
        <v>44</v>
      </c>
      <c r="AO107" s="676" t="s">
        <v>44</v>
      </c>
      <c r="AP107" s="678">
        <v>1</v>
      </c>
      <c r="AQ107" s="679"/>
      <c r="AR107" s="673">
        <f>AR64</f>
        <v>40</v>
      </c>
      <c r="AS107" s="673"/>
      <c r="AT107" s="1052">
        <v>1</v>
      </c>
      <c r="AU107" s="672"/>
      <c r="AV107" s="675" t="s">
        <v>44</v>
      </c>
      <c r="AW107" s="675" t="s">
        <v>44</v>
      </c>
      <c r="AX107" s="672">
        <f t="shared" si="138"/>
        <v>50.023158869847151</v>
      </c>
      <c r="AY107" s="672"/>
      <c r="AZ107" s="675" t="s">
        <v>44</v>
      </c>
      <c r="BA107" s="676" t="s">
        <v>44</v>
      </c>
      <c r="BB107" s="677">
        <f>BB64</f>
        <v>50.023158869847151</v>
      </c>
      <c r="BC107" s="672"/>
      <c r="BD107" s="675" t="s">
        <v>44</v>
      </c>
      <c r="BE107" s="676" t="s">
        <v>44</v>
      </c>
      <c r="BF107" s="672">
        <f>BF64</f>
        <v>0</v>
      </c>
      <c r="BG107" s="672"/>
      <c r="BH107" s="675" t="s">
        <v>44</v>
      </c>
      <c r="BI107" s="676" t="s">
        <v>44</v>
      </c>
      <c r="BJ107" s="678">
        <f t="shared" si="139"/>
        <v>1.2505789717461788</v>
      </c>
      <c r="BK107" s="679"/>
      <c r="BL107" s="673">
        <f>BL64</f>
        <v>100</v>
      </c>
      <c r="BM107" s="673"/>
      <c r="BN107" s="1052">
        <v>1</v>
      </c>
      <c r="BO107" s="672"/>
      <c r="BP107" s="675" t="s">
        <v>44</v>
      </c>
      <c r="BQ107" s="675" t="s">
        <v>44</v>
      </c>
      <c r="BR107" s="672">
        <f t="shared" si="140"/>
        <v>125</v>
      </c>
      <c r="BS107" s="672"/>
      <c r="BT107" s="675" t="s">
        <v>44</v>
      </c>
      <c r="BU107" s="676" t="s">
        <v>44</v>
      </c>
      <c r="BV107" s="677">
        <f>BV64</f>
        <v>125</v>
      </c>
      <c r="BW107" s="672"/>
      <c r="BX107" s="675" t="s">
        <v>44</v>
      </c>
      <c r="BY107" s="676" t="s">
        <v>44</v>
      </c>
      <c r="BZ107" s="672">
        <f>BZ64</f>
        <v>0</v>
      </c>
      <c r="CA107" s="672"/>
      <c r="CB107" s="675" t="s">
        <v>44</v>
      </c>
      <c r="CC107" s="676" t="s">
        <v>44</v>
      </c>
      <c r="CD107" s="678">
        <f t="shared" si="141"/>
        <v>1.25</v>
      </c>
      <c r="CE107" s="679"/>
      <c r="CF107" s="680">
        <f t="shared" si="142"/>
        <v>255</v>
      </c>
      <c r="CG107" s="672"/>
      <c r="CH107" s="1052">
        <v>1</v>
      </c>
      <c r="CI107" s="672"/>
      <c r="CJ107" s="675" t="s">
        <v>44</v>
      </c>
      <c r="CK107" s="676" t="s">
        <v>44</v>
      </c>
      <c r="CL107" s="672">
        <f t="shared" si="143"/>
        <v>318.83974062065772</v>
      </c>
      <c r="CM107" s="672"/>
      <c r="CN107" s="675" t="s">
        <v>44</v>
      </c>
      <c r="CO107" s="676" t="s">
        <v>44</v>
      </c>
      <c r="CP107" s="672">
        <f t="shared" si="144"/>
        <v>318.83974062065772</v>
      </c>
      <c r="CQ107" s="672"/>
      <c r="CR107" s="675" t="s">
        <v>44</v>
      </c>
      <c r="CS107" s="676" t="s">
        <v>44</v>
      </c>
      <c r="CT107" s="672">
        <f t="shared" si="145"/>
        <v>0</v>
      </c>
      <c r="CU107" s="672"/>
      <c r="CV107" s="675" t="s">
        <v>44</v>
      </c>
      <c r="CW107" s="676" t="s">
        <v>44</v>
      </c>
      <c r="CX107" s="678">
        <f t="shared" si="146"/>
        <v>1.2503519240025793</v>
      </c>
      <c r="CY107" s="681"/>
      <c r="CZ107" s="682">
        <f t="shared" si="147"/>
        <v>115</v>
      </c>
      <c r="DA107" s="673">
        <f t="shared" si="147"/>
        <v>0</v>
      </c>
      <c r="DB107" s="683"/>
      <c r="DC107" s="684"/>
      <c r="DD107" s="685">
        <f t="shared" si="148"/>
        <v>143.81658175081057</v>
      </c>
      <c r="DE107" s="686">
        <f t="shared" si="148"/>
        <v>0</v>
      </c>
      <c r="DF107" s="686" t="e">
        <f t="shared" si="148"/>
        <v>#VALUE!</v>
      </c>
      <c r="DG107" s="687" t="e">
        <f t="shared" si="148"/>
        <v>#VALUE!</v>
      </c>
      <c r="DH107" s="685">
        <f t="shared" si="148"/>
        <v>143.81658175081057</v>
      </c>
      <c r="DI107" s="686">
        <f t="shared" si="148"/>
        <v>0</v>
      </c>
      <c r="DJ107" s="686" t="e">
        <f t="shared" si="148"/>
        <v>#VALUE!</v>
      </c>
      <c r="DK107" s="687" t="e">
        <f t="shared" si="148"/>
        <v>#VALUE!</v>
      </c>
      <c r="DL107" s="685">
        <f t="shared" si="148"/>
        <v>0</v>
      </c>
      <c r="DM107" s="687">
        <f t="shared" si="148"/>
        <v>0</v>
      </c>
      <c r="DN107" s="686" t="e">
        <f t="shared" si="148"/>
        <v>#VALUE!</v>
      </c>
      <c r="DO107" s="687" t="e">
        <f t="shared" si="148"/>
        <v>#VALUE!</v>
      </c>
      <c r="DP107" s="688">
        <f t="shared" si="165"/>
        <v>1</v>
      </c>
      <c r="DQ107" s="689" t="e">
        <f t="shared" si="150"/>
        <v>#DIV/0!</v>
      </c>
      <c r="DR107" s="690">
        <f t="shared" si="151"/>
        <v>115</v>
      </c>
      <c r="DS107" s="691">
        <f t="shared" si="166"/>
        <v>100</v>
      </c>
      <c r="DT107" s="692" t="e">
        <f t="shared" si="152"/>
        <v>#VALUE!</v>
      </c>
      <c r="DU107" s="691" t="e">
        <f t="shared" si="149"/>
        <v>#VALUE!</v>
      </c>
      <c r="DV107" s="692">
        <f t="shared" si="153"/>
        <v>143.81658175081057</v>
      </c>
      <c r="DW107" s="674">
        <f t="shared" si="154"/>
        <v>100</v>
      </c>
      <c r="DX107" s="672" t="e">
        <f t="shared" si="155"/>
        <v>#VALUE!</v>
      </c>
      <c r="DY107" s="691">
        <v>0</v>
      </c>
      <c r="DZ107" s="677">
        <f t="shared" si="157"/>
        <v>143.81658175081057</v>
      </c>
      <c r="EA107" s="674">
        <f t="shared" si="158"/>
        <v>100</v>
      </c>
      <c r="EB107" s="672" t="e">
        <f t="shared" si="159"/>
        <v>#VALUE!</v>
      </c>
      <c r="EC107" s="691">
        <v>0</v>
      </c>
      <c r="ED107" s="677">
        <f t="shared" si="161"/>
        <v>0</v>
      </c>
      <c r="EE107" s="674">
        <v>0</v>
      </c>
      <c r="EF107" s="672" t="e">
        <f t="shared" si="162"/>
        <v>#VALUE!</v>
      </c>
      <c r="EG107" s="691">
        <v>0</v>
      </c>
      <c r="EH107" s="693" t="e">
        <f t="shared" si="167"/>
        <v>#DIV/0!</v>
      </c>
      <c r="EI107" s="694" t="e">
        <f t="shared" si="164"/>
        <v>#DIV/0!</v>
      </c>
      <c r="EJ107" s="666"/>
    </row>
    <row r="108" spans="1:140" s="5" customFormat="1" ht="15.75" customHeight="1" x14ac:dyDescent="0.25">
      <c r="B108" s="791"/>
      <c r="C108" s="7"/>
      <c r="D108" s="8"/>
      <c r="E108" s="8"/>
      <c r="F108" s="9"/>
      <c r="G108" s="7"/>
      <c r="H108" s="792"/>
      <c r="I108" s="792"/>
      <c r="J108" s="7"/>
      <c r="K108" s="7"/>
      <c r="L108" s="792"/>
      <c r="M108" s="792"/>
      <c r="N108" s="7"/>
      <c r="O108" s="7"/>
      <c r="P108" s="792"/>
      <c r="Q108" s="792"/>
      <c r="R108" s="7"/>
      <c r="S108" s="7"/>
      <c r="T108" s="792"/>
      <c r="U108" s="792"/>
      <c r="V108" s="793"/>
      <c r="W108" s="793"/>
      <c r="X108" s="8"/>
      <c r="Y108" s="8"/>
      <c r="Z108" s="9"/>
      <c r="AA108" s="7"/>
      <c r="AB108" s="792"/>
      <c r="AC108" s="792"/>
      <c r="AD108" s="7"/>
      <c r="AE108" s="7"/>
      <c r="AF108" s="792"/>
      <c r="AG108" s="792"/>
      <c r="AH108" s="7"/>
      <c r="AI108" s="7"/>
      <c r="AJ108" s="792"/>
      <c r="AK108" s="792"/>
      <c r="AL108" s="7"/>
      <c r="AM108" s="7"/>
      <c r="AN108" s="792"/>
      <c r="AO108" s="792"/>
      <c r="AP108" s="793"/>
      <c r="AQ108" s="793"/>
      <c r="AR108" s="8"/>
      <c r="AS108" s="8"/>
      <c r="AT108" s="9"/>
      <c r="AU108" s="7"/>
      <c r="AV108" s="792"/>
      <c r="AW108" s="792"/>
      <c r="AX108" s="7"/>
      <c r="AY108" s="7"/>
      <c r="AZ108" s="792"/>
      <c r="BA108" s="792"/>
      <c r="BB108" s="7"/>
      <c r="BC108" s="7"/>
      <c r="BD108" s="792"/>
      <c r="BE108" s="792"/>
      <c r="BF108" s="7"/>
      <c r="BG108" s="7"/>
      <c r="BH108" s="792"/>
      <c r="BI108" s="792"/>
      <c r="BJ108" s="793"/>
      <c r="BK108" s="793"/>
      <c r="BL108" s="8"/>
      <c r="BM108" s="8"/>
      <c r="BN108" s="9"/>
      <c r="BO108" s="7"/>
      <c r="BP108" s="792"/>
      <c r="BQ108" s="792"/>
      <c r="BR108" s="7"/>
      <c r="BS108" s="7"/>
      <c r="BT108" s="792"/>
      <c r="BU108" s="792"/>
      <c r="BV108" s="7"/>
      <c r="BW108" s="7"/>
      <c r="BX108" s="792"/>
      <c r="BY108" s="792"/>
      <c r="BZ108" s="7"/>
      <c r="CA108" s="7"/>
      <c r="CB108" s="792"/>
      <c r="CC108" s="792"/>
      <c r="CD108" s="793"/>
      <c r="CE108" s="793"/>
      <c r="CF108" s="8"/>
      <c r="CG108" s="7"/>
      <c r="CH108" s="8"/>
      <c r="CI108" s="7"/>
      <c r="CJ108" s="792"/>
      <c r="CK108" s="792"/>
      <c r="CL108" s="7"/>
      <c r="CM108" s="7"/>
      <c r="CN108" s="792"/>
      <c r="CO108" s="792"/>
      <c r="CP108" s="7"/>
      <c r="CQ108" s="7"/>
      <c r="CR108" s="792"/>
      <c r="CS108" s="792"/>
      <c r="CT108" s="7"/>
      <c r="CU108" s="7"/>
      <c r="CV108" s="792"/>
      <c r="CW108" s="792"/>
      <c r="CX108" s="793"/>
      <c r="CY108"/>
      <c r="CZ108" s="7"/>
      <c r="DA108" s="8"/>
      <c r="DD108" s="7"/>
      <c r="DE108" s="7"/>
      <c r="DF108" s="7"/>
      <c r="DG108" s="7"/>
      <c r="DH108" s="7"/>
      <c r="DI108" s="7"/>
      <c r="DJ108" s="7"/>
      <c r="DK108" s="7"/>
      <c r="DL108" s="7"/>
      <c r="DM108" s="7"/>
      <c r="DN108" s="7"/>
      <c r="DO108" s="7"/>
      <c r="DP108" s="697"/>
      <c r="DQ108" s="697"/>
      <c r="DR108" s="9"/>
      <c r="DS108" s="9"/>
      <c r="DT108" s="7"/>
      <c r="DU108" s="9"/>
      <c r="DV108" s="7"/>
      <c r="DW108" s="9"/>
      <c r="DX108" s="7"/>
      <c r="DY108" s="9"/>
      <c r="DZ108" s="7"/>
      <c r="EA108" s="9"/>
      <c r="EB108" s="7"/>
      <c r="EC108" s="9"/>
      <c r="ED108" s="7"/>
      <c r="EE108" s="9"/>
      <c r="EF108" s="7"/>
      <c r="EG108" s="9"/>
      <c r="EH108" s="794"/>
      <c r="EI108" s="9"/>
    </row>
    <row r="109" spans="1:140" ht="13" x14ac:dyDescent="0.25">
      <c r="B109" s="976" t="s">
        <v>87</v>
      </c>
      <c r="D109" s="8"/>
      <c r="E109" s="8"/>
      <c r="I109" s="697"/>
      <c r="J109" s="697">
        <f>SUM(J101:J107)</f>
        <v>1175449.5405280222</v>
      </c>
      <c r="K109" s="697"/>
      <c r="L109" s="697"/>
      <c r="M109" s="697"/>
      <c r="N109" s="697">
        <f>SUM(N101:N107)</f>
        <v>1156637.5405280222</v>
      </c>
      <c r="P109" s="697"/>
      <c r="Q109" s="697"/>
      <c r="R109" s="697"/>
      <c r="S109" s="697"/>
      <c r="T109" s="697"/>
      <c r="V109" s="697"/>
      <c r="W109" s="697"/>
      <c r="X109" s="697"/>
      <c r="Y109" s="7"/>
      <c r="Z109" s="697"/>
      <c r="AA109" s="697"/>
      <c r="AB109" s="697"/>
      <c r="AC109" s="697"/>
      <c r="AD109" s="697"/>
      <c r="AE109" s="697"/>
      <c r="AF109" s="697"/>
      <c r="AG109" s="697"/>
      <c r="AJ109" s="697"/>
      <c r="AK109" s="697"/>
      <c r="AL109" s="697"/>
      <c r="AM109" s="697"/>
      <c r="AN109" s="697"/>
      <c r="AP109" s="697"/>
      <c r="AQ109" s="697"/>
      <c r="AR109" s="697"/>
      <c r="AS109" s="697"/>
      <c r="AT109" s="697"/>
      <c r="AU109" s="697"/>
      <c r="AV109" s="697"/>
      <c r="AW109" s="697"/>
      <c r="AX109" s="697"/>
      <c r="AY109" s="697"/>
      <c r="AZ109" s="697"/>
      <c r="BA109" s="697"/>
      <c r="BD109" s="697"/>
      <c r="BE109" s="697"/>
      <c r="BF109" s="697"/>
      <c r="BG109" s="697"/>
      <c r="BH109" s="697"/>
      <c r="BJ109" s="697"/>
      <c r="BK109" s="697"/>
      <c r="BL109" s="697"/>
      <c r="BM109" s="697"/>
      <c r="BN109" s="697"/>
      <c r="BO109" s="697"/>
      <c r="BP109" s="697"/>
      <c r="BQ109" s="697"/>
      <c r="BR109" s="697"/>
      <c r="BS109" s="697"/>
      <c r="BT109" s="697"/>
      <c r="BU109" s="697"/>
      <c r="BW109" s="697"/>
      <c r="BX109" s="697"/>
      <c r="BY109" s="697"/>
      <c r="BZ109" s="697"/>
      <c r="CA109" s="697"/>
      <c r="CB109" s="697"/>
      <c r="CC109" s="697"/>
      <c r="CD109" s="697"/>
      <c r="CE109" s="697"/>
      <c r="CG109" s="697"/>
      <c r="CH109" s="697"/>
      <c r="CI109" s="697"/>
      <c r="CJ109" s="697"/>
      <c r="CK109" s="697"/>
      <c r="CL109" s="697"/>
      <c r="CM109" s="697"/>
      <c r="CN109" s="697"/>
      <c r="CO109" s="697"/>
      <c r="CP109" s="697"/>
      <c r="CQ109" s="697"/>
      <c r="CT109" s="697"/>
      <c r="CZ109" s="698"/>
      <c r="DA109" s="698"/>
      <c r="DD109" s="7"/>
      <c r="DE109" s="7"/>
      <c r="DF109" s="7"/>
      <c r="DG109" s="7"/>
      <c r="DH109" s="7"/>
      <c r="DI109" s="7"/>
      <c r="DJ109" s="7"/>
      <c r="DK109" s="7"/>
      <c r="DL109" s="7"/>
      <c r="DM109" s="7"/>
      <c r="DN109" s="7"/>
      <c r="DO109" s="7"/>
      <c r="DP109" s="697"/>
      <c r="DQ109" s="697"/>
    </row>
    <row r="110" spans="1:140" ht="15" customHeight="1" x14ac:dyDescent="0.3">
      <c r="B110" s="700" t="s">
        <v>118</v>
      </c>
      <c r="C110" s="978">
        <f>CT14</f>
        <v>23797</v>
      </c>
      <c r="D110" s="1044" t="s">
        <v>89</v>
      </c>
      <c r="E110" s="1045"/>
      <c r="F110" s="1046"/>
      <c r="G110" s="1046"/>
      <c r="H110" s="1046"/>
      <c r="I110" s="1047"/>
      <c r="J110" s="697">
        <f>J109+J97+J91+J89+J83+J77+J71+J66+J64</f>
        <v>2073461.0810560444</v>
      </c>
      <c r="K110" s="1047"/>
      <c r="L110" s="1047"/>
      <c r="M110" s="1047"/>
      <c r="N110" s="697">
        <f>N109+N97+N91+N89+N83+N77+N71+N66+N64</f>
        <v>2051918.0810560444</v>
      </c>
      <c r="O110" s="1047"/>
      <c r="P110" s="1047"/>
      <c r="Q110" s="1047"/>
      <c r="R110" s="1047"/>
      <c r="S110" s="1047"/>
      <c r="T110" s="1047"/>
      <c r="U110" s="1047"/>
      <c r="V110" s="1047"/>
      <c r="W110" s="1047"/>
      <c r="X110" s="697"/>
      <c r="Y110" s="1048"/>
      <c r="Z110" s="1047"/>
      <c r="AA110" s="1047"/>
      <c r="AB110" s="1047"/>
      <c r="AC110" s="1047"/>
      <c r="AD110" s="1047"/>
      <c r="AE110" s="1047"/>
      <c r="AF110" s="1047"/>
      <c r="AG110" s="1047"/>
      <c r="AH110" s="1047"/>
      <c r="AI110" s="1047"/>
      <c r="AJ110" s="1047"/>
      <c r="AK110" s="1047"/>
      <c r="AL110" s="1047"/>
      <c r="AM110" s="1047"/>
      <c r="AN110" s="1047"/>
      <c r="AO110" s="1047"/>
      <c r="AP110" s="1047"/>
      <c r="AQ110" s="1047"/>
      <c r="AR110" s="1047" t="s">
        <v>113</v>
      </c>
      <c r="AT110" s="1124" t="s">
        <v>116</v>
      </c>
      <c r="AU110" s="1124"/>
      <c r="AV110" s="1124"/>
      <c r="AW110" s="1124"/>
      <c r="AX110" s="1124"/>
      <c r="AY110" s="1124"/>
      <c r="AZ110" s="1124"/>
      <c r="BA110" s="1124"/>
      <c r="BB110" s="1124"/>
      <c r="BC110" s="1124"/>
      <c r="BD110" s="1124"/>
      <c r="BE110" s="1124"/>
      <c r="BF110" s="1124"/>
      <c r="BG110" s="1124"/>
      <c r="BH110" s="1124"/>
      <c r="BI110" s="1124"/>
      <c r="BJ110" s="1124"/>
      <c r="BK110" s="1124"/>
      <c r="BL110" s="1124"/>
      <c r="BM110" s="1124"/>
      <c r="BN110" s="1124"/>
      <c r="BO110" s="1124"/>
      <c r="BP110" s="1124"/>
      <c r="BQ110" s="1124"/>
      <c r="BR110" s="1124"/>
      <c r="BS110" s="1124"/>
      <c r="BT110" s="1124"/>
      <c r="BU110" s="1124"/>
      <c r="BV110" s="1124"/>
      <c r="BW110" s="1124"/>
      <c r="BX110" s="1124"/>
      <c r="BY110" s="1124"/>
      <c r="BZ110" s="1124"/>
      <c r="CA110" s="1124"/>
      <c r="CB110" s="1124"/>
      <c r="CC110" s="1124"/>
      <c r="CD110" s="1124"/>
      <c r="CE110" s="1124"/>
      <c r="CF110" s="1124"/>
      <c r="CG110" s="1124"/>
      <c r="CH110" s="1124"/>
      <c r="CI110" s="1124"/>
      <c r="CJ110" s="1124"/>
      <c r="CK110" s="1124"/>
      <c r="CL110" s="1124"/>
      <c r="CM110" s="1124"/>
      <c r="CN110" s="1124"/>
      <c r="CO110" s="1124"/>
      <c r="CP110" s="1124"/>
      <c r="CQ110" s="1124"/>
      <c r="CR110" s="1124"/>
      <c r="CS110" s="1124"/>
      <c r="CT110" s="1124"/>
      <c r="CU110" s="1124"/>
      <c r="CV110" s="1124"/>
      <c r="CW110" s="1124"/>
      <c r="CX110" s="1124"/>
      <c r="CY110" s="1124"/>
      <c r="CZ110" s="698"/>
      <c r="DA110" s="698"/>
      <c r="DD110" s="7"/>
      <c r="DE110" s="7"/>
      <c r="DF110" s="7"/>
      <c r="DG110" s="7"/>
      <c r="DH110" s="7"/>
      <c r="DI110" s="7"/>
      <c r="DJ110" s="7"/>
      <c r="DK110" s="7"/>
      <c r="DL110" s="7"/>
      <c r="DM110" s="7"/>
      <c r="DN110" s="7"/>
      <c r="DO110" s="7"/>
      <c r="DP110" s="697"/>
      <c r="DQ110" s="697"/>
    </row>
    <row r="111" spans="1:140" ht="14" x14ac:dyDescent="0.3">
      <c r="B111" s="700" t="s">
        <v>90</v>
      </c>
      <c r="C111" s="1057">
        <f>24224+3101+23234+2283.63+287</f>
        <v>53129.63</v>
      </c>
      <c r="D111" s="1044" t="s">
        <v>89</v>
      </c>
      <c r="E111" s="1045"/>
      <c r="F111" s="1046"/>
      <c r="G111" s="1046"/>
      <c r="H111" s="1046"/>
      <c r="I111" s="1047"/>
      <c r="J111" s="697">
        <f>J110-J98</f>
        <v>52226.081056044437</v>
      </c>
      <c r="K111" s="1047"/>
      <c r="L111" s="1047"/>
      <c r="M111" s="1047"/>
      <c r="N111" s="697">
        <f>N110-N98</f>
        <v>52045.081056044437</v>
      </c>
      <c r="O111" s="1047"/>
      <c r="P111" s="1047"/>
      <c r="Q111" s="1047"/>
      <c r="R111" s="1047"/>
      <c r="S111" s="1047"/>
      <c r="T111" s="1047"/>
      <c r="U111" s="1047"/>
      <c r="V111" s="1047"/>
      <c r="W111" s="1047"/>
      <c r="X111" s="697"/>
      <c r="Y111" s="1048"/>
      <c r="Z111" s="1047"/>
      <c r="AA111" s="1047"/>
      <c r="AB111" s="1047"/>
      <c r="AC111" s="1047"/>
      <c r="AD111" s="1047"/>
      <c r="AE111" s="1047"/>
      <c r="AF111" s="1047"/>
      <c r="AG111" s="1047"/>
      <c r="AH111" s="1047"/>
      <c r="AI111" s="1047"/>
      <c r="AJ111" s="1047"/>
      <c r="AK111" s="1047"/>
      <c r="AL111" s="1047"/>
      <c r="AM111" s="1047"/>
      <c r="AN111" s="1047"/>
      <c r="AO111" s="1047"/>
      <c r="AP111" s="1047"/>
      <c r="AQ111" s="1047"/>
      <c r="AR111" s="1047" t="s">
        <v>114</v>
      </c>
      <c r="AS111" s="1047"/>
      <c r="AT111" s="1058" t="s">
        <v>115</v>
      </c>
      <c r="AU111" s="1058"/>
      <c r="AV111" s="1058"/>
      <c r="AW111" s="1059"/>
      <c r="AX111" s="1059"/>
      <c r="AY111" s="1059"/>
      <c r="AZ111" s="1059"/>
      <c r="BA111" s="1059"/>
      <c r="BB111" s="1059"/>
      <c r="BC111" s="1059"/>
      <c r="BD111" s="1059"/>
      <c r="BE111" s="1059"/>
      <c r="BF111" s="1059"/>
      <c r="BG111" s="1059"/>
      <c r="BH111" s="1059"/>
      <c r="BI111" s="1059"/>
      <c r="BJ111" s="697"/>
      <c r="BK111" s="697"/>
      <c r="BL111" s="697"/>
      <c r="BM111" s="701"/>
      <c r="BN111" s="697"/>
      <c r="BO111" s="697"/>
      <c r="BP111" s="697"/>
      <c r="BQ111" s="697"/>
      <c r="BR111" s="697"/>
      <c r="BS111" s="697"/>
      <c r="BT111" s="697"/>
      <c r="BU111" s="697"/>
      <c r="BW111" s="697"/>
      <c r="BX111" s="697"/>
      <c r="BY111" s="697"/>
      <c r="BZ111" s="697"/>
      <c r="CA111" s="697"/>
      <c r="CB111" s="697"/>
      <c r="CC111" s="697"/>
      <c r="CD111" s="697"/>
      <c r="CE111" s="697"/>
      <c r="CG111" s="697"/>
      <c r="CH111" s="697"/>
      <c r="CI111" s="697"/>
      <c r="CJ111" s="697"/>
      <c r="CK111" s="697"/>
      <c r="CL111" s="697"/>
      <c r="CM111" s="697"/>
      <c r="CN111" s="697"/>
      <c r="CO111" s="697"/>
      <c r="CP111" s="697"/>
      <c r="CT111" s="697"/>
      <c r="CZ111" s="698"/>
      <c r="DA111" s="698"/>
      <c r="DD111" s="7"/>
      <c r="DE111" s="7"/>
      <c r="DF111" s="7"/>
      <c r="DG111" s="7"/>
      <c r="DH111" s="7"/>
      <c r="DI111" s="7"/>
      <c r="DJ111" s="7"/>
      <c r="DK111" s="7"/>
      <c r="DL111" s="7"/>
      <c r="DM111" s="7"/>
      <c r="DN111" s="7"/>
      <c r="DO111" s="7"/>
      <c r="DP111" s="697"/>
      <c r="DQ111" s="697"/>
    </row>
    <row r="112" spans="1:140" ht="13.5" customHeight="1" x14ac:dyDescent="0.3">
      <c r="B112" s="977" t="s">
        <v>111</v>
      </c>
      <c r="C112" s="978">
        <v>145000</v>
      </c>
      <c r="D112" s="1044" t="s">
        <v>89</v>
      </c>
      <c r="E112" s="1045"/>
      <c r="F112" s="1046"/>
      <c r="G112" s="1046"/>
      <c r="H112" s="1046"/>
      <c r="I112" s="1047"/>
      <c r="J112" s="1047"/>
      <c r="K112" s="1047"/>
      <c r="L112" s="1047"/>
      <c r="M112" s="1047"/>
      <c r="N112" s="1047"/>
      <c r="O112" s="1047"/>
      <c r="P112" s="1047"/>
      <c r="Q112" s="1047"/>
      <c r="R112" s="1047"/>
      <c r="S112" s="1047"/>
      <c r="T112" s="1047"/>
      <c r="U112" s="1047"/>
      <c r="V112" s="1047"/>
      <c r="W112" s="1047"/>
      <c r="X112" s="1048"/>
      <c r="Y112" s="1048"/>
      <c r="Z112" s="1047"/>
      <c r="AA112" s="1047"/>
      <c r="AB112" s="1047"/>
      <c r="AC112" s="1047"/>
      <c r="AD112" s="1047"/>
      <c r="AE112" s="1047"/>
      <c r="AF112" s="1047"/>
      <c r="AG112" s="1047"/>
      <c r="AH112" s="1047"/>
      <c r="AI112" s="1047"/>
      <c r="AJ112" s="1047"/>
      <c r="AK112" s="1047"/>
      <c r="AL112" s="1047"/>
      <c r="AM112" s="1047"/>
      <c r="AN112" s="1047"/>
      <c r="AO112" s="1047"/>
      <c r="AP112" s="1047"/>
      <c r="AQ112" s="1047"/>
      <c r="AR112" s="1047" t="s">
        <v>113</v>
      </c>
      <c r="AS112" s="1047"/>
      <c r="AT112" s="1123" t="s">
        <v>117</v>
      </c>
      <c r="AU112" s="1123"/>
      <c r="AV112" s="1123"/>
      <c r="AW112" s="1123"/>
      <c r="AX112" s="1123"/>
      <c r="AY112" s="1123"/>
      <c r="AZ112" s="1123"/>
      <c r="BA112" s="1123"/>
      <c r="BB112" s="1123"/>
      <c r="BC112" s="1123"/>
      <c r="BD112" s="1123"/>
      <c r="BE112" s="1123"/>
      <c r="BF112" s="1123"/>
      <c r="BG112" s="1123"/>
      <c r="BH112" s="1123"/>
      <c r="BI112" s="1123"/>
      <c r="BJ112" s="1123"/>
      <c r="BK112" s="1123"/>
      <c r="BL112" s="1123"/>
      <c r="BM112" s="1123"/>
      <c r="BN112" s="1123"/>
      <c r="BO112" s="1123"/>
      <c r="BP112" s="1123"/>
      <c r="BQ112" s="1123"/>
      <c r="BR112" s="1123"/>
      <c r="BS112" s="1123"/>
      <c r="BT112" s="1123"/>
      <c r="BU112" s="1123"/>
      <c r="BV112" s="1123"/>
      <c r="BW112" s="1123"/>
      <c r="BX112" s="1123"/>
      <c r="BY112" s="1123"/>
      <c r="BZ112" s="1123"/>
      <c r="CA112" s="1123"/>
      <c r="CB112" s="1123"/>
      <c r="CC112" s="1123"/>
      <c r="CD112" s="1123"/>
      <c r="CE112" s="1123"/>
      <c r="CF112" s="1123"/>
      <c r="CG112" s="1123"/>
      <c r="CH112" s="1123"/>
      <c r="CI112" s="1123"/>
      <c r="CJ112" s="1123"/>
      <c r="CK112" s="1123"/>
      <c r="CL112" s="1123"/>
      <c r="CM112" s="1123"/>
      <c r="CN112" s="1123"/>
      <c r="CO112" s="1123"/>
      <c r="CP112" s="1123"/>
      <c r="CQ112" s="1123"/>
      <c r="CR112" s="1123"/>
      <c r="CS112" s="1123"/>
      <c r="CT112" s="1123"/>
      <c r="CU112" s="1123"/>
      <c r="CV112" s="1123"/>
      <c r="CW112" s="1123"/>
      <c r="CX112" s="1123"/>
      <c r="CY112" s="1123"/>
      <c r="CZ112" s="698"/>
      <c r="DA112" s="698"/>
      <c r="DD112" s="7"/>
      <c r="DE112" s="7"/>
      <c r="DF112" s="7"/>
      <c r="DG112" s="7"/>
      <c r="DH112" s="7"/>
      <c r="DI112" s="7"/>
      <c r="DJ112" s="7"/>
      <c r="DK112" s="7"/>
      <c r="DL112" s="7"/>
      <c r="DM112" s="7"/>
      <c r="DN112" s="7"/>
      <c r="DO112" s="7"/>
      <c r="DP112" s="697"/>
      <c r="DQ112" s="697"/>
    </row>
    <row r="113" spans="1:121" ht="13.5" customHeight="1" x14ac:dyDescent="0.3">
      <c r="B113" s="977"/>
      <c r="C113" s="830"/>
      <c r="D113" s="702"/>
      <c r="E113" s="8"/>
      <c r="I113" s="697"/>
      <c r="J113" s="697"/>
      <c r="K113" s="697"/>
      <c r="L113" s="697"/>
      <c r="M113" s="697"/>
      <c r="N113" s="697"/>
      <c r="P113" s="697"/>
      <c r="Q113" s="697"/>
      <c r="R113" s="697"/>
      <c r="S113" s="697"/>
      <c r="T113" s="697"/>
      <c r="V113" s="697"/>
      <c r="W113" s="697"/>
      <c r="X113" s="7"/>
      <c r="Y113" s="7"/>
      <c r="Z113" s="697"/>
      <c r="AA113" s="697"/>
      <c r="AB113" s="697"/>
      <c r="AC113" s="697"/>
      <c r="AD113" s="697"/>
      <c r="AE113" s="697"/>
      <c r="AF113" s="697"/>
      <c r="AG113" s="697"/>
      <c r="AJ113" s="697"/>
      <c r="AK113" s="697"/>
      <c r="AL113" s="697"/>
      <c r="AM113" s="697"/>
      <c r="AN113" s="697"/>
      <c r="AP113" s="697"/>
      <c r="AQ113" s="697"/>
      <c r="AR113" s="697"/>
      <c r="AS113" s="697"/>
      <c r="AT113" s="1123"/>
      <c r="AU113" s="1123"/>
      <c r="AV113" s="1123"/>
      <c r="AW113" s="1123"/>
      <c r="AX113" s="1123"/>
      <c r="AY113" s="1123"/>
      <c r="AZ113" s="1123"/>
      <c r="BA113" s="1123"/>
      <c r="BB113" s="1123"/>
      <c r="BC113" s="1123"/>
      <c r="BD113" s="1123"/>
      <c r="BE113" s="1123"/>
      <c r="BF113" s="1123"/>
      <c r="BG113" s="1123"/>
      <c r="BH113" s="1123"/>
      <c r="BI113" s="1123"/>
      <c r="BJ113" s="1123"/>
      <c r="BK113" s="1123"/>
      <c r="BL113" s="1123"/>
      <c r="BM113" s="1123"/>
      <c r="BN113" s="1123"/>
      <c r="BO113" s="1123"/>
      <c r="BP113" s="1123"/>
      <c r="BQ113" s="1123"/>
      <c r="BR113" s="1123"/>
      <c r="BS113" s="1123"/>
      <c r="BT113" s="1123"/>
      <c r="BU113" s="1123"/>
      <c r="BV113" s="1123"/>
      <c r="BW113" s="1123"/>
      <c r="BX113" s="1123"/>
      <c r="BY113" s="1123"/>
      <c r="BZ113" s="1123"/>
      <c r="CA113" s="1123"/>
      <c r="CB113" s="1123"/>
      <c r="CC113" s="1123"/>
      <c r="CD113" s="1123"/>
      <c r="CE113" s="1123"/>
      <c r="CF113" s="1123"/>
      <c r="CG113" s="1123"/>
      <c r="CH113" s="1123"/>
      <c r="CI113" s="1123"/>
      <c r="CJ113" s="1123"/>
      <c r="CK113" s="1123"/>
      <c r="CL113" s="1123"/>
      <c r="CM113" s="1123"/>
      <c r="CN113" s="1123"/>
      <c r="CO113" s="1123"/>
      <c r="CP113" s="1123"/>
      <c r="CQ113" s="1123"/>
      <c r="CR113" s="1123"/>
      <c r="CS113" s="1123"/>
      <c r="CT113" s="1123"/>
      <c r="CU113" s="1123"/>
      <c r="CV113" s="1123"/>
      <c r="CW113" s="1123"/>
      <c r="CX113" s="1123"/>
      <c r="CY113" s="1123"/>
      <c r="CZ113" s="698"/>
      <c r="DA113" s="698"/>
      <c r="DD113" s="7"/>
      <c r="DE113" s="7"/>
      <c r="DF113" s="7"/>
      <c r="DG113" s="7"/>
      <c r="DH113" s="7"/>
      <c r="DI113" s="7"/>
      <c r="DJ113" s="7"/>
      <c r="DK113" s="7"/>
      <c r="DL113" s="7"/>
      <c r="DM113" s="7"/>
      <c r="DN113" s="7"/>
      <c r="DO113" s="7"/>
      <c r="DP113" s="697"/>
      <c r="DQ113" s="697"/>
    </row>
    <row r="114" spans="1:121" s="705" customFormat="1" ht="32.25" customHeight="1" x14ac:dyDescent="0.3">
      <c r="A114" s="703"/>
      <c r="B114" s="975" t="s">
        <v>109</v>
      </c>
      <c r="K114" s="706"/>
      <c r="AD114" s="706"/>
      <c r="AE114" s="706"/>
      <c r="AI114" s="707"/>
      <c r="AT114" s="830"/>
      <c r="AX114" s="830"/>
      <c r="AY114" s="830"/>
      <c r="AZ114" s="830"/>
      <c r="BA114" s="830"/>
      <c r="BB114" s="830"/>
      <c r="BC114" s="830"/>
      <c r="BD114" s="830"/>
      <c r="BE114" s="830"/>
      <c r="BF114" s="830"/>
      <c r="BG114" s="830"/>
      <c r="BH114" s="830"/>
      <c r="BI114" s="830"/>
      <c r="BJ114" s="830"/>
      <c r="BK114" s="830"/>
      <c r="BL114" s="830"/>
      <c r="BM114" s="830"/>
      <c r="BN114" s="830"/>
      <c r="BO114" s="830"/>
      <c r="BP114" s="830"/>
      <c r="BQ114" s="830"/>
      <c r="BR114" s="830"/>
      <c r="BS114" s="830"/>
      <c r="BT114" s="830"/>
      <c r="BU114" s="830"/>
      <c r="BV114" s="830"/>
      <c r="BW114" s="830"/>
      <c r="BX114" s="830"/>
      <c r="BY114" s="830"/>
      <c r="BZ114" s="830"/>
      <c r="CA114" s="830"/>
      <c r="CB114" s="830"/>
      <c r="CC114" s="830"/>
      <c r="CD114" s="830"/>
      <c r="CE114" s="830"/>
      <c r="CF114" s="981"/>
      <c r="CG114" s="830"/>
      <c r="CH114" s="830"/>
      <c r="CI114" s="830"/>
      <c r="CJ114" s="830"/>
      <c r="CK114" s="830"/>
      <c r="CL114" s="830"/>
      <c r="CM114" s="830"/>
      <c r="CN114" s="830"/>
      <c r="CO114" s="830"/>
      <c r="CP114" s="830"/>
      <c r="CQ114" s="830"/>
      <c r="CR114" s="830"/>
      <c r="CS114" s="830"/>
      <c r="CT114" s="830"/>
      <c r="CU114" s="830"/>
      <c r="CV114" s="830"/>
      <c r="CW114" s="830"/>
      <c r="CX114" s="830"/>
      <c r="CY114" s="830"/>
    </row>
    <row r="115" spans="1:121" s="705" customFormat="1" ht="33.75" customHeight="1" x14ac:dyDescent="0.3">
      <c r="A115" s="703"/>
      <c r="B115" s="705" t="s">
        <v>110</v>
      </c>
      <c r="AT115" s="830"/>
      <c r="AX115" s="830"/>
      <c r="AY115" s="830"/>
      <c r="AZ115" s="830"/>
      <c r="BA115" s="830"/>
      <c r="BB115" s="830"/>
      <c r="BC115" s="830"/>
      <c r="BD115" s="830"/>
      <c r="BE115" s="830"/>
      <c r="BF115" s="830"/>
      <c r="BG115" s="830"/>
      <c r="BH115" s="830"/>
      <c r="BI115" s="830"/>
      <c r="BJ115" s="830"/>
      <c r="BK115" s="830"/>
      <c r="BL115" s="830"/>
      <c r="BM115" s="830"/>
      <c r="BN115" s="830"/>
      <c r="BO115" s="830"/>
      <c r="BP115" s="830"/>
      <c r="BQ115" s="830"/>
      <c r="BR115" s="830"/>
      <c r="BS115" s="830"/>
      <c r="BT115" s="830"/>
      <c r="BU115" s="830"/>
      <c r="BV115" s="830"/>
      <c r="BW115" s="830"/>
      <c r="BX115" s="830"/>
      <c r="BY115" s="830"/>
      <c r="BZ115" s="830"/>
      <c r="CA115" s="830"/>
      <c r="CB115" s="830"/>
      <c r="CC115" s="830"/>
      <c r="CD115" s="830"/>
      <c r="CE115" s="830"/>
      <c r="CF115" s="981"/>
      <c r="CG115" s="830"/>
      <c r="CH115" s="830"/>
      <c r="CI115" s="830"/>
      <c r="CJ115" s="830"/>
      <c r="CK115" s="830"/>
      <c r="CL115" s="830"/>
      <c r="CM115" s="830"/>
      <c r="CN115" s="830"/>
      <c r="CO115" s="830"/>
      <c r="CP115" s="830"/>
      <c r="CQ115" s="830"/>
      <c r="CR115" s="830"/>
      <c r="CS115" s="830"/>
      <c r="CT115" s="830"/>
      <c r="CU115" s="830"/>
      <c r="CV115" s="830"/>
      <c r="CW115" s="830"/>
      <c r="CX115" s="830"/>
      <c r="CY115" s="830"/>
      <c r="CZ115" s="710" t="s">
        <v>92</v>
      </c>
      <c r="DA115" s="711">
        <f>DA101-DA72-DA78-DA84</f>
        <v>0</v>
      </c>
      <c r="DB115" s="711"/>
      <c r="DC115" s="711"/>
      <c r="DD115" s="711" t="s">
        <v>93</v>
      </c>
      <c r="DE115" s="711">
        <f>DE101-DE72-DE78-DE84</f>
        <v>0</v>
      </c>
      <c r="DF115" s="708"/>
      <c r="DG115" s="708"/>
    </row>
    <row r="116" spans="1:121" s="705" customFormat="1" ht="13" x14ac:dyDescent="0.3">
      <c r="A116" s="703"/>
      <c r="AT116" s="830"/>
      <c r="AX116" s="830"/>
      <c r="AY116" s="830"/>
      <c r="AZ116" s="830"/>
      <c r="BA116" s="830"/>
      <c r="BB116" s="830"/>
      <c r="BC116" s="830"/>
      <c r="BD116" s="830"/>
      <c r="BE116" s="830"/>
      <c r="BF116" s="830"/>
      <c r="BG116" s="830"/>
      <c r="BH116" s="830"/>
      <c r="BI116" s="830"/>
      <c r="BJ116" s="830"/>
      <c r="BK116" s="830"/>
      <c r="BL116" s="830"/>
      <c r="BM116" s="830"/>
      <c r="BN116" s="830"/>
      <c r="BO116" s="830"/>
      <c r="BP116" s="830"/>
      <c r="BQ116" s="830"/>
      <c r="BR116" s="830"/>
      <c r="BS116" s="830"/>
      <c r="BT116" s="830"/>
      <c r="BU116" s="830"/>
      <c r="BV116" s="830"/>
      <c r="BW116" s="830"/>
      <c r="BX116" s="830"/>
      <c r="BY116" s="830"/>
      <c r="BZ116" s="830"/>
      <c r="CA116" s="830"/>
      <c r="CB116" s="830"/>
      <c r="CC116" s="830"/>
      <c r="CD116" s="830"/>
      <c r="CE116" s="830"/>
      <c r="CF116" s="981"/>
      <c r="CG116" s="830"/>
      <c r="CH116" s="830"/>
      <c r="CI116" s="830"/>
      <c r="CJ116" s="830"/>
      <c r="CK116" s="830"/>
      <c r="CL116" s="830"/>
      <c r="CM116" s="830"/>
      <c r="CN116" s="830"/>
      <c r="CO116" s="830"/>
      <c r="CP116" s="830"/>
      <c r="CQ116" s="830"/>
      <c r="CR116" s="830"/>
      <c r="CS116" s="830"/>
      <c r="CT116" s="830"/>
      <c r="CU116" s="830"/>
      <c r="CV116" s="830"/>
      <c r="CW116" s="830"/>
      <c r="CX116" s="830"/>
      <c r="CY116" s="830"/>
      <c r="CZ116" s="710"/>
      <c r="DA116" s="711"/>
      <c r="DB116" s="710"/>
      <c r="DC116" s="710"/>
      <c r="DD116" s="710"/>
      <c r="DE116" s="711"/>
    </row>
    <row r="117" spans="1:121" s="705" customFormat="1" ht="13" x14ac:dyDescent="0.3">
      <c r="A117" s="703"/>
      <c r="B117" s="705" t="s">
        <v>94</v>
      </c>
      <c r="AT117" s="830"/>
      <c r="AX117" s="830"/>
      <c r="AY117" s="830"/>
      <c r="AZ117" s="830"/>
      <c r="BA117" s="830"/>
      <c r="BB117" s="830"/>
      <c r="BC117" s="830"/>
      <c r="BD117" s="830"/>
      <c r="BE117" s="830"/>
      <c r="BF117" s="830"/>
      <c r="BG117" s="830"/>
      <c r="BH117" s="830"/>
      <c r="BI117" s="830"/>
      <c r="BJ117" s="830"/>
      <c r="BK117" s="830"/>
      <c r="BL117" s="830"/>
      <c r="BM117" s="830"/>
      <c r="BN117" s="830"/>
      <c r="BO117" s="830"/>
      <c r="BP117" s="830"/>
      <c r="BQ117" s="830"/>
      <c r="BR117" s="830"/>
      <c r="BS117" s="830"/>
      <c r="BT117" s="830"/>
      <c r="BU117" s="830"/>
      <c r="BV117" s="830"/>
      <c r="BW117" s="830"/>
      <c r="BX117" s="830"/>
      <c r="BY117" s="830"/>
      <c r="BZ117" s="830"/>
      <c r="CA117" s="830"/>
      <c r="CB117" s="830"/>
      <c r="CC117" s="830"/>
      <c r="CD117" s="830"/>
      <c r="CE117" s="830"/>
      <c r="CF117" s="981"/>
      <c r="CG117" s="830"/>
      <c r="CH117" s="830"/>
      <c r="CI117" s="830"/>
      <c r="CJ117" s="830"/>
      <c r="CK117" s="830"/>
      <c r="CL117" s="830"/>
      <c r="CM117" s="830"/>
      <c r="CN117" s="830"/>
      <c r="CO117" s="830"/>
      <c r="CP117" s="830"/>
      <c r="CQ117" s="830"/>
      <c r="CR117" s="830"/>
      <c r="CS117" s="830"/>
      <c r="CT117" s="830"/>
      <c r="CU117" s="830"/>
      <c r="CV117" s="830"/>
      <c r="CW117" s="830"/>
      <c r="CX117" s="830"/>
      <c r="CY117" s="830"/>
      <c r="CZ117" s="710"/>
      <c r="DA117" s="711">
        <f>DA103-DA73-DA79-DA85</f>
        <v>0</v>
      </c>
      <c r="DB117" s="710"/>
      <c r="DC117" s="710"/>
      <c r="DD117" s="710"/>
      <c r="DE117" s="711">
        <f>DE103-DE73-DE79-DE85</f>
        <v>0</v>
      </c>
    </row>
    <row r="118" spans="1:121" s="705" customFormat="1" ht="13" x14ac:dyDescent="0.3">
      <c r="A118" s="703"/>
      <c r="AT118" s="830"/>
      <c r="AX118" s="830"/>
      <c r="AY118" s="830"/>
      <c r="AZ118" s="830"/>
      <c r="BA118" s="830"/>
      <c r="BB118" s="830"/>
      <c r="BC118" s="830"/>
      <c r="BD118" s="830"/>
      <c r="BE118" s="830"/>
      <c r="BF118" s="830"/>
      <c r="BG118" s="830"/>
      <c r="BH118" s="830"/>
      <c r="BI118" s="830"/>
      <c r="BJ118" s="830"/>
      <c r="BK118" s="830"/>
      <c r="BL118" s="830"/>
      <c r="BM118" s="830"/>
      <c r="BN118" s="830"/>
      <c r="BO118" s="830"/>
      <c r="BP118" s="830"/>
      <c r="BQ118" s="830"/>
      <c r="BR118" s="830"/>
      <c r="BS118" s="830"/>
      <c r="BT118" s="830"/>
      <c r="BU118" s="830"/>
      <c r="BV118" s="830"/>
      <c r="BW118" s="830"/>
      <c r="BX118" s="830"/>
      <c r="BY118" s="830"/>
      <c r="BZ118" s="830"/>
      <c r="CA118" s="830"/>
      <c r="CB118" s="830"/>
      <c r="CC118" s="830"/>
      <c r="CD118" s="830"/>
      <c r="CE118" s="830"/>
      <c r="CF118" s="981"/>
      <c r="CG118" s="830"/>
      <c r="CH118" s="830"/>
      <c r="CI118" s="830"/>
      <c r="CJ118" s="830"/>
      <c r="CK118" s="830"/>
      <c r="CL118" s="830"/>
      <c r="CM118" s="830"/>
      <c r="CN118" s="830"/>
      <c r="CO118" s="830"/>
      <c r="CP118" s="830"/>
      <c r="CQ118" s="830"/>
      <c r="CR118" s="830"/>
      <c r="CS118" s="830"/>
      <c r="CT118" s="830"/>
      <c r="CU118" s="830"/>
      <c r="CV118" s="830"/>
      <c r="CW118" s="830"/>
      <c r="CX118" s="830"/>
      <c r="CY118" s="830"/>
      <c r="CZ118" s="710"/>
      <c r="DA118" s="711">
        <f>DA104-DA74-DA80-DA86</f>
        <v>0</v>
      </c>
      <c r="DB118" s="710"/>
      <c r="DC118" s="710"/>
      <c r="DD118" s="710"/>
      <c r="DE118" s="711">
        <f>DE104-DE74-DE80-DE86</f>
        <v>0</v>
      </c>
    </row>
    <row r="119" spans="1:121" s="705" customFormat="1" ht="13" x14ac:dyDescent="0.3">
      <c r="A119" s="703"/>
      <c r="B119" s="712" t="s">
        <v>95</v>
      </c>
      <c r="C119" s="712"/>
      <c r="D119" s="712"/>
      <c r="E119" s="712"/>
      <c r="F119" s="712"/>
      <c r="G119" s="712"/>
      <c r="H119" s="712"/>
      <c r="I119" s="712"/>
      <c r="J119" s="712"/>
      <c r="K119" s="712"/>
      <c r="L119" s="712"/>
      <c r="M119" s="712"/>
      <c r="N119" s="712"/>
      <c r="O119" s="712"/>
      <c r="P119" s="712"/>
      <c r="Q119" s="712"/>
      <c r="R119" s="712"/>
      <c r="S119" s="712"/>
      <c r="T119" s="712"/>
      <c r="U119" s="712"/>
      <c r="V119" s="712"/>
      <c r="W119" s="712"/>
      <c r="X119" s="712"/>
      <c r="AT119" s="830"/>
      <c r="AX119" s="830"/>
      <c r="AY119" s="830"/>
      <c r="AZ119" s="830"/>
      <c r="BA119" s="830"/>
      <c r="BB119" s="830"/>
      <c r="BC119" s="830"/>
      <c r="BD119" s="830"/>
      <c r="BE119" s="830"/>
      <c r="BF119" s="830"/>
      <c r="BG119" s="830"/>
      <c r="BH119" s="830"/>
      <c r="BI119" s="830"/>
      <c r="BJ119" s="830"/>
      <c r="BK119" s="830"/>
      <c r="BL119" s="830"/>
      <c r="BM119" s="830"/>
      <c r="BN119" s="830"/>
      <c r="BO119" s="830"/>
      <c r="BP119" s="830"/>
      <c r="BQ119" s="830"/>
      <c r="BR119" s="830"/>
      <c r="BS119" s="830"/>
      <c r="BT119" s="830"/>
      <c r="BU119" s="830"/>
      <c r="BV119" s="830"/>
      <c r="BW119" s="830"/>
      <c r="BX119" s="830"/>
      <c r="BY119" s="830"/>
      <c r="BZ119" s="830"/>
      <c r="CA119" s="830"/>
      <c r="CB119" s="830"/>
      <c r="CC119" s="830"/>
      <c r="CD119" s="830"/>
      <c r="CE119" s="830"/>
      <c r="CF119" s="981"/>
      <c r="CG119" s="830"/>
      <c r="CH119" s="830"/>
      <c r="CI119" s="830"/>
      <c r="CJ119" s="830"/>
      <c r="CK119" s="830"/>
      <c r="CL119" s="830"/>
      <c r="CM119" s="830"/>
      <c r="CN119" s="830"/>
      <c r="CO119" s="830"/>
      <c r="CP119" s="830"/>
      <c r="CQ119" s="830"/>
      <c r="CR119" s="830"/>
      <c r="CS119" s="830"/>
      <c r="CT119" s="830"/>
      <c r="CU119" s="830"/>
      <c r="CV119" s="830"/>
      <c r="CW119" s="830"/>
      <c r="CX119" s="830"/>
      <c r="CY119" s="830"/>
    </row>
    <row r="120" spans="1:121" s="705" customFormat="1" ht="12.75" customHeight="1" x14ac:dyDescent="0.3">
      <c r="A120" s="703"/>
      <c r="B120" s="1074" t="s">
        <v>96</v>
      </c>
      <c r="C120" s="1074"/>
      <c r="D120" s="1074"/>
      <c r="E120" s="1074"/>
      <c r="F120" s="1074"/>
      <c r="G120" s="1074"/>
      <c r="H120" s="1074"/>
      <c r="I120" s="1074"/>
      <c r="J120" s="1074"/>
      <c r="K120" s="1074"/>
      <c r="L120" s="1074"/>
      <c r="M120" s="1074"/>
      <c r="N120" s="1074"/>
      <c r="O120" s="1074"/>
      <c r="P120" s="712"/>
      <c r="Q120" s="712"/>
      <c r="R120" s="712"/>
      <c r="S120" s="712"/>
      <c r="T120" s="712"/>
      <c r="U120" s="712"/>
      <c r="V120" s="712"/>
      <c r="W120" s="712"/>
      <c r="X120" s="712"/>
      <c r="AT120" s="830"/>
      <c r="AX120" s="830"/>
      <c r="AY120" s="830"/>
      <c r="AZ120" s="830"/>
      <c r="BA120" s="830"/>
      <c r="BB120" s="830"/>
      <c r="BC120" s="830"/>
      <c r="BD120" s="830"/>
      <c r="BE120" s="830"/>
      <c r="BF120" s="830"/>
      <c r="BG120" s="830"/>
      <c r="BH120" s="830"/>
      <c r="BI120" s="830"/>
      <c r="BJ120" s="830"/>
      <c r="BK120" s="830"/>
      <c r="BL120" s="830"/>
      <c r="BM120" s="830"/>
      <c r="BN120" s="830"/>
      <c r="BO120" s="830"/>
      <c r="BP120" s="830"/>
      <c r="BQ120" s="830"/>
      <c r="BR120" s="830"/>
      <c r="BS120" s="830"/>
      <c r="BT120" s="830"/>
      <c r="BU120" s="830"/>
      <c r="BV120" s="830"/>
      <c r="BW120" s="830"/>
      <c r="BX120" s="830"/>
      <c r="BY120" s="830"/>
      <c r="BZ120" s="830"/>
      <c r="CA120" s="830"/>
      <c r="CB120" s="830"/>
      <c r="CC120" s="830"/>
      <c r="CD120" s="830"/>
      <c r="CE120" s="830"/>
      <c r="CF120" s="981"/>
      <c r="CG120" s="830"/>
      <c r="CH120" s="830"/>
      <c r="CI120" s="830"/>
      <c r="CJ120" s="830"/>
      <c r="CK120" s="830"/>
      <c r="CL120" s="830"/>
      <c r="CM120" s="830"/>
      <c r="CN120" s="830"/>
      <c r="CO120" s="830"/>
      <c r="CP120" s="830"/>
      <c r="CQ120" s="830"/>
      <c r="CR120" s="830"/>
      <c r="CS120" s="830"/>
      <c r="CT120" s="830"/>
      <c r="CU120" s="830"/>
      <c r="CV120" s="830"/>
      <c r="CW120" s="830"/>
      <c r="CX120" s="830"/>
      <c r="CY120" s="830"/>
    </row>
    <row r="121" spans="1:121" s="714" customFormat="1" ht="12.75" customHeight="1" x14ac:dyDescent="0.3">
      <c r="A121" s="713"/>
      <c r="B121" s="1064" t="s">
        <v>97</v>
      </c>
      <c r="C121" s="1064"/>
      <c r="D121" s="1064"/>
      <c r="E121" s="1064"/>
      <c r="F121" s="1064"/>
      <c r="G121" s="1064"/>
      <c r="H121" s="1064"/>
      <c r="I121" s="1064"/>
      <c r="J121" s="1064"/>
      <c r="K121" s="1064"/>
      <c r="L121" s="1064"/>
      <c r="M121" s="1064"/>
      <c r="N121" s="1064"/>
      <c r="O121" s="1064"/>
      <c r="P121" s="1064"/>
      <c r="Q121" s="1064"/>
      <c r="R121" s="1064"/>
      <c r="S121" s="1064"/>
      <c r="T121" s="1064"/>
      <c r="U121" s="1064"/>
      <c r="V121" s="1064"/>
      <c r="W121" s="1064"/>
      <c r="X121" s="1064"/>
      <c r="AT121" s="831"/>
      <c r="AX121" s="831"/>
      <c r="AY121" s="831"/>
      <c r="AZ121" s="831"/>
      <c r="BA121" s="831"/>
      <c r="BB121" s="831"/>
      <c r="BC121" s="831"/>
      <c r="BD121" s="831"/>
      <c r="BE121" s="831"/>
      <c r="BF121" s="831"/>
      <c r="BG121" s="831"/>
      <c r="BH121" s="831"/>
      <c r="BI121" s="831"/>
      <c r="BJ121" s="831"/>
      <c r="BK121" s="831"/>
      <c r="BL121" s="831"/>
      <c r="BM121" s="831"/>
      <c r="BN121" s="831"/>
      <c r="BO121" s="831"/>
      <c r="BP121" s="831"/>
      <c r="BQ121" s="831"/>
      <c r="BR121" s="831"/>
      <c r="BS121" s="831"/>
      <c r="BT121" s="831"/>
      <c r="BU121" s="831"/>
      <c r="BV121" s="831"/>
      <c r="BW121" s="831"/>
      <c r="BX121" s="831"/>
      <c r="BY121" s="831"/>
      <c r="BZ121" s="831"/>
      <c r="CA121" s="831"/>
      <c r="CB121" s="831"/>
      <c r="CC121" s="831"/>
      <c r="CD121" s="831"/>
      <c r="CE121" s="831"/>
      <c r="CF121" s="702"/>
      <c r="CG121" s="831"/>
      <c r="CH121" s="831"/>
      <c r="CI121" s="831"/>
      <c r="CJ121" s="831"/>
      <c r="CK121" s="831"/>
      <c r="CL121" s="831"/>
      <c r="CM121" s="831"/>
      <c r="CN121" s="831"/>
      <c r="CO121" s="831"/>
      <c r="CP121" s="831"/>
      <c r="CQ121" s="831"/>
      <c r="CR121" s="831"/>
      <c r="CS121" s="831"/>
      <c r="CT121" s="831"/>
      <c r="CU121" s="831"/>
      <c r="CV121" s="831"/>
      <c r="CW121" s="831"/>
      <c r="CX121" s="831"/>
      <c r="CY121" s="831"/>
    </row>
    <row r="122" spans="1:121" s="705" customFormat="1" ht="12.75" customHeight="1" x14ac:dyDescent="0.3">
      <c r="A122" s="703"/>
      <c r="B122" s="1065" t="s">
        <v>98</v>
      </c>
      <c r="C122" s="1065"/>
      <c r="D122" s="1065"/>
      <c r="E122" s="1065"/>
      <c r="F122" s="1065"/>
      <c r="G122" s="1065"/>
      <c r="H122" s="1065"/>
      <c r="I122" s="1065"/>
      <c r="J122" s="1065"/>
      <c r="K122" s="717"/>
      <c r="L122" s="717"/>
      <c r="M122" s="717"/>
      <c r="N122" s="717"/>
      <c r="O122" s="717"/>
      <c r="P122" s="717"/>
      <c r="Q122" s="717"/>
      <c r="R122" s="717"/>
      <c r="S122" s="717"/>
      <c r="T122" s="717"/>
      <c r="U122" s="717"/>
      <c r="V122" s="717"/>
      <c r="W122" s="717"/>
      <c r="X122" s="717"/>
      <c r="AT122" s="830"/>
      <c r="AX122" s="830"/>
      <c r="AY122" s="830"/>
      <c r="AZ122" s="830"/>
      <c r="BA122" s="830"/>
      <c r="BB122" s="830"/>
      <c r="BC122" s="830"/>
      <c r="BD122" s="830"/>
      <c r="BE122" s="830"/>
      <c r="BF122" s="830"/>
      <c r="BG122" s="830"/>
      <c r="BH122" s="830"/>
      <c r="BI122" s="830"/>
      <c r="BJ122" s="830"/>
      <c r="BK122" s="830"/>
      <c r="BL122" s="830"/>
      <c r="BM122" s="830"/>
      <c r="BN122" s="830"/>
      <c r="BO122" s="830"/>
      <c r="BP122" s="830"/>
      <c r="BQ122" s="830"/>
      <c r="BR122" s="830"/>
      <c r="BS122" s="830"/>
      <c r="BT122" s="830"/>
      <c r="BU122" s="830"/>
      <c r="BV122" s="830"/>
      <c r="BW122" s="830"/>
      <c r="BX122" s="830"/>
      <c r="BY122" s="830"/>
      <c r="BZ122" s="830"/>
      <c r="CA122" s="830"/>
      <c r="CB122" s="830"/>
      <c r="CC122" s="830"/>
      <c r="CD122" s="830"/>
      <c r="CE122" s="830"/>
      <c r="CF122" s="981"/>
      <c r="CG122" s="830"/>
      <c r="CH122" s="830"/>
      <c r="CI122" s="830"/>
      <c r="CJ122" s="830"/>
      <c r="CK122" s="830"/>
      <c r="CL122" s="830"/>
      <c r="CM122" s="830"/>
      <c r="CN122" s="830"/>
      <c r="CO122" s="830"/>
      <c r="CP122" s="830"/>
      <c r="CQ122" s="830"/>
      <c r="CR122" s="830"/>
      <c r="CS122" s="830"/>
      <c r="CT122" s="830"/>
      <c r="CU122" s="830"/>
      <c r="CV122" s="830"/>
      <c r="CW122" s="830"/>
      <c r="CX122" s="830"/>
      <c r="CY122" s="830"/>
    </row>
    <row r="123" spans="1:121" s="714" customFormat="1" ht="14.5" x14ac:dyDescent="0.3">
      <c r="A123" s="713"/>
      <c r="B123" s="718" t="s">
        <v>99</v>
      </c>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AT123" s="831"/>
      <c r="AX123" s="831"/>
      <c r="AY123" s="831"/>
      <c r="AZ123" s="831"/>
      <c r="BA123" s="831"/>
      <c r="BB123" s="831"/>
      <c r="BC123" s="831"/>
      <c r="BD123" s="831"/>
      <c r="BE123" s="831"/>
      <c r="BF123" s="831"/>
      <c r="BG123" s="831"/>
      <c r="BH123" s="831"/>
      <c r="BI123" s="831"/>
      <c r="BJ123" s="831"/>
      <c r="BK123" s="831"/>
      <c r="BL123" s="831"/>
      <c r="BM123" s="831"/>
      <c r="BN123" s="831"/>
      <c r="BO123" s="831"/>
      <c r="BP123" s="831"/>
      <c r="BQ123" s="831"/>
      <c r="BR123" s="831"/>
      <c r="BS123" s="831"/>
      <c r="BT123" s="831"/>
      <c r="BU123" s="831"/>
      <c r="BV123" s="831"/>
      <c r="BW123" s="831"/>
      <c r="BX123" s="831"/>
      <c r="BY123" s="831"/>
      <c r="BZ123" s="831"/>
      <c r="CA123" s="831"/>
      <c r="CB123" s="831"/>
      <c r="CC123" s="831"/>
      <c r="CD123" s="831"/>
      <c r="CE123" s="831"/>
      <c r="CF123" s="702"/>
      <c r="CG123" s="831"/>
      <c r="CH123" s="831"/>
      <c r="CI123" s="831"/>
      <c r="CJ123" s="831"/>
      <c r="CK123" s="831"/>
      <c r="CL123" s="831"/>
      <c r="CM123" s="831"/>
      <c r="CN123" s="831"/>
      <c r="CO123" s="831"/>
      <c r="CP123" s="831"/>
      <c r="CQ123" s="831"/>
      <c r="CR123" s="831"/>
      <c r="CS123" s="831"/>
      <c r="CT123" s="831"/>
      <c r="CU123" s="831"/>
      <c r="CV123" s="831"/>
      <c r="CW123" s="831"/>
      <c r="CX123" s="831"/>
      <c r="CY123" s="831"/>
    </row>
    <row r="124" spans="1:121" s="705" customFormat="1" ht="13" x14ac:dyDescent="0.3">
      <c r="A124" s="703"/>
      <c r="B124" s="1066" t="s">
        <v>100</v>
      </c>
      <c r="C124" s="1066"/>
      <c r="D124" s="1066"/>
      <c r="E124" s="1066"/>
      <c r="F124" s="1066"/>
      <c r="G124" s="1066"/>
      <c r="H124" s="1066"/>
      <c r="I124" s="1066"/>
      <c r="J124" s="1066"/>
      <c r="K124" s="1066"/>
      <c r="L124" s="1066"/>
      <c r="M124" s="1066"/>
      <c r="N124" s="1066"/>
      <c r="O124" s="1066"/>
      <c r="P124" s="712"/>
      <c r="Q124" s="712"/>
      <c r="R124" s="712"/>
      <c r="S124" s="712"/>
      <c r="T124" s="712"/>
      <c r="U124" s="712"/>
      <c r="V124" s="712"/>
      <c r="W124" s="712"/>
      <c r="X124" s="712"/>
      <c r="AT124" s="830"/>
      <c r="AX124" s="830"/>
      <c r="AY124" s="830"/>
      <c r="AZ124" s="830"/>
      <c r="BA124" s="830"/>
      <c r="BB124" s="830"/>
      <c r="BC124" s="830"/>
      <c r="BD124" s="830"/>
      <c r="BE124" s="830"/>
      <c r="BF124" s="830"/>
      <c r="BG124" s="830"/>
      <c r="BH124" s="830"/>
      <c r="BI124" s="830"/>
      <c r="BJ124" s="830"/>
      <c r="BK124" s="830"/>
      <c r="BL124" s="830"/>
      <c r="BM124" s="830"/>
      <c r="BN124" s="830"/>
      <c r="BO124" s="830"/>
      <c r="BP124" s="830"/>
      <c r="BQ124" s="830"/>
      <c r="BR124" s="830"/>
      <c r="BS124" s="830"/>
      <c r="BT124" s="830"/>
      <c r="BU124" s="830"/>
      <c r="BV124" s="830"/>
      <c r="BW124" s="830"/>
      <c r="BX124" s="830"/>
      <c r="BY124" s="830"/>
      <c r="BZ124" s="830"/>
      <c r="CA124" s="830"/>
      <c r="CB124" s="830"/>
      <c r="CC124" s="830"/>
      <c r="CD124" s="830"/>
      <c r="CE124" s="830"/>
      <c r="CF124" s="981"/>
      <c r="CG124" s="830"/>
      <c r="CH124" s="830"/>
      <c r="CI124" s="830"/>
      <c r="CJ124" s="830"/>
      <c r="CK124" s="830"/>
      <c r="CL124" s="830"/>
      <c r="CM124" s="830"/>
      <c r="CN124" s="830"/>
      <c r="CO124" s="830"/>
      <c r="CP124" s="830"/>
      <c r="CQ124" s="830"/>
      <c r="CR124" s="830"/>
      <c r="CS124" s="830"/>
      <c r="CT124" s="830"/>
      <c r="CU124" s="830"/>
      <c r="CV124" s="830"/>
      <c r="CW124" s="830"/>
      <c r="CX124" s="830"/>
      <c r="CY124" s="830"/>
    </row>
    <row r="125" spans="1:121" s="705" customFormat="1" ht="15.75" customHeight="1" x14ac:dyDescent="0.3">
      <c r="A125" s="703"/>
      <c r="B125" s="1066" t="s">
        <v>101</v>
      </c>
      <c r="C125" s="1066"/>
      <c r="D125" s="1066"/>
      <c r="E125" s="1066"/>
      <c r="F125" s="1066"/>
      <c r="G125" s="719"/>
      <c r="H125" s="719"/>
      <c r="I125" s="716"/>
      <c r="J125" s="716"/>
      <c r="K125" s="716"/>
      <c r="L125" s="716"/>
      <c r="M125" s="716"/>
      <c r="N125" s="716"/>
      <c r="O125" s="716"/>
      <c r="P125" s="712"/>
      <c r="Q125" s="712"/>
      <c r="R125" s="712"/>
      <c r="S125" s="712"/>
      <c r="T125" s="712"/>
      <c r="U125" s="712"/>
      <c r="V125" s="712"/>
      <c r="W125" s="712"/>
      <c r="X125" s="712"/>
      <c r="AT125" s="830"/>
      <c r="AX125" s="830"/>
      <c r="AY125" s="830"/>
      <c r="AZ125" s="830"/>
      <c r="BA125" s="830"/>
      <c r="BB125" s="830"/>
      <c r="BC125" s="830"/>
      <c r="BD125" s="830"/>
      <c r="BE125" s="830"/>
      <c r="BF125" s="830"/>
      <c r="BG125" s="830"/>
      <c r="BH125" s="830"/>
      <c r="BI125" s="830"/>
      <c r="BJ125" s="830"/>
      <c r="BK125" s="830"/>
      <c r="BL125" s="830"/>
      <c r="BM125" s="830"/>
      <c r="BN125" s="830"/>
      <c r="BO125" s="830"/>
      <c r="BP125" s="830"/>
      <c r="BQ125" s="830"/>
      <c r="BR125" s="830"/>
      <c r="BS125" s="830"/>
      <c r="BT125" s="830"/>
      <c r="BU125" s="830"/>
      <c r="BV125" s="830"/>
      <c r="BW125" s="830"/>
      <c r="BX125" s="830"/>
      <c r="BY125" s="830"/>
      <c r="BZ125" s="830"/>
      <c r="CA125" s="830"/>
      <c r="CB125" s="830"/>
      <c r="CC125" s="830"/>
      <c r="CD125" s="830"/>
      <c r="CE125" s="830"/>
      <c r="CF125" s="981"/>
      <c r="CG125" s="830"/>
      <c r="CH125" s="830"/>
      <c r="CI125" s="830"/>
      <c r="CJ125" s="830"/>
      <c r="CK125" s="830"/>
      <c r="CL125" s="830"/>
      <c r="CM125" s="830"/>
      <c r="CN125" s="830"/>
      <c r="CO125" s="830"/>
      <c r="CP125" s="830"/>
      <c r="CQ125" s="830"/>
      <c r="CR125" s="830"/>
      <c r="CS125" s="830"/>
      <c r="CT125" s="830"/>
      <c r="CU125" s="830"/>
      <c r="CV125" s="830"/>
      <c r="CW125" s="830"/>
      <c r="CX125" s="830"/>
      <c r="CY125" s="830"/>
    </row>
    <row r="126" spans="1:121" s="705" customFormat="1" ht="14.25" customHeight="1" x14ac:dyDescent="0.3">
      <c r="A126" s="703"/>
      <c r="B126" s="1065" t="s">
        <v>102</v>
      </c>
      <c r="C126" s="1065"/>
      <c r="D126" s="1065"/>
      <c r="E126" s="1065"/>
      <c r="F126" s="1065"/>
      <c r="G126" s="716"/>
      <c r="H126" s="716"/>
      <c r="I126" s="716"/>
      <c r="J126" s="716"/>
      <c r="K126" s="716"/>
      <c r="L126" s="716"/>
      <c r="M126" s="716"/>
      <c r="N126" s="716"/>
      <c r="O126" s="716"/>
      <c r="P126" s="712"/>
      <c r="Q126" s="712"/>
      <c r="R126" s="712"/>
      <c r="S126" s="712"/>
      <c r="T126" s="712"/>
      <c r="U126" s="712"/>
      <c r="V126" s="712"/>
      <c r="W126" s="712"/>
      <c r="X126" s="712"/>
      <c r="AT126" s="830"/>
      <c r="AX126" s="830"/>
      <c r="AY126" s="830"/>
      <c r="AZ126" s="830"/>
      <c r="BA126" s="830"/>
      <c r="BB126" s="830"/>
      <c r="BC126" s="830"/>
      <c r="BD126" s="830"/>
      <c r="BE126" s="830"/>
      <c r="BF126" s="830"/>
      <c r="BG126" s="830"/>
      <c r="BH126" s="830"/>
      <c r="BI126" s="830"/>
      <c r="BJ126" s="830"/>
      <c r="BK126" s="830"/>
      <c r="BL126" s="830"/>
      <c r="BM126" s="830"/>
      <c r="BN126" s="830"/>
      <c r="BO126" s="830"/>
      <c r="BP126" s="830"/>
      <c r="BQ126" s="830"/>
      <c r="BR126" s="830"/>
      <c r="BS126" s="830"/>
      <c r="BT126" s="830"/>
      <c r="BU126" s="830"/>
      <c r="BV126" s="830"/>
      <c r="BW126" s="830"/>
      <c r="BX126" s="830"/>
      <c r="BY126" s="830"/>
      <c r="BZ126" s="830"/>
      <c r="CA126" s="830"/>
      <c r="CB126" s="830"/>
      <c r="CC126" s="830"/>
      <c r="CD126" s="830"/>
      <c r="CE126" s="830"/>
      <c r="CF126" s="981"/>
      <c r="CG126" s="830"/>
      <c r="CH126" s="830"/>
      <c r="CI126" s="830"/>
      <c r="CJ126" s="830"/>
      <c r="CK126" s="830"/>
      <c r="CL126" s="830"/>
      <c r="CM126" s="830"/>
      <c r="CN126" s="830"/>
      <c r="CO126" s="830"/>
      <c r="CP126" s="830"/>
      <c r="CQ126" s="830"/>
      <c r="CR126" s="830"/>
      <c r="CS126" s="830"/>
      <c r="CT126" s="830"/>
      <c r="CU126" s="830"/>
      <c r="CV126" s="830"/>
      <c r="CW126" s="830"/>
      <c r="CX126" s="830"/>
      <c r="CY126" s="830"/>
    </row>
    <row r="127" spans="1:121" s="705" customFormat="1" ht="13.15" customHeight="1" x14ac:dyDescent="0.3">
      <c r="A127" s="703"/>
      <c r="B127" s="1065" t="s">
        <v>103</v>
      </c>
      <c r="C127" s="1065"/>
      <c r="D127" s="1065"/>
      <c r="E127" s="1065"/>
      <c r="F127" s="1065"/>
      <c r="G127" s="716"/>
      <c r="H127" s="716"/>
      <c r="AT127" s="830"/>
      <c r="AX127" s="830"/>
      <c r="AY127" s="830"/>
      <c r="AZ127" s="830"/>
      <c r="BA127" s="830"/>
      <c r="BB127" s="830"/>
      <c r="BC127" s="830"/>
      <c r="BD127" s="830"/>
      <c r="BE127" s="830"/>
      <c r="BF127" s="830"/>
      <c r="BG127" s="830"/>
      <c r="BH127" s="830"/>
      <c r="BI127" s="830"/>
      <c r="BJ127" s="830"/>
      <c r="BK127" s="830"/>
      <c r="BL127" s="830"/>
      <c r="BM127" s="830"/>
      <c r="BN127" s="830"/>
      <c r="BO127" s="830"/>
      <c r="BP127" s="830"/>
      <c r="BQ127" s="830"/>
      <c r="BR127" s="830"/>
      <c r="BS127" s="830"/>
      <c r="BT127" s="830"/>
      <c r="BU127" s="830"/>
      <c r="BV127" s="830"/>
      <c r="BW127" s="830"/>
      <c r="BX127" s="830"/>
      <c r="BY127" s="830"/>
      <c r="BZ127" s="830"/>
      <c r="CA127" s="830"/>
      <c r="CB127" s="830"/>
      <c r="CC127" s="830"/>
      <c r="CD127" s="830"/>
      <c r="CE127" s="830"/>
      <c r="CF127" s="981"/>
      <c r="CG127" s="830"/>
      <c r="CH127" s="830"/>
      <c r="CI127" s="830"/>
      <c r="CJ127" s="830"/>
      <c r="CK127" s="830"/>
      <c r="CL127" s="830"/>
      <c r="CM127" s="830"/>
      <c r="CN127" s="830"/>
      <c r="CO127" s="830"/>
      <c r="CP127" s="830"/>
      <c r="CQ127" s="830"/>
      <c r="CR127" s="830"/>
      <c r="CS127" s="830"/>
      <c r="CT127" s="830"/>
      <c r="CU127" s="830"/>
      <c r="CV127" s="830"/>
      <c r="CW127" s="830"/>
      <c r="CX127" s="830"/>
      <c r="CY127" s="830"/>
    </row>
    <row r="128" spans="1:121" s="714" customFormat="1" ht="13.5" x14ac:dyDescent="0.3">
      <c r="A128" s="713"/>
      <c r="B128" s="1063" t="s">
        <v>104</v>
      </c>
      <c r="C128" s="1063"/>
      <c r="D128" s="1063"/>
      <c r="E128" s="1063"/>
      <c r="F128" s="1063"/>
      <c r="AT128" s="831"/>
      <c r="AX128" s="831"/>
      <c r="AY128" s="831"/>
      <c r="AZ128" s="831"/>
      <c r="BA128" s="831"/>
      <c r="BB128" s="831"/>
      <c r="BC128" s="831"/>
      <c r="BD128" s="831"/>
      <c r="BE128" s="831"/>
      <c r="BF128" s="831"/>
      <c r="BG128" s="831"/>
      <c r="BH128" s="831"/>
      <c r="BI128" s="831"/>
      <c r="BJ128" s="831"/>
      <c r="BK128" s="831"/>
      <c r="BL128" s="831"/>
      <c r="BM128" s="831"/>
      <c r="BN128" s="831"/>
      <c r="BO128" s="831"/>
      <c r="BP128" s="831"/>
      <c r="BQ128" s="831"/>
      <c r="BR128" s="831"/>
      <c r="BS128" s="831"/>
      <c r="BT128" s="831"/>
      <c r="BU128" s="831"/>
      <c r="BV128" s="831"/>
      <c r="BW128" s="831"/>
      <c r="BX128" s="831"/>
      <c r="BY128" s="831"/>
      <c r="BZ128" s="831"/>
      <c r="CA128" s="831"/>
      <c r="CB128" s="831"/>
      <c r="CC128" s="831"/>
      <c r="CD128" s="831"/>
      <c r="CE128" s="831"/>
      <c r="CF128" s="702"/>
      <c r="CG128" s="831"/>
      <c r="CH128" s="831"/>
      <c r="CI128" s="831"/>
      <c r="CJ128" s="831"/>
      <c r="CK128" s="831"/>
      <c r="CL128" s="831"/>
      <c r="CM128" s="831"/>
      <c r="CN128" s="831"/>
      <c r="CO128" s="831"/>
      <c r="CP128" s="831"/>
      <c r="CQ128" s="831"/>
      <c r="CR128" s="831"/>
      <c r="CS128" s="831"/>
      <c r="CT128" s="831"/>
      <c r="CU128" s="831"/>
      <c r="CV128" s="831"/>
      <c r="CW128" s="831"/>
      <c r="CX128" s="831"/>
      <c r="CY128" s="831"/>
    </row>
    <row r="129" spans="1:103" s="705" customFormat="1" ht="13" x14ac:dyDescent="0.3">
      <c r="A129" s="703"/>
      <c r="B129" s="716"/>
      <c r="C129" s="716"/>
      <c r="D129" s="716"/>
      <c r="E129" s="716"/>
      <c r="F129" s="716"/>
      <c r="AT129" s="830"/>
      <c r="AX129" s="830"/>
      <c r="AY129" s="830"/>
      <c r="AZ129" s="830"/>
      <c r="BA129" s="830"/>
      <c r="BB129" s="830"/>
      <c r="BC129" s="830"/>
      <c r="BD129" s="830"/>
      <c r="BE129" s="830"/>
      <c r="BF129" s="830"/>
      <c r="BG129" s="830"/>
      <c r="BH129" s="830"/>
      <c r="BI129" s="830"/>
      <c r="BJ129" s="830"/>
      <c r="BK129" s="830"/>
      <c r="BL129" s="830"/>
      <c r="BM129" s="830"/>
      <c r="BN129" s="830"/>
      <c r="BO129" s="830"/>
      <c r="BP129" s="830"/>
      <c r="BQ129" s="830"/>
      <c r="BR129" s="830"/>
      <c r="BS129" s="830"/>
      <c r="BT129" s="830"/>
      <c r="BU129" s="830"/>
      <c r="BV129" s="830"/>
      <c r="BW129" s="830"/>
      <c r="BX129" s="830"/>
      <c r="BY129" s="830"/>
      <c r="BZ129" s="830"/>
      <c r="CA129" s="830"/>
      <c r="CB129" s="830"/>
      <c r="CC129" s="830"/>
      <c r="CD129" s="830"/>
      <c r="CE129" s="830"/>
      <c r="CF129" s="981"/>
      <c r="CG129" s="830"/>
      <c r="CH129" s="830"/>
      <c r="CI129" s="830"/>
      <c r="CJ129" s="830"/>
      <c r="CK129" s="830"/>
      <c r="CL129" s="830"/>
      <c r="CM129" s="830"/>
      <c r="CN129" s="830"/>
      <c r="CO129" s="830"/>
      <c r="CP129" s="830"/>
      <c r="CQ129" s="830"/>
      <c r="CR129" s="830"/>
      <c r="CS129" s="830"/>
      <c r="CT129" s="830"/>
      <c r="CU129" s="830"/>
      <c r="CV129" s="830"/>
      <c r="CW129" s="830"/>
      <c r="CX129" s="830"/>
      <c r="CY129" s="830"/>
    </row>
  </sheetData>
  <mergeCells count="136">
    <mergeCell ref="B128:F128"/>
    <mergeCell ref="B121:X121"/>
    <mergeCell ref="B122:J122"/>
    <mergeCell ref="B124:O124"/>
    <mergeCell ref="B125:F125"/>
    <mergeCell ref="B126:F126"/>
    <mergeCell ref="B127:F127"/>
    <mergeCell ref="EH10:EI10"/>
    <mergeCell ref="A13:A62"/>
    <mergeCell ref="A63:A65"/>
    <mergeCell ref="A77:A88"/>
    <mergeCell ref="A92:A96"/>
    <mergeCell ref="B120:O120"/>
    <mergeCell ref="AT112:CY113"/>
    <mergeCell ref="AT110:CY110"/>
    <mergeCell ref="ED9:EE9"/>
    <mergeCell ref="CN9:CO9"/>
    <mergeCell ref="CP9:CQ9"/>
    <mergeCell ref="CR9:CS9"/>
    <mergeCell ref="CT9:CU9"/>
    <mergeCell ref="CV9:CW9"/>
    <mergeCell ref="DH9:DI9"/>
    <mergeCell ref="EF9:EG9"/>
    <mergeCell ref="DR10:DS10"/>
    <mergeCell ref="DT10:DU10"/>
    <mergeCell ref="DV10:DW10"/>
    <mergeCell ref="DX10:DY10"/>
    <mergeCell ref="DZ10:EA10"/>
    <mergeCell ref="EB10:EC10"/>
    <mergeCell ref="ED10:EE10"/>
    <mergeCell ref="EF10:EG10"/>
    <mergeCell ref="BH9:BI9"/>
    <mergeCell ref="BL9:BM9"/>
    <mergeCell ref="BN9:BO9"/>
    <mergeCell ref="BP9:BQ9"/>
    <mergeCell ref="DJ9:DK9"/>
    <mergeCell ref="DL9:DM9"/>
    <mergeCell ref="DN9:DO9"/>
    <mergeCell ref="DZ9:EA9"/>
    <mergeCell ref="EB9:EC9"/>
    <mergeCell ref="AB9:AC9"/>
    <mergeCell ref="DL8:DO8"/>
    <mergeCell ref="DV8:DW9"/>
    <mergeCell ref="DX8:DY9"/>
    <mergeCell ref="AR9:AS9"/>
    <mergeCell ref="AT9:AU9"/>
    <mergeCell ref="AV9:AW9"/>
    <mergeCell ref="AX9:AY9"/>
    <mergeCell ref="AZ9:BA9"/>
    <mergeCell ref="BB9:BC9"/>
    <mergeCell ref="AD9:AE9"/>
    <mergeCell ref="AF9:AG9"/>
    <mergeCell ref="AH9:AI9"/>
    <mergeCell ref="AJ9:AK9"/>
    <mergeCell ref="AL9:AM9"/>
    <mergeCell ref="AN9:AO9"/>
    <mergeCell ref="BR9:BS9"/>
    <mergeCell ref="BT9:BU9"/>
    <mergeCell ref="BV9:BW9"/>
    <mergeCell ref="BX9:BY9"/>
    <mergeCell ref="BZ9:CA9"/>
    <mergeCell ref="CB9:CC9"/>
    <mergeCell ref="BD9:BE9"/>
    <mergeCell ref="BF9:BG9"/>
    <mergeCell ref="DZ8:EC8"/>
    <mergeCell ref="ED8:EG8"/>
    <mergeCell ref="D9:E9"/>
    <mergeCell ref="F9:G9"/>
    <mergeCell ref="H9:I9"/>
    <mergeCell ref="J9:K9"/>
    <mergeCell ref="L9:M9"/>
    <mergeCell ref="BZ8:CC8"/>
    <mergeCell ref="CD8:CE9"/>
    <mergeCell ref="CP8:CS8"/>
    <mergeCell ref="CT8:CW8"/>
    <mergeCell ref="CX8:CY9"/>
    <mergeCell ref="CZ8:DA9"/>
    <mergeCell ref="CF9:CG9"/>
    <mergeCell ref="CH9:CI9"/>
    <mergeCell ref="CJ9:CK9"/>
    <mergeCell ref="CL9:CM9"/>
    <mergeCell ref="DP7:DQ9"/>
    <mergeCell ref="DR7:DS9"/>
    <mergeCell ref="DT7:DU9"/>
    <mergeCell ref="DV7:EG7"/>
    <mergeCell ref="BJ8:BK9"/>
    <mergeCell ref="BV8:BY8"/>
    <mergeCell ref="P9:Q9"/>
    <mergeCell ref="CZ6:DO6"/>
    <mergeCell ref="DR6:EI6"/>
    <mergeCell ref="A7:A11"/>
    <mergeCell ref="D7:G8"/>
    <mergeCell ref="H7:M8"/>
    <mergeCell ref="N7:W7"/>
    <mergeCell ref="X7:AA8"/>
    <mergeCell ref="EH7:EI9"/>
    <mergeCell ref="N8:Q8"/>
    <mergeCell ref="R8:U8"/>
    <mergeCell ref="V8:W9"/>
    <mergeCell ref="AH8:AK8"/>
    <mergeCell ref="AL8:AO8"/>
    <mergeCell ref="CF7:CI8"/>
    <mergeCell ref="CJ7:CO8"/>
    <mergeCell ref="CP7:CY7"/>
    <mergeCell ref="CZ7:DC7"/>
    <mergeCell ref="DD7:DG7"/>
    <mergeCell ref="DH7:DO7"/>
    <mergeCell ref="DB8:DC9"/>
    <mergeCell ref="DD8:DE9"/>
    <mergeCell ref="DF8:DG9"/>
    <mergeCell ref="DH8:DK8"/>
    <mergeCell ref="AR7:AU8"/>
    <mergeCell ref="A2:S2"/>
    <mergeCell ref="B6:B11"/>
    <mergeCell ref="C6:C11"/>
    <mergeCell ref="D6:W6"/>
    <mergeCell ref="X6:AQ6"/>
    <mergeCell ref="AB7:AG8"/>
    <mergeCell ref="AH7:AQ7"/>
    <mergeCell ref="AP8:AQ9"/>
    <mergeCell ref="N9:O9"/>
    <mergeCell ref="A4:CY4"/>
    <mergeCell ref="AR6:BJ6"/>
    <mergeCell ref="BL6:CC6"/>
    <mergeCell ref="CF6:CW6"/>
    <mergeCell ref="AV7:BA8"/>
    <mergeCell ref="BB7:BK7"/>
    <mergeCell ref="BL7:BO8"/>
    <mergeCell ref="BP7:BU8"/>
    <mergeCell ref="BV7:CE7"/>
    <mergeCell ref="BB8:BE8"/>
    <mergeCell ref="BF8:BI8"/>
    <mergeCell ref="R9:S9"/>
    <mergeCell ref="T9:U9"/>
    <mergeCell ref="X9:Y9"/>
    <mergeCell ref="Z9:AA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06CF-85F3-463A-BBAD-CADFC72D9949}">
  <sheetPr>
    <tabColor rgb="FFFFFF00"/>
  </sheetPr>
  <dimension ref="A1:EH128"/>
  <sheetViews>
    <sheetView tabSelected="1" zoomScale="83" zoomScaleNormal="83" workbookViewId="0">
      <pane xSplit="1" ySplit="11" topLeftCell="B12" activePane="bottomRight" state="frozen"/>
      <selection pane="topRight" activeCell="B1" sqref="B1"/>
      <selection pane="bottomLeft" activeCell="A12" sqref="A12"/>
      <selection pane="bottomRight" activeCell="C16" sqref="C16:C17"/>
    </sheetView>
  </sheetViews>
  <sheetFormatPr defaultRowHeight="12.5" outlineLevelRow="1" outlineLevelCol="1" x14ac:dyDescent="0.25"/>
  <cols>
    <col min="1" max="1" width="10" style="5" customWidth="1"/>
    <col min="2" max="2" width="49" style="720" customWidth="1"/>
    <col min="3" max="3" width="13.54296875" customWidth="1"/>
    <col min="4" max="4" width="10.7265625" style="695" hidden="1" customWidth="1" outlineLevel="1"/>
    <col min="5" max="5" width="10.54296875" style="695" hidden="1" customWidth="1" outlineLevel="1"/>
    <col min="6" max="7" width="9" hidden="1" customWidth="1" outlineLevel="1"/>
    <col min="8" max="9" width="11.453125" hidden="1" customWidth="1" outlineLevel="1"/>
    <col min="10" max="11" width="10.26953125" hidden="1" customWidth="1" outlineLevel="1"/>
    <col min="12" max="12" width="10.54296875" hidden="1" customWidth="1" outlineLevel="1"/>
    <col min="13" max="13" width="10" hidden="1" customWidth="1" outlineLevel="1"/>
    <col min="14" max="14" width="9.7265625" hidden="1" customWidth="1" outlineLevel="1"/>
    <col min="15" max="15" width="10" style="697" hidden="1" customWidth="1" outlineLevel="1"/>
    <col min="16" max="17" width="9.7265625" hidden="1" customWidth="1" outlineLevel="1"/>
    <col min="18" max="19" width="8.7265625" hidden="1" customWidth="1" outlineLevel="1"/>
    <col min="20" max="20" width="9.7265625" hidden="1" customWidth="1" outlineLevel="1"/>
    <col min="21" max="21" width="9.1796875" style="697" hidden="1" customWidth="1" outlineLevel="1"/>
    <col min="22" max="22" width="8.54296875" hidden="1" customWidth="1" outlineLevel="1"/>
    <col min="23" max="23" width="7.26953125" hidden="1" customWidth="1" outlineLevel="1"/>
    <col min="24" max="24" width="9.453125" style="695" hidden="1" customWidth="1" outlineLevel="1"/>
    <col min="25" max="25" width="8.26953125" style="695" hidden="1" customWidth="1" outlineLevel="1"/>
    <col min="26" max="26" width="8.54296875" hidden="1" customWidth="1" outlineLevel="1"/>
    <col min="27" max="27" width="8.81640625" hidden="1" customWidth="1" outlineLevel="1"/>
    <col min="28" max="28" width="10" hidden="1" customWidth="1" outlineLevel="1"/>
    <col min="29" max="29" width="9.26953125" hidden="1" customWidth="1" outlineLevel="1"/>
    <col min="30" max="30" width="9.453125" hidden="1" customWidth="1" outlineLevel="1"/>
    <col min="31" max="31" width="9.1796875" hidden="1" customWidth="1" outlineLevel="1"/>
    <col min="32" max="32" width="9.54296875" hidden="1" customWidth="1" outlineLevel="1"/>
    <col min="33" max="33" width="10.1796875" hidden="1" customWidth="1" outlineLevel="1"/>
    <col min="34" max="34" width="9.7265625" style="697" hidden="1" customWidth="1" outlineLevel="1"/>
    <col min="35" max="35" width="10.1796875" style="697" hidden="1" customWidth="1" outlineLevel="1"/>
    <col min="36" max="36" width="9.7265625" hidden="1" customWidth="1" outlineLevel="1"/>
    <col min="37" max="37" width="10.1796875" hidden="1" customWidth="1" outlineLevel="1"/>
    <col min="38" max="40" width="9.7265625" hidden="1" customWidth="1" outlineLevel="1"/>
    <col min="41" max="41" width="10.453125" style="697" hidden="1" customWidth="1" outlineLevel="1"/>
    <col min="42" max="42" width="7.26953125" hidden="1" customWidth="1" outlineLevel="1"/>
    <col min="43" max="43" width="7.1796875" hidden="1" customWidth="1" outlineLevel="1"/>
    <col min="44" max="44" width="0" style="695" hidden="1" customWidth="1" collapsed="1"/>
    <col min="45" max="46" width="7.453125" style="696" hidden="1" customWidth="1"/>
    <col min="47" max="47" width="7.453125" hidden="1" customWidth="1"/>
    <col min="48" max="49" width="9.54296875" hidden="1" customWidth="1"/>
    <col min="50" max="50" width="9" hidden="1" customWidth="1"/>
    <col min="51" max="51" width="9.54296875" hidden="1" customWidth="1"/>
    <col min="52" max="52" width="10.453125" hidden="1" customWidth="1"/>
    <col min="53" max="53" width="9.26953125" hidden="1" customWidth="1"/>
    <col min="54" max="54" width="9.26953125" style="697" hidden="1" customWidth="1"/>
    <col min="55" max="55" width="0" style="697" hidden="1" customWidth="1"/>
    <col min="56" max="56" width="9" hidden="1" customWidth="1"/>
    <col min="57" max="57" width="8.54296875" hidden="1" customWidth="1"/>
    <col min="58" max="59" width="8.453125" hidden="1" customWidth="1"/>
    <col min="60" max="60" width="7.453125" hidden="1" customWidth="1"/>
    <col min="61" max="61" width="7.453125" style="697" hidden="1" customWidth="1"/>
    <col min="62" max="63" width="7.453125" hidden="1" customWidth="1"/>
    <col min="64" max="64" width="0" style="695" hidden="1" customWidth="1"/>
    <col min="65" max="67" width="7.453125" hidden="1" customWidth="1"/>
    <col min="68" max="68" width="10.26953125" hidden="1" customWidth="1"/>
    <col min="69" max="69" width="9.7265625" hidden="1" customWidth="1"/>
    <col min="70" max="70" width="9.453125" hidden="1" customWidth="1"/>
    <col min="71" max="71" width="9" hidden="1" customWidth="1"/>
    <col min="72" max="72" width="9.81640625" hidden="1" customWidth="1"/>
    <col min="73" max="73" width="9.453125" hidden="1" customWidth="1"/>
    <col min="74" max="74" width="9.7265625" style="697" hidden="1" customWidth="1"/>
    <col min="75" max="75" width="8.1796875" hidden="1" customWidth="1"/>
    <col min="76" max="76" width="10.453125" hidden="1" customWidth="1"/>
    <col min="77" max="77" width="10.1796875" hidden="1" customWidth="1"/>
    <col min="78" max="79" width="8.81640625" hidden="1" customWidth="1"/>
    <col min="80" max="81" width="8.453125" hidden="1" customWidth="1"/>
    <col min="82" max="83" width="7.453125" hidden="1" customWidth="1"/>
    <col min="84" max="84" width="8.81640625" style="695" hidden="1" customWidth="1"/>
    <col min="85" max="87" width="7.453125" hidden="1" customWidth="1"/>
    <col min="88" max="88" width="10.1796875" hidden="1" customWidth="1"/>
    <col min="89" max="89" width="10" hidden="1" customWidth="1"/>
    <col min="90" max="93" width="0" hidden="1" customWidth="1"/>
    <col min="94" max="94" width="9.54296875" hidden="1" customWidth="1"/>
    <col min="95" max="95" width="0" hidden="1" customWidth="1"/>
    <col min="96" max="97" width="9.54296875" hidden="1" customWidth="1"/>
    <col min="98" max="101" width="9.26953125" hidden="1" customWidth="1"/>
    <col min="102" max="103" width="7.453125" hidden="1" customWidth="1"/>
    <col min="104" max="104" width="7.453125" style="5" hidden="1" customWidth="1" outlineLevel="1"/>
    <col min="105" max="105" width="7.453125" style="8" hidden="1" customWidth="1" outlineLevel="1"/>
    <col min="106" max="119" width="7.453125" style="5" hidden="1" customWidth="1" outlineLevel="1"/>
    <col min="120" max="121" width="7.453125" hidden="1" customWidth="1" outlineLevel="1"/>
    <col min="122" max="122" width="9.26953125" style="9" customWidth="1" outlineLevel="1"/>
    <col min="123" max="123" width="9.453125" style="5" customWidth="1" outlineLevel="1"/>
    <col min="124" max="124" width="10" style="5" customWidth="1" outlineLevel="1"/>
    <col min="125" max="126" width="9.453125" style="5" customWidth="1" outlineLevel="1"/>
    <col min="127" max="127" width="12" style="5" customWidth="1" outlineLevel="1"/>
    <col min="128" max="128" width="12.54296875" style="5" customWidth="1" outlineLevel="1"/>
    <col min="129" max="129" width="8.1796875" style="5" customWidth="1" outlineLevel="1"/>
    <col min="130" max="130" width="10.26953125" style="5" customWidth="1" outlineLevel="1"/>
    <col min="131" max="131" width="8.81640625" style="5" customWidth="1" outlineLevel="1"/>
    <col min="132" max="132" width="10.453125" style="5" customWidth="1" outlineLevel="1"/>
    <col min="133" max="133" width="8.7265625" style="5" customWidth="1" outlineLevel="1"/>
    <col min="134" max="134" width="10" style="5" customWidth="1" outlineLevel="1"/>
    <col min="135" max="135" width="9.453125" style="5" customWidth="1" outlineLevel="1"/>
    <col min="136" max="136" width="10.54296875" style="5" customWidth="1" outlineLevel="1"/>
    <col min="137" max="137" width="8.7265625" customWidth="1" outlineLevel="1"/>
  </cols>
  <sheetData>
    <row r="1" spans="1:138" s="1" customFormat="1" ht="14" x14ac:dyDescent="0.3">
      <c r="A1" s="1" t="s">
        <v>0</v>
      </c>
      <c r="E1" s="2"/>
      <c r="F1" s="2"/>
      <c r="G1" s="2"/>
      <c r="H1" s="2"/>
      <c r="I1" s="2"/>
      <c r="J1" s="2"/>
      <c r="K1" s="2"/>
      <c r="L1" s="2"/>
      <c r="M1" s="2"/>
      <c r="N1" s="2"/>
      <c r="O1" s="2"/>
      <c r="P1" s="2"/>
      <c r="Q1" s="2"/>
      <c r="R1" s="2"/>
      <c r="S1" s="2"/>
      <c r="CF1" s="3"/>
    </row>
    <row r="2" spans="1:138" s="1" customFormat="1" ht="14.5" customHeight="1" x14ac:dyDescent="0.3">
      <c r="A2" s="1113" t="s">
        <v>1</v>
      </c>
      <c r="B2" s="1113"/>
      <c r="C2" s="1113"/>
      <c r="D2" s="1113"/>
      <c r="E2" s="1113"/>
      <c r="F2" s="1113"/>
      <c r="G2" s="1113"/>
      <c r="H2" s="1113"/>
      <c r="I2" s="1113"/>
      <c r="J2" s="1113"/>
      <c r="K2" s="1113"/>
      <c r="L2" s="1113"/>
      <c r="M2" s="1113"/>
      <c r="N2" s="1113"/>
      <c r="O2" s="1113"/>
      <c r="P2" s="1113"/>
      <c r="Q2" s="1113"/>
      <c r="R2" s="1113"/>
      <c r="S2" s="1113"/>
      <c r="AX2" s="804"/>
      <c r="BC2" s="4"/>
      <c r="BD2" s="4"/>
      <c r="BE2" s="4"/>
      <c r="BF2" s="4"/>
      <c r="BG2" s="4"/>
      <c r="BH2" s="4"/>
      <c r="BI2" s="4"/>
      <c r="BJ2" s="4"/>
      <c r="BK2" s="4"/>
      <c r="BL2" s="4"/>
      <c r="BM2" s="4"/>
      <c r="BN2" s="4"/>
      <c r="BO2" s="4"/>
      <c r="BP2" s="4"/>
      <c r="BQ2" s="4"/>
      <c r="BR2" s="4"/>
      <c r="BS2" s="4"/>
      <c r="BT2" s="4"/>
      <c r="CF2" s="3"/>
    </row>
    <row r="3" spans="1:138" ht="16.5" customHeight="1" x14ac:dyDescent="0.35">
      <c r="B3" s="6"/>
      <c r="C3" s="6"/>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7"/>
      <c r="BT3" s="7"/>
      <c r="BU3" s="7"/>
      <c r="BV3" s="7"/>
      <c r="BW3" s="5"/>
      <c r="BX3" s="5"/>
      <c r="BY3" s="5"/>
      <c r="BZ3" s="5"/>
      <c r="CA3" s="5"/>
      <c r="CB3" s="5"/>
      <c r="CC3" s="5"/>
      <c r="CD3" s="5"/>
      <c r="CE3" s="5"/>
      <c r="CF3" s="8"/>
      <c r="CG3" s="5"/>
      <c r="CH3" s="5"/>
      <c r="CI3" s="5"/>
      <c r="CJ3" s="5"/>
      <c r="CK3" s="5"/>
      <c r="CL3" s="5"/>
      <c r="CM3" s="5"/>
      <c r="CN3" s="5"/>
      <c r="CO3" s="5"/>
      <c r="CP3" s="5"/>
      <c r="CQ3" s="5"/>
      <c r="CR3" s="5"/>
      <c r="CS3" s="5"/>
      <c r="CT3" s="5"/>
      <c r="CU3" s="5"/>
      <c r="CV3" s="5"/>
      <c r="CW3" s="5"/>
      <c r="CX3" s="5"/>
      <c r="CY3" s="5"/>
      <c r="DP3" s="5"/>
      <c r="DQ3" s="5"/>
      <c r="EG3" s="5"/>
      <c r="EH3" s="5"/>
    </row>
    <row r="4" spans="1:138" ht="33" customHeight="1" x14ac:dyDescent="0.35">
      <c r="A4" s="1114" t="s">
        <v>2</v>
      </c>
      <c r="B4" s="1114"/>
      <c r="C4" s="1114"/>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7"/>
      <c r="BT4" s="7"/>
      <c r="BU4" s="7"/>
      <c r="BV4" s="7"/>
      <c r="BW4" s="5"/>
      <c r="BX4" s="5"/>
      <c r="BY4" s="5"/>
      <c r="BZ4" s="5"/>
      <c r="CA4" s="5"/>
      <c r="CB4" s="5"/>
      <c r="CC4" s="5"/>
      <c r="CD4" s="5"/>
      <c r="CE4" s="5"/>
      <c r="CF4" s="8"/>
      <c r="CG4" s="5"/>
      <c r="CH4" s="5"/>
      <c r="CI4" s="5"/>
      <c r="CJ4" s="5"/>
      <c r="CK4" s="5"/>
      <c r="CL4" s="5"/>
      <c r="CM4" s="5"/>
      <c r="CN4" s="5"/>
      <c r="CO4" s="5"/>
      <c r="CP4" s="5"/>
      <c r="CQ4" s="5"/>
      <c r="CR4" s="5"/>
      <c r="CS4" s="5"/>
      <c r="CT4" s="5"/>
      <c r="CU4" s="5"/>
      <c r="CV4" s="5"/>
      <c r="CW4" s="5"/>
      <c r="CX4" s="5"/>
      <c r="CY4" s="5"/>
      <c r="DD4" s="7"/>
      <c r="DE4" s="7"/>
      <c r="DH4" s="7"/>
      <c r="DI4" s="7"/>
      <c r="DP4" s="5"/>
      <c r="DQ4" s="5"/>
      <c r="EG4" s="5"/>
      <c r="EH4" s="5"/>
    </row>
    <row r="5" spans="1:138" s="5" customFormat="1" ht="20.5" thickBot="1" x14ac:dyDescent="0.45">
      <c r="A5" s="5" t="s">
        <v>3</v>
      </c>
      <c r="B5" s="10"/>
      <c r="C5" s="11"/>
      <c r="D5" s="12"/>
      <c r="E5" s="12"/>
      <c r="F5" s="11"/>
      <c r="G5" s="11"/>
      <c r="H5" s="11"/>
      <c r="I5" s="11"/>
      <c r="J5" s="11"/>
      <c r="K5" s="11"/>
      <c r="L5" s="11"/>
      <c r="M5" s="11"/>
      <c r="N5" s="11"/>
      <c r="O5" s="13"/>
      <c r="P5" s="11"/>
      <c r="Q5" s="11"/>
      <c r="R5" s="11"/>
      <c r="S5" s="11"/>
      <c r="T5" s="11"/>
      <c r="U5" s="13"/>
      <c r="V5" s="14"/>
      <c r="W5" s="14"/>
      <c r="X5" s="12"/>
      <c r="Y5" s="12"/>
      <c r="Z5" s="11"/>
      <c r="AA5" s="11"/>
      <c r="AB5" s="11"/>
      <c r="AC5" s="11"/>
      <c r="AD5" s="11"/>
      <c r="AE5" s="11"/>
      <c r="AF5" s="11"/>
      <c r="AG5" s="11"/>
      <c r="AH5" s="13"/>
      <c r="AI5" s="13"/>
      <c r="AJ5" s="11"/>
      <c r="AK5" s="11"/>
      <c r="AL5" s="11"/>
      <c r="AM5" s="11"/>
      <c r="AN5" s="11"/>
      <c r="AO5" s="13"/>
      <c r="AP5" s="14"/>
      <c r="AQ5" s="14"/>
      <c r="AR5" s="12"/>
      <c r="AS5" s="15"/>
      <c r="AT5" s="15"/>
      <c r="AU5" s="11"/>
      <c r="AV5" s="11"/>
      <c r="AW5" s="11"/>
      <c r="AX5" s="11"/>
      <c r="AY5" s="11"/>
      <c r="AZ5" s="11"/>
      <c r="BA5" s="11"/>
      <c r="BB5" s="13"/>
      <c r="BC5" s="13"/>
      <c r="BD5" s="11"/>
      <c r="BE5" s="11"/>
      <c r="BF5" s="11"/>
      <c r="BG5" s="11"/>
      <c r="BH5" s="11"/>
      <c r="BI5" s="13"/>
      <c r="BJ5" s="14"/>
      <c r="BK5" s="14"/>
      <c r="BL5" s="12"/>
      <c r="BM5" s="11"/>
      <c r="BN5" s="11"/>
      <c r="BO5" s="11"/>
      <c r="BP5" s="11"/>
      <c r="BQ5" s="11"/>
      <c r="BR5" s="11"/>
      <c r="BS5" s="11"/>
      <c r="BT5" s="11"/>
      <c r="BU5" s="11"/>
      <c r="BV5" s="13"/>
      <c r="BW5" s="11"/>
      <c r="BX5" s="11"/>
      <c r="BY5" s="11"/>
      <c r="BZ5" s="11"/>
      <c r="CA5" s="11"/>
      <c r="CB5" s="11"/>
      <c r="CC5" s="11"/>
      <c r="CD5" s="14"/>
      <c r="CE5" s="14"/>
      <c r="CF5" s="12"/>
      <c r="CG5" s="11"/>
      <c r="CH5" s="11"/>
      <c r="CI5" s="11"/>
      <c r="CJ5" s="11"/>
      <c r="CK5" s="11"/>
      <c r="CL5" s="11"/>
      <c r="CM5" s="11"/>
      <c r="CN5" s="11"/>
      <c r="CO5" s="11"/>
      <c r="CP5" s="11"/>
      <c r="CQ5" s="11"/>
      <c r="CR5" s="11"/>
      <c r="CS5" s="11"/>
      <c r="CT5" s="11"/>
      <c r="CU5" s="11"/>
      <c r="CV5" s="11"/>
      <c r="CW5" s="11"/>
      <c r="CX5" s="14"/>
      <c r="CY5" s="14"/>
      <c r="DA5" s="8"/>
      <c r="DP5" s="14"/>
      <c r="DQ5" s="14"/>
      <c r="DR5" s="9"/>
    </row>
    <row r="6" spans="1:138" s="5" customFormat="1" ht="17.25" customHeight="1" x14ac:dyDescent="0.3">
      <c r="A6" s="16"/>
      <c r="B6" s="1115" t="s">
        <v>4</v>
      </c>
      <c r="C6" s="1118" t="s">
        <v>5</v>
      </c>
      <c r="D6" s="1108" t="s">
        <v>6</v>
      </c>
      <c r="E6" s="1108"/>
      <c r="F6" s="1108"/>
      <c r="G6" s="1108"/>
      <c r="H6" s="1108"/>
      <c r="I6" s="1108"/>
      <c r="J6" s="1108"/>
      <c r="K6" s="1108"/>
      <c r="L6" s="1108"/>
      <c r="M6" s="1108"/>
      <c r="N6" s="1108"/>
      <c r="O6" s="1108"/>
      <c r="P6" s="1108"/>
      <c r="Q6" s="1108"/>
      <c r="R6" s="1108"/>
      <c r="S6" s="1108"/>
      <c r="T6" s="1108"/>
      <c r="U6" s="1108"/>
      <c r="V6" s="1108"/>
      <c r="W6" s="1121"/>
      <c r="X6" s="1107" t="s">
        <v>7</v>
      </c>
      <c r="Y6" s="1108"/>
      <c r="Z6" s="1108"/>
      <c r="AA6" s="1108"/>
      <c r="AB6" s="1108"/>
      <c r="AC6" s="1108"/>
      <c r="AD6" s="1108"/>
      <c r="AE6" s="1108"/>
      <c r="AF6" s="1108"/>
      <c r="AG6" s="1108"/>
      <c r="AH6" s="1108"/>
      <c r="AI6" s="1108"/>
      <c r="AJ6" s="1108"/>
      <c r="AK6" s="1108"/>
      <c r="AL6" s="1108"/>
      <c r="AM6" s="1108"/>
      <c r="AN6" s="1108"/>
      <c r="AO6" s="1108"/>
      <c r="AP6" s="1108"/>
      <c r="AQ6" s="1121"/>
      <c r="AR6" s="1107" t="s">
        <v>8</v>
      </c>
      <c r="AS6" s="1108"/>
      <c r="AT6" s="1108"/>
      <c r="AU6" s="1108"/>
      <c r="AV6" s="1108"/>
      <c r="AW6" s="1108"/>
      <c r="AX6" s="1108"/>
      <c r="AY6" s="1108"/>
      <c r="AZ6" s="1108"/>
      <c r="BA6" s="1108"/>
      <c r="BB6" s="1108"/>
      <c r="BC6" s="1108"/>
      <c r="BD6" s="1108"/>
      <c r="BE6" s="1108"/>
      <c r="BF6" s="1108"/>
      <c r="BG6" s="1108"/>
      <c r="BH6" s="1108"/>
      <c r="BI6" s="1108"/>
      <c r="BJ6" s="1108"/>
      <c r="BK6" s="18"/>
      <c r="BL6" s="1107" t="s">
        <v>9</v>
      </c>
      <c r="BM6" s="1108"/>
      <c r="BN6" s="1108"/>
      <c r="BO6" s="1108"/>
      <c r="BP6" s="1108"/>
      <c r="BQ6" s="1108"/>
      <c r="BR6" s="1108"/>
      <c r="BS6" s="1108"/>
      <c r="BT6" s="1108"/>
      <c r="BU6" s="1108"/>
      <c r="BV6" s="1108"/>
      <c r="BW6" s="1108"/>
      <c r="BX6" s="1108"/>
      <c r="BY6" s="1108"/>
      <c r="BZ6" s="1108"/>
      <c r="CA6" s="1108"/>
      <c r="CB6" s="1108"/>
      <c r="CC6" s="1109"/>
      <c r="CD6" s="17"/>
      <c r="CE6" s="18"/>
      <c r="CF6" s="1107" t="s">
        <v>10</v>
      </c>
      <c r="CG6" s="1108"/>
      <c r="CH6" s="1108"/>
      <c r="CI6" s="1108"/>
      <c r="CJ6" s="1108"/>
      <c r="CK6" s="1108"/>
      <c r="CL6" s="1108"/>
      <c r="CM6" s="1108"/>
      <c r="CN6" s="1108"/>
      <c r="CO6" s="1108"/>
      <c r="CP6" s="1108"/>
      <c r="CQ6" s="1108"/>
      <c r="CR6" s="1108"/>
      <c r="CS6" s="1108"/>
      <c r="CT6" s="1108"/>
      <c r="CU6" s="1108"/>
      <c r="CV6" s="1108"/>
      <c r="CW6" s="1109"/>
      <c r="CX6" s="19"/>
      <c r="CY6" s="18"/>
      <c r="CZ6" s="1110" t="s">
        <v>11</v>
      </c>
      <c r="DA6" s="1111"/>
      <c r="DB6" s="1111"/>
      <c r="DC6" s="1111"/>
      <c r="DD6" s="1111"/>
      <c r="DE6" s="1111"/>
      <c r="DF6" s="1111"/>
      <c r="DG6" s="1111"/>
      <c r="DH6" s="1111"/>
      <c r="DI6" s="1111"/>
      <c r="DJ6" s="1111"/>
      <c r="DK6" s="1111"/>
      <c r="DL6" s="1111"/>
      <c r="DM6" s="1111"/>
      <c r="DN6" s="1111"/>
      <c r="DO6" s="1111"/>
      <c r="DP6" s="21"/>
      <c r="DQ6" s="20"/>
      <c r="DR6" s="1110" t="s">
        <v>107</v>
      </c>
      <c r="DS6" s="1111"/>
      <c r="DT6" s="1111"/>
      <c r="DU6" s="1111"/>
      <c r="DV6" s="1111"/>
      <c r="DW6" s="1111"/>
      <c r="DX6" s="1111"/>
      <c r="DY6" s="1111"/>
      <c r="DZ6" s="1111"/>
      <c r="EA6" s="1111"/>
      <c r="EB6" s="1111"/>
      <c r="EC6" s="1111"/>
      <c r="ED6" s="1111"/>
      <c r="EE6" s="1111"/>
      <c r="EF6" s="1111"/>
      <c r="EG6" s="1112"/>
    </row>
    <row r="7" spans="1:138" ht="20.25" customHeight="1" x14ac:dyDescent="0.25">
      <c r="A7" s="1075" t="s">
        <v>13</v>
      </c>
      <c r="B7" s="1116"/>
      <c r="C7" s="1119"/>
      <c r="D7" s="1078" t="s">
        <v>14</v>
      </c>
      <c r="E7" s="1078"/>
      <c r="F7" s="1078"/>
      <c r="G7" s="1079"/>
      <c r="H7" s="1083" t="s">
        <v>15</v>
      </c>
      <c r="I7" s="1078"/>
      <c r="J7" s="1078"/>
      <c r="K7" s="1078"/>
      <c r="L7" s="1078"/>
      <c r="M7" s="1079"/>
      <c r="N7" s="1085"/>
      <c r="O7" s="1086"/>
      <c r="P7" s="1086"/>
      <c r="Q7" s="1086"/>
      <c r="R7" s="1086"/>
      <c r="S7" s="1086"/>
      <c r="T7" s="1086"/>
      <c r="U7" s="1086"/>
      <c r="V7" s="1086"/>
      <c r="W7" s="1087"/>
      <c r="X7" s="1077" t="s">
        <v>14</v>
      </c>
      <c r="Y7" s="1078"/>
      <c r="Z7" s="1078"/>
      <c r="AA7" s="1079"/>
      <c r="AB7" s="1083" t="s">
        <v>15</v>
      </c>
      <c r="AC7" s="1078"/>
      <c r="AD7" s="1078"/>
      <c r="AE7" s="1078"/>
      <c r="AF7" s="1078"/>
      <c r="AG7" s="1079"/>
      <c r="AH7" s="1085"/>
      <c r="AI7" s="1086"/>
      <c r="AJ7" s="1086"/>
      <c r="AK7" s="1086"/>
      <c r="AL7" s="1086"/>
      <c r="AM7" s="1086"/>
      <c r="AN7" s="1086"/>
      <c r="AO7" s="1086"/>
      <c r="AP7" s="1086"/>
      <c r="AQ7" s="1087"/>
      <c r="AR7" s="1077" t="s">
        <v>14</v>
      </c>
      <c r="AS7" s="1078"/>
      <c r="AT7" s="1078"/>
      <c r="AU7" s="1079"/>
      <c r="AV7" s="1083" t="s">
        <v>15</v>
      </c>
      <c r="AW7" s="1078"/>
      <c r="AX7" s="1078"/>
      <c r="AY7" s="1078"/>
      <c r="AZ7" s="1078"/>
      <c r="BA7" s="1079"/>
      <c r="BB7" s="1085"/>
      <c r="BC7" s="1086"/>
      <c r="BD7" s="1086"/>
      <c r="BE7" s="1086"/>
      <c r="BF7" s="1086"/>
      <c r="BG7" s="1086"/>
      <c r="BH7" s="1086"/>
      <c r="BI7" s="1086"/>
      <c r="BJ7" s="1086"/>
      <c r="BK7" s="1087"/>
      <c r="BL7" s="1077" t="s">
        <v>14</v>
      </c>
      <c r="BM7" s="1078"/>
      <c r="BN7" s="1078"/>
      <c r="BO7" s="1079"/>
      <c r="BP7" s="1083" t="s">
        <v>15</v>
      </c>
      <c r="BQ7" s="1078"/>
      <c r="BR7" s="1078"/>
      <c r="BS7" s="1078"/>
      <c r="BT7" s="1078"/>
      <c r="BU7" s="1079"/>
      <c r="BV7" s="1085"/>
      <c r="BW7" s="1086"/>
      <c r="BX7" s="1086"/>
      <c r="BY7" s="1086"/>
      <c r="BZ7" s="1086"/>
      <c r="CA7" s="1086"/>
      <c r="CB7" s="1086"/>
      <c r="CC7" s="1086"/>
      <c r="CD7" s="1086"/>
      <c r="CE7" s="1087"/>
      <c r="CF7" s="1077" t="s">
        <v>14</v>
      </c>
      <c r="CG7" s="1078"/>
      <c r="CH7" s="1078"/>
      <c r="CI7" s="1079"/>
      <c r="CJ7" s="1083" t="s">
        <v>15</v>
      </c>
      <c r="CK7" s="1078"/>
      <c r="CL7" s="1078"/>
      <c r="CM7" s="1078"/>
      <c r="CN7" s="1078"/>
      <c r="CO7" s="1079"/>
      <c r="CP7" s="1085"/>
      <c r="CQ7" s="1086"/>
      <c r="CR7" s="1086"/>
      <c r="CS7" s="1086"/>
      <c r="CT7" s="1086"/>
      <c r="CU7" s="1086"/>
      <c r="CV7" s="1086"/>
      <c r="CW7" s="1086"/>
      <c r="CX7" s="1086"/>
      <c r="CY7" s="1087"/>
      <c r="CZ7" s="1092" t="s">
        <v>16</v>
      </c>
      <c r="DA7" s="1067"/>
      <c r="DB7" s="1067"/>
      <c r="DC7" s="1093"/>
      <c r="DD7" s="1091" t="s">
        <v>15</v>
      </c>
      <c r="DE7" s="1067"/>
      <c r="DF7" s="1067"/>
      <c r="DG7" s="1093"/>
      <c r="DH7" s="1091" t="s">
        <v>17</v>
      </c>
      <c r="DI7" s="1067"/>
      <c r="DJ7" s="1067"/>
      <c r="DK7" s="1067"/>
      <c r="DL7" s="1067"/>
      <c r="DM7" s="1067"/>
      <c r="DN7" s="1067"/>
      <c r="DO7" s="1067"/>
      <c r="DP7" s="1083" t="s">
        <v>18</v>
      </c>
      <c r="DQ7" s="1078"/>
      <c r="DR7" s="1127" t="s">
        <v>16</v>
      </c>
      <c r="DS7" s="1127"/>
      <c r="DT7" s="1127" t="s">
        <v>17</v>
      </c>
      <c r="DU7" s="1127"/>
      <c r="DV7" s="1127"/>
      <c r="DW7" s="1127"/>
      <c r="DX7" s="1127"/>
      <c r="DY7" s="1127"/>
      <c r="DZ7" s="1127"/>
      <c r="EA7" s="1127"/>
      <c r="EB7" s="1127"/>
      <c r="EC7" s="1127"/>
      <c r="ED7" s="1127"/>
      <c r="EE7" s="1127"/>
      <c r="EF7" s="1125" t="s">
        <v>19</v>
      </c>
      <c r="EG7" s="1126"/>
    </row>
    <row r="8" spans="1:138" ht="20.25" customHeight="1" x14ac:dyDescent="0.25">
      <c r="A8" s="1075"/>
      <c r="B8" s="1116"/>
      <c r="C8" s="1119"/>
      <c r="D8" s="1081"/>
      <c r="E8" s="1081"/>
      <c r="F8" s="1081"/>
      <c r="G8" s="1082"/>
      <c r="H8" s="1084"/>
      <c r="I8" s="1081"/>
      <c r="J8" s="1081"/>
      <c r="K8" s="1081"/>
      <c r="L8" s="1081"/>
      <c r="M8" s="1082"/>
      <c r="N8" s="1084" t="s">
        <v>20</v>
      </c>
      <c r="O8" s="1081"/>
      <c r="P8" s="1081"/>
      <c r="Q8" s="1082"/>
      <c r="R8" s="1084" t="s">
        <v>21</v>
      </c>
      <c r="S8" s="1081"/>
      <c r="T8" s="1081"/>
      <c r="U8" s="1082"/>
      <c r="V8" s="1088" t="s">
        <v>22</v>
      </c>
      <c r="W8" s="1089"/>
      <c r="X8" s="1080"/>
      <c r="Y8" s="1081"/>
      <c r="Z8" s="1081"/>
      <c r="AA8" s="1082"/>
      <c r="AB8" s="1084"/>
      <c r="AC8" s="1081"/>
      <c r="AD8" s="1081"/>
      <c r="AE8" s="1081"/>
      <c r="AF8" s="1081"/>
      <c r="AG8" s="1082"/>
      <c r="AH8" s="1084" t="s">
        <v>20</v>
      </c>
      <c r="AI8" s="1081"/>
      <c r="AJ8" s="1081"/>
      <c r="AK8" s="1082"/>
      <c r="AL8" s="1084" t="s">
        <v>21</v>
      </c>
      <c r="AM8" s="1081"/>
      <c r="AN8" s="1081"/>
      <c r="AO8" s="1082"/>
      <c r="AP8" s="1088" t="s">
        <v>22</v>
      </c>
      <c r="AQ8" s="1089"/>
      <c r="AR8" s="1080"/>
      <c r="AS8" s="1081"/>
      <c r="AT8" s="1081"/>
      <c r="AU8" s="1082"/>
      <c r="AV8" s="1084"/>
      <c r="AW8" s="1081"/>
      <c r="AX8" s="1081"/>
      <c r="AY8" s="1081"/>
      <c r="AZ8" s="1081"/>
      <c r="BA8" s="1082"/>
      <c r="BB8" s="1084" t="s">
        <v>20</v>
      </c>
      <c r="BC8" s="1081"/>
      <c r="BD8" s="1081"/>
      <c r="BE8" s="1082"/>
      <c r="BF8" s="1084" t="s">
        <v>21</v>
      </c>
      <c r="BG8" s="1081"/>
      <c r="BH8" s="1081"/>
      <c r="BI8" s="1082"/>
      <c r="BJ8" s="1088" t="s">
        <v>22</v>
      </c>
      <c r="BK8" s="1089"/>
      <c r="BL8" s="1080"/>
      <c r="BM8" s="1081"/>
      <c r="BN8" s="1081"/>
      <c r="BO8" s="1082"/>
      <c r="BP8" s="1084"/>
      <c r="BQ8" s="1081"/>
      <c r="BR8" s="1081"/>
      <c r="BS8" s="1081"/>
      <c r="BT8" s="1081"/>
      <c r="BU8" s="1082"/>
      <c r="BV8" s="1084" t="s">
        <v>20</v>
      </c>
      <c r="BW8" s="1081"/>
      <c r="BX8" s="1081"/>
      <c r="BY8" s="1082"/>
      <c r="BZ8" s="1084" t="s">
        <v>21</v>
      </c>
      <c r="CA8" s="1081"/>
      <c r="CB8" s="1081"/>
      <c r="CC8" s="1082"/>
      <c r="CD8" s="1088" t="s">
        <v>22</v>
      </c>
      <c r="CE8" s="1089"/>
      <c r="CF8" s="1080"/>
      <c r="CG8" s="1081"/>
      <c r="CH8" s="1081"/>
      <c r="CI8" s="1082"/>
      <c r="CJ8" s="1084"/>
      <c r="CK8" s="1081"/>
      <c r="CL8" s="1081"/>
      <c r="CM8" s="1081"/>
      <c r="CN8" s="1081"/>
      <c r="CO8" s="1082"/>
      <c r="CP8" s="1084" t="s">
        <v>20</v>
      </c>
      <c r="CQ8" s="1081"/>
      <c r="CR8" s="1081"/>
      <c r="CS8" s="1082"/>
      <c r="CT8" s="1084" t="s">
        <v>21</v>
      </c>
      <c r="CU8" s="1081"/>
      <c r="CV8" s="1081"/>
      <c r="CW8" s="1082"/>
      <c r="CX8" s="1088" t="s">
        <v>22</v>
      </c>
      <c r="CY8" s="1089"/>
      <c r="CZ8" s="1099" t="s">
        <v>23</v>
      </c>
      <c r="DA8" s="1095"/>
      <c r="DB8" s="1094" t="s">
        <v>24</v>
      </c>
      <c r="DC8" s="1095"/>
      <c r="DD8" s="1094" t="s">
        <v>25</v>
      </c>
      <c r="DE8" s="1095"/>
      <c r="DF8" s="1094" t="s">
        <v>26</v>
      </c>
      <c r="DG8" s="1095"/>
      <c r="DH8" s="1091" t="s">
        <v>20</v>
      </c>
      <c r="DI8" s="1067"/>
      <c r="DJ8" s="1067"/>
      <c r="DK8" s="1093"/>
      <c r="DL8" s="1091" t="s">
        <v>27</v>
      </c>
      <c r="DM8" s="1067"/>
      <c r="DN8" s="1067"/>
      <c r="DO8" s="1067"/>
      <c r="DP8" s="1088"/>
      <c r="DQ8" s="1128"/>
      <c r="DR8" s="1127"/>
      <c r="DS8" s="1127"/>
      <c r="DT8" s="1127" t="s">
        <v>28</v>
      </c>
      <c r="DU8" s="1127"/>
      <c r="DV8" s="1127" t="s">
        <v>29</v>
      </c>
      <c r="DW8" s="1127"/>
      <c r="DX8" s="1127" t="s">
        <v>20</v>
      </c>
      <c r="DY8" s="1127"/>
      <c r="DZ8" s="1127"/>
      <c r="EA8" s="1127"/>
      <c r="EB8" s="1127" t="s">
        <v>27</v>
      </c>
      <c r="EC8" s="1127"/>
      <c r="ED8" s="1127"/>
      <c r="EE8" s="1127"/>
      <c r="EF8" s="1125"/>
      <c r="EG8" s="1126"/>
    </row>
    <row r="9" spans="1:138" ht="56.25" customHeight="1" x14ac:dyDescent="0.25">
      <c r="A9" s="1075"/>
      <c r="B9" s="1116"/>
      <c r="C9" s="1119"/>
      <c r="D9" s="1131" t="s">
        <v>23</v>
      </c>
      <c r="E9" s="1106"/>
      <c r="F9" s="1085" t="s">
        <v>24</v>
      </c>
      <c r="G9" s="1104"/>
      <c r="H9" s="1084" t="s">
        <v>30</v>
      </c>
      <c r="I9" s="1082"/>
      <c r="J9" s="1084" t="s">
        <v>25</v>
      </c>
      <c r="K9" s="1082"/>
      <c r="L9" s="1084" t="s">
        <v>26</v>
      </c>
      <c r="M9" s="1082"/>
      <c r="N9" s="1085" t="s">
        <v>25</v>
      </c>
      <c r="O9" s="1104"/>
      <c r="P9" s="1085" t="s">
        <v>26</v>
      </c>
      <c r="Q9" s="1104"/>
      <c r="R9" s="1085" t="s">
        <v>25</v>
      </c>
      <c r="S9" s="1104"/>
      <c r="T9" s="1085" t="s">
        <v>26</v>
      </c>
      <c r="U9" s="1104"/>
      <c r="V9" s="1084"/>
      <c r="W9" s="1090"/>
      <c r="X9" s="1105" t="s">
        <v>23</v>
      </c>
      <c r="Y9" s="1106"/>
      <c r="Z9" s="1085" t="s">
        <v>24</v>
      </c>
      <c r="AA9" s="1104"/>
      <c r="AB9" s="1084" t="s">
        <v>30</v>
      </c>
      <c r="AC9" s="1082"/>
      <c r="AD9" s="1084" t="s">
        <v>25</v>
      </c>
      <c r="AE9" s="1082"/>
      <c r="AF9" s="1084" t="s">
        <v>26</v>
      </c>
      <c r="AG9" s="1082"/>
      <c r="AH9" s="1085" t="s">
        <v>25</v>
      </c>
      <c r="AI9" s="1104"/>
      <c r="AJ9" s="1085" t="s">
        <v>26</v>
      </c>
      <c r="AK9" s="1104"/>
      <c r="AL9" s="1085" t="s">
        <v>25</v>
      </c>
      <c r="AM9" s="1104"/>
      <c r="AN9" s="1085" t="s">
        <v>26</v>
      </c>
      <c r="AO9" s="1104"/>
      <c r="AP9" s="1084"/>
      <c r="AQ9" s="1090"/>
      <c r="AR9" s="1105" t="s">
        <v>23</v>
      </c>
      <c r="AS9" s="1106"/>
      <c r="AT9" s="1085" t="s">
        <v>24</v>
      </c>
      <c r="AU9" s="1104"/>
      <c r="AV9" s="1084" t="s">
        <v>30</v>
      </c>
      <c r="AW9" s="1082"/>
      <c r="AX9" s="1084" t="s">
        <v>25</v>
      </c>
      <c r="AY9" s="1082"/>
      <c r="AZ9" s="1084" t="s">
        <v>26</v>
      </c>
      <c r="BA9" s="1082"/>
      <c r="BB9" s="1085" t="s">
        <v>25</v>
      </c>
      <c r="BC9" s="1104"/>
      <c r="BD9" s="1085" t="s">
        <v>26</v>
      </c>
      <c r="BE9" s="1104"/>
      <c r="BF9" s="1085" t="s">
        <v>25</v>
      </c>
      <c r="BG9" s="1104"/>
      <c r="BH9" s="1085" t="s">
        <v>26</v>
      </c>
      <c r="BI9" s="1104"/>
      <c r="BJ9" s="1084"/>
      <c r="BK9" s="1090"/>
      <c r="BL9" s="1105" t="s">
        <v>23</v>
      </c>
      <c r="BM9" s="1106"/>
      <c r="BN9" s="1085" t="s">
        <v>24</v>
      </c>
      <c r="BO9" s="1104"/>
      <c r="BP9" s="1084" t="s">
        <v>30</v>
      </c>
      <c r="BQ9" s="1082"/>
      <c r="BR9" s="1084" t="s">
        <v>25</v>
      </c>
      <c r="BS9" s="1082"/>
      <c r="BT9" s="1084" t="s">
        <v>26</v>
      </c>
      <c r="BU9" s="1082"/>
      <c r="BV9" s="1085" t="s">
        <v>25</v>
      </c>
      <c r="BW9" s="1104"/>
      <c r="BX9" s="1085" t="s">
        <v>26</v>
      </c>
      <c r="BY9" s="1104"/>
      <c r="BZ9" s="1085" t="s">
        <v>25</v>
      </c>
      <c r="CA9" s="1104"/>
      <c r="CB9" s="1085" t="s">
        <v>26</v>
      </c>
      <c r="CC9" s="1104"/>
      <c r="CD9" s="1084"/>
      <c r="CE9" s="1090"/>
      <c r="CF9" s="1105" t="s">
        <v>23</v>
      </c>
      <c r="CG9" s="1106"/>
      <c r="CH9" s="1085" t="s">
        <v>24</v>
      </c>
      <c r="CI9" s="1104"/>
      <c r="CJ9" s="1084" t="s">
        <v>30</v>
      </c>
      <c r="CK9" s="1082"/>
      <c r="CL9" s="1084" t="s">
        <v>25</v>
      </c>
      <c r="CM9" s="1082"/>
      <c r="CN9" s="1084" t="s">
        <v>26</v>
      </c>
      <c r="CO9" s="1082"/>
      <c r="CP9" s="1085" t="s">
        <v>25</v>
      </c>
      <c r="CQ9" s="1104"/>
      <c r="CR9" s="1085" t="s">
        <v>26</v>
      </c>
      <c r="CS9" s="1104"/>
      <c r="CT9" s="1085" t="s">
        <v>25</v>
      </c>
      <c r="CU9" s="1104"/>
      <c r="CV9" s="1085" t="s">
        <v>26</v>
      </c>
      <c r="CW9" s="1104"/>
      <c r="CX9" s="1084"/>
      <c r="CY9" s="1090"/>
      <c r="CZ9" s="1102"/>
      <c r="DA9" s="1097"/>
      <c r="DB9" s="1096"/>
      <c r="DC9" s="1097"/>
      <c r="DD9" s="1096"/>
      <c r="DE9" s="1097"/>
      <c r="DF9" s="1096"/>
      <c r="DG9" s="1097"/>
      <c r="DH9" s="1091" t="s">
        <v>25</v>
      </c>
      <c r="DI9" s="1093"/>
      <c r="DJ9" s="1091" t="s">
        <v>26</v>
      </c>
      <c r="DK9" s="1093"/>
      <c r="DL9" s="1091" t="s">
        <v>25</v>
      </c>
      <c r="DM9" s="1093"/>
      <c r="DN9" s="1091" t="s">
        <v>26</v>
      </c>
      <c r="DO9" s="1067"/>
      <c r="DP9" s="1084"/>
      <c r="DQ9" s="1081"/>
      <c r="DR9" s="1127"/>
      <c r="DS9" s="1127"/>
      <c r="DT9" s="1127"/>
      <c r="DU9" s="1127"/>
      <c r="DV9" s="1127"/>
      <c r="DW9" s="1127"/>
      <c r="DX9" s="1127" t="s">
        <v>25</v>
      </c>
      <c r="DY9" s="1127"/>
      <c r="DZ9" s="1127" t="s">
        <v>26</v>
      </c>
      <c r="EA9" s="1127"/>
      <c r="EB9" s="1127" t="s">
        <v>25</v>
      </c>
      <c r="EC9" s="1127"/>
      <c r="ED9" s="1127" t="s">
        <v>26</v>
      </c>
      <c r="EE9" s="1127"/>
      <c r="EF9" s="1125"/>
      <c r="EG9" s="1126"/>
    </row>
    <row r="10" spans="1:138" s="5" customFormat="1" ht="29.25" customHeight="1" x14ac:dyDescent="0.25">
      <c r="A10" s="1075"/>
      <c r="B10" s="1116"/>
      <c r="C10" s="1119"/>
      <c r="D10" s="1002" t="s">
        <v>31</v>
      </c>
      <c r="E10" s="33" t="s">
        <v>32</v>
      </c>
      <c r="F10" s="34" t="s">
        <v>31</v>
      </c>
      <c r="G10" s="35" t="s">
        <v>32</v>
      </c>
      <c r="H10" s="25" t="s">
        <v>31</v>
      </c>
      <c r="I10" s="25" t="s">
        <v>33</v>
      </c>
      <c r="J10" s="25" t="s">
        <v>31</v>
      </c>
      <c r="K10" s="25" t="s">
        <v>33</v>
      </c>
      <c r="L10" s="25" t="s">
        <v>31</v>
      </c>
      <c r="M10" s="34" t="s">
        <v>33</v>
      </c>
      <c r="N10" s="25" t="s">
        <v>31</v>
      </c>
      <c r="O10" s="36" t="s">
        <v>33</v>
      </c>
      <c r="P10" s="25" t="s">
        <v>31</v>
      </c>
      <c r="Q10" s="34" t="s">
        <v>33</v>
      </c>
      <c r="R10" s="26" t="s">
        <v>31</v>
      </c>
      <c r="S10" s="25" t="s">
        <v>33</v>
      </c>
      <c r="T10" s="25" t="s">
        <v>31</v>
      </c>
      <c r="U10" s="37" t="s">
        <v>33</v>
      </c>
      <c r="V10" s="26" t="s">
        <v>31</v>
      </c>
      <c r="W10" s="38" t="s">
        <v>33</v>
      </c>
      <c r="X10" s="32" t="s">
        <v>31</v>
      </c>
      <c r="Y10" s="33" t="s">
        <v>32</v>
      </c>
      <c r="Z10" s="34" t="s">
        <v>31</v>
      </c>
      <c r="AA10" s="35" t="s">
        <v>32</v>
      </c>
      <c r="AB10" s="25" t="s">
        <v>31</v>
      </c>
      <c r="AC10" s="25" t="s">
        <v>33</v>
      </c>
      <c r="AD10" s="25" t="s">
        <v>31</v>
      </c>
      <c r="AE10" s="25" t="s">
        <v>33</v>
      </c>
      <c r="AF10" s="25" t="s">
        <v>31</v>
      </c>
      <c r="AG10" s="34" t="s">
        <v>33</v>
      </c>
      <c r="AH10" s="25" t="s">
        <v>31</v>
      </c>
      <c r="AI10" s="36" t="s">
        <v>33</v>
      </c>
      <c r="AJ10" s="25" t="s">
        <v>31</v>
      </c>
      <c r="AK10" s="34" t="s">
        <v>33</v>
      </c>
      <c r="AL10" s="26" t="s">
        <v>31</v>
      </c>
      <c r="AM10" s="25" t="s">
        <v>33</v>
      </c>
      <c r="AN10" s="25" t="s">
        <v>31</v>
      </c>
      <c r="AO10" s="37" t="s">
        <v>33</v>
      </c>
      <c r="AP10" s="26" t="s">
        <v>31</v>
      </c>
      <c r="AQ10" s="38" t="s">
        <v>33</v>
      </c>
      <c r="AR10" s="32" t="s">
        <v>31</v>
      </c>
      <c r="AS10" s="33" t="s">
        <v>32</v>
      </c>
      <c r="AT10" s="34" t="s">
        <v>31</v>
      </c>
      <c r="AU10" s="35" t="s">
        <v>32</v>
      </c>
      <c r="AV10" s="25" t="s">
        <v>31</v>
      </c>
      <c r="AW10" s="25" t="s">
        <v>33</v>
      </c>
      <c r="AX10" s="25" t="s">
        <v>31</v>
      </c>
      <c r="AY10" s="25" t="s">
        <v>33</v>
      </c>
      <c r="AZ10" s="25" t="s">
        <v>31</v>
      </c>
      <c r="BA10" s="34" t="s">
        <v>33</v>
      </c>
      <c r="BB10" s="25" t="s">
        <v>31</v>
      </c>
      <c r="BC10" s="36" t="s">
        <v>33</v>
      </c>
      <c r="BD10" s="25" t="s">
        <v>31</v>
      </c>
      <c r="BE10" s="34" t="s">
        <v>33</v>
      </c>
      <c r="BF10" s="26" t="s">
        <v>31</v>
      </c>
      <c r="BG10" s="25" t="s">
        <v>33</v>
      </c>
      <c r="BH10" s="25" t="s">
        <v>31</v>
      </c>
      <c r="BI10" s="37" t="s">
        <v>33</v>
      </c>
      <c r="BJ10" s="26" t="s">
        <v>31</v>
      </c>
      <c r="BK10" s="38" t="s">
        <v>33</v>
      </c>
      <c r="BL10" s="32" t="s">
        <v>31</v>
      </c>
      <c r="BM10" s="33" t="s">
        <v>32</v>
      </c>
      <c r="BN10" s="34" t="s">
        <v>31</v>
      </c>
      <c r="BO10" s="35" t="s">
        <v>32</v>
      </c>
      <c r="BP10" s="25" t="s">
        <v>31</v>
      </c>
      <c r="BQ10" s="25" t="s">
        <v>33</v>
      </c>
      <c r="BR10" s="25" t="s">
        <v>31</v>
      </c>
      <c r="BS10" s="25" t="s">
        <v>33</v>
      </c>
      <c r="BT10" s="25" t="s">
        <v>31</v>
      </c>
      <c r="BU10" s="34" t="s">
        <v>33</v>
      </c>
      <c r="BV10" s="25" t="s">
        <v>31</v>
      </c>
      <c r="BW10" s="36" t="s">
        <v>33</v>
      </c>
      <c r="BX10" s="25" t="s">
        <v>31</v>
      </c>
      <c r="BY10" s="34" t="s">
        <v>33</v>
      </c>
      <c r="BZ10" s="26" t="s">
        <v>31</v>
      </c>
      <c r="CA10" s="25" t="s">
        <v>33</v>
      </c>
      <c r="CB10" s="25" t="s">
        <v>31</v>
      </c>
      <c r="CC10" s="37" t="s">
        <v>33</v>
      </c>
      <c r="CD10" s="26" t="s">
        <v>31</v>
      </c>
      <c r="CE10" s="38" t="s">
        <v>33</v>
      </c>
      <c r="CF10" s="32" t="s">
        <v>31</v>
      </c>
      <c r="CG10" s="33" t="s">
        <v>32</v>
      </c>
      <c r="CH10" s="34" t="s">
        <v>31</v>
      </c>
      <c r="CI10" s="35" t="s">
        <v>32</v>
      </c>
      <c r="CJ10" s="25" t="s">
        <v>31</v>
      </c>
      <c r="CK10" s="25" t="s">
        <v>33</v>
      </c>
      <c r="CL10" s="25" t="s">
        <v>31</v>
      </c>
      <c r="CM10" s="25" t="s">
        <v>33</v>
      </c>
      <c r="CN10" s="25" t="s">
        <v>31</v>
      </c>
      <c r="CO10" s="34" t="s">
        <v>33</v>
      </c>
      <c r="CP10" s="25" t="s">
        <v>31</v>
      </c>
      <c r="CQ10" s="36" t="s">
        <v>33</v>
      </c>
      <c r="CR10" s="25" t="s">
        <v>31</v>
      </c>
      <c r="CS10" s="34" t="s">
        <v>33</v>
      </c>
      <c r="CT10" s="26" t="s">
        <v>31</v>
      </c>
      <c r="CU10" s="25" t="s">
        <v>33</v>
      </c>
      <c r="CV10" s="25" t="s">
        <v>31</v>
      </c>
      <c r="CW10" s="37" t="s">
        <v>33</v>
      </c>
      <c r="CX10" s="26" t="s">
        <v>31</v>
      </c>
      <c r="CY10" s="38" t="s">
        <v>33</v>
      </c>
      <c r="CZ10" s="39" t="s">
        <v>31</v>
      </c>
      <c r="DA10" s="40" t="s">
        <v>33</v>
      </c>
      <c r="DB10" s="41" t="s">
        <v>31</v>
      </c>
      <c r="DC10" s="41" t="s">
        <v>33</v>
      </c>
      <c r="DD10" s="31" t="s">
        <v>34</v>
      </c>
      <c r="DE10" s="31" t="s">
        <v>33</v>
      </c>
      <c r="DF10" s="31" t="s">
        <v>34</v>
      </c>
      <c r="DG10" s="31" t="s">
        <v>33</v>
      </c>
      <c r="DH10" s="27" t="s">
        <v>31</v>
      </c>
      <c r="DI10" s="42" t="s">
        <v>33</v>
      </c>
      <c r="DJ10" s="30" t="s">
        <v>31</v>
      </c>
      <c r="DK10" s="43" t="s">
        <v>33</v>
      </c>
      <c r="DL10" s="31" t="s">
        <v>31</v>
      </c>
      <c r="DM10" s="41" t="s">
        <v>33</v>
      </c>
      <c r="DN10" s="30" t="s">
        <v>31</v>
      </c>
      <c r="DO10" s="28" t="s">
        <v>33</v>
      </c>
      <c r="DP10" s="25" t="s">
        <v>31</v>
      </c>
      <c r="DQ10" s="25" t="s">
        <v>33</v>
      </c>
      <c r="DR10" s="1129" t="s">
        <v>108</v>
      </c>
      <c r="DS10" s="1129"/>
      <c r="DT10" s="1129" t="s">
        <v>108</v>
      </c>
      <c r="DU10" s="1129"/>
      <c r="DV10" s="1129"/>
      <c r="DW10" s="1129"/>
      <c r="DX10" s="1129" t="s">
        <v>108</v>
      </c>
      <c r="DY10" s="1129"/>
      <c r="DZ10" s="1129" t="s">
        <v>108</v>
      </c>
      <c r="EA10" s="1129"/>
      <c r="EB10" s="1129" t="s">
        <v>108</v>
      </c>
      <c r="EC10" s="1129"/>
      <c r="ED10" s="1129" t="s">
        <v>108</v>
      </c>
      <c r="EE10" s="1129"/>
      <c r="EF10" s="1129" t="s">
        <v>108</v>
      </c>
      <c r="EG10" s="1130"/>
      <c r="EH10"/>
    </row>
    <row r="11" spans="1:138" s="5" customFormat="1" ht="25" x14ac:dyDescent="0.25">
      <c r="A11" s="1075"/>
      <c r="B11" s="1116"/>
      <c r="C11" s="1119"/>
      <c r="D11" s="1003" t="s">
        <v>36</v>
      </c>
      <c r="E11" s="45" t="s">
        <v>36</v>
      </c>
      <c r="F11" s="46" t="s">
        <v>37</v>
      </c>
      <c r="G11" s="47" t="s">
        <v>37</v>
      </c>
      <c r="H11" s="24" t="s">
        <v>38</v>
      </c>
      <c r="I11" s="48" t="s">
        <v>38</v>
      </c>
      <c r="J11" s="22" t="s">
        <v>38</v>
      </c>
      <c r="K11" s="24" t="s">
        <v>38</v>
      </c>
      <c r="L11" s="24" t="s">
        <v>38</v>
      </c>
      <c r="M11" s="48" t="s">
        <v>38</v>
      </c>
      <c r="N11" s="49" t="s">
        <v>38</v>
      </c>
      <c r="O11" s="50" t="s">
        <v>38</v>
      </c>
      <c r="P11" s="22" t="s">
        <v>38</v>
      </c>
      <c r="Q11" s="48" t="s">
        <v>38</v>
      </c>
      <c r="R11" s="22" t="s">
        <v>38</v>
      </c>
      <c r="S11" s="24" t="s">
        <v>38</v>
      </c>
      <c r="T11" s="24" t="s">
        <v>38</v>
      </c>
      <c r="U11" s="51" t="s">
        <v>38</v>
      </c>
      <c r="V11" s="23" t="s">
        <v>38</v>
      </c>
      <c r="W11" s="29" t="s">
        <v>38</v>
      </c>
      <c r="X11" s="44" t="s">
        <v>36</v>
      </c>
      <c r="Y11" s="45" t="s">
        <v>36</v>
      </c>
      <c r="Z11" s="46" t="s">
        <v>37</v>
      </c>
      <c r="AA11" s="47" t="s">
        <v>37</v>
      </c>
      <c r="AB11" s="24" t="s">
        <v>38</v>
      </c>
      <c r="AC11" s="48" t="s">
        <v>38</v>
      </c>
      <c r="AD11" s="22" t="s">
        <v>38</v>
      </c>
      <c r="AE11" s="24" t="s">
        <v>38</v>
      </c>
      <c r="AF11" s="24" t="s">
        <v>38</v>
      </c>
      <c r="AG11" s="48" t="s">
        <v>38</v>
      </c>
      <c r="AH11" s="49" t="s">
        <v>38</v>
      </c>
      <c r="AI11" s="50" t="s">
        <v>38</v>
      </c>
      <c r="AJ11" s="22" t="s">
        <v>38</v>
      </c>
      <c r="AK11" s="48" t="s">
        <v>38</v>
      </c>
      <c r="AL11" s="22" t="s">
        <v>38</v>
      </c>
      <c r="AM11" s="24" t="s">
        <v>38</v>
      </c>
      <c r="AN11" s="24" t="s">
        <v>38</v>
      </c>
      <c r="AO11" s="51" t="s">
        <v>38</v>
      </c>
      <c r="AP11" s="23" t="s">
        <v>38</v>
      </c>
      <c r="AQ11" s="29" t="s">
        <v>38</v>
      </c>
      <c r="AR11" s="44" t="s">
        <v>36</v>
      </c>
      <c r="AS11" s="45" t="s">
        <v>36</v>
      </c>
      <c r="AT11" s="46" t="s">
        <v>37</v>
      </c>
      <c r="AU11" s="47" t="s">
        <v>37</v>
      </c>
      <c r="AV11" s="24" t="s">
        <v>38</v>
      </c>
      <c r="AW11" s="48" t="s">
        <v>38</v>
      </c>
      <c r="AX11" s="22" t="s">
        <v>38</v>
      </c>
      <c r="AY11" s="24" t="s">
        <v>38</v>
      </c>
      <c r="AZ11" s="24" t="s">
        <v>38</v>
      </c>
      <c r="BA11" s="48" t="s">
        <v>38</v>
      </c>
      <c r="BB11" s="49" t="s">
        <v>38</v>
      </c>
      <c r="BC11" s="50" t="s">
        <v>38</v>
      </c>
      <c r="BD11" s="22" t="s">
        <v>38</v>
      </c>
      <c r="BE11" s="48" t="s">
        <v>38</v>
      </c>
      <c r="BF11" s="22" t="s">
        <v>38</v>
      </c>
      <c r="BG11" s="24" t="s">
        <v>38</v>
      </c>
      <c r="BH11" s="24" t="s">
        <v>38</v>
      </c>
      <c r="BI11" s="51" t="s">
        <v>38</v>
      </c>
      <c r="BJ11" s="23" t="s">
        <v>38</v>
      </c>
      <c r="BK11" s="29" t="s">
        <v>38</v>
      </c>
      <c r="BL11" s="44" t="s">
        <v>36</v>
      </c>
      <c r="BM11" s="45" t="s">
        <v>36</v>
      </c>
      <c r="BN11" s="46" t="s">
        <v>37</v>
      </c>
      <c r="BO11" s="47" t="s">
        <v>37</v>
      </c>
      <c r="BP11" s="24" t="s">
        <v>38</v>
      </c>
      <c r="BQ11" s="48" t="s">
        <v>38</v>
      </c>
      <c r="BR11" s="22" t="s">
        <v>38</v>
      </c>
      <c r="BS11" s="24" t="s">
        <v>38</v>
      </c>
      <c r="BT11" s="24" t="s">
        <v>38</v>
      </c>
      <c r="BU11" s="48" t="s">
        <v>38</v>
      </c>
      <c r="BV11" s="49" t="s">
        <v>38</v>
      </c>
      <c r="BW11" s="50" t="s">
        <v>38</v>
      </c>
      <c r="BX11" s="22" t="s">
        <v>38</v>
      </c>
      <c r="BY11" s="48" t="s">
        <v>38</v>
      </c>
      <c r="BZ11" s="22" t="s">
        <v>38</v>
      </c>
      <c r="CA11" s="24" t="s">
        <v>38</v>
      </c>
      <c r="CB11" s="24" t="s">
        <v>38</v>
      </c>
      <c r="CC11" s="51" t="s">
        <v>38</v>
      </c>
      <c r="CD11" s="23" t="s">
        <v>38</v>
      </c>
      <c r="CE11" s="29" t="s">
        <v>38</v>
      </c>
      <c r="CF11" s="44" t="s">
        <v>36</v>
      </c>
      <c r="CG11" s="45" t="s">
        <v>36</v>
      </c>
      <c r="CH11" s="46" t="s">
        <v>37</v>
      </c>
      <c r="CI11" s="47" t="s">
        <v>37</v>
      </c>
      <c r="CJ11" s="24" t="s">
        <v>38</v>
      </c>
      <c r="CK11" s="48" t="s">
        <v>38</v>
      </c>
      <c r="CL11" s="22" t="s">
        <v>38</v>
      </c>
      <c r="CM11" s="24" t="s">
        <v>38</v>
      </c>
      <c r="CN11" s="24" t="s">
        <v>38</v>
      </c>
      <c r="CO11" s="48" t="s">
        <v>38</v>
      </c>
      <c r="CP11" s="49" t="s">
        <v>38</v>
      </c>
      <c r="CQ11" s="50" t="s">
        <v>38</v>
      </c>
      <c r="CR11" s="22" t="s">
        <v>38</v>
      </c>
      <c r="CS11" s="48" t="s">
        <v>38</v>
      </c>
      <c r="CT11" s="22" t="s">
        <v>38</v>
      </c>
      <c r="CU11" s="24" t="s">
        <v>38</v>
      </c>
      <c r="CV11" s="24" t="s">
        <v>38</v>
      </c>
      <c r="CW11" s="51" t="s">
        <v>38</v>
      </c>
      <c r="CX11" s="23" t="s">
        <v>38</v>
      </c>
      <c r="CY11" s="29" t="s">
        <v>38</v>
      </c>
      <c r="CZ11" s="843" t="s">
        <v>39</v>
      </c>
      <c r="DA11" s="844" t="s">
        <v>39</v>
      </c>
      <c r="DB11" s="842" t="s">
        <v>37</v>
      </c>
      <c r="DC11" s="842" t="s">
        <v>37</v>
      </c>
      <c r="DD11" s="798" t="s">
        <v>40</v>
      </c>
      <c r="DE11" s="842" t="s">
        <v>40</v>
      </c>
      <c r="DF11" s="842" t="s">
        <v>40</v>
      </c>
      <c r="DG11" s="842" t="s">
        <v>40</v>
      </c>
      <c r="DH11" s="798" t="s">
        <v>40</v>
      </c>
      <c r="DI11" s="842" t="s">
        <v>40</v>
      </c>
      <c r="DJ11" s="842" t="s">
        <v>40</v>
      </c>
      <c r="DK11" s="842" t="s">
        <v>40</v>
      </c>
      <c r="DL11" s="798" t="s">
        <v>40</v>
      </c>
      <c r="DM11" s="842" t="s">
        <v>40</v>
      </c>
      <c r="DN11" s="842" t="s">
        <v>40</v>
      </c>
      <c r="DO11" s="30" t="s">
        <v>40</v>
      </c>
      <c r="DP11" s="48" t="s">
        <v>38</v>
      </c>
      <c r="DQ11" s="22" t="s">
        <v>38</v>
      </c>
      <c r="DR11" s="974" t="s">
        <v>41</v>
      </c>
      <c r="DS11" s="894" t="s">
        <v>37</v>
      </c>
      <c r="DT11" s="898" t="s">
        <v>40</v>
      </c>
      <c r="DU11" s="894" t="s">
        <v>37</v>
      </c>
      <c r="DV11" s="894" t="s">
        <v>40</v>
      </c>
      <c r="DW11" s="897" t="s">
        <v>37</v>
      </c>
      <c r="DX11" s="898" t="s">
        <v>40</v>
      </c>
      <c r="DY11" s="894" t="s">
        <v>37</v>
      </c>
      <c r="DZ11" s="894" t="s">
        <v>40</v>
      </c>
      <c r="EA11" s="897" t="s">
        <v>37</v>
      </c>
      <c r="EB11" s="898" t="s">
        <v>40</v>
      </c>
      <c r="EC11" s="894" t="s">
        <v>37</v>
      </c>
      <c r="ED11" s="894" t="s">
        <v>40</v>
      </c>
      <c r="EE11" s="897" t="s">
        <v>37</v>
      </c>
      <c r="EF11" s="896" t="s">
        <v>40</v>
      </c>
      <c r="EG11" s="895" t="s">
        <v>37</v>
      </c>
      <c r="EH11"/>
    </row>
    <row r="12" spans="1:138" s="5" customFormat="1" ht="13" thickBot="1" x14ac:dyDescent="0.3">
      <c r="A12" s="892"/>
      <c r="B12" s="852"/>
      <c r="C12" s="1022"/>
      <c r="D12" s="854"/>
      <c r="E12" s="854"/>
      <c r="F12" s="855"/>
      <c r="G12" s="856"/>
      <c r="H12" s="24"/>
      <c r="I12" s="23"/>
      <c r="J12" s="22"/>
      <c r="K12" s="22"/>
      <c r="L12" s="22"/>
      <c r="M12" s="23"/>
      <c r="N12" s="49"/>
      <c r="O12" s="857"/>
      <c r="P12" s="22"/>
      <c r="Q12" s="23"/>
      <c r="R12" s="22"/>
      <c r="S12" s="22"/>
      <c r="T12" s="24"/>
      <c r="U12" s="858"/>
      <c r="V12" s="22"/>
      <c r="W12" s="22"/>
      <c r="X12" s="853"/>
      <c r="Y12" s="854"/>
      <c r="Z12" s="855"/>
      <c r="AA12" s="856"/>
      <c r="AB12" s="24"/>
      <c r="AC12" s="23"/>
      <c r="AD12" s="22"/>
      <c r="AE12" s="22"/>
      <c r="AF12" s="22"/>
      <c r="AG12" s="23"/>
      <c r="AH12" s="49"/>
      <c r="AI12" s="857"/>
      <c r="AJ12" s="22"/>
      <c r="AK12" s="23"/>
      <c r="AL12" s="22"/>
      <c r="AM12" s="22"/>
      <c r="AN12" s="24"/>
      <c r="AO12" s="858"/>
      <c r="AP12" s="22"/>
      <c r="AQ12" s="22"/>
      <c r="AR12" s="853"/>
      <c r="AS12" s="854"/>
      <c r="AT12" s="855"/>
      <c r="AU12" s="856"/>
      <c r="AV12" s="24"/>
      <c r="AW12" s="23"/>
      <c r="AX12" s="22"/>
      <c r="AY12" s="22"/>
      <c r="AZ12" s="22"/>
      <c r="BA12" s="23"/>
      <c r="BB12" s="49"/>
      <c r="BC12" s="857"/>
      <c r="BD12" s="22"/>
      <c r="BE12" s="23"/>
      <c r="BF12" s="22"/>
      <c r="BG12" s="22"/>
      <c r="BH12" s="24"/>
      <c r="BI12" s="858"/>
      <c r="BJ12" s="22"/>
      <c r="BK12" s="22"/>
      <c r="BL12" s="853"/>
      <c r="BM12" s="854"/>
      <c r="BN12" s="855"/>
      <c r="BO12" s="856"/>
      <c r="BP12" s="24"/>
      <c r="BQ12" s="23"/>
      <c r="BR12" s="22"/>
      <c r="BS12" s="22"/>
      <c r="BT12" s="22"/>
      <c r="BU12" s="23"/>
      <c r="BV12" s="49"/>
      <c r="BW12" s="857"/>
      <c r="BX12" s="22"/>
      <c r="BY12" s="23"/>
      <c r="BZ12" s="22"/>
      <c r="CA12" s="22"/>
      <c r="CB12" s="24"/>
      <c r="CC12" s="858"/>
      <c r="CD12" s="22"/>
      <c r="CE12" s="22"/>
      <c r="CF12" s="853"/>
      <c r="CG12" s="854"/>
      <c r="CH12" s="855"/>
      <c r="CI12" s="859"/>
      <c r="CJ12" s="22"/>
      <c r="CK12" s="23"/>
      <c r="CL12" s="22"/>
      <c r="CM12" s="22"/>
      <c r="CN12" s="22"/>
      <c r="CO12" s="23"/>
      <c r="CP12" s="49"/>
      <c r="CQ12" s="857"/>
      <c r="CR12" s="22"/>
      <c r="CS12" s="23"/>
      <c r="CT12" s="22"/>
      <c r="CU12" s="22"/>
      <c r="CV12" s="22"/>
      <c r="CW12" s="858"/>
      <c r="CX12" s="22"/>
      <c r="CY12" s="29"/>
      <c r="CZ12" s="799"/>
      <c r="DA12" s="860"/>
      <c r="DB12" s="30"/>
      <c r="DC12" s="42"/>
      <c r="DD12" s="42"/>
      <c r="DE12" s="42"/>
      <c r="DF12" s="42"/>
      <c r="DG12" s="42"/>
      <c r="DH12" s="42"/>
      <c r="DI12" s="42"/>
      <c r="DJ12" s="42"/>
      <c r="DK12" s="42"/>
      <c r="DL12" s="42"/>
      <c r="DM12" s="42"/>
      <c r="DN12" s="42"/>
      <c r="DO12" s="42"/>
      <c r="DP12" s="24"/>
      <c r="DQ12" s="29"/>
      <c r="DR12" s="899"/>
      <c r="DS12" s="840"/>
      <c r="DT12" s="841"/>
      <c r="DU12" s="900"/>
      <c r="DV12" s="900"/>
      <c r="DW12" s="840"/>
      <c r="DX12" s="841"/>
      <c r="DY12" s="900"/>
      <c r="DZ12" s="900"/>
      <c r="EA12" s="840"/>
      <c r="EB12" s="901"/>
      <c r="EC12" s="900"/>
      <c r="ED12" s="900"/>
      <c r="EE12" s="840"/>
      <c r="EF12" s="900"/>
      <c r="EG12" s="902"/>
      <c r="EH12"/>
    </row>
    <row r="13" spans="1:138" s="89" customFormat="1" ht="13" x14ac:dyDescent="0.25">
      <c r="A13" s="1070" t="s">
        <v>42</v>
      </c>
      <c r="B13" s="59" t="s">
        <v>43</v>
      </c>
      <c r="C13" s="1023"/>
      <c r="D13" s="1004">
        <v>873.2</v>
      </c>
      <c r="E13" s="62"/>
      <c r="F13" s="62">
        <v>8.0280226902885943</v>
      </c>
      <c r="G13" s="62"/>
      <c r="H13" s="63" t="s">
        <v>44</v>
      </c>
      <c r="I13" s="64" t="s">
        <v>44</v>
      </c>
      <c r="J13" s="65">
        <v>297590</v>
      </c>
      <c r="K13" s="66"/>
      <c r="L13" s="67" t="s">
        <v>44</v>
      </c>
      <c r="M13" s="68" t="s">
        <v>44</v>
      </c>
      <c r="N13" s="69">
        <v>291722</v>
      </c>
      <c r="O13" s="66"/>
      <c r="P13" s="63" t="s">
        <v>44</v>
      </c>
      <c r="Q13" s="64" t="s">
        <v>44</v>
      </c>
      <c r="R13" s="69">
        <v>5868</v>
      </c>
      <c r="S13" s="66"/>
      <c r="T13" s="63" t="s">
        <v>44</v>
      </c>
      <c r="U13" s="64" t="s">
        <v>44</v>
      </c>
      <c r="V13" s="70">
        <v>341</v>
      </c>
      <c r="W13" s="70"/>
      <c r="X13" s="61">
        <v>883.50000000000011</v>
      </c>
      <c r="Y13" s="62"/>
      <c r="Z13" s="62">
        <v>8.0487204948573829</v>
      </c>
      <c r="AA13" s="62"/>
      <c r="AB13" s="63" t="s">
        <v>44</v>
      </c>
      <c r="AC13" s="64" t="s">
        <v>44</v>
      </c>
      <c r="AD13" s="65">
        <v>309421</v>
      </c>
      <c r="AE13" s="66"/>
      <c r="AF13" s="67" t="s">
        <v>44</v>
      </c>
      <c r="AG13" s="68" t="s">
        <v>44</v>
      </c>
      <c r="AH13" s="69">
        <v>303488</v>
      </c>
      <c r="AI13" s="66"/>
      <c r="AJ13" s="63" t="s">
        <v>44</v>
      </c>
      <c r="AK13" s="64" t="s">
        <v>44</v>
      </c>
      <c r="AL13" s="69">
        <v>5933</v>
      </c>
      <c r="AM13" s="66"/>
      <c r="AN13" s="63" t="s">
        <v>44</v>
      </c>
      <c r="AO13" s="64" t="s">
        <v>44</v>
      </c>
      <c r="AP13" s="70">
        <v>350</v>
      </c>
      <c r="AQ13" s="70"/>
      <c r="AR13" s="61">
        <f>PLĀNS_ar_grozījumiem!AR13-'plans (27122022)'!AR12</f>
        <v>-42.000000000000114</v>
      </c>
      <c r="AS13" s="62">
        <f>PLĀNS_ar_grozījumiem!AS13-'plans (27122022)'!AS12</f>
        <v>0</v>
      </c>
      <c r="AT13" s="62">
        <f>PLĀNS_ar_grozījumiem!AT13-'plans (27122022)'!AT12</f>
        <v>-7.9229641604410119</v>
      </c>
      <c r="AU13" s="62">
        <f>PLĀNS_ar_grozījumiem!AU13-'plans (27122022)'!AU12</f>
        <v>0</v>
      </c>
      <c r="AV13" s="63" t="e">
        <f>PLĀNS_ar_grozījumiem!AV13-'plans (27122022)'!AV12</f>
        <v>#VALUE!</v>
      </c>
      <c r="AW13" s="64" t="e">
        <f>PLĀNS_ar_grozījumiem!AW13-'plans (27122022)'!AW12</f>
        <v>#VALUE!</v>
      </c>
      <c r="AX13" s="65">
        <f>PLĀNS_ar_grozījumiem!AX13-'plans (27122022)'!AX12</f>
        <v>8424.6000000000349</v>
      </c>
      <c r="AY13" s="66">
        <f>PLĀNS_ar_grozījumiem!AY13-'plans (27122022)'!AY12</f>
        <v>0</v>
      </c>
      <c r="AZ13" s="67" t="e">
        <f>PLĀNS_ar_grozījumiem!AZ13-'plans (27122022)'!AZ12</f>
        <v>#VALUE!</v>
      </c>
      <c r="BA13" s="68" t="e">
        <f>PLĀNS_ar_grozījumiem!BA13-'plans (27122022)'!BA12</f>
        <v>#VALUE!</v>
      </c>
      <c r="BB13" s="69">
        <f>PLĀNS_ar_grozījumiem!BB13-'plans (27122022)'!BB12</f>
        <v>8424.6000000000349</v>
      </c>
      <c r="BC13" s="66">
        <f>PLĀNS_ar_grozījumiem!BC13-'plans (27122022)'!BC12</f>
        <v>0</v>
      </c>
      <c r="BD13" s="63" t="e">
        <f>PLĀNS_ar_grozījumiem!BD13-'plans (27122022)'!BD12</f>
        <v>#VALUE!</v>
      </c>
      <c r="BE13" s="64" t="e">
        <f>PLĀNS_ar_grozījumiem!BE13-'plans (27122022)'!BE12</f>
        <v>#VALUE!</v>
      </c>
      <c r="BF13" s="69">
        <f>PLĀNS_ar_grozījumiem!BF13-'plans (27122022)'!BF12</f>
        <v>0</v>
      </c>
      <c r="BG13" s="66">
        <f>PLĀNS_ar_grozījumiem!BG13-'plans (27122022)'!BG12</f>
        <v>0</v>
      </c>
      <c r="BH13" s="63" t="e">
        <f>PLĀNS_ar_grozījumiem!BH13-'plans (27122022)'!BH12</f>
        <v>#VALUE!</v>
      </c>
      <c r="BI13" s="64" t="e">
        <f>PLĀNS_ar_grozījumiem!BI13-'plans (27122022)'!BI12</f>
        <v>#VALUE!</v>
      </c>
      <c r="BJ13" s="70">
        <f>PLĀNS_ar_grozījumiem!BJ13-'plans (27122022)'!BJ12</f>
        <v>27.430261445640667</v>
      </c>
      <c r="BK13" s="70">
        <f>PLĀNS_ar_grozījumiem!BK13-'plans (27122022)'!BK12</f>
        <v>0</v>
      </c>
      <c r="BL13" s="61">
        <f>PLĀNS_ar_grozījumiem!BL13-'plans (27122022)'!BL12</f>
        <v>-70.300000000000068</v>
      </c>
      <c r="BM13" s="62">
        <f>PLĀNS_ar_grozījumiem!BM13-'plans (27122022)'!BM12</f>
        <v>0</v>
      </c>
      <c r="BN13" s="62">
        <f>PLĀNS_ar_grozījumiem!BN13-'plans (27122022)'!BN12</f>
        <v>-7.8876838548342283</v>
      </c>
      <c r="BO13" s="62">
        <f>PLĀNS_ar_grozījumiem!BO13-'plans (27122022)'!BO12</f>
        <v>0</v>
      </c>
      <c r="BP13" s="63" t="e">
        <f>PLĀNS_ar_grozījumiem!BP13-'plans (27122022)'!BP12</f>
        <v>#VALUE!</v>
      </c>
      <c r="BQ13" s="64" t="e">
        <f>PLĀNS_ar_grozījumiem!BQ13-'plans (27122022)'!BQ12</f>
        <v>#VALUE!</v>
      </c>
      <c r="BR13" s="65">
        <f>PLĀNS_ar_grozījumiem!BR13-'plans (27122022)'!BR12</f>
        <v>5838.4000000000233</v>
      </c>
      <c r="BS13" s="66">
        <f>PLĀNS_ar_grozījumiem!BS13-'plans (27122022)'!BS12</f>
        <v>0</v>
      </c>
      <c r="BT13" s="67" t="e">
        <f>PLĀNS_ar_grozījumiem!BT13-'plans (27122022)'!BT12</f>
        <v>#VALUE!</v>
      </c>
      <c r="BU13" s="68" t="e">
        <f>PLĀNS_ar_grozījumiem!BU13-'plans (27122022)'!BU12</f>
        <v>#VALUE!</v>
      </c>
      <c r="BV13" s="69">
        <f>PLĀNS_ar_grozījumiem!BV13-'plans (27122022)'!BV12</f>
        <v>5838.4000000000233</v>
      </c>
      <c r="BW13" s="66">
        <f>PLĀNS_ar_grozījumiem!BW13-'plans (27122022)'!BW12</f>
        <v>0</v>
      </c>
      <c r="BX13" s="63" t="e">
        <f>PLĀNS_ar_grozījumiem!BX13-'plans (27122022)'!BX12</f>
        <v>#VALUE!</v>
      </c>
      <c r="BY13" s="64" t="e">
        <f>PLĀNS_ar_grozījumiem!BY13-'plans (27122022)'!BY12</f>
        <v>#VALUE!</v>
      </c>
      <c r="BZ13" s="69">
        <f>PLĀNS_ar_grozījumiem!BZ13-'plans (27122022)'!BZ12</f>
        <v>0</v>
      </c>
      <c r="CA13" s="66">
        <f>PLĀNS_ar_grozījumiem!CA13-'plans (27122022)'!CA12</f>
        <v>0</v>
      </c>
      <c r="CB13" s="63" t="e">
        <f>PLĀNS_ar_grozījumiem!CB13-'plans (27122022)'!CB12</f>
        <v>#VALUE!</v>
      </c>
      <c r="CC13" s="64" t="e">
        <f>PLĀNS_ar_grozījumiem!CC13-'plans (27122022)'!CC12</f>
        <v>#VALUE!</v>
      </c>
      <c r="CD13" s="70">
        <f>PLĀNS_ar_grozījumiem!CD13-'plans (27122022)'!CD12</f>
        <v>37.71255654725519</v>
      </c>
      <c r="CE13" s="70">
        <f>PLĀNS_ar_grozījumiem!CE13-'plans (27122022)'!CE12</f>
        <v>0</v>
      </c>
      <c r="CF13" s="61">
        <f>PLĀNS_ar_grozījumiem!CF13-'plans (27122022)'!CF12</f>
        <v>-112.30000000000064</v>
      </c>
      <c r="CG13" s="70">
        <f>PLĀNS_ar_grozījumiem!CG13-'plans (27122022)'!CG12</f>
        <v>0</v>
      </c>
      <c r="CH13" s="62">
        <f>PLĀNS_ar_grozījumiem!CH13-'plans (27122022)'!CH12</f>
        <v>-7.9315074394706899</v>
      </c>
      <c r="CI13" s="71">
        <f>PLĀNS_ar_grozījumiem!CI13-'plans (27122022)'!CI12</f>
        <v>0</v>
      </c>
      <c r="CJ13" s="67" t="e">
        <f>PLĀNS_ar_grozījumiem!CJ13-'plans (27122022)'!CJ12</f>
        <v>#VALUE!</v>
      </c>
      <c r="CK13" s="68" t="e">
        <f>PLĀNS_ar_grozījumiem!CK13-'plans (27122022)'!CK12</f>
        <v>#VALUE!</v>
      </c>
      <c r="CL13" s="69">
        <f>PLĀNS_ar_grozījumiem!CL13-'plans (27122022)'!CL12</f>
        <v>14263</v>
      </c>
      <c r="CM13" s="72">
        <f>PLĀNS_ar_grozījumiem!CM13-'plans (27122022)'!CM12</f>
        <v>0</v>
      </c>
      <c r="CN13" s="73" t="e">
        <f>PLĀNS_ar_grozījumiem!CN13-'plans (27122022)'!CN12</f>
        <v>#VALUE!</v>
      </c>
      <c r="CO13" s="68" t="e">
        <f>PLĀNS_ar_grozījumiem!CO13-'plans (27122022)'!CO12</f>
        <v>#VALUE!</v>
      </c>
      <c r="CP13" s="69">
        <f>PLĀNS_ar_grozījumiem!CP13-'plans (27122022)'!CP12</f>
        <v>14263</v>
      </c>
      <c r="CQ13" s="66">
        <f>PLĀNS_ar_grozījumiem!CQ13-'plans (27122022)'!CQ12</f>
        <v>0</v>
      </c>
      <c r="CR13" s="67" t="e">
        <f>PLĀNS_ar_grozījumiem!CR13-'plans (27122022)'!CR12</f>
        <v>#VALUE!</v>
      </c>
      <c r="CS13" s="68" t="e">
        <f>PLĀNS_ar_grozījumiem!CS13-'plans (27122022)'!CS12</f>
        <v>#VALUE!</v>
      </c>
      <c r="CT13" s="69">
        <f>PLĀNS_ar_grozījumiem!CT13-'plans (27122022)'!CT12</f>
        <v>0</v>
      </c>
      <c r="CU13" s="66">
        <f>PLĀNS_ar_grozījumiem!CU13-'plans (27122022)'!CU12</f>
        <v>0</v>
      </c>
      <c r="CV13" s="67" t="e">
        <f>PLĀNS_ar_grozījumiem!CV13-'plans (27122022)'!CV12</f>
        <v>#VALUE!</v>
      </c>
      <c r="CW13" s="68" t="e">
        <f>PLĀNS_ar_grozījumiem!CW13-'plans (27122022)'!CW12</f>
        <v>#VALUE!</v>
      </c>
      <c r="CX13" s="69">
        <f>PLĀNS_ar_grozījumiem!CX13-'plans (27122022)'!CX12</f>
        <v>15.695475117285355</v>
      </c>
      <c r="CY13" s="74">
        <f>PLĀNS_ar_grozījumiem!CY13-'plans (27122022)'!CY12</f>
        <v>0</v>
      </c>
      <c r="CZ13" s="75">
        <f t="shared" ref="CZ13:DA44" si="0">D13+X13</f>
        <v>1756.7000000000003</v>
      </c>
      <c r="DA13" s="76">
        <f t="shared" si="0"/>
        <v>0</v>
      </c>
      <c r="DB13" s="77" t="e">
        <f>(CZ13/#REF!)*100</f>
        <v>#REF!</v>
      </c>
      <c r="DC13" s="78" t="e">
        <f>(DA13/#REF!)*100</f>
        <v>#REF!</v>
      </c>
      <c r="DD13" s="69">
        <f t="shared" ref="DD13:DO34" si="1">J13+AD13</f>
        <v>607011</v>
      </c>
      <c r="DE13" s="79">
        <f t="shared" si="1"/>
        <v>0</v>
      </c>
      <c r="DF13" s="79" t="e">
        <f t="shared" si="1"/>
        <v>#VALUE!</v>
      </c>
      <c r="DG13" s="80" t="e">
        <f t="shared" si="1"/>
        <v>#VALUE!</v>
      </c>
      <c r="DH13" s="69">
        <f t="shared" si="1"/>
        <v>595210</v>
      </c>
      <c r="DI13" s="66">
        <f t="shared" si="1"/>
        <v>0</v>
      </c>
      <c r="DJ13" s="66" t="e">
        <f t="shared" si="1"/>
        <v>#VALUE!</v>
      </c>
      <c r="DK13" s="66" t="e">
        <f t="shared" si="1"/>
        <v>#VALUE!</v>
      </c>
      <c r="DL13" s="69">
        <f t="shared" si="1"/>
        <v>11801</v>
      </c>
      <c r="DM13" s="66">
        <f t="shared" si="1"/>
        <v>0</v>
      </c>
      <c r="DN13" s="66" t="e">
        <f t="shared" si="1"/>
        <v>#VALUE!</v>
      </c>
      <c r="DO13" s="72" t="e">
        <f t="shared" si="1"/>
        <v>#VALUE!</v>
      </c>
      <c r="DP13" s="81">
        <f>DD13/CZ13</f>
        <v>345.54050207775936</v>
      </c>
      <c r="DQ13" s="82" t="e">
        <f>DE13/DA13</f>
        <v>#DIV/0!</v>
      </c>
      <c r="DR13" s="903">
        <f>PLĀNS_ar_grozījumiem!CF13-'plans (27122022)'!CF12</f>
        <v>-112.30000000000064</v>
      </c>
      <c r="DS13" s="904">
        <f>DR13/'plans (27122022)'!CF12</f>
        <v>-3.1793216692146714E-2</v>
      </c>
      <c r="DT13" s="79">
        <f>PLĀNS_ar_grozījumiem!CL13-'plans (27122022)'!CL12</f>
        <v>14263</v>
      </c>
      <c r="DU13" s="905">
        <f>DT13/'plans (27122022)'!CL12</f>
        <v>1.1505230713634058E-2</v>
      </c>
      <c r="DV13" s="86"/>
      <c r="DW13" s="904"/>
      <c r="DX13" s="79">
        <f>PLĀNS_ar_grozījumiem!CP13-'plans (27122022)'!CP12</f>
        <v>14263</v>
      </c>
      <c r="DY13" s="905">
        <f>DX13/'plans (27122022)'!CP12</f>
        <v>1.173040546097541E-2</v>
      </c>
      <c r="DZ13" s="86"/>
      <c r="EA13" s="84"/>
      <c r="EB13" s="79">
        <f>PLĀNS_ar_grozījumiem!CT13-'plans (27122022)'!CT12</f>
        <v>0</v>
      </c>
      <c r="EC13" s="906">
        <f>EB13/'plans (27122022)'!CT12</f>
        <v>0</v>
      </c>
      <c r="ED13" s="86"/>
      <c r="EE13" s="87"/>
      <c r="EF13" s="136">
        <f>PLĀNS_ar_grozījumiem!CX13-'plans (27122022)'!CX12</f>
        <v>15.695475117285355</v>
      </c>
      <c r="EG13" s="907">
        <f>EF13/'plans (27122022)'!CX12</f>
        <v>4.4720247939032953E-2</v>
      </c>
    </row>
    <row r="14" spans="1:138" s="124" customFormat="1" ht="15.75" customHeight="1" x14ac:dyDescent="0.3">
      <c r="A14" s="1070"/>
      <c r="B14" s="90"/>
      <c r="C14" s="1024" t="s">
        <v>45</v>
      </c>
      <c r="D14" s="1005">
        <v>442.4</v>
      </c>
      <c r="E14" s="93"/>
      <c r="F14" s="93">
        <v>20.490968040759611</v>
      </c>
      <c r="G14" s="93"/>
      <c r="H14" s="94" t="s">
        <v>44</v>
      </c>
      <c r="I14" s="95" t="s">
        <v>44</v>
      </c>
      <c r="J14" s="96">
        <v>235499</v>
      </c>
      <c r="K14" s="97"/>
      <c r="L14" s="98" t="s">
        <v>44</v>
      </c>
      <c r="M14" s="99" t="s">
        <v>44</v>
      </c>
      <c r="N14" s="100">
        <v>229631</v>
      </c>
      <c r="O14" s="101"/>
      <c r="P14" s="94" t="s">
        <v>44</v>
      </c>
      <c r="Q14" s="95" t="s">
        <v>44</v>
      </c>
      <c r="R14" s="100">
        <v>5868</v>
      </c>
      <c r="S14" s="97"/>
      <c r="T14" s="94" t="s">
        <v>44</v>
      </c>
      <c r="U14" s="95" t="s">
        <v>44</v>
      </c>
      <c r="V14" s="102">
        <v>532</v>
      </c>
      <c r="W14" s="102"/>
      <c r="X14" s="92">
        <v>443.6</v>
      </c>
      <c r="Y14" s="93"/>
      <c r="Z14" s="93">
        <v>20.31135531135531</v>
      </c>
      <c r="AA14" s="93"/>
      <c r="AB14" s="94" t="s">
        <v>44</v>
      </c>
      <c r="AC14" s="95" t="s">
        <v>44</v>
      </c>
      <c r="AD14" s="96">
        <v>247032</v>
      </c>
      <c r="AE14" s="97"/>
      <c r="AF14" s="98" t="s">
        <v>44</v>
      </c>
      <c r="AG14" s="99" t="s">
        <v>44</v>
      </c>
      <c r="AH14" s="100">
        <v>241099</v>
      </c>
      <c r="AI14" s="101"/>
      <c r="AJ14" s="94" t="s">
        <v>44</v>
      </c>
      <c r="AK14" s="95" t="s">
        <v>44</v>
      </c>
      <c r="AL14" s="100">
        <v>5933</v>
      </c>
      <c r="AM14" s="97"/>
      <c r="AN14" s="94" t="s">
        <v>44</v>
      </c>
      <c r="AO14" s="95" t="s">
        <v>44</v>
      </c>
      <c r="AP14" s="102">
        <v>557</v>
      </c>
      <c r="AQ14" s="102"/>
      <c r="AR14" s="92">
        <v>451.4</v>
      </c>
      <c r="AS14" s="93">
        <f>PLĀNS_ar_grozījumiem!AS14-'plans (27122022)'!AS13</f>
        <v>0</v>
      </c>
      <c r="AT14" s="93">
        <f>PLĀNS_ar_grozījumiem!AT14-'plans (27122022)'!AT13</f>
        <v>-20.240262681159418</v>
      </c>
      <c r="AU14" s="93">
        <f>PLĀNS_ar_grozījumiem!AU14-'plans (27122022)'!AU13</f>
        <v>0</v>
      </c>
      <c r="AV14" s="94" t="e">
        <f>PLĀNS_ar_grozījumiem!AV14-'plans (27122022)'!AV13</f>
        <v>#VALUE!</v>
      </c>
      <c r="AW14" s="95" t="e">
        <f>PLĀNS_ar_grozījumiem!AW14-'plans (27122022)'!AW13</f>
        <v>#VALUE!</v>
      </c>
      <c r="AX14" s="96">
        <f>PLĀNS_ar_grozījumiem!AX14-'plans (27122022)'!AX13</f>
        <v>4223.0000000000291</v>
      </c>
      <c r="AY14" s="97">
        <f>PLĀNS_ar_grozījumiem!AY14-'plans (27122022)'!AY13</f>
        <v>0</v>
      </c>
      <c r="AZ14" s="98" t="e">
        <f>PLĀNS_ar_grozījumiem!AZ14-'plans (27122022)'!AZ13</f>
        <v>#VALUE!</v>
      </c>
      <c r="BA14" s="99" t="e">
        <f>PLĀNS_ar_grozījumiem!BA14-'plans (27122022)'!BA13</f>
        <v>#VALUE!</v>
      </c>
      <c r="BB14" s="100">
        <f>PLĀNS_ar_grozījumiem!BB14-'plans (27122022)'!BB13</f>
        <v>4223.0000000000291</v>
      </c>
      <c r="BC14" s="101">
        <f>PLĀNS_ar_grozījumiem!BC14-'plans (27122022)'!BC13</f>
        <v>0</v>
      </c>
      <c r="BD14" s="94" t="e">
        <f>PLĀNS_ar_grozījumiem!BD14-'plans (27122022)'!BD13</f>
        <v>#VALUE!</v>
      </c>
      <c r="BE14" s="95" t="e">
        <f>PLĀNS_ar_grozījumiem!BE14-'plans (27122022)'!BE13</f>
        <v>#VALUE!</v>
      </c>
      <c r="BF14" s="100">
        <f>PLĀNS_ar_grozījumiem!BF14-'plans (27122022)'!BF13</f>
        <v>0</v>
      </c>
      <c r="BG14" s="97">
        <f>PLĀNS_ar_grozījumiem!BG14-'plans (27122022)'!BG13</f>
        <v>0</v>
      </c>
      <c r="BH14" s="94" t="e">
        <f>PLĀNS_ar_grozījumiem!BH14-'plans (27122022)'!BH13</f>
        <v>#VALUE!</v>
      </c>
      <c r="BI14" s="95" t="e">
        <f>PLĀNS_ar_grozījumiem!BI14-'plans (27122022)'!BI13</f>
        <v>#VALUE!</v>
      </c>
      <c r="BJ14" s="102">
        <f>PLĀNS_ar_grozījumiem!BJ14-'plans (27122022)'!BJ13</f>
        <v>12.083426028921053</v>
      </c>
      <c r="BK14" s="102">
        <f>PLĀNS_ar_grozījumiem!BK14-'plans (27122022)'!BK13</f>
        <v>0</v>
      </c>
      <c r="BL14" s="92">
        <f>PLĀNS_ar_grozījumiem!BL14-'plans (27122022)'!BL13</f>
        <v>2.8999999999999773</v>
      </c>
      <c r="BM14" s="93">
        <f>PLĀNS_ar_grozījumiem!BM14-'plans (27122022)'!BM13</f>
        <v>0</v>
      </c>
      <c r="BN14" s="93">
        <f>PLĀNS_ar_grozījumiem!BN14-'plans (27122022)'!BN13</f>
        <v>-20.085513807152559</v>
      </c>
      <c r="BO14" s="93">
        <f>PLĀNS_ar_grozījumiem!BO14-'plans (27122022)'!BO13</f>
        <v>0</v>
      </c>
      <c r="BP14" s="94" t="e">
        <f>PLĀNS_ar_grozījumiem!BP14-'plans (27122022)'!BP13</f>
        <v>#VALUE!</v>
      </c>
      <c r="BQ14" s="95" t="e">
        <f>PLĀNS_ar_grozījumiem!BQ14-'plans (27122022)'!BQ13</f>
        <v>#VALUE!</v>
      </c>
      <c r="BR14" s="96">
        <f>PLĀNS_ar_grozījumiem!BR14-'plans (27122022)'!BR13</f>
        <v>2615.2000000000116</v>
      </c>
      <c r="BS14" s="97">
        <f>PLĀNS_ar_grozījumiem!BS14-'plans (27122022)'!BS13</f>
        <v>0</v>
      </c>
      <c r="BT14" s="98" t="e">
        <f>PLĀNS_ar_grozījumiem!BT14-'plans (27122022)'!BT13</f>
        <v>#VALUE!</v>
      </c>
      <c r="BU14" s="99" t="e">
        <f>PLĀNS_ar_grozījumiem!BU14-'plans (27122022)'!BU13</f>
        <v>#VALUE!</v>
      </c>
      <c r="BV14" s="100">
        <f>PLĀNS_ar_grozījumiem!BV14-'plans (27122022)'!BV13</f>
        <v>2615.2000000000116</v>
      </c>
      <c r="BW14" s="101">
        <f>PLĀNS_ar_grozījumiem!BW14-'plans (27122022)'!BW13</f>
        <v>0</v>
      </c>
      <c r="BX14" s="94" t="e">
        <f>PLĀNS_ar_grozījumiem!BX14-'plans (27122022)'!BX13</f>
        <v>#VALUE!</v>
      </c>
      <c r="BY14" s="95" t="e">
        <f>PLĀNS_ar_grozījumiem!BY14-'plans (27122022)'!BY13</f>
        <v>#VALUE!</v>
      </c>
      <c r="BZ14" s="100">
        <f>PLĀNS_ar_grozījumiem!BZ14-'plans (27122022)'!BZ13</f>
        <v>0</v>
      </c>
      <c r="CA14" s="97">
        <f>PLĀNS_ar_grozījumiem!CA14-'plans (27122022)'!CA13</f>
        <v>0</v>
      </c>
      <c r="CB14" s="94" t="e">
        <f>PLĀNS_ar_grozījumiem!CB14-'plans (27122022)'!CB13</f>
        <v>#VALUE!</v>
      </c>
      <c r="CC14" s="95" t="e">
        <f>PLĀNS_ar_grozījumiem!CC14-'plans (27122022)'!CC13</f>
        <v>#VALUE!</v>
      </c>
      <c r="CD14" s="102">
        <f>PLĀNS_ar_grozījumiem!CD14-'plans (27122022)'!CD13</f>
        <v>2.0804699623143961</v>
      </c>
      <c r="CE14" s="102">
        <f>PLĀNS_ar_grozījumiem!CE14-'plans (27122022)'!CE13</f>
        <v>0</v>
      </c>
      <c r="CF14" s="103">
        <f>PLĀNS_ar_grozījumiem!CF14-'plans (27122022)'!CF13</f>
        <v>0.99999999999977263</v>
      </c>
      <c r="CG14" s="104">
        <f>PLĀNS_ar_grozījumiem!CG14-'plans (27122022)'!CG13</f>
        <v>0</v>
      </c>
      <c r="CH14" s="105">
        <f>PLĀNS_ar_grozījumiem!CH14-'plans (27122022)'!CH13</f>
        <v>-20.179611872146122</v>
      </c>
      <c r="CI14" s="106">
        <f>PLĀNS_ar_grozījumiem!CI14-'plans (27122022)'!CI13</f>
        <v>0</v>
      </c>
      <c r="CJ14" s="98" t="e">
        <f>PLĀNS_ar_grozījumiem!CJ14-'plans (27122022)'!CJ13</f>
        <v>#VALUE!</v>
      </c>
      <c r="CK14" s="99" t="e">
        <f>PLĀNS_ar_grozījumiem!CK14-'plans (27122022)'!CK13</f>
        <v>#VALUE!</v>
      </c>
      <c r="CL14" s="100">
        <f>PLĀNS_ar_grozījumiem!CL14-'plans (27122022)'!CL13</f>
        <v>6838.2000000000698</v>
      </c>
      <c r="CM14" s="107">
        <f>PLĀNS_ar_grozījumiem!CM14-'plans (27122022)'!CM13</f>
        <v>0</v>
      </c>
      <c r="CN14" s="108" t="e">
        <f>PLĀNS_ar_grozījumiem!CN14-'plans (27122022)'!CN13</f>
        <v>#VALUE!</v>
      </c>
      <c r="CO14" s="99" t="e">
        <f>PLĀNS_ar_grozījumiem!CO14-'plans (27122022)'!CO13</f>
        <v>#VALUE!</v>
      </c>
      <c r="CP14" s="100">
        <f>PLĀNS_ar_grozījumiem!CP14-'plans (27122022)'!CP13</f>
        <v>6838.2000000000698</v>
      </c>
      <c r="CQ14" s="97">
        <f>PLĀNS_ar_grozījumiem!CQ14-'plans (27122022)'!CQ13</f>
        <v>0</v>
      </c>
      <c r="CR14" s="98" t="e">
        <f>PLĀNS_ar_grozījumiem!CR14-'plans (27122022)'!CR13</f>
        <v>#VALUE!</v>
      </c>
      <c r="CS14" s="99" t="e">
        <f>PLĀNS_ar_grozījumiem!CS14-'plans (27122022)'!CS13</f>
        <v>#VALUE!</v>
      </c>
      <c r="CT14" s="100">
        <f>PLĀNS_ar_grozījumiem!CT14-'plans (27122022)'!CT13</f>
        <v>0</v>
      </c>
      <c r="CU14" s="97">
        <f>PLĀNS_ar_grozījumiem!CU14-'plans (27122022)'!CU13</f>
        <v>0</v>
      </c>
      <c r="CV14" s="98" t="e">
        <f>PLĀNS_ar_grozījumiem!CV14-'plans (27122022)'!CV13</f>
        <v>#VALUE!</v>
      </c>
      <c r="CW14" s="99" t="e">
        <f>PLĀNS_ar_grozījumiem!CW14-'plans (27122022)'!CW13</f>
        <v>#VALUE!</v>
      </c>
      <c r="CX14" s="100">
        <f>PLĀNS_ar_grozījumiem!CX14-'plans (27122022)'!CX13</f>
        <v>3.5171617350912356</v>
      </c>
      <c r="CY14" s="109">
        <f>PLĀNS_ar_grozījumiem!CY14-'plans (27122022)'!CY13</f>
        <v>0</v>
      </c>
      <c r="CZ14" s="110">
        <f t="shared" si="0"/>
        <v>886</v>
      </c>
      <c r="DA14" s="111">
        <f t="shared" si="0"/>
        <v>0</v>
      </c>
      <c r="DB14" s="112">
        <f>(CZ14/4343)*100</f>
        <v>20.400644715634353</v>
      </c>
      <c r="DC14" s="113">
        <f>(DA14/4343)*100</f>
        <v>0</v>
      </c>
      <c r="DD14" s="100">
        <f t="shared" si="1"/>
        <v>482531</v>
      </c>
      <c r="DE14" s="102">
        <f t="shared" si="1"/>
        <v>0</v>
      </c>
      <c r="DF14" s="102" t="e">
        <f t="shared" si="1"/>
        <v>#VALUE!</v>
      </c>
      <c r="DG14" s="114" t="e">
        <f t="shared" si="1"/>
        <v>#VALUE!</v>
      </c>
      <c r="DH14" s="100">
        <f t="shared" si="1"/>
        <v>470730</v>
      </c>
      <c r="DI14" s="97">
        <f t="shared" si="1"/>
        <v>0</v>
      </c>
      <c r="DJ14" s="97" t="e">
        <f t="shared" si="1"/>
        <v>#VALUE!</v>
      </c>
      <c r="DK14" s="97" t="e">
        <f t="shared" si="1"/>
        <v>#VALUE!</v>
      </c>
      <c r="DL14" s="100">
        <f t="shared" si="1"/>
        <v>11801</v>
      </c>
      <c r="DM14" s="97">
        <f t="shared" si="1"/>
        <v>0</v>
      </c>
      <c r="DN14" s="97" t="e">
        <f t="shared" si="1"/>
        <v>#VALUE!</v>
      </c>
      <c r="DO14" s="115" t="e">
        <f t="shared" si="1"/>
        <v>#VALUE!</v>
      </c>
      <c r="DP14" s="100">
        <f>ROUND((DD14/CZ14),0)</f>
        <v>545</v>
      </c>
      <c r="DQ14" s="116" t="e">
        <f>ROUND((DE14/DA14),0)</f>
        <v>#DIV/0!</v>
      </c>
      <c r="DR14" s="117">
        <f>PLĀNS_ar_grozījumiem!CF14-'plans (27122022)'!CF13</f>
        <v>0.99999999999977263</v>
      </c>
      <c r="DS14" s="908">
        <f>DR14/'plans (27122022)'!CF13</f>
        <v>5.6003584229377939E-4</v>
      </c>
      <c r="DT14" s="104">
        <f>PLĀNS_ar_grozījumiem!CL14-'plans (27122022)'!CL13</f>
        <v>6838.2000000000698</v>
      </c>
      <c r="DU14" s="909">
        <f>DT14/'plans (27122022)'!CL13</f>
        <v>6.9072308652675541E-3</v>
      </c>
      <c r="DV14" s="120"/>
      <c r="DW14" s="118">
        <f>PLĀNS_ar_grozījumiem!CM14-'plans (27122022)'!CM13</f>
        <v>0</v>
      </c>
      <c r="DX14" s="104">
        <f>PLĀNS_ar_grozījumiem!CP14-'plans (27122022)'!CP13</f>
        <v>6838.2000000000698</v>
      </c>
      <c r="DY14" s="909">
        <f>DX14/'plans (27122022)'!CP13</f>
        <v>7.0773507595148361E-3</v>
      </c>
      <c r="DZ14" s="120"/>
      <c r="EA14" s="118"/>
      <c r="EB14" s="104">
        <f>PLĀNS_ar_grozījumiem!CT14-'plans (27122022)'!CT13</f>
        <v>0</v>
      </c>
      <c r="EC14" s="910">
        <f>EB14/'plans (27122022)'!CT13</f>
        <v>0</v>
      </c>
      <c r="ED14" s="120"/>
      <c r="EE14" s="121"/>
      <c r="EF14" s="122">
        <f>PLĀNS_ar_grozījumiem!CX14-'plans (27122022)'!CX13</f>
        <v>3.5171617350912356</v>
      </c>
      <c r="EG14" s="911">
        <f>EF14/'plans (27122022)'!CX13</f>
        <v>6.3436423558836108E-3</v>
      </c>
    </row>
    <row r="15" spans="1:138" ht="15.75" customHeight="1" x14ac:dyDescent="0.3">
      <c r="A15" s="1070"/>
      <c r="B15" s="90"/>
      <c r="C15" s="1024" t="s">
        <v>46</v>
      </c>
      <c r="D15" s="1005">
        <v>85</v>
      </c>
      <c r="E15" s="93"/>
      <c r="F15" s="93">
        <v>3.9370078740157481</v>
      </c>
      <c r="G15" s="93"/>
      <c r="H15" s="94" t="s">
        <v>44</v>
      </c>
      <c r="I15" s="95" t="s">
        <v>44</v>
      </c>
      <c r="J15" s="125">
        <v>0</v>
      </c>
      <c r="K15" s="120"/>
      <c r="L15" s="98" t="s">
        <v>44</v>
      </c>
      <c r="M15" s="99" t="s">
        <v>44</v>
      </c>
      <c r="N15" s="100">
        <v>0</v>
      </c>
      <c r="O15" s="126"/>
      <c r="P15" s="94" t="s">
        <v>44</v>
      </c>
      <c r="Q15" s="95" t="s">
        <v>44</v>
      </c>
      <c r="R15" s="100">
        <v>0</v>
      </c>
      <c r="S15" s="97"/>
      <c r="T15" s="94" t="s">
        <v>44</v>
      </c>
      <c r="U15" s="95" t="s">
        <v>44</v>
      </c>
      <c r="V15" s="102">
        <v>0</v>
      </c>
      <c r="W15" s="102"/>
      <c r="X15" s="92">
        <v>85.6</v>
      </c>
      <c r="Y15" s="93"/>
      <c r="Z15" s="93">
        <v>3.9194139194139193</v>
      </c>
      <c r="AA15" s="93"/>
      <c r="AB15" s="94" t="s">
        <v>44</v>
      </c>
      <c r="AC15" s="95" t="s">
        <v>44</v>
      </c>
      <c r="AD15" s="125">
        <v>0</v>
      </c>
      <c r="AE15" s="120"/>
      <c r="AF15" s="98" t="s">
        <v>44</v>
      </c>
      <c r="AG15" s="99" t="s">
        <v>44</v>
      </c>
      <c r="AH15" s="100">
        <v>0</v>
      </c>
      <c r="AI15" s="126"/>
      <c r="AJ15" s="94" t="s">
        <v>44</v>
      </c>
      <c r="AK15" s="95" t="s">
        <v>44</v>
      </c>
      <c r="AL15" s="100">
        <v>0</v>
      </c>
      <c r="AM15" s="97"/>
      <c r="AN15" s="94" t="s">
        <v>44</v>
      </c>
      <c r="AO15" s="95" t="s">
        <v>44</v>
      </c>
      <c r="AP15" s="102">
        <v>0</v>
      </c>
      <c r="AQ15" s="102"/>
      <c r="AR15" s="92">
        <v>86.2</v>
      </c>
      <c r="AS15" s="93">
        <f>PLĀNS_ar_grozījumiem!AS15-'plans (27122022)'!AS14</f>
        <v>0</v>
      </c>
      <c r="AT15" s="93">
        <f>PLĀNS_ar_grozījumiem!AT15-'plans (27122022)'!AT14</f>
        <v>-3.8651721014492755</v>
      </c>
      <c r="AU15" s="93">
        <f>PLĀNS_ar_grozījumiem!AU15-'plans (27122022)'!AU14</f>
        <v>0</v>
      </c>
      <c r="AV15" s="94" t="e">
        <f>PLĀNS_ar_grozījumiem!AV15-'plans (27122022)'!AV14</f>
        <v>#VALUE!</v>
      </c>
      <c r="AW15" s="95" t="e">
        <f>PLĀNS_ar_grozījumiem!AW15-'plans (27122022)'!AW14</f>
        <v>#VALUE!</v>
      </c>
      <c r="AX15" s="125">
        <f>PLĀNS_ar_grozījumiem!AX15-'plans (27122022)'!AX14</f>
        <v>0</v>
      </c>
      <c r="AY15" s="120">
        <f>PLĀNS_ar_grozījumiem!AY15-'plans (27122022)'!AY14</f>
        <v>0</v>
      </c>
      <c r="AZ15" s="98" t="e">
        <f>PLĀNS_ar_grozījumiem!AZ15-'plans (27122022)'!AZ14</f>
        <v>#VALUE!</v>
      </c>
      <c r="BA15" s="99" t="e">
        <f>PLĀNS_ar_grozījumiem!BA15-'plans (27122022)'!BA14</f>
        <v>#VALUE!</v>
      </c>
      <c r="BB15" s="100">
        <f>PLĀNS_ar_grozījumiem!BB15-'plans (27122022)'!BB14</f>
        <v>0</v>
      </c>
      <c r="BC15" s="126">
        <f>PLĀNS_ar_grozījumiem!BC15-'plans (27122022)'!BC14</f>
        <v>0</v>
      </c>
      <c r="BD15" s="94" t="e">
        <f>PLĀNS_ar_grozījumiem!BD15-'plans (27122022)'!BD14</f>
        <v>#VALUE!</v>
      </c>
      <c r="BE15" s="95" t="e">
        <f>PLĀNS_ar_grozījumiem!BE15-'plans (27122022)'!BE14</f>
        <v>#VALUE!</v>
      </c>
      <c r="BF15" s="100">
        <f>PLĀNS_ar_grozījumiem!BF15-'plans (27122022)'!BF14</f>
        <v>0</v>
      </c>
      <c r="BG15" s="97">
        <f>PLĀNS_ar_grozījumiem!BG15-'plans (27122022)'!BG14</f>
        <v>0</v>
      </c>
      <c r="BH15" s="94" t="e">
        <f>PLĀNS_ar_grozījumiem!BH15-'plans (27122022)'!BH14</f>
        <v>#VALUE!</v>
      </c>
      <c r="BI15" s="95" t="e">
        <f>PLĀNS_ar_grozījumiem!BI15-'plans (27122022)'!BI14</f>
        <v>#VALUE!</v>
      </c>
      <c r="BJ15" s="102">
        <f>PLĀNS_ar_grozījumiem!BJ15-'plans (27122022)'!BJ14</f>
        <v>0</v>
      </c>
      <c r="BK15" s="102">
        <f>PLĀNS_ar_grozījumiem!BK15-'plans (27122022)'!BK14</f>
        <v>0</v>
      </c>
      <c r="BL15" s="92">
        <f>PLĀNS_ar_grozījumiem!BL15-'plans (27122022)'!BL14</f>
        <v>0</v>
      </c>
      <c r="BM15" s="93">
        <f>PLĀNS_ar_grozījumiem!BM15-'plans (27122022)'!BM14</f>
        <v>0</v>
      </c>
      <c r="BN15" s="93">
        <f>PLĀNS_ar_grozījumiem!BN15-'plans (27122022)'!BN14</f>
        <v>-3.8631960162969667</v>
      </c>
      <c r="BO15" s="93">
        <f>PLĀNS_ar_grozījumiem!BO15-'plans (27122022)'!BO14</f>
        <v>0</v>
      </c>
      <c r="BP15" s="94" t="e">
        <f>PLĀNS_ar_grozījumiem!BP15-'plans (27122022)'!BP14</f>
        <v>#VALUE!</v>
      </c>
      <c r="BQ15" s="95" t="e">
        <f>PLĀNS_ar_grozījumiem!BQ15-'plans (27122022)'!BQ14</f>
        <v>#VALUE!</v>
      </c>
      <c r="BR15" s="125">
        <f>PLĀNS_ar_grozījumiem!BR15-'plans (27122022)'!BR14</f>
        <v>0</v>
      </c>
      <c r="BS15" s="120">
        <f>PLĀNS_ar_grozījumiem!BS15-'plans (27122022)'!BS14</f>
        <v>0</v>
      </c>
      <c r="BT15" s="98" t="e">
        <f>PLĀNS_ar_grozījumiem!BT15-'plans (27122022)'!BT14</f>
        <v>#VALUE!</v>
      </c>
      <c r="BU15" s="99" t="e">
        <f>PLĀNS_ar_grozījumiem!BU15-'plans (27122022)'!BU14</f>
        <v>#VALUE!</v>
      </c>
      <c r="BV15" s="100">
        <f>PLĀNS_ar_grozījumiem!BV15-'plans (27122022)'!BV14</f>
        <v>0</v>
      </c>
      <c r="BW15" s="126">
        <f>PLĀNS_ar_grozījumiem!BW15-'plans (27122022)'!BW14</f>
        <v>0</v>
      </c>
      <c r="BX15" s="94" t="e">
        <f>PLĀNS_ar_grozījumiem!BX15-'plans (27122022)'!BX14</f>
        <v>#VALUE!</v>
      </c>
      <c r="BY15" s="95" t="e">
        <f>PLĀNS_ar_grozījumiem!BY15-'plans (27122022)'!BY14</f>
        <v>#VALUE!</v>
      </c>
      <c r="BZ15" s="100">
        <f>PLĀNS_ar_grozījumiem!BZ15-'plans (27122022)'!BZ14</f>
        <v>0</v>
      </c>
      <c r="CA15" s="97">
        <f>PLĀNS_ar_grozījumiem!CA15-'plans (27122022)'!CA14</f>
        <v>0</v>
      </c>
      <c r="CB15" s="94" t="e">
        <f>PLĀNS_ar_grozījumiem!CB15-'plans (27122022)'!CB14</f>
        <v>#VALUE!</v>
      </c>
      <c r="CC15" s="95" t="e">
        <f>PLĀNS_ar_grozījumiem!CC15-'plans (27122022)'!CC14</f>
        <v>#VALUE!</v>
      </c>
      <c r="CD15" s="102">
        <f>PLĀNS_ar_grozījumiem!CD15-'plans (27122022)'!CD14</f>
        <v>0</v>
      </c>
      <c r="CE15" s="102">
        <f>PLĀNS_ar_grozījumiem!CE15-'plans (27122022)'!CE14</f>
        <v>0</v>
      </c>
      <c r="CF15" s="103">
        <f>PLĀNS_ar_grozījumiem!CF15-'plans (27122022)'!CF14</f>
        <v>-0.5</v>
      </c>
      <c r="CG15" s="102">
        <f>PLĀNS_ar_grozījumiem!CG15-'plans (27122022)'!CG14</f>
        <v>0</v>
      </c>
      <c r="CH15" s="105">
        <f>PLĀNS_ar_grozījumiem!CH15-'plans (27122022)'!CH14</f>
        <v>-3.87642694063927</v>
      </c>
      <c r="CI15" s="127">
        <f>PLĀNS_ar_grozījumiem!CI15-'plans (27122022)'!CI14</f>
        <v>0</v>
      </c>
      <c r="CJ15" s="98" t="e">
        <f>PLĀNS_ar_grozījumiem!CJ15-'plans (27122022)'!CJ14</f>
        <v>#VALUE!</v>
      </c>
      <c r="CK15" s="99" t="e">
        <f>PLĀNS_ar_grozījumiem!CK15-'plans (27122022)'!CK14</f>
        <v>#VALUE!</v>
      </c>
      <c r="CL15" s="100">
        <f>PLĀNS_ar_grozījumiem!CL15-'plans (27122022)'!CL14</f>
        <v>0</v>
      </c>
      <c r="CM15" s="107">
        <f>PLĀNS_ar_grozījumiem!CM15-'plans (27122022)'!CM14</f>
        <v>0</v>
      </c>
      <c r="CN15" s="108" t="e">
        <f>PLĀNS_ar_grozījumiem!CN15-'plans (27122022)'!CN14</f>
        <v>#VALUE!</v>
      </c>
      <c r="CO15" s="99" t="e">
        <f>PLĀNS_ar_grozījumiem!CO15-'plans (27122022)'!CO14</f>
        <v>#VALUE!</v>
      </c>
      <c r="CP15" s="100">
        <f>PLĀNS_ar_grozījumiem!CP15-'plans (27122022)'!CP14</f>
        <v>0</v>
      </c>
      <c r="CQ15" s="97">
        <f>PLĀNS_ar_grozījumiem!CQ15-'plans (27122022)'!CQ14</f>
        <v>0</v>
      </c>
      <c r="CR15" s="98" t="e">
        <f>PLĀNS_ar_grozījumiem!CR15-'plans (27122022)'!CR14</f>
        <v>#VALUE!</v>
      </c>
      <c r="CS15" s="99" t="e">
        <f>PLĀNS_ar_grozījumiem!CS15-'plans (27122022)'!CS14</f>
        <v>#VALUE!</v>
      </c>
      <c r="CT15" s="100">
        <f>PLĀNS_ar_grozījumiem!CT15-'plans (27122022)'!CT14</f>
        <v>0</v>
      </c>
      <c r="CU15" s="97">
        <f>PLĀNS_ar_grozījumiem!CU15-'plans (27122022)'!CU14</f>
        <v>0</v>
      </c>
      <c r="CV15" s="98" t="e">
        <f>PLĀNS_ar_grozījumiem!CV15-'plans (27122022)'!CV14</f>
        <v>#VALUE!</v>
      </c>
      <c r="CW15" s="99" t="e">
        <f>PLĀNS_ar_grozījumiem!CW15-'plans (27122022)'!CW14</f>
        <v>#VALUE!</v>
      </c>
      <c r="CX15" s="100">
        <f>PLĀNS_ar_grozījumiem!CX15-'plans (27122022)'!CX14</f>
        <v>0</v>
      </c>
      <c r="CY15" s="128">
        <f>PLĀNS_ar_grozījumiem!CY15-'plans (27122022)'!CY14</f>
        <v>0</v>
      </c>
      <c r="CZ15" s="110">
        <f t="shared" si="0"/>
        <v>170.6</v>
      </c>
      <c r="DA15" s="111">
        <f t="shared" si="0"/>
        <v>0</v>
      </c>
      <c r="DB15" s="112">
        <f t="shared" ref="DB15:DC18" si="2">(CZ15/4343)*100</f>
        <v>3.9281602578862533</v>
      </c>
      <c r="DC15" s="113">
        <f t="shared" si="2"/>
        <v>0</v>
      </c>
      <c r="DD15" s="100">
        <f t="shared" si="1"/>
        <v>0</v>
      </c>
      <c r="DE15" s="102">
        <f t="shared" si="1"/>
        <v>0</v>
      </c>
      <c r="DF15" s="102" t="e">
        <f t="shared" si="1"/>
        <v>#VALUE!</v>
      </c>
      <c r="DG15" s="114" t="e">
        <f t="shared" si="1"/>
        <v>#VALUE!</v>
      </c>
      <c r="DH15" s="100">
        <f t="shared" si="1"/>
        <v>0</v>
      </c>
      <c r="DI15" s="97">
        <f t="shared" si="1"/>
        <v>0</v>
      </c>
      <c r="DJ15" s="97" t="e">
        <f t="shared" si="1"/>
        <v>#VALUE!</v>
      </c>
      <c r="DK15" s="97" t="e">
        <f t="shared" si="1"/>
        <v>#VALUE!</v>
      </c>
      <c r="DL15" s="100">
        <f t="shared" si="1"/>
        <v>0</v>
      </c>
      <c r="DM15" s="97">
        <f t="shared" si="1"/>
        <v>0</v>
      </c>
      <c r="DN15" s="97" t="e">
        <f t="shared" si="1"/>
        <v>#VALUE!</v>
      </c>
      <c r="DO15" s="115" t="e">
        <f t="shared" si="1"/>
        <v>#VALUE!</v>
      </c>
      <c r="DP15" s="100">
        <f>ROUND((DD15/CZ15),0)</f>
        <v>0</v>
      </c>
      <c r="DQ15" s="116" t="e">
        <f t="shared" ref="DQ15:DQ18" si="3">ROUND((DE15/DA15),0)</f>
        <v>#DIV/0!</v>
      </c>
      <c r="DR15" s="117">
        <f>PLĀNS_ar_grozījumiem!CF15-'plans (27122022)'!CF14</f>
        <v>-0.5</v>
      </c>
      <c r="DS15" s="908">
        <f>DR15/'plans (27122022)'!CF14</f>
        <v>-1.4577259475218659E-3</v>
      </c>
      <c r="DT15" s="104">
        <f>PLĀNS_ar_grozījumiem!CL15-'plans (27122022)'!CL14</f>
        <v>0</v>
      </c>
      <c r="DU15" s="909"/>
      <c r="DV15" s="120"/>
      <c r="DW15" s="118">
        <f>PLĀNS_ar_grozījumiem!CM15-'plans (27122022)'!CM14</f>
        <v>0</v>
      </c>
      <c r="DX15" s="104">
        <f>PLĀNS_ar_grozījumiem!CP15-'plans (27122022)'!CP14</f>
        <v>0</v>
      </c>
      <c r="DY15" s="909"/>
      <c r="DZ15" s="120"/>
      <c r="EA15" s="118"/>
      <c r="EB15" s="104">
        <f>PLĀNS_ar_grozījumiem!CT15-'plans (27122022)'!CT14</f>
        <v>0</v>
      </c>
      <c r="EC15" s="910"/>
      <c r="ED15" s="120"/>
      <c r="EE15" s="121"/>
      <c r="EF15" s="122">
        <f>PLĀNS_ar_grozījumiem!CX15-'plans (27122022)'!CX14</f>
        <v>0</v>
      </c>
      <c r="EG15" s="911"/>
    </row>
    <row r="16" spans="1:138" ht="15.75" customHeight="1" x14ac:dyDescent="0.3">
      <c r="A16" s="1070"/>
      <c r="B16" s="90"/>
      <c r="C16" s="1024" t="s">
        <v>47</v>
      </c>
      <c r="D16" s="1005">
        <v>79.2</v>
      </c>
      <c r="E16" s="93"/>
      <c r="F16" s="93">
        <v>3.6683649837887913</v>
      </c>
      <c r="G16" s="93"/>
      <c r="H16" s="94" t="s">
        <v>44</v>
      </c>
      <c r="I16" s="95" t="s">
        <v>44</v>
      </c>
      <c r="J16" s="125">
        <v>0</v>
      </c>
      <c r="K16" s="120"/>
      <c r="L16" s="98" t="s">
        <v>44</v>
      </c>
      <c r="M16" s="99" t="s">
        <v>44</v>
      </c>
      <c r="N16" s="100">
        <v>0</v>
      </c>
      <c r="O16" s="126"/>
      <c r="P16" s="94" t="s">
        <v>44</v>
      </c>
      <c r="Q16" s="95" t="s">
        <v>44</v>
      </c>
      <c r="R16" s="100">
        <v>0</v>
      </c>
      <c r="S16" s="97"/>
      <c r="T16" s="94" t="s">
        <v>44</v>
      </c>
      <c r="U16" s="95" t="s">
        <v>44</v>
      </c>
      <c r="V16" s="102">
        <v>0</v>
      </c>
      <c r="W16" s="102"/>
      <c r="X16" s="92">
        <v>78.7</v>
      </c>
      <c r="Y16" s="93"/>
      <c r="Z16" s="93">
        <v>3.603479853479854</v>
      </c>
      <c r="AA16" s="93"/>
      <c r="AB16" s="94" t="s">
        <v>44</v>
      </c>
      <c r="AC16" s="95" t="s">
        <v>44</v>
      </c>
      <c r="AD16" s="125">
        <v>0</v>
      </c>
      <c r="AE16" s="120"/>
      <c r="AF16" s="98" t="s">
        <v>44</v>
      </c>
      <c r="AG16" s="99" t="s">
        <v>44</v>
      </c>
      <c r="AH16" s="100">
        <v>0</v>
      </c>
      <c r="AI16" s="126"/>
      <c r="AJ16" s="94" t="s">
        <v>44</v>
      </c>
      <c r="AK16" s="95" t="s">
        <v>44</v>
      </c>
      <c r="AL16" s="100">
        <v>0</v>
      </c>
      <c r="AM16" s="97"/>
      <c r="AN16" s="94" t="s">
        <v>44</v>
      </c>
      <c r="AO16" s="95" t="s">
        <v>44</v>
      </c>
      <c r="AP16" s="102">
        <v>0</v>
      </c>
      <c r="AQ16" s="102"/>
      <c r="AR16" s="92">
        <v>79.7</v>
      </c>
      <c r="AS16" s="93">
        <f>PLĀNS_ar_grozījumiem!AS16-'plans (27122022)'!AS15</f>
        <v>0</v>
      </c>
      <c r="AT16" s="93">
        <f>PLĀNS_ar_grozījumiem!AT16-'plans (27122022)'!AT15</f>
        <v>-3.5740036231884056</v>
      </c>
      <c r="AU16" s="93">
        <f>PLĀNS_ar_grozījumiem!AU16-'plans (27122022)'!AU15</f>
        <v>0</v>
      </c>
      <c r="AV16" s="94" t="e">
        <f>PLĀNS_ar_grozījumiem!AV16-'plans (27122022)'!AV15</f>
        <v>#VALUE!</v>
      </c>
      <c r="AW16" s="95" t="e">
        <f>PLĀNS_ar_grozījumiem!AW16-'plans (27122022)'!AW15</f>
        <v>#VALUE!</v>
      </c>
      <c r="AX16" s="125">
        <f>PLĀNS_ar_grozījumiem!AX16-'plans (27122022)'!AX15</f>
        <v>0</v>
      </c>
      <c r="AY16" s="120">
        <f>PLĀNS_ar_grozījumiem!AY16-'plans (27122022)'!AY15</f>
        <v>0</v>
      </c>
      <c r="AZ16" s="98" t="e">
        <f>PLĀNS_ar_grozījumiem!AZ16-'plans (27122022)'!AZ15</f>
        <v>#VALUE!</v>
      </c>
      <c r="BA16" s="99" t="e">
        <f>PLĀNS_ar_grozījumiem!BA16-'plans (27122022)'!BA15</f>
        <v>#VALUE!</v>
      </c>
      <c r="BB16" s="100">
        <f>PLĀNS_ar_grozījumiem!BB16-'plans (27122022)'!BB15</f>
        <v>0</v>
      </c>
      <c r="BC16" s="126">
        <f>PLĀNS_ar_grozījumiem!BC16-'plans (27122022)'!BC15</f>
        <v>0</v>
      </c>
      <c r="BD16" s="94" t="e">
        <f>PLĀNS_ar_grozījumiem!BD16-'plans (27122022)'!BD15</f>
        <v>#VALUE!</v>
      </c>
      <c r="BE16" s="95" t="e">
        <f>PLĀNS_ar_grozījumiem!BE16-'plans (27122022)'!BE15</f>
        <v>#VALUE!</v>
      </c>
      <c r="BF16" s="100">
        <f>PLĀNS_ar_grozījumiem!BF16-'plans (27122022)'!BF15</f>
        <v>0</v>
      </c>
      <c r="BG16" s="97">
        <f>PLĀNS_ar_grozījumiem!BG16-'plans (27122022)'!BG15</f>
        <v>0</v>
      </c>
      <c r="BH16" s="94" t="e">
        <f>PLĀNS_ar_grozījumiem!BH16-'plans (27122022)'!BH15</f>
        <v>#VALUE!</v>
      </c>
      <c r="BI16" s="95" t="e">
        <f>PLĀNS_ar_grozījumiem!BI16-'plans (27122022)'!BI15</f>
        <v>#VALUE!</v>
      </c>
      <c r="BJ16" s="102">
        <f>PLĀNS_ar_grozījumiem!BJ16-'plans (27122022)'!BJ15</f>
        <v>0</v>
      </c>
      <c r="BK16" s="102">
        <f>PLĀNS_ar_grozījumiem!BK16-'plans (27122022)'!BK15</f>
        <v>0</v>
      </c>
      <c r="BL16" s="92">
        <f>PLĀNS_ar_grozījumiem!BL16-'plans (27122022)'!BL15</f>
        <v>-0.10000000000000853</v>
      </c>
      <c r="BM16" s="93">
        <f>PLĀNS_ar_grozījumiem!BM16-'plans (27122022)'!BM15</f>
        <v>0</v>
      </c>
      <c r="BN16" s="93">
        <f>PLĀNS_ar_grozījumiem!BN16-'plans (27122022)'!BN15</f>
        <v>-3.5943413309189678</v>
      </c>
      <c r="BO16" s="93">
        <f>PLĀNS_ar_grozījumiem!BO16-'plans (27122022)'!BO15</f>
        <v>0</v>
      </c>
      <c r="BP16" s="94" t="e">
        <f>PLĀNS_ar_grozījumiem!BP16-'plans (27122022)'!BP15</f>
        <v>#VALUE!</v>
      </c>
      <c r="BQ16" s="95" t="e">
        <f>PLĀNS_ar_grozījumiem!BQ16-'plans (27122022)'!BQ15</f>
        <v>#VALUE!</v>
      </c>
      <c r="BR16" s="125">
        <f>PLĀNS_ar_grozījumiem!BR16-'plans (27122022)'!BR15</f>
        <v>0</v>
      </c>
      <c r="BS16" s="120">
        <f>PLĀNS_ar_grozījumiem!BS16-'plans (27122022)'!BS15</f>
        <v>0</v>
      </c>
      <c r="BT16" s="98" t="e">
        <f>PLĀNS_ar_grozījumiem!BT16-'plans (27122022)'!BT15</f>
        <v>#VALUE!</v>
      </c>
      <c r="BU16" s="99" t="e">
        <f>PLĀNS_ar_grozījumiem!BU16-'plans (27122022)'!BU15</f>
        <v>#VALUE!</v>
      </c>
      <c r="BV16" s="100">
        <f>PLĀNS_ar_grozījumiem!BV16-'plans (27122022)'!BV15</f>
        <v>0</v>
      </c>
      <c r="BW16" s="126">
        <f>PLĀNS_ar_grozījumiem!BW16-'plans (27122022)'!BW15</f>
        <v>0</v>
      </c>
      <c r="BX16" s="94" t="e">
        <f>PLĀNS_ar_grozījumiem!BX16-'plans (27122022)'!BX15</f>
        <v>#VALUE!</v>
      </c>
      <c r="BY16" s="95" t="e">
        <f>PLĀNS_ar_grozījumiem!BY16-'plans (27122022)'!BY15</f>
        <v>#VALUE!</v>
      </c>
      <c r="BZ16" s="100">
        <f>PLĀNS_ar_grozījumiem!BZ16-'plans (27122022)'!BZ15</f>
        <v>0</v>
      </c>
      <c r="CA16" s="97">
        <f>PLĀNS_ar_grozījumiem!CA16-'plans (27122022)'!CA15</f>
        <v>0</v>
      </c>
      <c r="CB16" s="94" t="e">
        <f>PLĀNS_ar_grozījumiem!CB16-'plans (27122022)'!CB15</f>
        <v>#VALUE!</v>
      </c>
      <c r="CC16" s="95" t="e">
        <f>PLĀNS_ar_grozījumiem!CC16-'plans (27122022)'!CC15</f>
        <v>#VALUE!</v>
      </c>
      <c r="CD16" s="102">
        <f>PLĀNS_ar_grozījumiem!CD16-'plans (27122022)'!CD15</f>
        <v>0</v>
      </c>
      <c r="CE16" s="102">
        <f>PLĀNS_ar_grozījumiem!CE16-'plans (27122022)'!CE15</f>
        <v>0</v>
      </c>
      <c r="CF16" s="103">
        <f>PLĀNS_ar_grozījumiem!CF16-'plans (27122022)'!CF15</f>
        <v>-1.2000000000000455</v>
      </c>
      <c r="CG16" s="102">
        <f>PLĀNS_ar_grozījumiem!CG16-'plans (27122022)'!CG15</f>
        <v>0</v>
      </c>
      <c r="CH16" s="105">
        <f>PLĀNS_ar_grozījumiem!CH16-'plans (27122022)'!CH15</f>
        <v>-3.5917123287671231</v>
      </c>
      <c r="CI16" s="127">
        <f>PLĀNS_ar_grozījumiem!CI16-'plans (27122022)'!CI15</f>
        <v>0</v>
      </c>
      <c r="CJ16" s="98" t="e">
        <f>PLĀNS_ar_grozījumiem!CJ16-'plans (27122022)'!CJ15</f>
        <v>#VALUE!</v>
      </c>
      <c r="CK16" s="99" t="e">
        <f>PLĀNS_ar_grozījumiem!CK16-'plans (27122022)'!CK15</f>
        <v>#VALUE!</v>
      </c>
      <c r="CL16" s="100">
        <f>PLĀNS_ar_grozījumiem!CL16-'plans (27122022)'!CL15</f>
        <v>0</v>
      </c>
      <c r="CM16" s="107">
        <f>PLĀNS_ar_grozījumiem!CM16-'plans (27122022)'!CM15</f>
        <v>0</v>
      </c>
      <c r="CN16" s="108" t="e">
        <f>PLĀNS_ar_grozījumiem!CN16-'plans (27122022)'!CN15</f>
        <v>#VALUE!</v>
      </c>
      <c r="CO16" s="99" t="e">
        <f>PLĀNS_ar_grozījumiem!CO16-'plans (27122022)'!CO15</f>
        <v>#VALUE!</v>
      </c>
      <c r="CP16" s="100">
        <f>PLĀNS_ar_grozījumiem!CP16-'plans (27122022)'!CP15</f>
        <v>0</v>
      </c>
      <c r="CQ16" s="97">
        <f>PLĀNS_ar_grozījumiem!CQ16-'plans (27122022)'!CQ15</f>
        <v>0</v>
      </c>
      <c r="CR16" s="98" t="e">
        <f>PLĀNS_ar_grozījumiem!CR16-'plans (27122022)'!CR15</f>
        <v>#VALUE!</v>
      </c>
      <c r="CS16" s="99" t="e">
        <f>PLĀNS_ar_grozījumiem!CS16-'plans (27122022)'!CS15</f>
        <v>#VALUE!</v>
      </c>
      <c r="CT16" s="100">
        <f>PLĀNS_ar_grozījumiem!CT16-'plans (27122022)'!CT15</f>
        <v>0</v>
      </c>
      <c r="CU16" s="97">
        <f>PLĀNS_ar_grozījumiem!CU16-'plans (27122022)'!CU15</f>
        <v>0</v>
      </c>
      <c r="CV16" s="98" t="e">
        <f>PLĀNS_ar_grozījumiem!CV16-'plans (27122022)'!CV15</f>
        <v>#VALUE!</v>
      </c>
      <c r="CW16" s="99" t="e">
        <f>PLĀNS_ar_grozījumiem!CW16-'plans (27122022)'!CW15</f>
        <v>#VALUE!</v>
      </c>
      <c r="CX16" s="100">
        <f>PLĀNS_ar_grozījumiem!CX16-'plans (27122022)'!CX15</f>
        <v>0</v>
      </c>
      <c r="CY16" s="129">
        <f>PLĀNS_ar_grozījumiem!CY16-'plans (27122022)'!CY15</f>
        <v>0</v>
      </c>
      <c r="CZ16" s="110">
        <f t="shared" si="0"/>
        <v>157.9</v>
      </c>
      <c r="DA16" s="111">
        <f t="shared" si="0"/>
        <v>0</v>
      </c>
      <c r="DB16" s="112">
        <f t="shared" si="2"/>
        <v>3.6357356665899148</v>
      </c>
      <c r="DC16" s="113">
        <f t="shared" si="2"/>
        <v>0</v>
      </c>
      <c r="DD16" s="100">
        <f t="shared" si="1"/>
        <v>0</v>
      </c>
      <c r="DE16" s="102">
        <f t="shared" si="1"/>
        <v>0</v>
      </c>
      <c r="DF16" s="102" t="e">
        <f t="shared" si="1"/>
        <v>#VALUE!</v>
      </c>
      <c r="DG16" s="114" t="e">
        <f t="shared" si="1"/>
        <v>#VALUE!</v>
      </c>
      <c r="DH16" s="100">
        <f t="shared" si="1"/>
        <v>0</v>
      </c>
      <c r="DI16" s="97">
        <f t="shared" si="1"/>
        <v>0</v>
      </c>
      <c r="DJ16" s="97" t="e">
        <f t="shared" si="1"/>
        <v>#VALUE!</v>
      </c>
      <c r="DK16" s="97" t="e">
        <f t="shared" si="1"/>
        <v>#VALUE!</v>
      </c>
      <c r="DL16" s="100">
        <f t="shared" si="1"/>
        <v>0</v>
      </c>
      <c r="DM16" s="97">
        <f t="shared" si="1"/>
        <v>0</v>
      </c>
      <c r="DN16" s="97" t="e">
        <f t="shared" si="1"/>
        <v>#VALUE!</v>
      </c>
      <c r="DO16" s="115" t="e">
        <f t="shared" si="1"/>
        <v>#VALUE!</v>
      </c>
      <c r="DP16" s="100">
        <f t="shared" ref="DP16:DP18" si="4">ROUND((DD16/CZ16),0)</f>
        <v>0</v>
      </c>
      <c r="DQ16" s="116" t="e">
        <f t="shared" si="3"/>
        <v>#DIV/0!</v>
      </c>
      <c r="DR16" s="117">
        <f>PLĀNS_ar_grozījumiem!CF16-'plans (27122022)'!CF15</f>
        <v>-1.2000000000000455</v>
      </c>
      <c r="DS16" s="908">
        <f>DR16/'plans (27122022)'!CF15</f>
        <v>-3.7759597230964301E-3</v>
      </c>
      <c r="DT16" s="104">
        <f>PLĀNS_ar_grozījumiem!CL16-'plans (27122022)'!CL15</f>
        <v>0</v>
      </c>
      <c r="DU16" s="909"/>
      <c r="DV16" s="120"/>
      <c r="DW16" s="118">
        <f>PLĀNS_ar_grozījumiem!CM16-'plans (27122022)'!CM15</f>
        <v>0</v>
      </c>
      <c r="DX16" s="104">
        <f>PLĀNS_ar_grozījumiem!CP16-'plans (27122022)'!CP15</f>
        <v>0</v>
      </c>
      <c r="DY16" s="909"/>
      <c r="DZ16" s="120"/>
      <c r="EA16" s="118"/>
      <c r="EB16" s="104">
        <f>PLĀNS_ar_grozījumiem!CT16-'plans (27122022)'!CT15</f>
        <v>0</v>
      </c>
      <c r="EC16" s="910"/>
      <c r="ED16" s="120"/>
      <c r="EE16" s="121"/>
      <c r="EF16" s="122">
        <f>PLĀNS_ar_grozījumiem!CX16-'plans (27122022)'!CX15</f>
        <v>0</v>
      </c>
      <c r="EG16" s="911"/>
    </row>
    <row r="17" spans="1:137" ht="15.75" customHeight="1" x14ac:dyDescent="0.3">
      <c r="A17" s="1070"/>
      <c r="B17" s="90"/>
      <c r="C17" s="1024" t="s">
        <v>48</v>
      </c>
      <c r="D17" s="1005">
        <v>186.4</v>
      </c>
      <c r="E17" s="93"/>
      <c r="F17" s="93">
        <v>8.6336266790180645</v>
      </c>
      <c r="G17" s="93"/>
      <c r="H17" s="94" t="s">
        <v>44</v>
      </c>
      <c r="I17" s="95" t="s">
        <v>44</v>
      </c>
      <c r="J17" s="125">
        <v>62091</v>
      </c>
      <c r="K17" s="120"/>
      <c r="L17" s="98" t="s">
        <v>44</v>
      </c>
      <c r="M17" s="99" t="s">
        <v>44</v>
      </c>
      <c r="N17" s="100">
        <v>62091</v>
      </c>
      <c r="O17" s="126"/>
      <c r="P17" s="94" t="s">
        <v>44</v>
      </c>
      <c r="Q17" s="95" t="s">
        <v>44</v>
      </c>
      <c r="R17" s="100">
        <v>0</v>
      </c>
      <c r="S17" s="97"/>
      <c r="T17" s="94" t="s">
        <v>44</v>
      </c>
      <c r="U17" s="95" t="s">
        <v>44</v>
      </c>
      <c r="V17" s="102">
        <v>333</v>
      </c>
      <c r="W17" s="102"/>
      <c r="X17" s="92">
        <v>186.9</v>
      </c>
      <c r="Y17" s="93"/>
      <c r="Z17" s="93">
        <v>8.5576923076923084</v>
      </c>
      <c r="AA17" s="93"/>
      <c r="AB17" s="94" t="s">
        <v>44</v>
      </c>
      <c r="AC17" s="95" t="s">
        <v>44</v>
      </c>
      <c r="AD17" s="125">
        <v>62389</v>
      </c>
      <c r="AE17" s="120"/>
      <c r="AF17" s="98" t="s">
        <v>44</v>
      </c>
      <c r="AG17" s="99" t="s">
        <v>44</v>
      </c>
      <c r="AH17" s="100">
        <v>62389</v>
      </c>
      <c r="AI17" s="126"/>
      <c r="AJ17" s="94" t="s">
        <v>44</v>
      </c>
      <c r="AK17" s="95" t="s">
        <v>44</v>
      </c>
      <c r="AL17" s="100">
        <v>0</v>
      </c>
      <c r="AM17" s="97"/>
      <c r="AN17" s="94" t="s">
        <v>44</v>
      </c>
      <c r="AO17" s="95" t="s">
        <v>44</v>
      </c>
      <c r="AP17" s="102">
        <v>334</v>
      </c>
      <c r="AQ17" s="102"/>
      <c r="AR17" s="92">
        <v>189.5</v>
      </c>
      <c r="AS17" s="93">
        <f>PLĀNS_ar_grozījumiem!AS17-'plans (27122022)'!AS16</f>
        <v>0</v>
      </c>
      <c r="AT17" s="93">
        <f>PLĀNS_ar_grozījumiem!AT17-'plans (27122022)'!AT16</f>
        <v>-8.4994565217391305</v>
      </c>
      <c r="AU17" s="93">
        <f>PLĀNS_ar_grozījumiem!AU17-'plans (27122022)'!AU16</f>
        <v>0</v>
      </c>
      <c r="AV17" s="94" t="e">
        <f>PLĀNS_ar_grozījumiem!AV17-'plans (27122022)'!AV16</f>
        <v>#VALUE!</v>
      </c>
      <c r="AW17" s="95" t="e">
        <f>PLĀNS_ar_grozījumiem!AW17-'plans (27122022)'!AW16</f>
        <v>#VALUE!</v>
      </c>
      <c r="AX17" s="125">
        <f>PLĀNS_ar_grozījumiem!AX17-'plans (27122022)'!AX16</f>
        <v>4201.6000000000058</v>
      </c>
      <c r="AY17" s="120">
        <f>PLĀNS_ar_grozījumiem!AY17-'plans (27122022)'!AY16</f>
        <v>0</v>
      </c>
      <c r="AZ17" s="98" t="e">
        <f>PLĀNS_ar_grozījumiem!AZ17-'plans (27122022)'!AZ16</f>
        <v>#VALUE!</v>
      </c>
      <c r="BA17" s="99" t="e">
        <f>PLĀNS_ar_grozījumiem!BA17-'plans (27122022)'!BA16</f>
        <v>#VALUE!</v>
      </c>
      <c r="BB17" s="100">
        <f>PLĀNS_ar_grozījumiem!BB17-'plans (27122022)'!BB16</f>
        <v>4201.6000000000058</v>
      </c>
      <c r="BC17" s="126">
        <f>PLĀNS_ar_grozījumiem!BC17-'plans (27122022)'!BC16</f>
        <v>0</v>
      </c>
      <c r="BD17" s="94" t="e">
        <f>PLĀNS_ar_grozījumiem!BD17-'plans (27122022)'!BD16</f>
        <v>#VALUE!</v>
      </c>
      <c r="BE17" s="95" t="e">
        <f>PLĀNS_ar_grozījumiem!BE17-'plans (27122022)'!BE16</f>
        <v>#VALUE!</v>
      </c>
      <c r="BF17" s="100">
        <f>PLĀNS_ar_grozījumiem!BF17-'plans (27122022)'!BF16</f>
        <v>0</v>
      </c>
      <c r="BG17" s="97">
        <f>PLĀNS_ar_grozījumiem!BG17-'plans (27122022)'!BG16</f>
        <v>0</v>
      </c>
      <c r="BH17" s="94" t="e">
        <f>PLĀNS_ar_grozījumiem!BH17-'plans (27122022)'!BH16</f>
        <v>#VALUE!</v>
      </c>
      <c r="BI17" s="95" t="e">
        <f>PLĀNS_ar_grozījumiem!BI17-'plans (27122022)'!BI16</f>
        <v>#VALUE!</v>
      </c>
      <c r="BJ17" s="102">
        <f>PLĀNS_ar_grozījumiem!BJ17-'plans (27122022)'!BJ16</f>
        <v>34.060043668122319</v>
      </c>
      <c r="BK17" s="102">
        <f>PLĀNS_ar_grozījumiem!BK17-'plans (27122022)'!BK16</f>
        <v>0</v>
      </c>
      <c r="BL17" s="92">
        <f>PLĀNS_ar_grozījumiem!BL17-'plans (27122022)'!BL16</f>
        <v>-5.5</v>
      </c>
      <c r="BM17" s="93">
        <f>PLĀNS_ar_grozījumiem!BM17-'plans (27122022)'!BM16</f>
        <v>0</v>
      </c>
      <c r="BN17" s="93">
        <f>PLĀNS_ar_grozījumiem!BN17-'plans (27122022)'!BN16</f>
        <v>-8.4459483929379822</v>
      </c>
      <c r="BO17" s="93">
        <f>PLĀNS_ar_grozījumiem!BO17-'plans (27122022)'!BO16</f>
        <v>0</v>
      </c>
      <c r="BP17" s="94" t="e">
        <f>PLĀNS_ar_grozījumiem!BP17-'plans (27122022)'!BP16</f>
        <v>#VALUE!</v>
      </c>
      <c r="BQ17" s="95" t="e">
        <f>PLĀNS_ar_grozījumiem!BQ17-'plans (27122022)'!BQ16</f>
        <v>#VALUE!</v>
      </c>
      <c r="BR17" s="125">
        <f>PLĀNS_ar_grozījumiem!BR17-'plans (27122022)'!BR16</f>
        <v>3223.2000000000116</v>
      </c>
      <c r="BS17" s="120">
        <f>PLĀNS_ar_grozījumiem!BS17-'plans (27122022)'!BS16</f>
        <v>0</v>
      </c>
      <c r="BT17" s="98" t="e">
        <f>PLĀNS_ar_grozījumiem!BT17-'plans (27122022)'!BT16</f>
        <v>#VALUE!</v>
      </c>
      <c r="BU17" s="99" t="e">
        <f>PLĀNS_ar_grozījumiem!BU17-'plans (27122022)'!BU16</f>
        <v>#VALUE!</v>
      </c>
      <c r="BV17" s="100">
        <f>PLĀNS_ar_grozījumiem!BV17-'plans (27122022)'!BV16</f>
        <v>3223.2000000000116</v>
      </c>
      <c r="BW17" s="126">
        <f>PLĀNS_ar_grozījumiem!BW17-'plans (27122022)'!BW16</f>
        <v>0</v>
      </c>
      <c r="BX17" s="94" t="e">
        <f>PLĀNS_ar_grozījumiem!BX17-'plans (27122022)'!BX16</f>
        <v>#VALUE!</v>
      </c>
      <c r="BY17" s="95" t="e">
        <f>PLĀNS_ar_grozījumiem!BY17-'plans (27122022)'!BY16</f>
        <v>#VALUE!</v>
      </c>
      <c r="BZ17" s="100">
        <f>PLĀNS_ar_grozījumiem!BZ17-'plans (27122022)'!BZ16</f>
        <v>0</v>
      </c>
      <c r="CA17" s="97">
        <f>PLĀNS_ar_grozījumiem!CA17-'plans (27122022)'!CA16</f>
        <v>0</v>
      </c>
      <c r="CB17" s="94" t="e">
        <f>PLĀNS_ar_grozījumiem!CB17-'plans (27122022)'!CB16</f>
        <v>#VALUE!</v>
      </c>
      <c r="CC17" s="95" t="e">
        <f>PLĀNS_ar_grozījumiem!CC17-'plans (27122022)'!CC16</f>
        <v>#VALUE!</v>
      </c>
      <c r="CD17" s="102">
        <f>PLĀNS_ar_grozījumiem!CD17-'plans (27122022)'!CD16</f>
        <v>27.526517222526024</v>
      </c>
      <c r="CE17" s="102">
        <f>PLĀNS_ar_grozījumiem!CE17-'plans (27122022)'!CE16</f>
        <v>0</v>
      </c>
      <c r="CF17" s="103">
        <f>PLĀNS_ar_grozījumiem!CF17-'plans (27122022)'!CF16</f>
        <v>-11.799999999999955</v>
      </c>
      <c r="CG17" s="102">
        <f>PLĀNS_ar_grozījumiem!CG17-'plans (27122022)'!CG16</f>
        <v>0</v>
      </c>
      <c r="CH17" s="105">
        <f>PLĀNS_ar_grozījumiem!CH17-'plans (27122022)'!CH16</f>
        <v>-8.4909360730593608</v>
      </c>
      <c r="CI17" s="127">
        <f>PLĀNS_ar_grozījumiem!CI17-'plans (27122022)'!CI16</f>
        <v>0</v>
      </c>
      <c r="CJ17" s="98" t="e">
        <f>PLĀNS_ar_grozījumiem!CJ17-'plans (27122022)'!CJ16</f>
        <v>#VALUE!</v>
      </c>
      <c r="CK17" s="99" t="e">
        <f>PLĀNS_ar_grozījumiem!CK17-'plans (27122022)'!CK16</f>
        <v>#VALUE!</v>
      </c>
      <c r="CL17" s="100">
        <f>PLĀNS_ar_grozījumiem!CL17-'plans (27122022)'!CL16</f>
        <v>7424.8000000000175</v>
      </c>
      <c r="CM17" s="107">
        <f>PLĀNS_ar_grozījumiem!CM17-'plans (27122022)'!CM16</f>
        <v>0</v>
      </c>
      <c r="CN17" s="108" t="e">
        <f>PLĀNS_ar_grozījumiem!CN17-'plans (27122022)'!CN16</f>
        <v>#VALUE!</v>
      </c>
      <c r="CO17" s="99" t="e">
        <f>PLĀNS_ar_grozījumiem!CO17-'plans (27122022)'!CO16</f>
        <v>#VALUE!</v>
      </c>
      <c r="CP17" s="100">
        <f>PLĀNS_ar_grozījumiem!CP17-'plans (27122022)'!CP16</f>
        <v>7424.8000000000175</v>
      </c>
      <c r="CQ17" s="97">
        <f>PLĀNS_ar_grozījumiem!CQ17-'plans (27122022)'!CQ16</f>
        <v>0</v>
      </c>
      <c r="CR17" s="98" t="e">
        <f>PLĀNS_ar_grozījumiem!CR17-'plans (27122022)'!CR16</f>
        <v>#VALUE!</v>
      </c>
      <c r="CS17" s="99" t="e">
        <f>PLĀNS_ar_grozījumiem!CS17-'plans (27122022)'!CS16</f>
        <v>#VALUE!</v>
      </c>
      <c r="CT17" s="100">
        <f>PLĀNS_ar_grozījumiem!CT17-'plans (27122022)'!CT16</f>
        <v>0</v>
      </c>
      <c r="CU17" s="97">
        <f>PLĀNS_ar_grozījumiem!CU17-'plans (27122022)'!CU16</f>
        <v>0</v>
      </c>
      <c r="CV17" s="98" t="e">
        <f>PLĀNS_ar_grozījumiem!CV17-'plans (27122022)'!CV16</f>
        <v>#VALUE!</v>
      </c>
      <c r="CW17" s="99" t="e">
        <f>PLĀNS_ar_grozījumiem!CW17-'plans (27122022)'!CW16</f>
        <v>#VALUE!</v>
      </c>
      <c r="CX17" s="100">
        <f>PLĀNS_ar_grozījumiem!CX17-'plans (27122022)'!CX16</f>
        <v>15.346221557184663</v>
      </c>
      <c r="CY17" s="129">
        <f>PLĀNS_ar_grozījumiem!CY17-'plans (27122022)'!CY16</f>
        <v>0</v>
      </c>
      <c r="CZ17" s="110">
        <f t="shared" si="0"/>
        <v>373.3</v>
      </c>
      <c r="DA17" s="111">
        <f t="shared" si="0"/>
        <v>0</v>
      </c>
      <c r="DB17" s="112">
        <f t="shared" si="2"/>
        <v>8.5954409394427813</v>
      </c>
      <c r="DC17" s="113">
        <f t="shared" si="2"/>
        <v>0</v>
      </c>
      <c r="DD17" s="100">
        <f t="shared" si="1"/>
        <v>124480</v>
      </c>
      <c r="DE17" s="102">
        <f t="shared" si="1"/>
        <v>0</v>
      </c>
      <c r="DF17" s="102" t="e">
        <f t="shared" si="1"/>
        <v>#VALUE!</v>
      </c>
      <c r="DG17" s="114" t="e">
        <f t="shared" si="1"/>
        <v>#VALUE!</v>
      </c>
      <c r="DH17" s="100">
        <f t="shared" si="1"/>
        <v>124480</v>
      </c>
      <c r="DI17" s="97">
        <f t="shared" si="1"/>
        <v>0</v>
      </c>
      <c r="DJ17" s="97" t="e">
        <f t="shared" si="1"/>
        <v>#VALUE!</v>
      </c>
      <c r="DK17" s="97" t="e">
        <f t="shared" si="1"/>
        <v>#VALUE!</v>
      </c>
      <c r="DL17" s="100">
        <f t="shared" si="1"/>
        <v>0</v>
      </c>
      <c r="DM17" s="97">
        <f t="shared" si="1"/>
        <v>0</v>
      </c>
      <c r="DN17" s="97" t="e">
        <f t="shared" si="1"/>
        <v>#VALUE!</v>
      </c>
      <c r="DO17" s="115" t="e">
        <f t="shared" si="1"/>
        <v>#VALUE!</v>
      </c>
      <c r="DP17" s="100">
        <f t="shared" si="4"/>
        <v>333</v>
      </c>
      <c r="DQ17" s="116" t="e">
        <f t="shared" si="3"/>
        <v>#DIV/0!</v>
      </c>
      <c r="DR17" s="117">
        <f>PLĀNS_ar_grozījumiem!CF17-'plans (27122022)'!CF16</f>
        <v>-11.799999999999955</v>
      </c>
      <c r="DS17" s="908">
        <f>DR17/'plans (27122022)'!CF16</f>
        <v>-1.5708200212992487E-2</v>
      </c>
      <c r="DT17" s="104">
        <f>PLĀNS_ar_grozījumiem!CL17-'plans (27122022)'!CL16</f>
        <v>7424.8000000000175</v>
      </c>
      <c r="DU17" s="909">
        <f>DT17/'plans (27122022)'!CL16</f>
        <v>2.97359536386975E-2</v>
      </c>
      <c r="DV17" s="120"/>
      <c r="DW17" s="118">
        <f>PLĀNS_ar_grozījumiem!CM17-'plans (27122022)'!CM16</f>
        <v>0</v>
      </c>
      <c r="DX17" s="104">
        <f>PLĀNS_ar_grozījumiem!CP17-'plans (27122022)'!CP16</f>
        <v>7424.8000000000175</v>
      </c>
      <c r="DY17" s="909">
        <f>DX17/'plans (27122022)'!CP16</f>
        <v>2.97359536386975E-2</v>
      </c>
      <c r="DZ17" s="120"/>
      <c r="EA17" s="118"/>
      <c r="EB17" s="104">
        <f>PLĀNS_ar_grozījumiem!CT17-'plans (27122022)'!CT16</f>
        <v>0</v>
      </c>
      <c r="EC17" s="910"/>
      <c r="ED17" s="120"/>
      <c r="EE17" s="121"/>
      <c r="EF17" s="122">
        <f>PLĀNS_ar_grozījumiem!CX17-'plans (27122022)'!CX16</f>
        <v>15.346221557184663</v>
      </c>
      <c r="EG17" s="911">
        <f>EF17/'plans (27122022)'!CX16</f>
        <v>4.6169391903421106E-2</v>
      </c>
    </row>
    <row r="18" spans="1:137" ht="15.75" customHeight="1" x14ac:dyDescent="0.3">
      <c r="A18" s="1070"/>
      <c r="B18" s="90"/>
      <c r="C18" s="1024" t="s">
        <v>49</v>
      </c>
      <c r="D18" s="1005">
        <v>80.2</v>
      </c>
      <c r="E18" s="93"/>
      <c r="F18" s="93">
        <v>3.7146827234830941</v>
      </c>
      <c r="G18" s="93"/>
      <c r="H18" s="94" t="s">
        <v>44</v>
      </c>
      <c r="I18" s="95" t="s">
        <v>44</v>
      </c>
      <c r="J18" s="125">
        <v>0</v>
      </c>
      <c r="K18" s="120"/>
      <c r="L18" s="98" t="s">
        <v>44</v>
      </c>
      <c r="M18" s="99" t="s">
        <v>44</v>
      </c>
      <c r="N18" s="100">
        <v>0</v>
      </c>
      <c r="O18" s="126"/>
      <c r="P18" s="94" t="s">
        <v>44</v>
      </c>
      <c r="Q18" s="95" t="s">
        <v>44</v>
      </c>
      <c r="R18" s="100">
        <v>0</v>
      </c>
      <c r="S18" s="97"/>
      <c r="T18" s="94" t="s">
        <v>44</v>
      </c>
      <c r="U18" s="95" t="s">
        <v>44</v>
      </c>
      <c r="V18" s="102">
        <v>0</v>
      </c>
      <c r="W18" s="102"/>
      <c r="X18" s="92">
        <v>88.7</v>
      </c>
      <c r="Y18" s="93"/>
      <c r="Z18" s="93">
        <v>4.0613553113553111</v>
      </c>
      <c r="AA18" s="93"/>
      <c r="AB18" s="94" t="s">
        <v>44</v>
      </c>
      <c r="AC18" s="95" t="s">
        <v>44</v>
      </c>
      <c r="AD18" s="125">
        <v>0</v>
      </c>
      <c r="AE18" s="120"/>
      <c r="AF18" s="98" t="s">
        <v>44</v>
      </c>
      <c r="AG18" s="99" t="s">
        <v>44</v>
      </c>
      <c r="AH18" s="100">
        <v>0</v>
      </c>
      <c r="AI18" s="126"/>
      <c r="AJ18" s="94" t="s">
        <v>44</v>
      </c>
      <c r="AK18" s="95" t="s">
        <v>44</v>
      </c>
      <c r="AL18" s="100">
        <v>0</v>
      </c>
      <c r="AM18" s="97"/>
      <c r="AN18" s="94" t="s">
        <v>44</v>
      </c>
      <c r="AO18" s="95" t="s">
        <v>44</v>
      </c>
      <c r="AP18" s="102">
        <v>0</v>
      </c>
      <c r="AQ18" s="102"/>
      <c r="AR18" s="92">
        <v>80.5</v>
      </c>
      <c r="AS18" s="93">
        <f>PLĀNS_ar_grozījumiem!AS18-'plans (27122022)'!AS17</f>
        <v>0</v>
      </c>
      <c r="AT18" s="93">
        <f>PLĀNS_ar_grozījumiem!AT18-'plans (27122022)'!AT17</f>
        <v>-3.6239583333333334</v>
      </c>
      <c r="AU18" s="93">
        <f>PLĀNS_ar_grozījumiem!AU18-'plans (27122022)'!AU17</f>
        <v>0</v>
      </c>
      <c r="AV18" s="94" t="e">
        <f>PLĀNS_ar_grozījumiem!AV18-'plans (27122022)'!AV17</f>
        <v>#VALUE!</v>
      </c>
      <c r="AW18" s="95" t="e">
        <f>PLĀNS_ar_grozījumiem!AW18-'plans (27122022)'!AW17</f>
        <v>#VALUE!</v>
      </c>
      <c r="AX18" s="125">
        <f>PLĀNS_ar_grozījumiem!AX18-'plans (27122022)'!AX17</f>
        <v>0</v>
      </c>
      <c r="AY18" s="120">
        <f>PLĀNS_ar_grozījumiem!AY18-'plans (27122022)'!AY17</f>
        <v>0</v>
      </c>
      <c r="AZ18" s="98" t="e">
        <f>PLĀNS_ar_grozījumiem!AZ18-'plans (27122022)'!AZ17</f>
        <v>#VALUE!</v>
      </c>
      <c r="BA18" s="99" t="e">
        <f>PLĀNS_ar_grozījumiem!BA18-'plans (27122022)'!BA17</f>
        <v>#VALUE!</v>
      </c>
      <c r="BB18" s="100">
        <f>PLĀNS_ar_grozījumiem!BB18-'plans (27122022)'!BB17</f>
        <v>0</v>
      </c>
      <c r="BC18" s="126">
        <f>PLĀNS_ar_grozījumiem!BC18-'plans (27122022)'!BC17</f>
        <v>0</v>
      </c>
      <c r="BD18" s="94" t="e">
        <f>PLĀNS_ar_grozījumiem!BD18-'plans (27122022)'!BD17</f>
        <v>#VALUE!</v>
      </c>
      <c r="BE18" s="95" t="e">
        <f>PLĀNS_ar_grozījumiem!BE18-'plans (27122022)'!BE17</f>
        <v>#VALUE!</v>
      </c>
      <c r="BF18" s="100">
        <f>PLĀNS_ar_grozījumiem!BF18-'plans (27122022)'!BF17</f>
        <v>0</v>
      </c>
      <c r="BG18" s="97">
        <f>PLĀNS_ar_grozījumiem!BG18-'plans (27122022)'!BG17</f>
        <v>0</v>
      </c>
      <c r="BH18" s="94" t="e">
        <f>PLĀNS_ar_grozījumiem!BH18-'plans (27122022)'!BH17</f>
        <v>#VALUE!</v>
      </c>
      <c r="BI18" s="95" t="e">
        <f>PLĀNS_ar_grozījumiem!BI18-'plans (27122022)'!BI17</f>
        <v>#VALUE!</v>
      </c>
      <c r="BJ18" s="102">
        <f>PLĀNS_ar_grozījumiem!BJ18-'plans (27122022)'!BJ17</f>
        <v>0</v>
      </c>
      <c r="BK18" s="102">
        <f>PLĀNS_ar_grozījumiem!BK18-'plans (27122022)'!BK17</f>
        <v>0</v>
      </c>
      <c r="BL18" s="92">
        <f>PLĀNS_ar_grozījumiem!BL18-'plans (27122022)'!BL17</f>
        <v>-67.599999999999994</v>
      </c>
      <c r="BM18" s="93">
        <f>PLĀNS_ar_grozījumiem!BM18-'plans (27122022)'!BM17</f>
        <v>0</v>
      </c>
      <c r="BN18" s="93">
        <f>PLĀNS_ar_grozījumiem!BN18-'plans (27122022)'!BN17</f>
        <v>-3.8489814395654141</v>
      </c>
      <c r="BO18" s="93">
        <f>PLĀNS_ar_grozījumiem!BO18-'plans (27122022)'!BO17</f>
        <v>0</v>
      </c>
      <c r="BP18" s="94" t="e">
        <f>PLĀNS_ar_grozījumiem!BP18-'plans (27122022)'!BP17</f>
        <v>#VALUE!</v>
      </c>
      <c r="BQ18" s="95" t="e">
        <f>PLĀNS_ar_grozījumiem!BQ18-'plans (27122022)'!BQ17</f>
        <v>#VALUE!</v>
      </c>
      <c r="BR18" s="125">
        <f>PLĀNS_ar_grozījumiem!BR18-'plans (27122022)'!BR17</f>
        <v>0</v>
      </c>
      <c r="BS18" s="120">
        <f>PLĀNS_ar_grozījumiem!BS18-'plans (27122022)'!BS17</f>
        <v>0</v>
      </c>
      <c r="BT18" s="98" t="e">
        <f>PLĀNS_ar_grozījumiem!BT18-'plans (27122022)'!BT17</f>
        <v>#VALUE!</v>
      </c>
      <c r="BU18" s="99" t="e">
        <f>PLĀNS_ar_grozījumiem!BU18-'plans (27122022)'!BU17</f>
        <v>#VALUE!</v>
      </c>
      <c r="BV18" s="100">
        <f>PLĀNS_ar_grozījumiem!BV18-'plans (27122022)'!BV17</f>
        <v>0</v>
      </c>
      <c r="BW18" s="126">
        <f>PLĀNS_ar_grozījumiem!BW18-'plans (27122022)'!BW17</f>
        <v>0</v>
      </c>
      <c r="BX18" s="94" t="e">
        <f>PLĀNS_ar_grozījumiem!BX18-'plans (27122022)'!BX17</f>
        <v>#VALUE!</v>
      </c>
      <c r="BY18" s="95" t="e">
        <f>PLĀNS_ar_grozījumiem!BY18-'plans (27122022)'!BY17</f>
        <v>#VALUE!</v>
      </c>
      <c r="BZ18" s="100">
        <f>PLĀNS_ar_grozījumiem!BZ18-'plans (27122022)'!BZ17</f>
        <v>0</v>
      </c>
      <c r="CA18" s="97">
        <f>PLĀNS_ar_grozījumiem!CA18-'plans (27122022)'!CA17</f>
        <v>0</v>
      </c>
      <c r="CB18" s="94" t="e">
        <f>PLĀNS_ar_grozījumiem!CB18-'plans (27122022)'!CB17</f>
        <v>#VALUE!</v>
      </c>
      <c r="CC18" s="95" t="e">
        <f>PLĀNS_ar_grozījumiem!CC18-'plans (27122022)'!CC17</f>
        <v>#VALUE!</v>
      </c>
      <c r="CD18" s="102">
        <f>PLĀNS_ar_grozījumiem!CD18-'plans (27122022)'!CD17</f>
        <v>0</v>
      </c>
      <c r="CE18" s="102">
        <f>PLĀNS_ar_grozījumiem!CE18-'plans (27122022)'!CE17</f>
        <v>0</v>
      </c>
      <c r="CF18" s="103">
        <f>PLĀNS_ar_grozījumiem!CF18-'plans (27122022)'!CF17</f>
        <v>-99.800000000000011</v>
      </c>
      <c r="CG18" s="102">
        <f>PLĀNS_ar_grozījumiem!CG18-'plans (27122022)'!CG17</f>
        <v>0</v>
      </c>
      <c r="CH18" s="105">
        <f>PLĀNS_ar_grozījumiem!CH18-'plans (27122022)'!CH17</f>
        <v>-3.7928310502283105</v>
      </c>
      <c r="CI18" s="127">
        <f>PLĀNS_ar_grozījumiem!CI18-'plans (27122022)'!CI17</f>
        <v>0</v>
      </c>
      <c r="CJ18" s="98" t="e">
        <f>PLĀNS_ar_grozījumiem!CJ18-'plans (27122022)'!CJ17</f>
        <v>#VALUE!</v>
      </c>
      <c r="CK18" s="99" t="e">
        <f>PLĀNS_ar_grozījumiem!CK18-'plans (27122022)'!CK17</f>
        <v>#VALUE!</v>
      </c>
      <c r="CL18" s="100">
        <f>PLĀNS_ar_grozījumiem!CL18-'plans (27122022)'!CL17</f>
        <v>0</v>
      </c>
      <c r="CM18" s="107">
        <f>PLĀNS_ar_grozījumiem!CM18-'plans (27122022)'!CM17</f>
        <v>0</v>
      </c>
      <c r="CN18" s="108" t="e">
        <f>PLĀNS_ar_grozījumiem!CN18-'plans (27122022)'!CN17</f>
        <v>#VALUE!</v>
      </c>
      <c r="CO18" s="99" t="e">
        <f>PLĀNS_ar_grozījumiem!CO18-'plans (27122022)'!CO17</f>
        <v>#VALUE!</v>
      </c>
      <c r="CP18" s="100">
        <f>PLĀNS_ar_grozījumiem!CP18-'plans (27122022)'!CP17</f>
        <v>0</v>
      </c>
      <c r="CQ18" s="97">
        <f>PLĀNS_ar_grozījumiem!CQ18-'plans (27122022)'!CQ17</f>
        <v>0</v>
      </c>
      <c r="CR18" s="98" t="e">
        <f>PLĀNS_ar_grozījumiem!CR18-'plans (27122022)'!CR17</f>
        <v>#VALUE!</v>
      </c>
      <c r="CS18" s="99" t="e">
        <f>PLĀNS_ar_grozījumiem!CS18-'plans (27122022)'!CS17</f>
        <v>#VALUE!</v>
      </c>
      <c r="CT18" s="100">
        <f>PLĀNS_ar_grozījumiem!CT18-'plans (27122022)'!CT17</f>
        <v>0</v>
      </c>
      <c r="CU18" s="97">
        <f>PLĀNS_ar_grozījumiem!CU18-'plans (27122022)'!CU17</f>
        <v>0</v>
      </c>
      <c r="CV18" s="98" t="e">
        <f>PLĀNS_ar_grozījumiem!CV18-'plans (27122022)'!CV17</f>
        <v>#VALUE!</v>
      </c>
      <c r="CW18" s="99" t="e">
        <f>PLĀNS_ar_grozījumiem!CW18-'plans (27122022)'!CW17</f>
        <v>#VALUE!</v>
      </c>
      <c r="CX18" s="100">
        <f>PLĀNS_ar_grozījumiem!CX18-'plans (27122022)'!CX17</f>
        <v>0</v>
      </c>
      <c r="CY18" s="129">
        <f>PLĀNS_ar_grozījumiem!CY18-'plans (27122022)'!CY17</f>
        <v>0</v>
      </c>
      <c r="CZ18" s="110">
        <f t="shared" si="0"/>
        <v>168.9</v>
      </c>
      <c r="DA18" s="111">
        <f t="shared" si="0"/>
        <v>0</v>
      </c>
      <c r="DB18" s="112">
        <f t="shared" si="2"/>
        <v>3.8890168086576105</v>
      </c>
      <c r="DC18" s="113">
        <f t="shared" si="2"/>
        <v>0</v>
      </c>
      <c r="DD18" s="100">
        <f t="shared" si="1"/>
        <v>0</v>
      </c>
      <c r="DE18" s="102">
        <f t="shared" si="1"/>
        <v>0</v>
      </c>
      <c r="DF18" s="102" t="e">
        <f t="shared" si="1"/>
        <v>#VALUE!</v>
      </c>
      <c r="DG18" s="114" t="e">
        <f t="shared" si="1"/>
        <v>#VALUE!</v>
      </c>
      <c r="DH18" s="100">
        <f t="shared" si="1"/>
        <v>0</v>
      </c>
      <c r="DI18" s="97">
        <f t="shared" si="1"/>
        <v>0</v>
      </c>
      <c r="DJ18" s="97" t="e">
        <f t="shared" si="1"/>
        <v>#VALUE!</v>
      </c>
      <c r="DK18" s="97" t="e">
        <f t="shared" si="1"/>
        <v>#VALUE!</v>
      </c>
      <c r="DL18" s="100">
        <f t="shared" si="1"/>
        <v>0</v>
      </c>
      <c r="DM18" s="97">
        <f t="shared" si="1"/>
        <v>0</v>
      </c>
      <c r="DN18" s="97" t="e">
        <f t="shared" si="1"/>
        <v>#VALUE!</v>
      </c>
      <c r="DO18" s="115" t="e">
        <f t="shared" si="1"/>
        <v>#VALUE!</v>
      </c>
      <c r="DP18" s="100">
        <f t="shared" si="4"/>
        <v>0</v>
      </c>
      <c r="DQ18" s="116" t="e">
        <f t="shared" si="3"/>
        <v>#DIV/0!</v>
      </c>
      <c r="DR18" s="117">
        <f>PLĀNS_ar_grozījumiem!CF18-'plans (27122022)'!CF17</f>
        <v>-99.800000000000011</v>
      </c>
      <c r="DS18" s="908">
        <f>DR18/'plans (27122022)'!CF17</f>
        <v>-0.29826658696951586</v>
      </c>
      <c r="DT18" s="104">
        <f>PLĀNS_ar_grozījumiem!CL18-'plans (27122022)'!CL17</f>
        <v>0</v>
      </c>
      <c r="DU18" s="909"/>
      <c r="DV18" s="120"/>
      <c r="DW18" s="118">
        <f>PLĀNS_ar_grozījumiem!CM18-'plans (27122022)'!CM17</f>
        <v>0</v>
      </c>
      <c r="DX18" s="104">
        <f>PLĀNS_ar_grozījumiem!CP18-'plans (27122022)'!CP17</f>
        <v>0</v>
      </c>
      <c r="DY18" s="909"/>
      <c r="DZ18" s="120"/>
      <c r="EA18" s="118"/>
      <c r="EB18" s="104">
        <f>PLĀNS_ar_grozījumiem!CT18-'plans (27122022)'!CT17</f>
        <v>0</v>
      </c>
      <c r="EC18" s="121"/>
      <c r="ED18" s="120"/>
      <c r="EE18" s="121"/>
      <c r="EF18" s="122">
        <f>PLĀNS_ar_grozījumiem!CX18-'plans (27122022)'!CX17</f>
        <v>0</v>
      </c>
      <c r="EG18" s="911"/>
    </row>
    <row r="19" spans="1:137" s="157" customFormat="1" ht="26.25" customHeight="1" x14ac:dyDescent="0.3">
      <c r="A19" s="1070"/>
      <c r="B19" s="130" t="s">
        <v>50</v>
      </c>
      <c r="C19" s="1025"/>
      <c r="D19" s="1006">
        <v>1051.2</v>
      </c>
      <c r="E19" s="133"/>
      <c r="F19" s="133">
        <v>9.6645183829951566</v>
      </c>
      <c r="G19" s="133"/>
      <c r="H19" s="134" t="s">
        <v>44</v>
      </c>
      <c r="I19" s="135" t="s">
        <v>44</v>
      </c>
      <c r="J19" s="136">
        <v>278862</v>
      </c>
      <c r="K19" s="86"/>
      <c r="L19" s="137" t="s">
        <v>44</v>
      </c>
      <c r="M19" s="138" t="s">
        <v>44</v>
      </c>
      <c r="N19" s="139">
        <v>278862</v>
      </c>
      <c r="O19" s="140"/>
      <c r="P19" s="134" t="s">
        <v>44</v>
      </c>
      <c r="Q19" s="135" t="s">
        <v>44</v>
      </c>
      <c r="R19" s="139">
        <v>0</v>
      </c>
      <c r="S19" s="140"/>
      <c r="T19" s="134" t="s">
        <v>44</v>
      </c>
      <c r="U19" s="135" t="s">
        <v>44</v>
      </c>
      <c r="V19" s="141">
        <v>265</v>
      </c>
      <c r="W19" s="141"/>
      <c r="X19" s="132">
        <v>1010.9</v>
      </c>
      <c r="Y19" s="133"/>
      <c r="Z19" s="133">
        <v>9.2093396131876926</v>
      </c>
      <c r="AA19" s="133"/>
      <c r="AB19" s="134" t="s">
        <v>44</v>
      </c>
      <c r="AC19" s="135" t="s">
        <v>44</v>
      </c>
      <c r="AD19" s="136">
        <v>267508</v>
      </c>
      <c r="AE19" s="86"/>
      <c r="AF19" s="137" t="s">
        <v>44</v>
      </c>
      <c r="AG19" s="138" t="s">
        <v>44</v>
      </c>
      <c r="AH19" s="139">
        <v>267508</v>
      </c>
      <c r="AI19" s="140"/>
      <c r="AJ19" s="134" t="s">
        <v>44</v>
      </c>
      <c r="AK19" s="135" t="s">
        <v>44</v>
      </c>
      <c r="AL19" s="139">
        <v>0</v>
      </c>
      <c r="AM19" s="140"/>
      <c r="AN19" s="134" t="s">
        <v>44</v>
      </c>
      <c r="AO19" s="135" t="s">
        <v>44</v>
      </c>
      <c r="AP19" s="141">
        <v>265</v>
      </c>
      <c r="AQ19" s="141"/>
      <c r="AR19" s="132">
        <v>972.30000000000007</v>
      </c>
      <c r="AS19" s="133">
        <f>PLĀNS_ar_grozījumiem!AS19-'plans (27122022)'!AS18</f>
        <v>0</v>
      </c>
      <c r="AT19" s="133">
        <f>PLĀNS_ar_grozījumiem!AT19-'plans (27122022)'!AT18</f>
        <v>-8.6817719261793851</v>
      </c>
      <c r="AU19" s="133">
        <f>PLĀNS_ar_grozījumiem!AU19-'plans (27122022)'!AU18</f>
        <v>0</v>
      </c>
      <c r="AV19" s="134" t="e">
        <f>PLĀNS_ar_grozījumiem!AV19-'plans (27122022)'!AV18</f>
        <v>#VALUE!</v>
      </c>
      <c r="AW19" s="135" t="e">
        <f>PLĀNS_ar_grozījumiem!AW19-'plans (27122022)'!AW18</f>
        <v>#VALUE!</v>
      </c>
      <c r="AX19" s="136">
        <f>PLĀNS_ar_grozījumiem!AX19-'plans (27122022)'!AX18</f>
        <v>241.51000000000931</v>
      </c>
      <c r="AY19" s="86">
        <f>PLĀNS_ar_grozījumiem!AY19-'plans (27122022)'!AY18</f>
        <v>0</v>
      </c>
      <c r="AZ19" s="137" t="e">
        <f>PLĀNS_ar_grozījumiem!AZ19-'plans (27122022)'!AZ18</f>
        <v>#VALUE!</v>
      </c>
      <c r="BA19" s="138" t="e">
        <f>PLĀNS_ar_grozījumiem!BA19-'plans (27122022)'!BA18</f>
        <v>#VALUE!</v>
      </c>
      <c r="BB19" s="139">
        <f>PLĀNS_ar_grozījumiem!BB19-'plans (27122022)'!BB18</f>
        <v>241.51000000000931</v>
      </c>
      <c r="BC19" s="140">
        <f>PLĀNS_ar_grozījumiem!BC19-'plans (27122022)'!BC18</f>
        <v>0</v>
      </c>
      <c r="BD19" s="134" t="e">
        <f>PLĀNS_ar_grozījumiem!BD19-'plans (27122022)'!BD18</f>
        <v>#VALUE!</v>
      </c>
      <c r="BE19" s="135" t="e">
        <f>PLĀNS_ar_grozījumiem!BE19-'plans (27122022)'!BE18</f>
        <v>#VALUE!</v>
      </c>
      <c r="BF19" s="139">
        <f>PLĀNS_ar_grozījumiem!BF19-'plans (27122022)'!BF18</f>
        <v>0</v>
      </c>
      <c r="BG19" s="140">
        <f>PLĀNS_ar_grozījumiem!BG19-'plans (27122022)'!BG18</f>
        <v>0</v>
      </c>
      <c r="BH19" s="134" t="e">
        <f>PLĀNS_ar_grozījumiem!BH19-'plans (27122022)'!BH18</f>
        <v>#VALUE!</v>
      </c>
      <c r="BI19" s="135" t="e">
        <f>PLĀNS_ar_grozījumiem!BI19-'plans (27122022)'!BI18</f>
        <v>#VALUE!</v>
      </c>
      <c r="BJ19" s="141">
        <f>PLĀNS_ar_grozījumiem!BJ19-'plans (27122022)'!BJ18</f>
        <v>11.533389350310813</v>
      </c>
      <c r="BK19" s="141">
        <f>PLĀNS_ar_grozījumiem!BK19-'plans (27122022)'!BK18</f>
        <v>0</v>
      </c>
      <c r="BL19" s="132">
        <f>PLĀNS_ar_grozījumiem!BL19-'plans (27122022)'!BL18</f>
        <v>-13.599999999999909</v>
      </c>
      <c r="BM19" s="133">
        <f>PLĀNS_ar_grozījumiem!BM19-'plans (27122022)'!BM18</f>
        <v>0</v>
      </c>
      <c r="BN19" s="133">
        <f>PLĀNS_ar_grozījumiem!BN19-'plans (27122022)'!BN18</f>
        <v>-10.905780279468312</v>
      </c>
      <c r="BO19" s="133">
        <f>PLĀNS_ar_grozījumiem!BO19-'plans (27122022)'!BO18</f>
        <v>0</v>
      </c>
      <c r="BP19" s="134" t="e">
        <f>PLĀNS_ar_grozījumiem!BP19-'plans (27122022)'!BP18</f>
        <v>#VALUE!</v>
      </c>
      <c r="BQ19" s="135" t="e">
        <f>PLĀNS_ar_grozījumiem!BQ19-'plans (27122022)'!BQ18</f>
        <v>#VALUE!</v>
      </c>
      <c r="BR19" s="136">
        <f>PLĀNS_ar_grozījumiem!BR19-'plans (27122022)'!BR18</f>
        <v>14367.160000000033</v>
      </c>
      <c r="BS19" s="86">
        <f>PLĀNS_ar_grozījumiem!BS19-'plans (27122022)'!BS18</f>
        <v>0</v>
      </c>
      <c r="BT19" s="137" t="e">
        <f>PLĀNS_ar_grozījumiem!BT19-'plans (27122022)'!BT18</f>
        <v>#VALUE!</v>
      </c>
      <c r="BU19" s="138" t="e">
        <f>PLĀNS_ar_grozījumiem!BU19-'plans (27122022)'!BU18</f>
        <v>#VALUE!</v>
      </c>
      <c r="BV19" s="139">
        <f>PLĀNS_ar_grozījumiem!BV19-'plans (27122022)'!BV18</f>
        <v>14367.160000000033</v>
      </c>
      <c r="BW19" s="140">
        <f>PLĀNS_ar_grozījumiem!BW19-'plans (27122022)'!BW18</f>
        <v>0</v>
      </c>
      <c r="BX19" s="134" t="e">
        <f>PLĀNS_ar_grozījumiem!BX19-'plans (27122022)'!BX18</f>
        <v>#VALUE!</v>
      </c>
      <c r="BY19" s="135" t="e">
        <f>PLĀNS_ar_grozījumiem!BY19-'plans (27122022)'!BY18</f>
        <v>#VALUE!</v>
      </c>
      <c r="BZ19" s="139">
        <f>PLĀNS_ar_grozījumiem!BZ19-'plans (27122022)'!BZ18</f>
        <v>0</v>
      </c>
      <c r="CA19" s="140">
        <f>PLĀNS_ar_grozījumiem!CA19-'plans (27122022)'!CA18</f>
        <v>0</v>
      </c>
      <c r="CB19" s="134" t="e">
        <f>PLĀNS_ar_grozījumiem!CB19-'plans (27122022)'!CB18</f>
        <v>#VALUE!</v>
      </c>
      <c r="CC19" s="135" t="e">
        <f>PLĀNS_ar_grozījumiem!CC19-'plans (27122022)'!CC18</f>
        <v>#VALUE!</v>
      </c>
      <c r="CD19" s="141">
        <f>PLĀNS_ar_grozījumiem!CD19-'plans (27122022)'!CD18</f>
        <v>14.070484653994896</v>
      </c>
      <c r="CE19" s="141">
        <f>PLĀNS_ar_grozījumiem!CE19-'plans (27122022)'!CE18</f>
        <v>0</v>
      </c>
      <c r="CF19" s="142">
        <f>PLĀNS_ar_grozījumiem!CF19-'plans (27122022)'!CF18</f>
        <v>-57.609999999998763</v>
      </c>
      <c r="CG19" s="141">
        <f>PLĀNS_ar_grozījumiem!CG19-'plans (27122022)'!CG18</f>
        <v>0</v>
      </c>
      <c r="CH19" s="133">
        <f>PLĀNS_ar_grozījumiem!CH19-'plans (27122022)'!CH18</f>
        <v>-9.5714155174524844</v>
      </c>
      <c r="CI19" s="143">
        <f>PLĀNS_ar_grozījumiem!CI19-'plans (27122022)'!CI18</f>
        <v>0</v>
      </c>
      <c r="CJ19" s="137" t="e">
        <f>PLĀNS_ar_grozījumiem!CJ19-'plans (27122022)'!CJ18</f>
        <v>#VALUE!</v>
      </c>
      <c r="CK19" s="138" t="e">
        <f>PLĀNS_ar_grozījumiem!CK19-'plans (27122022)'!CK18</f>
        <v>#VALUE!</v>
      </c>
      <c r="CL19" s="139">
        <f>PLĀNS_ar_grozījumiem!CL19-'plans (27122022)'!CL18</f>
        <v>14608.669999999925</v>
      </c>
      <c r="CM19" s="144">
        <f>PLĀNS_ar_grozījumiem!CM19-'plans (27122022)'!CM18</f>
        <v>0</v>
      </c>
      <c r="CN19" s="145" t="e">
        <f>PLĀNS_ar_grozījumiem!CN19-'plans (27122022)'!CN18</f>
        <v>#VALUE!</v>
      </c>
      <c r="CO19" s="138" t="e">
        <f>PLĀNS_ar_grozījumiem!CO19-'plans (27122022)'!CO18</f>
        <v>#VALUE!</v>
      </c>
      <c r="CP19" s="139">
        <f>PLĀNS_ar_grozījumiem!CP19-'plans (27122022)'!CP18</f>
        <v>14608.669999999925</v>
      </c>
      <c r="CQ19" s="140">
        <f>PLĀNS_ar_grozījumiem!CQ19-'plans (27122022)'!CQ18</f>
        <v>0</v>
      </c>
      <c r="CR19" s="137" t="e">
        <f>PLĀNS_ar_grozījumiem!CR19-'plans (27122022)'!CR18</f>
        <v>#VALUE!</v>
      </c>
      <c r="CS19" s="138" t="e">
        <f>PLĀNS_ar_grozījumiem!CS19-'plans (27122022)'!CS18</f>
        <v>#VALUE!</v>
      </c>
      <c r="CT19" s="139">
        <f>PLĀNS_ar_grozījumiem!CT19-'plans (27122022)'!CT18</f>
        <v>0</v>
      </c>
      <c r="CU19" s="140">
        <f>PLĀNS_ar_grozījumiem!CU19-'plans (27122022)'!CU18</f>
        <v>0</v>
      </c>
      <c r="CV19" s="137" t="e">
        <f>PLĀNS_ar_grozījumiem!CV19-'plans (27122022)'!CV18</f>
        <v>#VALUE!</v>
      </c>
      <c r="CW19" s="138" t="e">
        <f>PLĀNS_ar_grozījumiem!CW19-'plans (27122022)'!CW18</f>
        <v>#VALUE!</v>
      </c>
      <c r="CX19" s="139">
        <f>PLĀNS_ar_grozījumiem!CX19-'plans (27122022)'!CX18</f>
        <v>6.8952583508116163</v>
      </c>
      <c r="CY19" s="146">
        <f>PLĀNS_ar_grozījumiem!CY19-'plans (27122022)'!CY18</f>
        <v>0</v>
      </c>
      <c r="CZ19" s="147">
        <f t="shared" si="0"/>
        <v>2062.1</v>
      </c>
      <c r="DA19" s="148">
        <f t="shared" si="0"/>
        <v>0</v>
      </c>
      <c r="DB19" s="149" t="e">
        <f>(CZ19/#REF!)*100</f>
        <v>#REF!</v>
      </c>
      <c r="DC19" s="150" t="e">
        <f>(DA19/#REF!)*100</f>
        <v>#REF!</v>
      </c>
      <c r="DD19" s="139">
        <f t="shared" si="1"/>
        <v>546370</v>
      </c>
      <c r="DE19" s="141">
        <f t="shared" si="1"/>
        <v>0</v>
      </c>
      <c r="DF19" s="141" t="e">
        <f t="shared" si="1"/>
        <v>#VALUE!</v>
      </c>
      <c r="DG19" s="151" t="e">
        <f t="shared" si="1"/>
        <v>#VALUE!</v>
      </c>
      <c r="DH19" s="139">
        <f t="shared" si="1"/>
        <v>546370</v>
      </c>
      <c r="DI19" s="140">
        <f t="shared" si="1"/>
        <v>0</v>
      </c>
      <c r="DJ19" s="140" t="e">
        <f t="shared" si="1"/>
        <v>#VALUE!</v>
      </c>
      <c r="DK19" s="140" t="e">
        <f t="shared" si="1"/>
        <v>#VALUE!</v>
      </c>
      <c r="DL19" s="139">
        <f t="shared" si="1"/>
        <v>0</v>
      </c>
      <c r="DM19" s="140">
        <f t="shared" si="1"/>
        <v>0</v>
      </c>
      <c r="DN19" s="140" t="e">
        <f t="shared" si="1"/>
        <v>#VALUE!</v>
      </c>
      <c r="DO19" s="152" t="e">
        <f t="shared" si="1"/>
        <v>#VALUE!</v>
      </c>
      <c r="DP19" s="139">
        <f t="shared" ref="DP19:DQ64" si="5">DD19/CZ19</f>
        <v>264.95805247078221</v>
      </c>
      <c r="DQ19" s="153" t="e">
        <f t="shared" si="5"/>
        <v>#DIV/0!</v>
      </c>
      <c r="DR19" s="154">
        <f>PLĀNS_ar_grozījumiem!CF19-'plans (27122022)'!CF18</f>
        <v>-57.609999999998763</v>
      </c>
      <c r="DS19" s="904">
        <f>DR19/'plans (27122022)'!CF18</f>
        <v>-1.351300635657795E-2</v>
      </c>
      <c r="DT19" s="79">
        <f>PLĀNS_ar_grozījumiem!CL19-'plans (27122022)'!CL18</f>
        <v>14608.669999999925</v>
      </c>
      <c r="DU19" s="905">
        <f>DT19/'plans (27122022)'!CL18</f>
        <v>1.3717730818781693E-2</v>
      </c>
      <c r="DV19" s="86"/>
      <c r="DW19" s="84">
        <f>PLĀNS_ar_grozījumiem!CM19-'plans (27122022)'!CM18</f>
        <v>0</v>
      </c>
      <c r="DX19" s="79">
        <f>PLĀNS_ar_grozījumiem!CP19-'plans (27122022)'!CP18</f>
        <v>14608.669999999925</v>
      </c>
      <c r="DY19" s="905">
        <f>DX19/'plans (27122022)'!CP18</f>
        <v>1.3717730818781693E-2</v>
      </c>
      <c r="DZ19" s="86"/>
      <c r="EA19" s="84"/>
      <c r="EB19" s="79">
        <f>PLĀNS_ar_grozījumiem!CT19-'plans (27122022)'!CT18</f>
        <v>0</v>
      </c>
      <c r="EC19" s="87"/>
      <c r="ED19" s="86"/>
      <c r="EE19" s="87"/>
      <c r="EF19" s="155">
        <f>PLĀNS_ar_grozījumiem!CX19-'plans (27122022)'!CX18</f>
        <v>6.8952583508116163</v>
      </c>
      <c r="EG19" s="912">
        <f>EF19/'plans (27122022)'!CX18</f>
        <v>2.7603746781077722E-2</v>
      </c>
    </row>
    <row r="20" spans="1:137" s="124" customFormat="1" ht="15.75" customHeight="1" x14ac:dyDescent="0.3">
      <c r="A20" s="1070"/>
      <c r="B20" s="90"/>
      <c r="C20" s="1024" t="s">
        <v>45</v>
      </c>
      <c r="D20" s="1005">
        <v>388</v>
      </c>
      <c r="E20" s="93"/>
      <c r="F20" s="93">
        <v>17.971283001389533</v>
      </c>
      <c r="G20" s="93"/>
      <c r="H20" s="158" t="s">
        <v>44</v>
      </c>
      <c r="I20" s="159" t="s">
        <v>44</v>
      </c>
      <c r="J20" s="96">
        <v>147615</v>
      </c>
      <c r="K20" s="97"/>
      <c r="L20" s="98" t="s">
        <v>44</v>
      </c>
      <c r="M20" s="99" t="s">
        <v>44</v>
      </c>
      <c r="N20" s="100">
        <v>147615</v>
      </c>
      <c r="O20" s="101"/>
      <c r="P20" s="158" t="s">
        <v>44</v>
      </c>
      <c r="Q20" s="159" t="s">
        <v>44</v>
      </c>
      <c r="R20" s="100">
        <v>0</v>
      </c>
      <c r="S20" s="97"/>
      <c r="T20" s="158" t="s">
        <v>44</v>
      </c>
      <c r="U20" s="159" t="s">
        <v>44</v>
      </c>
      <c r="V20" s="102">
        <v>380</v>
      </c>
      <c r="W20" s="102"/>
      <c r="X20" s="92">
        <v>360.09999999999997</v>
      </c>
      <c r="Y20" s="93"/>
      <c r="Z20" s="93">
        <v>16.488095238095237</v>
      </c>
      <c r="AA20" s="93"/>
      <c r="AB20" s="158" t="s">
        <v>44</v>
      </c>
      <c r="AC20" s="159" t="s">
        <v>44</v>
      </c>
      <c r="AD20" s="96">
        <v>138856</v>
      </c>
      <c r="AE20" s="97"/>
      <c r="AF20" s="98" t="s">
        <v>44</v>
      </c>
      <c r="AG20" s="99" t="s">
        <v>44</v>
      </c>
      <c r="AH20" s="100">
        <v>138856</v>
      </c>
      <c r="AI20" s="101"/>
      <c r="AJ20" s="158" t="s">
        <v>44</v>
      </c>
      <c r="AK20" s="159" t="s">
        <v>44</v>
      </c>
      <c r="AL20" s="100">
        <v>0</v>
      </c>
      <c r="AM20" s="97"/>
      <c r="AN20" s="158" t="s">
        <v>44</v>
      </c>
      <c r="AO20" s="159" t="s">
        <v>44</v>
      </c>
      <c r="AP20" s="102">
        <v>386</v>
      </c>
      <c r="AQ20" s="102"/>
      <c r="AR20" s="92">
        <v>308.39999999999998</v>
      </c>
      <c r="AS20" s="93">
        <f>PLĀNS_ar_grozījumiem!AS20-'plans (27122022)'!AS19</f>
        <v>0</v>
      </c>
      <c r="AT20" s="93">
        <f>PLĀNS_ar_grozījumiem!AT20-'plans (27122022)'!AT19</f>
        <v>-13.825996376811593</v>
      </c>
      <c r="AU20" s="93">
        <f>PLĀNS_ar_grozījumiem!AU20-'plans (27122022)'!AU19</f>
        <v>0</v>
      </c>
      <c r="AV20" s="158" t="e">
        <f>PLĀNS_ar_grozījumiem!AV20-'plans (27122022)'!AV19</f>
        <v>#VALUE!</v>
      </c>
      <c r="AW20" s="159" t="e">
        <f>PLĀNS_ar_grozījumiem!AW20-'plans (27122022)'!AW19</f>
        <v>#VALUE!</v>
      </c>
      <c r="AX20" s="96">
        <f>PLĀNS_ar_grozījumiem!AX20-'plans (27122022)'!AX19</f>
        <v>5168.3500000000058</v>
      </c>
      <c r="AY20" s="97">
        <f>PLĀNS_ar_grozījumiem!AY20-'plans (27122022)'!AY19</f>
        <v>0</v>
      </c>
      <c r="AZ20" s="98" t="e">
        <f>PLĀNS_ar_grozījumiem!AZ20-'plans (27122022)'!AZ19</f>
        <v>#VALUE!</v>
      </c>
      <c r="BA20" s="99" t="e">
        <f>PLĀNS_ar_grozījumiem!BA20-'plans (27122022)'!BA19</f>
        <v>#VALUE!</v>
      </c>
      <c r="BB20" s="100">
        <f>PLĀNS_ar_grozījumiem!BB20-'plans (27122022)'!BB19</f>
        <v>5168.3500000000058</v>
      </c>
      <c r="BC20" s="101">
        <f>PLĀNS_ar_grozījumiem!BC20-'plans (27122022)'!BC19</f>
        <v>0</v>
      </c>
      <c r="BD20" s="158" t="e">
        <f>PLĀNS_ar_grozījumiem!BD20-'plans (27122022)'!BD19</f>
        <v>#VALUE!</v>
      </c>
      <c r="BE20" s="159" t="e">
        <f>PLĀNS_ar_grozījumiem!BE20-'plans (27122022)'!BE19</f>
        <v>#VALUE!</v>
      </c>
      <c r="BF20" s="100">
        <f>PLĀNS_ar_grozījumiem!BF20-'plans (27122022)'!BF19</f>
        <v>0</v>
      </c>
      <c r="BG20" s="97">
        <f>PLĀNS_ar_grozījumiem!BG20-'plans (27122022)'!BG19</f>
        <v>0</v>
      </c>
      <c r="BH20" s="158" t="e">
        <f>PLĀNS_ar_grozījumiem!BH20-'plans (27122022)'!BH19</f>
        <v>#VALUE!</v>
      </c>
      <c r="BI20" s="159" t="e">
        <f>PLĀNS_ar_grozījumiem!BI20-'plans (27122022)'!BI19</f>
        <v>#VALUE!</v>
      </c>
      <c r="BJ20" s="102">
        <f>PLĀNS_ar_grozījumiem!BJ20-'plans (27122022)'!BJ19</f>
        <v>12.682735426009003</v>
      </c>
      <c r="BK20" s="102">
        <f>PLĀNS_ar_grozījumiem!BK20-'plans (27122022)'!BK19</f>
        <v>0</v>
      </c>
      <c r="BL20" s="92">
        <f>PLĀNS_ar_grozījumiem!BL20-'plans (27122022)'!BL19</f>
        <v>10</v>
      </c>
      <c r="BM20" s="93">
        <f>PLĀNS_ar_grozījumiem!BM20-'plans (27122022)'!BM19</f>
        <v>0</v>
      </c>
      <c r="BN20" s="93">
        <f>PLĀNS_ar_grozījumiem!BN20-'plans (27122022)'!BN19</f>
        <v>-17.281258488003626</v>
      </c>
      <c r="BO20" s="93">
        <f>PLĀNS_ar_grozījumiem!BO20-'plans (27122022)'!BO19</f>
        <v>0</v>
      </c>
      <c r="BP20" s="158" t="e">
        <f>PLĀNS_ar_grozījumiem!BP20-'plans (27122022)'!BP19</f>
        <v>#VALUE!</v>
      </c>
      <c r="BQ20" s="159" t="e">
        <f>PLĀNS_ar_grozījumiem!BQ20-'plans (27122022)'!BQ19</f>
        <v>#VALUE!</v>
      </c>
      <c r="BR20" s="96">
        <f>PLĀNS_ar_grozījumiem!BR20-'plans (27122022)'!BR19</f>
        <v>12593.399999999994</v>
      </c>
      <c r="BS20" s="97">
        <f>PLĀNS_ar_grozījumiem!BS20-'plans (27122022)'!BS19</f>
        <v>0</v>
      </c>
      <c r="BT20" s="98" t="e">
        <f>PLĀNS_ar_grozījumiem!BT20-'plans (27122022)'!BT19</f>
        <v>#VALUE!</v>
      </c>
      <c r="BU20" s="99" t="e">
        <f>PLĀNS_ar_grozījumiem!BU20-'plans (27122022)'!BU19</f>
        <v>#VALUE!</v>
      </c>
      <c r="BV20" s="100">
        <f>PLĀNS_ar_grozījumiem!BV20-'plans (27122022)'!BV19</f>
        <v>12593.399999999994</v>
      </c>
      <c r="BW20" s="101">
        <f>PLĀNS_ar_grozījumiem!BW20-'plans (27122022)'!BW19</f>
        <v>0</v>
      </c>
      <c r="BX20" s="158" t="e">
        <f>PLĀNS_ar_grozījumiem!BX20-'plans (27122022)'!BX19</f>
        <v>#VALUE!</v>
      </c>
      <c r="BY20" s="159" t="e">
        <f>PLĀNS_ar_grozījumiem!BY20-'plans (27122022)'!BY19</f>
        <v>#VALUE!</v>
      </c>
      <c r="BZ20" s="100">
        <f>PLĀNS_ar_grozījumiem!BZ20-'plans (27122022)'!BZ19</f>
        <v>0</v>
      </c>
      <c r="CA20" s="97">
        <f>PLĀNS_ar_grozījumiem!CA20-'plans (27122022)'!CA19</f>
        <v>0</v>
      </c>
      <c r="CB20" s="158" t="e">
        <f>PLĀNS_ar_grozījumiem!CB20-'plans (27122022)'!CB19</f>
        <v>#VALUE!</v>
      </c>
      <c r="CC20" s="159" t="e">
        <f>PLĀNS_ar_grozījumiem!CC20-'plans (27122022)'!CC19</f>
        <v>#VALUE!</v>
      </c>
      <c r="CD20" s="102">
        <f>PLĀNS_ar_grozījumiem!CD20-'plans (27122022)'!CD19</f>
        <v>22.309325246398714</v>
      </c>
      <c r="CE20" s="102">
        <f>PLĀNS_ar_grozījumiem!CE20-'plans (27122022)'!CE19</f>
        <v>0</v>
      </c>
      <c r="CF20" s="103">
        <f>PLĀNS_ar_grozījumiem!CF20-'plans (27122022)'!CF19</f>
        <v>13.799999999999955</v>
      </c>
      <c r="CG20" s="102">
        <f>PLĀNS_ar_grozījumiem!CG20-'plans (27122022)'!CG19</f>
        <v>0</v>
      </c>
      <c r="CH20" s="93">
        <f>PLĀNS_ar_grozījumiem!CH20-'plans (27122022)'!CH19</f>
        <v>-16.297260273972604</v>
      </c>
      <c r="CI20" s="127">
        <f>PLĀNS_ar_grozījumiem!CI20-'plans (27122022)'!CI19</f>
        <v>0</v>
      </c>
      <c r="CJ20" s="98" t="e">
        <f>PLĀNS_ar_grozījumiem!CJ20-'plans (27122022)'!CJ19</f>
        <v>#VALUE!</v>
      </c>
      <c r="CK20" s="99" t="e">
        <f>PLĀNS_ar_grozījumiem!CK20-'plans (27122022)'!CK19</f>
        <v>#VALUE!</v>
      </c>
      <c r="CL20" s="100">
        <f>PLĀNS_ar_grozījumiem!CL20-'plans (27122022)'!CL19</f>
        <v>17761.75</v>
      </c>
      <c r="CM20" s="107">
        <f>PLĀNS_ar_grozījumiem!CM20-'plans (27122022)'!CM19</f>
        <v>0</v>
      </c>
      <c r="CN20" s="108" t="e">
        <f>PLĀNS_ar_grozījumiem!CN20-'plans (27122022)'!CN19</f>
        <v>#VALUE!</v>
      </c>
      <c r="CO20" s="99" t="e">
        <f>PLĀNS_ar_grozījumiem!CO20-'plans (27122022)'!CO19</f>
        <v>#VALUE!</v>
      </c>
      <c r="CP20" s="100">
        <f>PLĀNS_ar_grozījumiem!CP20-'plans (27122022)'!CP19</f>
        <v>17761.75</v>
      </c>
      <c r="CQ20" s="97">
        <f>PLĀNS_ar_grozījumiem!CQ20-'plans (27122022)'!CQ19</f>
        <v>0</v>
      </c>
      <c r="CR20" s="98" t="e">
        <f>PLĀNS_ar_grozījumiem!CR20-'plans (27122022)'!CR19</f>
        <v>#VALUE!</v>
      </c>
      <c r="CS20" s="99" t="e">
        <f>PLĀNS_ar_grozījumiem!CS20-'plans (27122022)'!CS19</f>
        <v>#VALUE!</v>
      </c>
      <c r="CT20" s="100">
        <f>PLĀNS_ar_grozījumiem!CT20-'plans (27122022)'!CT19</f>
        <v>0</v>
      </c>
      <c r="CU20" s="97">
        <f>PLĀNS_ar_grozījumiem!CU20-'plans (27122022)'!CU19</f>
        <v>0</v>
      </c>
      <c r="CV20" s="98" t="e">
        <f>PLĀNS_ar_grozījumiem!CV20-'plans (27122022)'!CV19</f>
        <v>#VALUE!</v>
      </c>
      <c r="CW20" s="99" t="e">
        <f>PLĀNS_ar_grozījumiem!CW20-'plans (27122022)'!CW19</f>
        <v>#VALUE!</v>
      </c>
      <c r="CX20" s="100">
        <f>PLĀNS_ar_grozījumiem!CX20-'plans (27122022)'!CX19</f>
        <v>8.644489574269187</v>
      </c>
      <c r="CY20" s="129">
        <f>PLĀNS_ar_grozījumiem!CY20-'plans (27122022)'!CY19</f>
        <v>0</v>
      </c>
      <c r="CZ20" s="110">
        <f t="shared" si="0"/>
        <v>748.09999999999991</v>
      </c>
      <c r="DA20" s="111">
        <f t="shared" si="0"/>
        <v>0</v>
      </c>
      <c r="DB20" s="112">
        <f>(CZ20/4343)*100</f>
        <v>17.225420216440245</v>
      </c>
      <c r="DC20" s="113">
        <f>(DA20/4343)*100</f>
        <v>0</v>
      </c>
      <c r="DD20" s="100">
        <f t="shared" si="1"/>
        <v>286471</v>
      </c>
      <c r="DE20" s="102">
        <f t="shared" si="1"/>
        <v>0</v>
      </c>
      <c r="DF20" s="102" t="e">
        <f t="shared" si="1"/>
        <v>#VALUE!</v>
      </c>
      <c r="DG20" s="114" t="e">
        <f t="shared" si="1"/>
        <v>#VALUE!</v>
      </c>
      <c r="DH20" s="100">
        <f t="shared" si="1"/>
        <v>286471</v>
      </c>
      <c r="DI20" s="97">
        <f t="shared" si="1"/>
        <v>0</v>
      </c>
      <c r="DJ20" s="97" t="e">
        <f t="shared" si="1"/>
        <v>#VALUE!</v>
      </c>
      <c r="DK20" s="97" t="e">
        <f t="shared" si="1"/>
        <v>#VALUE!</v>
      </c>
      <c r="DL20" s="100">
        <f t="shared" si="1"/>
        <v>0</v>
      </c>
      <c r="DM20" s="97">
        <f t="shared" si="1"/>
        <v>0</v>
      </c>
      <c r="DN20" s="97" t="e">
        <f t="shared" si="1"/>
        <v>#VALUE!</v>
      </c>
      <c r="DO20" s="115" t="e">
        <f t="shared" si="1"/>
        <v>#VALUE!</v>
      </c>
      <c r="DP20" s="100">
        <f>ROUND((DD20/CZ20),0)</f>
        <v>383</v>
      </c>
      <c r="DQ20" s="116" t="e">
        <f>ROUND((DE20/DA20),0)</f>
        <v>#DIV/0!</v>
      </c>
      <c r="DR20" s="117">
        <f>PLĀNS_ar_grozījumiem!CF20-'plans (27122022)'!CF19</f>
        <v>13.799999999999955</v>
      </c>
      <c r="DS20" s="908">
        <f>DR20/'plans (27122022)'!CF19</f>
        <v>9.5687144640132817E-3</v>
      </c>
      <c r="DT20" s="104">
        <f>PLĀNS_ar_grozījumiem!CL20-'plans (27122022)'!CL19</f>
        <v>17761.75</v>
      </c>
      <c r="DU20" s="909">
        <f>DT20/'plans (27122022)'!CL19</f>
        <v>3.2839586291563132E-2</v>
      </c>
      <c r="DV20" s="120"/>
      <c r="DW20" s="118">
        <f>PLĀNS_ar_grozījumiem!CM20-'plans (27122022)'!CM19</f>
        <v>0</v>
      </c>
      <c r="DX20" s="104">
        <f>PLĀNS_ar_grozījumiem!CP20-'plans (27122022)'!CP19</f>
        <v>17761.75</v>
      </c>
      <c r="DY20" s="909">
        <f>DX20/'plans (27122022)'!CP19</f>
        <v>3.2839586291563132E-2</v>
      </c>
      <c r="DZ20" s="120"/>
      <c r="EA20" s="118"/>
      <c r="EB20" s="104">
        <f>PLĀNS_ar_grozījumiem!CT20-'plans (27122022)'!CT19</f>
        <v>0</v>
      </c>
      <c r="EC20" s="121"/>
      <c r="ED20" s="120"/>
      <c r="EE20" s="121"/>
      <c r="EF20" s="122">
        <f>PLĀNS_ar_grozījumiem!CX20-'plans (27122022)'!CX19</f>
        <v>8.644489574269187</v>
      </c>
      <c r="EG20" s="911">
        <f>EF20/'plans (27122022)'!CX19</f>
        <v>2.3050309992920626E-2</v>
      </c>
    </row>
    <row r="21" spans="1:137" s="124" customFormat="1" ht="15.75" customHeight="1" x14ac:dyDescent="0.3">
      <c r="A21" s="1070"/>
      <c r="B21" s="90"/>
      <c r="C21" s="1024" t="s">
        <v>46</v>
      </c>
      <c r="D21" s="1005">
        <v>20.6</v>
      </c>
      <c r="E21" s="93"/>
      <c r="F21" s="93">
        <v>0.95414543770264015</v>
      </c>
      <c r="G21" s="93"/>
      <c r="H21" s="158" t="s">
        <v>44</v>
      </c>
      <c r="I21" s="159" t="s">
        <v>44</v>
      </c>
      <c r="J21" s="96">
        <v>6407</v>
      </c>
      <c r="K21" s="97"/>
      <c r="L21" s="98" t="s">
        <v>44</v>
      </c>
      <c r="M21" s="99" t="s">
        <v>44</v>
      </c>
      <c r="N21" s="100">
        <v>6407</v>
      </c>
      <c r="O21" s="101"/>
      <c r="P21" s="158" t="s">
        <v>44</v>
      </c>
      <c r="Q21" s="159" t="s">
        <v>44</v>
      </c>
      <c r="R21" s="100">
        <v>0</v>
      </c>
      <c r="S21" s="97"/>
      <c r="T21" s="158" t="s">
        <v>44</v>
      </c>
      <c r="U21" s="159" t="s">
        <v>44</v>
      </c>
      <c r="V21" s="102">
        <v>311</v>
      </c>
      <c r="W21" s="102"/>
      <c r="X21" s="92">
        <v>18.399999999999999</v>
      </c>
      <c r="Y21" s="93"/>
      <c r="Z21" s="93">
        <v>0.8424908424908425</v>
      </c>
      <c r="AA21" s="93"/>
      <c r="AB21" s="158" t="s">
        <v>44</v>
      </c>
      <c r="AC21" s="159" t="s">
        <v>44</v>
      </c>
      <c r="AD21" s="96">
        <v>5708</v>
      </c>
      <c r="AE21" s="97"/>
      <c r="AF21" s="98" t="s">
        <v>44</v>
      </c>
      <c r="AG21" s="99" t="s">
        <v>44</v>
      </c>
      <c r="AH21" s="100">
        <v>5708</v>
      </c>
      <c r="AI21" s="101"/>
      <c r="AJ21" s="158" t="s">
        <v>44</v>
      </c>
      <c r="AK21" s="159" t="s">
        <v>44</v>
      </c>
      <c r="AL21" s="100">
        <v>0</v>
      </c>
      <c r="AM21" s="97"/>
      <c r="AN21" s="158" t="s">
        <v>44</v>
      </c>
      <c r="AO21" s="159" t="s">
        <v>44</v>
      </c>
      <c r="AP21" s="102">
        <v>310</v>
      </c>
      <c r="AQ21" s="102"/>
      <c r="AR21" s="92">
        <v>19.8</v>
      </c>
      <c r="AS21" s="93">
        <f>PLĀNS_ar_grozījumiem!AS21-'plans (27122022)'!AS20</f>
        <v>0</v>
      </c>
      <c r="AT21" s="93">
        <f>PLĀNS_ar_grozījumiem!AT21-'plans (27122022)'!AT20</f>
        <v>-0.88777173913043472</v>
      </c>
      <c r="AU21" s="93">
        <f>PLĀNS_ar_grozījumiem!AU21-'plans (27122022)'!AU20</f>
        <v>0</v>
      </c>
      <c r="AV21" s="158" t="e">
        <f>PLĀNS_ar_grozījumiem!AV21-'plans (27122022)'!AV20</f>
        <v>#VALUE!</v>
      </c>
      <c r="AW21" s="159" t="e">
        <f>PLĀNS_ar_grozījumiem!AW21-'plans (27122022)'!AW20</f>
        <v>#VALUE!</v>
      </c>
      <c r="AX21" s="96">
        <f>PLĀNS_ar_grozījumiem!AX21-'plans (27122022)'!AX20</f>
        <v>462.15000000000055</v>
      </c>
      <c r="AY21" s="97">
        <f>PLĀNS_ar_grozījumiem!AY21-'plans (27122022)'!AY20</f>
        <v>0</v>
      </c>
      <c r="AZ21" s="98" t="e">
        <f>PLĀNS_ar_grozījumiem!AZ21-'plans (27122022)'!AZ20</f>
        <v>#VALUE!</v>
      </c>
      <c r="BA21" s="99" t="e">
        <f>PLĀNS_ar_grozījumiem!BA21-'plans (27122022)'!BA20</f>
        <v>#VALUE!</v>
      </c>
      <c r="BB21" s="100">
        <f>PLĀNS_ar_grozījumiem!BB21-'plans (27122022)'!BB20</f>
        <v>462.15000000000055</v>
      </c>
      <c r="BC21" s="101">
        <f>PLĀNS_ar_grozījumiem!BC21-'plans (27122022)'!BC20</f>
        <v>0</v>
      </c>
      <c r="BD21" s="158" t="e">
        <f>PLĀNS_ar_grozījumiem!BD21-'plans (27122022)'!BD20</f>
        <v>#VALUE!</v>
      </c>
      <c r="BE21" s="159" t="e">
        <f>PLĀNS_ar_grozījumiem!BE21-'plans (27122022)'!BE20</f>
        <v>#VALUE!</v>
      </c>
      <c r="BF21" s="100">
        <f>PLĀNS_ar_grozījumiem!BF21-'plans (27122022)'!BF20</f>
        <v>0</v>
      </c>
      <c r="BG21" s="97">
        <f>PLĀNS_ar_grozījumiem!BG21-'plans (27122022)'!BG20</f>
        <v>0</v>
      </c>
      <c r="BH21" s="158" t="e">
        <f>PLĀNS_ar_grozījumiem!BH21-'plans (27122022)'!BH20</f>
        <v>#VALUE!</v>
      </c>
      <c r="BI21" s="159" t="e">
        <f>PLĀNS_ar_grozījumiem!BI21-'plans (27122022)'!BI20</f>
        <v>#VALUE!</v>
      </c>
      <c r="BJ21" s="102">
        <f>PLĀNS_ar_grozījumiem!BJ21-'plans (27122022)'!BJ20</f>
        <v>23.553030303030312</v>
      </c>
      <c r="BK21" s="102">
        <f>PLĀNS_ar_grozījumiem!BK21-'plans (27122022)'!BK20</f>
        <v>0</v>
      </c>
      <c r="BL21" s="92">
        <f>PLĀNS_ar_grozījumiem!BL21-'plans (27122022)'!BL20</f>
        <v>0</v>
      </c>
      <c r="BM21" s="93">
        <f>PLĀNS_ar_grozījumiem!BM21-'plans (27122022)'!BM20</f>
        <v>0</v>
      </c>
      <c r="BN21" s="93">
        <f>PLĀNS_ar_grozījumiem!BN21-'plans (27122022)'!BN20</f>
        <v>-0.8425531914893617</v>
      </c>
      <c r="BO21" s="93">
        <f>PLĀNS_ar_grozījumiem!BO21-'plans (27122022)'!BO20</f>
        <v>0</v>
      </c>
      <c r="BP21" s="158" t="e">
        <f>PLĀNS_ar_grozījumiem!BP21-'plans (27122022)'!BP20</f>
        <v>#VALUE!</v>
      </c>
      <c r="BQ21" s="159" t="e">
        <f>PLĀNS_ar_grozījumiem!BQ21-'plans (27122022)'!BQ20</f>
        <v>#VALUE!</v>
      </c>
      <c r="BR21" s="96">
        <f>PLĀNS_ar_grozījumiem!BR21-'plans (27122022)'!BR20</f>
        <v>338.19999999999982</v>
      </c>
      <c r="BS21" s="97">
        <f>PLĀNS_ar_grozījumiem!BS21-'plans (27122022)'!BS20</f>
        <v>0</v>
      </c>
      <c r="BT21" s="98" t="e">
        <f>PLĀNS_ar_grozījumiem!BT21-'plans (27122022)'!BT20</f>
        <v>#VALUE!</v>
      </c>
      <c r="BU21" s="99" t="e">
        <f>PLĀNS_ar_grozījumiem!BU21-'plans (27122022)'!BU20</f>
        <v>#VALUE!</v>
      </c>
      <c r="BV21" s="100">
        <f>PLĀNS_ar_grozījumiem!BV21-'plans (27122022)'!BV20</f>
        <v>338.19999999999982</v>
      </c>
      <c r="BW21" s="101">
        <f>PLĀNS_ar_grozījumiem!BW21-'plans (27122022)'!BW20</f>
        <v>0</v>
      </c>
      <c r="BX21" s="158" t="e">
        <f>PLĀNS_ar_grozījumiem!BX21-'plans (27122022)'!BX20</f>
        <v>#VALUE!</v>
      </c>
      <c r="BY21" s="159" t="e">
        <f>PLĀNS_ar_grozījumiem!BY21-'plans (27122022)'!BY20</f>
        <v>#VALUE!</v>
      </c>
      <c r="BZ21" s="100">
        <f>PLĀNS_ar_grozījumiem!BZ21-'plans (27122022)'!BZ20</f>
        <v>0</v>
      </c>
      <c r="CA21" s="97">
        <f>PLĀNS_ar_grozījumiem!CA21-'plans (27122022)'!CA20</f>
        <v>0</v>
      </c>
      <c r="CB21" s="158" t="e">
        <f>PLĀNS_ar_grozījumiem!CB21-'plans (27122022)'!CB20</f>
        <v>#VALUE!</v>
      </c>
      <c r="CC21" s="159" t="e">
        <f>PLĀNS_ar_grozījumiem!CC21-'plans (27122022)'!CC20</f>
        <v>#VALUE!</v>
      </c>
      <c r="CD21" s="102">
        <f>PLĀNS_ar_grozījumiem!CD21-'plans (27122022)'!CD20</f>
        <v>17.744680851063833</v>
      </c>
      <c r="CE21" s="102">
        <f>PLĀNS_ar_grozījumiem!CE21-'plans (27122022)'!CE20</f>
        <v>0</v>
      </c>
      <c r="CF21" s="103">
        <f>PLĀNS_ar_grozījumiem!CF21-'plans (27122022)'!CF20</f>
        <v>0</v>
      </c>
      <c r="CG21" s="102">
        <f>PLĀNS_ar_grozījumiem!CG21-'plans (27122022)'!CG20</f>
        <v>0</v>
      </c>
      <c r="CH21" s="93">
        <f>PLĀNS_ar_grozījumiem!CH21-'plans (27122022)'!CH20</f>
        <v>-0.87698630136986289</v>
      </c>
      <c r="CI21" s="127">
        <f>PLĀNS_ar_grozījumiem!CI21-'plans (27122022)'!CI20</f>
        <v>0</v>
      </c>
      <c r="CJ21" s="98" t="e">
        <f>PLĀNS_ar_grozījumiem!CJ21-'plans (27122022)'!CJ20</f>
        <v>#VALUE!</v>
      </c>
      <c r="CK21" s="99" t="e">
        <f>PLĀNS_ar_grozījumiem!CK21-'plans (27122022)'!CK20</f>
        <v>#VALUE!</v>
      </c>
      <c r="CL21" s="100">
        <f>PLĀNS_ar_grozījumiem!CL21-'plans (27122022)'!CL20</f>
        <v>800.34999999999854</v>
      </c>
      <c r="CM21" s="107">
        <f>PLĀNS_ar_grozījumiem!CM21-'plans (27122022)'!CM20</f>
        <v>0</v>
      </c>
      <c r="CN21" s="108" t="e">
        <f>PLĀNS_ar_grozījumiem!CN21-'plans (27122022)'!CN20</f>
        <v>#VALUE!</v>
      </c>
      <c r="CO21" s="99" t="e">
        <f>PLĀNS_ar_grozījumiem!CO21-'plans (27122022)'!CO20</f>
        <v>#VALUE!</v>
      </c>
      <c r="CP21" s="100">
        <f>PLĀNS_ar_grozījumiem!CP21-'plans (27122022)'!CP20</f>
        <v>800.34999999999854</v>
      </c>
      <c r="CQ21" s="97">
        <f>PLĀNS_ar_grozījumiem!CQ21-'plans (27122022)'!CQ20</f>
        <v>0</v>
      </c>
      <c r="CR21" s="98" t="e">
        <f>PLĀNS_ar_grozījumiem!CR21-'plans (27122022)'!CR20</f>
        <v>#VALUE!</v>
      </c>
      <c r="CS21" s="99" t="e">
        <f>PLĀNS_ar_grozījumiem!CS21-'plans (27122022)'!CS20</f>
        <v>#VALUE!</v>
      </c>
      <c r="CT21" s="100">
        <f>PLĀNS_ar_grozījumiem!CT21-'plans (27122022)'!CT20</f>
        <v>0</v>
      </c>
      <c r="CU21" s="97">
        <f>PLĀNS_ar_grozījumiem!CU21-'plans (27122022)'!CU20</f>
        <v>0</v>
      </c>
      <c r="CV21" s="98" t="e">
        <f>PLĀNS_ar_grozījumiem!CV21-'plans (27122022)'!CV20</f>
        <v>#VALUE!</v>
      </c>
      <c r="CW21" s="99" t="e">
        <f>PLĀNS_ar_grozījumiem!CW21-'plans (27122022)'!CW20</f>
        <v>#VALUE!</v>
      </c>
      <c r="CX21" s="100">
        <f>PLĀNS_ar_grozījumiem!CX21-'plans (27122022)'!CX20</f>
        <v>10.313788659793772</v>
      </c>
      <c r="CY21" s="129">
        <f>PLĀNS_ar_grozījumiem!CY21-'plans (27122022)'!CY20</f>
        <v>0</v>
      </c>
      <c r="CZ21" s="110">
        <f t="shared" si="0"/>
        <v>39</v>
      </c>
      <c r="DA21" s="111">
        <f t="shared" si="0"/>
        <v>0</v>
      </c>
      <c r="DB21" s="112">
        <f t="shared" ref="DB21:DC24" si="6">(CZ21/4343)*100</f>
        <v>0.89799677642182829</v>
      </c>
      <c r="DC21" s="113">
        <f t="shared" si="6"/>
        <v>0</v>
      </c>
      <c r="DD21" s="100">
        <f t="shared" si="1"/>
        <v>12115</v>
      </c>
      <c r="DE21" s="102">
        <f t="shared" si="1"/>
        <v>0</v>
      </c>
      <c r="DF21" s="102" t="e">
        <f t="shared" si="1"/>
        <v>#VALUE!</v>
      </c>
      <c r="DG21" s="114" t="e">
        <f t="shared" si="1"/>
        <v>#VALUE!</v>
      </c>
      <c r="DH21" s="100">
        <f t="shared" si="1"/>
        <v>12115</v>
      </c>
      <c r="DI21" s="97">
        <f t="shared" si="1"/>
        <v>0</v>
      </c>
      <c r="DJ21" s="97" t="e">
        <f t="shared" si="1"/>
        <v>#VALUE!</v>
      </c>
      <c r="DK21" s="97" t="e">
        <f t="shared" si="1"/>
        <v>#VALUE!</v>
      </c>
      <c r="DL21" s="100">
        <f t="shared" si="1"/>
        <v>0</v>
      </c>
      <c r="DM21" s="97">
        <f t="shared" si="1"/>
        <v>0</v>
      </c>
      <c r="DN21" s="97" t="e">
        <f t="shared" si="1"/>
        <v>#VALUE!</v>
      </c>
      <c r="DO21" s="115" t="e">
        <f t="shared" si="1"/>
        <v>#VALUE!</v>
      </c>
      <c r="DP21" s="100">
        <f t="shared" ref="DP21:DQ25" si="7">ROUND((DD21/CZ21),0)</f>
        <v>311</v>
      </c>
      <c r="DQ21" s="116" t="e">
        <f t="shared" si="7"/>
        <v>#DIV/0!</v>
      </c>
      <c r="DR21" s="117">
        <f>PLĀNS_ar_grozījumiem!CF21-'plans (27122022)'!CF20</f>
        <v>0</v>
      </c>
      <c r="DS21" s="908">
        <f>DR21/'plans (27122022)'!CF20</f>
        <v>0</v>
      </c>
      <c r="DT21" s="104">
        <f>PLĀNS_ar_grozījumiem!CL21-'plans (27122022)'!CL20</f>
        <v>800.34999999999854</v>
      </c>
      <c r="DU21" s="909">
        <f>DT21/'plans (27122022)'!CL20</f>
        <v>3.3021826133597332E-2</v>
      </c>
      <c r="DV21" s="120"/>
      <c r="DW21" s="118">
        <f>PLĀNS_ar_grozījumiem!CM21-'plans (27122022)'!CM20</f>
        <v>0</v>
      </c>
      <c r="DX21" s="104">
        <f>PLĀNS_ar_grozījumiem!CP21-'plans (27122022)'!CP20</f>
        <v>800.34999999999854</v>
      </c>
      <c r="DY21" s="909">
        <f>DX21/'plans (27122022)'!CP20</f>
        <v>3.3021826133597332E-2</v>
      </c>
      <c r="DZ21" s="120"/>
      <c r="EA21" s="118"/>
      <c r="EB21" s="104">
        <f>PLĀNS_ar_grozījumiem!CT21-'plans (27122022)'!CT20</f>
        <v>0</v>
      </c>
      <c r="EC21" s="121"/>
      <c r="ED21" s="120"/>
      <c r="EE21" s="121"/>
      <c r="EF21" s="122">
        <f>PLĀNS_ar_grozījumiem!CX21-'plans (27122022)'!CX20</f>
        <v>10.313788659793772</v>
      </c>
      <c r="EG21" s="911">
        <f>EF21/'plans (27122022)'!CX20</f>
        <v>3.3021826133597255E-2</v>
      </c>
    </row>
    <row r="22" spans="1:137" s="124" customFormat="1" ht="15.75" customHeight="1" x14ac:dyDescent="0.3">
      <c r="A22" s="1070"/>
      <c r="B22" s="90"/>
      <c r="C22" s="1024" t="s">
        <v>47</v>
      </c>
      <c r="D22" s="1005">
        <v>0</v>
      </c>
      <c r="E22" s="93"/>
      <c r="F22" s="93">
        <v>0</v>
      </c>
      <c r="G22" s="93"/>
      <c r="H22" s="158" t="s">
        <v>44</v>
      </c>
      <c r="I22" s="159" t="s">
        <v>44</v>
      </c>
      <c r="J22" s="96">
        <v>0</v>
      </c>
      <c r="K22" s="97"/>
      <c r="L22" s="98" t="s">
        <v>44</v>
      </c>
      <c r="M22" s="99" t="s">
        <v>44</v>
      </c>
      <c r="N22" s="100">
        <v>0</v>
      </c>
      <c r="O22" s="101"/>
      <c r="P22" s="158" t="s">
        <v>44</v>
      </c>
      <c r="Q22" s="159" t="s">
        <v>44</v>
      </c>
      <c r="R22" s="100">
        <v>0</v>
      </c>
      <c r="S22" s="97"/>
      <c r="T22" s="158" t="s">
        <v>44</v>
      </c>
      <c r="U22" s="159" t="s">
        <v>44</v>
      </c>
      <c r="V22" s="102">
        <v>0</v>
      </c>
      <c r="W22" s="102"/>
      <c r="X22" s="92">
        <v>0</v>
      </c>
      <c r="Y22" s="93"/>
      <c r="Z22" s="93">
        <v>0</v>
      </c>
      <c r="AA22" s="93"/>
      <c r="AB22" s="158" t="s">
        <v>44</v>
      </c>
      <c r="AC22" s="159" t="s">
        <v>44</v>
      </c>
      <c r="AD22" s="96">
        <v>0</v>
      </c>
      <c r="AE22" s="97"/>
      <c r="AF22" s="98" t="s">
        <v>44</v>
      </c>
      <c r="AG22" s="99" t="s">
        <v>44</v>
      </c>
      <c r="AH22" s="100">
        <v>0</v>
      </c>
      <c r="AI22" s="101"/>
      <c r="AJ22" s="158" t="s">
        <v>44</v>
      </c>
      <c r="AK22" s="159" t="s">
        <v>44</v>
      </c>
      <c r="AL22" s="100">
        <v>0</v>
      </c>
      <c r="AM22" s="97"/>
      <c r="AN22" s="158" t="s">
        <v>44</v>
      </c>
      <c r="AO22" s="159" t="s">
        <v>44</v>
      </c>
      <c r="AP22" s="102">
        <v>0</v>
      </c>
      <c r="AQ22" s="102"/>
      <c r="AR22" s="92">
        <v>0</v>
      </c>
      <c r="AS22" s="93">
        <f>PLĀNS_ar_grozījumiem!AS22-'plans (27122022)'!AS21</f>
        <v>0</v>
      </c>
      <c r="AT22" s="93">
        <f>PLĀNS_ar_grozījumiem!AT22-'plans (27122022)'!AT21</f>
        <v>0</v>
      </c>
      <c r="AU22" s="93">
        <f>PLĀNS_ar_grozījumiem!AU22-'plans (27122022)'!AU21</f>
        <v>0</v>
      </c>
      <c r="AV22" s="158" t="e">
        <f>PLĀNS_ar_grozījumiem!AV22-'plans (27122022)'!AV21</f>
        <v>#VALUE!</v>
      </c>
      <c r="AW22" s="159" t="e">
        <f>PLĀNS_ar_grozījumiem!AW22-'plans (27122022)'!AW21</f>
        <v>#VALUE!</v>
      </c>
      <c r="AX22" s="96">
        <f>PLĀNS_ar_grozījumiem!AX22-'plans (27122022)'!AX21</f>
        <v>0</v>
      </c>
      <c r="AY22" s="97">
        <f>PLĀNS_ar_grozījumiem!AY22-'plans (27122022)'!AY21</f>
        <v>0</v>
      </c>
      <c r="AZ22" s="98" t="e">
        <f>PLĀNS_ar_grozījumiem!AZ22-'plans (27122022)'!AZ21</f>
        <v>#VALUE!</v>
      </c>
      <c r="BA22" s="99" t="e">
        <f>PLĀNS_ar_grozījumiem!BA22-'plans (27122022)'!BA21</f>
        <v>#VALUE!</v>
      </c>
      <c r="BB22" s="100">
        <f>PLĀNS_ar_grozījumiem!BB22-'plans (27122022)'!BB21</f>
        <v>0</v>
      </c>
      <c r="BC22" s="101">
        <f>PLĀNS_ar_grozījumiem!BC22-'plans (27122022)'!BC21</f>
        <v>0</v>
      </c>
      <c r="BD22" s="158" t="e">
        <f>PLĀNS_ar_grozījumiem!BD22-'plans (27122022)'!BD21</f>
        <v>#VALUE!</v>
      </c>
      <c r="BE22" s="159" t="e">
        <f>PLĀNS_ar_grozījumiem!BE22-'plans (27122022)'!BE21</f>
        <v>#VALUE!</v>
      </c>
      <c r="BF22" s="100">
        <f>PLĀNS_ar_grozījumiem!BF22-'plans (27122022)'!BF21</f>
        <v>0</v>
      </c>
      <c r="BG22" s="97">
        <f>PLĀNS_ar_grozījumiem!BG22-'plans (27122022)'!BG21</f>
        <v>0</v>
      </c>
      <c r="BH22" s="158" t="e">
        <f>PLĀNS_ar_grozījumiem!BH22-'plans (27122022)'!BH21</f>
        <v>#VALUE!</v>
      </c>
      <c r="BI22" s="159" t="e">
        <f>PLĀNS_ar_grozījumiem!BI22-'plans (27122022)'!BI21</f>
        <v>#VALUE!</v>
      </c>
      <c r="BJ22" s="102">
        <f>PLĀNS_ar_grozījumiem!BJ22-'plans (27122022)'!BJ21</f>
        <v>0</v>
      </c>
      <c r="BK22" s="102">
        <f>PLĀNS_ar_grozījumiem!BK22-'plans (27122022)'!BK21</f>
        <v>0</v>
      </c>
      <c r="BL22" s="92">
        <f>PLĀNS_ar_grozījumiem!BL22-'plans (27122022)'!BL21</f>
        <v>0</v>
      </c>
      <c r="BM22" s="93">
        <f>PLĀNS_ar_grozījumiem!BM22-'plans (27122022)'!BM21</f>
        <v>0</v>
      </c>
      <c r="BN22" s="93">
        <f>PLĀNS_ar_grozījumiem!BN22-'plans (27122022)'!BN21</f>
        <v>0</v>
      </c>
      <c r="BO22" s="93">
        <f>PLĀNS_ar_grozījumiem!BO22-'plans (27122022)'!BO21</f>
        <v>0</v>
      </c>
      <c r="BP22" s="158" t="e">
        <f>PLĀNS_ar_grozījumiem!BP22-'plans (27122022)'!BP21</f>
        <v>#VALUE!</v>
      </c>
      <c r="BQ22" s="159" t="e">
        <f>PLĀNS_ar_grozījumiem!BQ22-'plans (27122022)'!BQ21</f>
        <v>#VALUE!</v>
      </c>
      <c r="BR22" s="96">
        <f>PLĀNS_ar_grozījumiem!BR22-'plans (27122022)'!BR21</f>
        <v>0</v>
      </c>
      <c r="BS22" s="97">
        <f>PLĀNS_ar_grozījumiem!BS22-'plans (27122022)'!BS21</f>
        <v>0</v>
      </c>
      <c r="BT22" s="98" t="e">
        <f>PLĀNS_ar_grozījumiem!BT22-'plans (27122022)'!BT21</f>
        <v>#VALUE!</v>
      </c>
      <c r="BU22" s="99" t="e">
        <f>PLĀNS_ar_grozījumiem!BU22-'plans (27122022)'!BU21</f>
        <v>#VALUE!</v>
      </c>
      <c r="BV22" s="100">
        <f>PLĀNS_ar_grozījumiem!BV22-'plans (27122022)'!BV21</f>
        <v>0</v>
      </c>
      <c r="BW22" s="101">
        <f>PLĀNS_ar_grozījumiem!BW22-'plans (27122022)'!BW21</f>
        <v>0</v>
      </c>
      <c r="BX22" s="158" t="e">
        <f>PLĀNS_ar_grozījumiem!BX22-'plans (27122022)'!BX21</f>
        <v>#VALUE!</v>
      </c>
      <c r="BY22" s="159" t="e">
        <f>PLĀNS_ar_grozījumiem!BY22-'plans (27122022)'!BY21</f>
        <v>#VALUE!</v>
      </c>
      <c r="BZ22" s="100">
        <f>PLĀNS_ar_grozījumiem!BZ22-'plans (27122022)'!BZ21</f>
        <v>0</v>
      </c>
      <c r="CA22" s="97">
        <f>PLĀNS_ar_grozījumiem!CA22-'plans (27122022)'!CA21</f>
        <v>0</v>
      </c>
      <c r="CB22" s="158" t="e">
        <f>PLĀNS_ar_grozījumiem!CB22-'plans (27122022)'!CB21</f>
        <v>#VALUE!</v>
      </c>
      <c r="CC22" s="159" t="e">
        <f>PLĀNS_ar_grozījumiem!CC22-'plans (27122022)'!CC21</f>
        <v>#VALUE!</v>
      </c>
      <c r="CD22" s="102">
        <f>PLĀNS_ar_grozījumiem!CD22-'plans (27122022)'!CD21</f>
        <v>0</v>
      </c>
      <c r="CE22" s="102">
        <f>PLĀNS_ar_grozījumiem!CE22-'plans (27122022)'!CE21</f>
        <v>0</v>
      </c>
      <c r="CF22" s="103">
        <f>PLĀNS_ar_grozījumiem!CF22-'plans (27122022)'!CF21</f>
        <v>0</v>
      </c>
      <c r="CG22" s="102">
        <f>PLĀNS_ar_grozījumiem!CG22-'plans (27122022)'!CG21</f>
        <v>0</v>
      </c>
      <c r="CH22" s="93">
        <f>PLĀNS_ar_grozījumiem!CH22-'plans (27122022)'!CH21</f>
        <v>0</v>
      </c>
      <c r="CI22" s="127">
        <f>PLĀNS_ar_grozījumiem!CI22-'plans (27122022)'!CI21</f>
        <v>0</v>
      </c>
      <c r="CJ22" s="98" t="e">
        <f>PLĀNS_ar_grozījumiem!CJ22-'plans (27122022)'!CJ21</f>
        <v>#VALUE!</v>
      </c>
      <c r="CK22" s="99" t="e">
        <f>PLĀNS_ar_grozījumiem!CK22-'plans (27122022)'!CK21</f>
        <v>#VALUE!</v>
      </c>
      <c r="CL22" s="100">
        <f>PLĀNS_ar_grozījumiem!CL22-'plans (27122022)'!CL21</f>
        <v>0</v>
      </c>
      <c r="CM22" s="107">
        <f>PLĀNS_ar_grozījumiem!CM22-'plans (27122022)'!CM21</f>
        <v>0</v>
      </c>
      <c r="CN22" s="108" t="e">
        <f>PLĀNS_ar_grozījumiem!CN22-'plans (27122022)'!CN21</f>
        <v>#VALUE!</v>
      </c>
      <c r="CO22" s="99" t="e">
        <f>PLĀNS_ar_grozījumiem!CO22-'plans (27122022)'!CO21</f>
        <v>#VALUE!</v>
      </c>
      <c r="CP22" s="100">
        <f>PLĀNS_ar_grozījumiem!CP22-'plans (27122022)'!CP21</f>
        <v>0</v>
      </c>
      <c r="CQ22" s="97">
        <f>PLĀNS_ar_grozījumiem!CQ22-'plans (27122022)'!CQ21</f>
        <v>0</v>
      </c>
      <c r="CR22" s="98" t="e">
        <f>PLĀNS_ar_grozījumiem!CR22-'plans (27122022)'!CR21</f>
        <v>#VALUE!</v>
      </c>
      <c r="CS22" s="99" t="e">
        <f>PLĀNS_ar_grozījumiem!CS22-'plans (27122022)'!CS21</f>
        <v>#VALUE!</v>
      </c>
      <c r="CT22" s="100">
        <f>PLĀNS_ar_grozījumiem!CT22-'plans (27122022)'!CT21</f>
        <v>0</v>
      </c>
      <c r="CU22" s="97">
        <f>PLĀNS_ar_grozījumiem!CU22-'plans (27122022)'!CU21</f>
        <v>0</v>
      </c>
      <c r="CV22" s="98" t="e">
        <f>PLĀNS_ar_grozījumiem!CV22-'plans (27122022)'!CV21</f>
        <v>#VALUE!</v>
      </c>
      <c r="CW22" s="99" t="e">
        <f>PLĀNS_ar_grozījumiem!CW22-'plans (27122022)'!CW21</f>
        <v>#VALUE!</v>
      </c>
      <c r="CX22" s="100">
        <f>PLĀNS_ar_grozījumiem!CX22-'plans (27122022)'!CX21</f>
        <v>0</v>
      </c>
      <c r="CY22" s="129">
        <f>PLĀNS_ar_grozījumiem!CY22-'plans (27122022)'!CY21</f>
        <v>0</v>
      </c>
      <c r="CZ22" s="110">
        <f t="shared" si="0"/>
        <v>0</v>
      </c>
      <c r="DA22" s="111">
        <f t="shared" si="0"/>
        <v>0</v>
      </c>
      <c r="DB22" s="112">
        <f t="shared" si="6"/>
        <v>0</v>
      </c>
      <c r="DC22" s="113">
        <f t="shared" si="6"/>
        <v>0</v>
      </c>
      <c r="DD22" s="100">
        <f t="shared" si="1"/>
        <v>0</v>
      </c>
      <c r="DE22" s="102">
        <f t="shared" si="1"/>
        <v>0</v>
      </c>
      <c r="DF22" s="102" t="e">
        <f t="shared" si="1"/>
        <v>#VALUE!</v>
      </c>
      <c r="DG22" s="114" t="e">
        <f t="shared" si="1"/>
        <v>#VALUE!</v>
      </c>
      <c r="DH22" s="100">
        <f t="shared" si="1"/>
        <v>0</v>
      </c>
      <c r="DI22" s="97">
        <f t="shared" si="1"/>
        <v>0</v>
      </c>
      <c r="DJ22" s="97" t="e">
        <f t="shared" si="1"/>
        <v>#VALUE!</v>
      </c>
      <c r="DK22" s="97" t="e">
        <f t="shared" si="1"/>
        <v>#VALUE!</v>
      </c>
      <c r="DL22" s="100">
        <f t="shared" si="1"/>
        <v>0</v>
      </c>
      <c r="DM22" s="97">
        <f t="shared" si="1"/>
        <v>0</v>
      </c>
      <c r="DN22" s="97" t="e">
        <f t="shared" si="1"/>
        <v>#VALUE!</v>
      </c>
      <c r="DO22" s="115" t="e">
        <f t="shared" si="1"/>
        <v>#VALUE!</v>
      </c>
      <c r="DP22" s="100" t="e">
        <f t="shared" si="7"/>
        <v>#DIV/0!</v>
      </c>
      <c r="DQ22" s="116" t="e">
        <f t="shared" si="7"/>
        <v>#DIV/0!</v>
      </c>
      <c r="DR22" s="117">
        <f>PLĀNS_ar_grozījumiem!CF22-'plans (27122022)'!CF21</f>
        <v>0</v>
      </c>
      <c r="DS22" s="908"/>
      <c r="DT22" s="104">
        <f>PLĀNS_ar_grozījumiem!CL22-'plans (27122022)'!CL21</f>
        <v>0</v>
      </c>
      <c r="DU22" s="909"/>
      <c r="DV22" s="120"/>
      <c r="DW22" s="118">
        <f>PLĀNS_ar_grozījumiem!CM22-'plans (27122022)'!CM21</f>
        <v>0</v>
      </c>
      <c r="DX22" s="104">
        <f>PLĀNS_ar_grozījumiem!CP22-'plans (27122022)'!CP21</f>
        <v>0</v>
      </c>
      <c r="DY22" s="909"/>
      <c r="DZ22" s="120"/>
      <c r="EA22" s="118"/>
      <c r="EB22" s="104">
        <f>PLĀNS_ar_grozījumiem!CT22-'plans (27122022)'!CT21</f>
        <v>0</v>
      </c>
      <c r="EC22" s="121"/>
      <c r="ED22" s="120"/>
      <c r="EE22" s="121"/>
      <c r="EF22" s="122"/>
      <c r="EG22" s="911"/>
    </row>
    <row r="23" spans="1:137" ht="15.75" customHeight="1" x14ac:dyDescent="0.3">
      <c r="A23" s="1070"/>
      <c r="B23" s="160"/>
      <c r="C23" s="1024" t="s">
        <v>48</v>
      </c>
      <c r="D23" s="1005">
        <v>614.5</v>
      </c>
      <c r="E23" s="93"/>
      <c r="F23" s="93">
        <v>28.462251042149145</v>
      </c>
      <c r="G23" s="93"/>
      <c r="H23" s="158" t="s">
        <v>44</v>
      </c>
      <c r="I23" s="159" t="s">
        <v>44</v>
      </c>
      <c r="J23" s="96">
        <v>115039</v>
      </c>
      <c r="K23" s="97"/>
      <c r="L23" s="98" t="s">
        <v>44</v>
      </c>
      <c r="M23" s="99" t="s">
        <v>44</v>
      </c>
      <c r="N23" s="100">
        <v>115039</v>
      </c>
      <c r="O23" s="126"/>
      <c r="P23" s="158" t="s">
        <v>44</v>
      </c>
      <c r="Q23" s="159" t="s">
        <v>44</v>
      </c>
      <c r="R23" s="100">
        <v>0</v>
      </c>
      <c r="S23" s="97"/>
      <c r="T23" s="158" t="s">
        <v>44</v>
      </c>
      <c r="U23" s="159" t="s">
        <v>44</v>
      </c>
      <c r="V23" s="102">
        <v>187</v>
      </c>
      <c r="W23" s="102"/>
      <c r="X23" s="92">
        <v>607.1</v>
      </c>
      <c r="Y23" s="93"/>
      <c r="Z23" s="93">
        <v>27.797619047619047</v>
      </c>
      <c r="AA23" s="93"/>
      <c r="AB23" s="158" t="s">
        <v>44</v>
      </c>
      <c r="AC23" s="159" t="s">
        <v>44</v>
      </c>
      <c r="AD23" s="96">
        <v>114030</v>
      </c>
      <c r="AE23" s="97"/>
      <c r="AF23" s="98" t="s">
        <v>44</v>
      </c>
      <c r="AG23" s="99" t="s">
        <v>44</v>
      </c>
      <c r="AH23" s="100">
        <v>114030</v>
      </c>
      <c r="AI23" s="126"/>
      <c r="AJ23" s="158" t="s">
        <v>44</v>
      </c>
      <c r="AK23" s="159" t="s">
        <v>44</v>
      </c>
      <c r="AL23" s="100">
        <v>0</v>
      </c>
      <c r="AM23" s="97"/>
      <c r="AN23" s="158" t="s">
        <v>44</v>
      </c>
      <c r="AO23" s="159" t="s">
        <v>44</v>
      </c>
      <c r="AP23" s="102">
        <v>188</v>
      </c>
      <c r="AQ23" s="102"/>
      <c r="AR23" s="92">
        <v>615.79999999999995</v>
      </c>
      <c r="AS23" s="93">
        <f>PLĀNS_ar_grozījumiem!AS23-'plans (27122022)'!AS22</f>
        <v>0</v>
      </c>
      <c r="AT23" s="93">
        <f>PLĀNS_ar_grozījumiem!AT23-'plans (27122022)'!AT22</f>
        <v>-27.625049818840576</v>
      </c>
      <c r="AU23" s="93">
        <f>PLĀNS_ar_grozījumiem!AU23-'plans (27122022)'!AU22</f>
        <v>0</v>
      </c>
      <c r="AV23" s="158" t="e">
        <f>PLĀNS_ar_grozījumiem!AV23-'plans (27122022)'!AV22</f>
        <v>#VALUE!</v>
      </c>
      <c r="AW23" s="159" t="e">
        <f>PLĀNS_ar_grozījumiem!AW23-'plans (27122022)'!AW22</f>
        <v>#VALUE!</v>
      </c>
      <c r="AX23" s="96">
        <f>PLĀNS_ar_grozījumiem!AX23-'plans (27122022)'!AX22</f>
        <v>-1938.8399999999965</v>
      </c>
      <c r="AY23" s="97">
        <f>PLĀNS_ar_grozījumiem!AY23-'plans (27122022)'!AY22</f>
        <v>0</v>
      </c>
      <c r="AZ23" s="98" t="e">
        <f>PLĀNS_ar_grozījumiem!AZ23-'plans (27122022)'!AZ22</f>
        <v>#VALUE!</v>
      </c>
      <c r="BA23" s="99" t="e">
        <f>PLĀNS_ar_grozījumiem!BA23-'plans (27122022)'!BA22</f>
        <v>#VALUE!</v>
      </c>
      <c r="BB23" s="100">
        <f>PLĀNS_ar_grozījumiem!BB23-'plans (27122022)'!BB22</f>
        <v>-1938.8399999999965</v>
      </c>
      <c r="BC23" s="126">
        <f>PLĀNS_ar_grozījumiem!BC23-'plans (27122022)'!BC22</f>
        <v>0</v>
      </c>
      <c r="BD23" s="158" t="e">
        <f>PLĀNS_ar_grozījumiem!BD23-'plans (27122022)'!BD22</f>
        <v>#VALUE!</v>
      </c>
      <c r="BE23" s="159" t="e">
        <f>PLĀNS_ar_grozījumiem!BE23-'plans (27122022)'!BE22</f>
        <v>#VALUE!</v>
      </c>
      <c r="BF23" s="100">
        <f>PLĀNS_ar_grozījumiem!BF23-'plans (27122022)'!BF22</f>
        <v>0</v>
      </c>
      <c r="BG23" s="97">
        <f>PLĀNS_ar_grozījumiem!BG23-'plans (27122022)'!BG22</f>
        <v>0</v>
      </c>
      <c r="BH23" s="158" t="e">
        <f>PLĀNS_ar_grozījumiem!BH23-'plans (27122022)'!BH22</f>
        <v>#VALUE!</v>
      </c>
      <c r="BI23" s="159" t="e">
        <f>PLĀNS_ar_grozījumiem!BI23-'plans (27122022)'!BI22</f>
        <v>#VALUE!</v>
      </c>
      <c r="BJ23" s="102">
        <f>PLĀNS_ar_grozījumiem!BJ23-'plans (27122022)'!BJ22</f>
        <v>6.9955299799619866</v>
      </c>
      <c r="BK23" s="102">
        <f>PLĀNS_ar_grozījumiem!BK23-'plans (27122022)'!BK22</f>
        <v>0</v>
      </c>
      <c r="BL23" s="92">
        <f>PLĀNS_ar_grozījumiem!BL23-'plans (27122022)'!BL22</f>
        <v>9.1000000000000227</v>
      </c>
      <c r="BM23" s="93">
        <f>PLĀNS_ar_grozījumiem!BM23-'plans (27122022)'!BM22</f>
        <v>0</v>
      </c>
      <c r="BN23" s="93">
        <f>PLĀNS_ar_grozījumiem!BN23-'plans (27122022)'!BN22</f>
        <v>-27.531235853327296</v>
      </c>
      <c r="BO23" s="93">
        <f>PLĀNS_ar_grozījumiem!BO23-'plans (27122022)'!BO22</f>
        <v>0</v>
      </c>
      <c r="BP23" s="158" t="e">
        <f>PLĀNS_ar_grozījumiem!BP23-'plans (27122022)'!BP22</f>
        <v>#VALUE!</v>
      </c>
      <c r="BQ23" s="159" t="e">
        <f>PLĀNS_ar_grozījumiem!BQ23-'plans (27122022)'!BQ22</f>
        <v>#VALUE!</v>
      </c>
      <c r="BR23" s="96">
        <f>PLĀNS_ar_grozījumiem!BR23-'plans (27122022)'!BR22</f>
        <v>2020.1600000000035</v>
      </c>
      <c r="BS23" s="97">
        <f>PLĀNS_ar_grozījumiem!BS23-'plans (27122022)'!BS22</f>
        <v>0</v>
      </c>
      <c r="BT23" s="98" t="e">
        <f>PLĀNS_ar_grozījumiem!BT23-'plans (27122022)'!BT22</f>
        <v>#VALUE!</v>
      </c>
      <c r="BU23" s="99" t="e">
        <f>PLĀNS_ar_grozījumiem!BU23-'plans (27122022)'!BU22</f>
        <v>#VALUE!</v>
      </c>
      <c r="BV23" s="100">
        <f>PLĀNS_ar_grozījumiem!BV23-'plans (27122022)'!BV22</f>
        <v>2020.1600000000035</v>
      </c>
      <c r="BW23" s="126">
        <f>PLĀNS_ar_grozījumiem!BW23-'plans (27122022)'!BW22</f>
        <v>0</v>
      </c>
      <c r="BX23" s="158" t="e">
        <f>PLĀNS_ar_grozījumiem!BX23-'plans (27122022)'!BX22</f>
        <v>#VALUE!</v>
      </c>
      <c r="BY23" s="159" t="e">
        <f>PLĀNS_ar_grozījumiem!BY23-'plans (27122022)'!BY22</f>
        <v>#VALUE!</v>
      </c>
      <c r="BZ23" s="100">
        <f>PLĀNS_ar_grozījumiem!BZ23-'plans (27122022)'!BZ22</f>
        <v>0</v>
      </c>
      <c r="CA23" s="97">
        <f>PLĀNS_ar_grozījumiem!CA23-'plans (27122022)'!CA22</f>
        <v>0</v>
      </c>
      <c r="CB23" s="158" t="e">
        <f>PLĀNS_ar_grozījumiem!CB23-'plans (27122022)'!CB22</f>
        <v>#VALUE!</v>
      </c>
      <c r="CC23" s="159" t="e">
        <f>PLĀNS_ar_grozījumiem!CC23-'plans (27122022)'!CC22</f>
        <v>#VALUE!</v>
      </c>
      <c r="CD23" s="102">
        <f>PLĀNS_ar_grozījumiem!CD23-'plans (27122022)'!CD22</f>
        <v>0.78614274258220007</v>
      </c>
      <c r="CE23" s="102">
        <f>PLĀNS_ar_grozījumiem!CE23-'plans (27122022)'!CE22</f>
        <v>0</v>
      </c>
      <c r="CF23" s="103">
        <f>PLĀNS_ar_grozījumiem!CF23-'plans (27122022)'!CF22</f>
        <v>-22.809999999999945</v>
      </c>
      <c r="CG23" s="102">
        <f>PLĀNS_ar_grozījumiem!CG23-'plans (27122022)'!CG22</f>
        <v>0</v>
      </c>
      <c r="CH23" s="93">
        <f>PLĀNS_ar_grozījumiem!CH23-'plans (27122022)'!CH22</f>
        <v>-27.711302511415521</v>
      </c>
      <c r="CI23" s="127">
        <f>PLĀNS_ar_grozījumiem!CI23-'plans (27122022)'!CI22</f>
        <v>0</v>
      </c>
      <c r="CJ23" s="98" t="e">
        <f>PLĀNS_ar_grozījumiem!CJ23-'plans (27122022)'!CJ22</f>
        <v>#VALUE!</v>
      </c>
      <c r="CK23" s="99" t="e">
        <f>PLĀNS_ar_grozījumiem!CK23-'plans (27122022)'!CK22</f>
        <v>#VALUE!</v>
      </c>
      <c r="CL23" s="100">
        <f>PLĀNS_ar_grozījumiem!CL23-'plans (27122022)'!CL22</f>
        <v>81.320000000006985</v>
      </c>
      <c r="CM23" s="107">
        <f>PLĀNS_ar_grozījumiem!CM23-'plans (27122022)'!CM22</f>
        <v>0</v>
      </c>
      <c r="CN23" s="108" t="e">
        <f>PLĀNS_ar_grozījumiem!CN23-'plans (27122022)'!CN22</f>
        <v>#VALUE!</v>
      </c>
      <c r="CO23" s="99" t="e">
        <f>PLĀNS_ar_grozījumiem!CO23-'plans (27122022)'!CO22</f>
        <v>#VALUE!</v>
      </c>
      <c r="CP23" s="100">
        <f>PLĀNS_ar_grozījumiem!CP23-'plans (27122022)'!CP22</f>
        <v>81.320000000006985</v>
      </c>
      <c r="CQ23" s="97">
        <f>PLĀNS_ar_grozījumiem!CQ23-'plans (27122022)'!CQ22</f>
        <v>0</v>
      </c>
      <c r="CR23" s="98" t="e">
        <f>PLĀNS_ar_grozījumiem!CR23-'plans (27122022)'!CR22</f>
        <v>#VALUE!</v>
      </c>
      <c r="CS23" s="99" t="e">
        <f>PLĀNS_ar_grozījumiem!CS23-'plans (27122022)'!CS22</f>
        <v>#VALUE!</v>
      </c>
      <c r="CT23" s="100">
        <f>PLĀNS_ar_grozījumiem!CT23-'plans (27122022)'!CT22</f>
        <v>0</v>
      </c>
      <c r="CU23" s="97">
        <f>PLĀNS_ar_grozījumiem!CU23-'plans (27122022)'!CU22</f>
        <v>0</v>
      </c>
      <c r="CV23" s="98" t="e">
        <f>PLĀNS_ar_grozījumiem!CV23-'plans (27122022)'!CV22</f>
        <v>#VALUE!</v>
      </c>
      <c r="CW23" s="99" t="e">
        <f>PLĀNS_ar_grozījumiem!CW23-'plans (27122022)'!CW22</f>
        <v>#VALUE!</v>
      </c>
      <c r="CX23" s="100">
        <f>PLĀNS_ar_grozījumiem!CX23-'plans (27122022)'!CX22</f>
        <v>1.8025358051983176</v>
      </c>
      <c r="CY23" s="129">
        <f>PLĀNS_ar_grozījumiem!CY23-'plans (27122022)'!CY22</f>
        <v>0</v>
      </c>
      <c r="CZ23" s="110">
        <f t="shared" si="0"/>
        <v>1221.5999999999999</v>
      </c>
      <c r="DA23" s="111">
        <f t="shared" si="0"/>
        <v>0</v>
      </c>
      <c r="DB23" s="112">
        <f t="shared" si="6"/>
        <v>28.128022104536033</v>
      </c>
      <c r="DC23" s="113">
        <f t="shared" si="6"/>
        <v>0</v>
      </c>
      <c r="DD23" s="100">
        <f t="shared" si="1"/>
        <v>229069</v>
      </c>
      <c r="DE23" s="102">
        <f t="shared" si="1"/>
        <v>0</v>
      </c>
      <c r="DF23" s="102" t="e">
        <f t="shared" si="1"/>
        <v>#VALUE!</v>
      </c>
      <c r="DG23" s="114" t="e">
        <f t="shared" si="1"/>
        <v>#VALUE!</v>
      </c>
      <c r="DH23" s="100">
        <f t="shared" si="1"/>
        <v>229069</v>
      </c>
      <c r="DI23" s="97">
        <f t="shared" si="1"/>
        <v>0</v>
      </c>
      <c r="DJ23" s="97" t="e">
        <f t="shared" si="1"/>
        <v>#VALUE!</v>
      </c>
      <c r="DK23" s="97" t="e">
        <f t="shared" si="1"/>
        <v>#VALUE!</v>
      </c>
      <c r="DL23" s="100">
        <f t="shared" si="1"/>
        <v>0</v>
      </c>
      <c r="DM23" s="97">
        <f t="shared" si="1"/>
        <v>0</v>
      </c>
      <c r="DN23" s="97" t="e">
        <f t="shared" si="1"/>
        <v>#VALUE!</v>
      </c>
      <c r="DO23" s="115" t="e">
        <f t="shared" si="1"/>
        <v>#VALUE!</v>
      </c>
      <c r="DP23" s="100">
        <f t="shared" si="7"/>
        <v>188</v>
      </c>
      <c r="DQ23" s="116" t="e">
        <f t="shared" si="7"/>
        <v>#DIV/0!</v>
      </c>
      <c r="DR23" s="117">
        <f>PLĀNS_ar_grozījumiem!CF23-'plans (27122022)'!CF22</f>
        <v>-22.809999999999945</v>
      </c>
      <c r="DS23" s="908">
        <f>DR23/'plans (27122022)'!CF22</f>
        <v>-9.3033689534219553E-3</v>
      </c>
      <c r="DT23" s="104">
        <f>PLĀNS_ar_grozījumiem!CL23-'plans (27122022)'!CL22</f>
        <v>81.320000000006985</v>
      </c>
      <c r="DU23" s="909">
        <f>DT23/'plans (27122022)'!CL22</f>
        <v>1.7606380905781826E-4</v>
      </c>
      <c r="DV23" s="120"/>
      <c r="DW23" s="118">
        <f>PLĀNS_ar_grozījumiem!CM23-'plans (27122022)'!CM22</f>
        <v>0</v>
      </c>
      <c r="DX23" s="104">
        <f>PLĀNS_ar_grozījumiem!CP23-'plans (27122022)'!CP22</f>
        <v>81.320000000006985</v>
      </c>
      <c r="DY23" s="909">
        <f>DX23/'plans (27122022)'!CP22</f>
        <v>1.7606380905781826E-4</v>
      </c>
      <c r="DZ23" s="120"/>
      <c r="EA23" s="118"/>
      <c r="EB23" s="104">
        <f>PLĀNS_ar_grozījumiem!CT23-'plans (27122022)'!CT22</f>
        <v>0</v>
      </c>
      <c r="EC23" s="121"/>
      <c r="ED23" s="120"/>
      <c r="EE23" s="121"/>
      <c r="EF23" s="122">
        <f>PLĀNS_ar_grozījumiem!CX23-'plans (27122022)'!CX22</f>
        <v>1.8025358051983176</v>
      </c>
      <c r="EG23" s="911">
        <f>EF23/'plans (27122022)'!CX22</f>
        <v>9.5684515980090732E-3</v>
      </c>
    </row>
    <row r="24" spans="1:137" ht="15.75" customHeight="1" x14ac:dyDescent="0.3">
      <c r="A24" s="1070"/>
      <c r="B24" s="160"/>
      <c r="C24" s="1024" t="s">
        <v>49</v>
      </c>
      <c r="D24" s="1005">
        <v>16.2</v>
      </c>
      <c r="E24" s="93"/>
      <c r="F24" s="93">
        <v>0.75034738304770721</v>
      </c>
      <c r="G24" s="93"/>
      <c r="H24" s="158" t="s">
        <v>44</v>
      </c>
      <c r="I24" s="159" t="s">
        <v>44</v>
      </c>
      <c r="J24" s="96">
        <v>4275</v>
      </c>
      <c r="K24" s="97"/>
      <c r="L24" s="98" t="s">
        <v>44</v>
      </c>
      <c r="M24" s="99" t="s">
        <v>44</v>
      </c>
      <c r="N24" s="100">
        <v>4275</v>
      </c>
      <c r="O24" s="126"/>
      <c r="P24" s="158" t="s">
        <v>44</v>
      </c>
      <c r="Q24" s="159" t="s">
        <v>44</v>
      </c>
      <c r="R24" s="100">
        <v>0</v>
      </c>
      <c r="S24" s="97"/>
      <c r="T24" s="158" t="s">
        <v>44</v>
      </c>
      <c r="U24" s="159" t="s">
        <v>44</v>
      </c>
      <c r="V24" s="102">
        <v>264</v>
      </c>
      <c r="W24" s="102"/>
      <c r="X24" s="92">
        <v>15.2</v>
      </c>
      <c r="Y24" s="93"/>
      <c r="Z24" s="93">
        <v>0.69597069597069594</v>
      </c>
      <c r="AA24" s="93"/>
      <c r="AB24" s="158" t="s">
        <v>44</v>
      </c>
      <c r="AC24" s="159" t="s">
        <v>44</v>
      </c>
      <c r="AD24" s="96">
        <v>4039</v>
      </c>
      <c r="AE24" s="97"/>
      <c r="AF24" s="98" t="s">
        <v>44</v>
      </c>
      <c r="AG24" s="99" t="s">
        <v>44</v>
      </c>
      <c r="AH24" s="100">
        <v>4039</v>
      </c>
      <c r="AI24" s="126"/>
      <c r="AJ24" s="158" t="s">
        <v>44</v>
      </c>
      <c r="AK24" s="159" t="s">
        <v>44</v>
      </c>
      <c r="AL24" s="100">
        <v>0</v>
      </c>
      <c r="AM24" s="97"/>
      <c r="AN24" s="158" t="s">
        <v>44</v>
      </c>
      <c r="AO24" s="159" t="s">
        <v>44</v>
      </c>
      <c r="AP24" s="102">
        <v>266</v>
      </c>
      <c r="AQ24" s="102"/>
      <c r="AR24" s="92">
        <v>18.2</v>
      </c>
      <c r="AS24" s="93">
        <f>PLĀNS_ar_grozījumiem!AS24-'plans (27122022)'!AS23</f>
        <v>0</v>
      </c>
      <c r="AT24" s="93">
        <f>PLĀNS_ar_grozījumiem!AT24-'plans (27122022)'!AT23</f>
        <v>-0.82323369565217386</v>
      </c>
      <c r="AU24" s="93">
        <f>PLĀNS_ar_grozījumiem!AU24-'plans (27122022)'!AU23</f>
        <v>0</v>
      </c>
      <c r="AV24" s="158" t="e">
        <f>PLĀNS_ar_grozījumiem!AV24-'plans (27122022)'!AV23</f>
        <v>#VALUE!</v>
      </c>
      <c r="AW24" s="159" t="e">
        <f>PLĀNS_ar_grozījumiem!AW24-'plans (27122022)'!AW23</f>
        <v>#VALUE!</v>
      </c>
      <c r="AX24" s="96">
        <f>PLĀNS_ar_grozījumiem!AX24-'plans (27122022)'!AX23</f>
        <v>-3450.1499999999996</v>
      </c>
      <c r="AY24" s="97">
        <f>PLĀNS_ar_grozījumiem!AY24-'plans (27122022)'!AY23</f>
        <v>0</v>
      </c>
      <c r="AZ24" s="98" t="e">
        <f>PLĀNS_ar_grozījumiem!AZ24-'plans (27122022)'!AZ23</f>
        <v>#VALUE!</v>
      </c>
      <c r="BA24" s="99" t="e">
        <f>PLĀNS_ar_grozījumiem!BA24-'plans (27122022)'!BA23</f>
        <v>#VALUE!</v>
      </c>
      <c r="BB24" s="100">
        <f>PLĀNS_ar_grozījumiem!BB24-'plans (27122022)'!BB23</f>
        <v>-3450.1499999999996</v>
      </c>
      <c r="BC24" s="126">
        <f>PLĀNS_ar_grozījumiem!BC24-'plans (27122022)'!BC23</f>
        <v>0</v>
      </c>
      <c r="BD24" s="158" t="e">
        <f>PLĀNS_ar_grozījumiem!BD24-'plans (27122022)'!BD23</f>
        <v>#VALUE!</v>
      </c>
      <c r="BE24" s="159" t="e">
        <f>PLĀNS_ar_grozījumiem!BE24-'plans (27122022)'!BE23</f>
        <v>#VALUE!</v>
      </c>
      <c r="BF24" s="100">
        <f>PLĀNS_ar_grozījumiem!BF24-'plans (27122022)'!BF23</f>
        <v>0</v>
      </c>
      <c r="BG24" s="97">
        <f>PLĀNS_ar_grozījumiem!BG24-'plans (27122022)'!BG23</f>
        <v>0</v>
      </c>
      <c r="BH24" s="158" t="e">
        <f>PLĀNS_ar_grozījumiem!BH24-'plans (27122022)'!BH23</f>
        <v>#VALUE!</v>
      </c>
      <c r="BI24" s="159" t="e">
        <f>PLĀNS_ar_grozījumiem!BI24-'plans (27122022)'!BI23</f>
        <v>#VALUE!</v>
      </c>
      <c r="BJ24" s="102">
        <f>PLĀNS_ar_grozījumiem!BJ24-'plans (27122022)'!BJ23</f>
        <v>272.19565217391312</v>
      </c>
      <c r="BK24" s="102">
        <f>PLĀNS_ar_grozījumiem!BK24-'plans (27122022)'!BK23</f>
        <v>0</v>
      </c>
      <c r="BL24" s="92">
        <f>PLĀNS_ar_grozījumiem!BL24-'plans (27122022)'!BL23</f>
        <v>-32.699999999999989</v>
      </c>
      <c r="BM24" s="93">
        <f>PLĀNS_ar_grozījumiem!BM24-'plans (27122022)'!BM23</f>
        <v>0</v>
      </c>
      <c r="BN24" s="93">
        <f>PLĀNS_ar_grozījumiem!BN24-'plans (27122022)'!BN23</f>
        <v>-8.8929832503395208</v>
      </c>
      <c r="BO24" s="93">
        <f>PLĀNS_ar_grozījumiem!BO24-'plans (27122022)'!BO23</f>
        <v>0</v>
      </c>
      <c r="BP24" s="158" t="e">
        <f>PLĀNS_ar_grozījumiem!BP24-'plans (27122022)'!BP23</f>
        <v>#VALUE!</v>
      </c>
      <c r="BQ24" s="159" t="e">
        <f>PLĀNS_ar_grozījumiem!BQ24-'plans (27122022)'!BQ23</f>
        <v>#VALUE!</v>
      </c>
      <c r="BR24" s="96">
        <f>PLĀNS_ar_grozījumiem!BR24-'plans (27122022)'!BR23</f>
        <v>-584.59999999999991</v>
      </c>
      <c r="BS24" s="97">
        <f>PLĀNS_ar_grozījumiem!BS24-'plans (27122022)'!BS23</f>
        <v>0</v>
      </c>
      <c r="BT24" s="98" t="e">
        <f>PLĀNS_ar_grozījumiem!BT24-'plans (27122022)'!BT23</f>
        <v>#VALUE!</v>
      </c>
      <c r="BU24" s="99" t="e">
        <f>PLĀNS_ar_grozījumiem!BU24-'plans (27122022)'!BU23</f>
        <v>#VALUE!</v>
      </c>
      <c r="BV24" s="100">
        <f>PLĀNS_ar_grozījumiem!BV24-'plans (27122022)'!BV23</f>
        <v>-584.59999999999991</v>
      </c>
      <c r="BW24" s="126">
        <f>PLĀNS_ar_grozījumiem!BW24-'plans (27122022)'!BW23</f>
        <v>0</v>
      </c>
      <c r="BX24" s="158" t="e">
        <f>PLĀNS_ar_grozījumiem!BX24-'plans (27122022)'!BX23</f>
        <v>#VALUE!</v>
      </c>
      <c r="BY24" s="159" t="e">
        <f>PLĀNS_ar_grozījumiem!BY24-'plans (27122022)'!BY23</f>
        <v>#VALUE!</v>
      </c>
      <c r="BZ24" s="100">
        <f>PLĀNS_ar_grozījumiem!BZ24-'plans (27122022)'!BZ23</f>
        <v>0</v>
      </c>
      <c r="CA24" s="97">
        <f>PLĀNS_ar_grozījumiem!CA24-'plans (27122022)'!CA23</f>
        <v>0</v>
      </c>
      <c r="CB24" s="158" t="e">
        <f>PLĀNS_ar_grozījumiem!CB24-'plans (27122022)'!CB23</f>
        <v>#VALUE!</v>
      </c>
      <c r="CC24" s="159" t="e">
        <f>PLĀNS_ar_grozījumiem!CC24-'plans (27122022)'!CC23</f>
        <v>#VALUE!</v>
      </c>
      <c r="CD24" s="102">
        <f>PLĀNS_ar_grozījumiem!CD24-'plans (27122022)'!CD23</f>
        <v>1</v>
      </c>
      <c r="CE24" s="102">
        <f>PLĀNS_ar_grozījumiem!CE24-'plans (27122022)'!CE23</f>
        <v>0</v>
      </c>
      <c r="CF24" s="103">
        <f>PLĀNS_ar_grozījumiem!CF24-'plans (27122022)'!CF23</f>
        <v>-48.599999999999994</v>
      </c>
      <c r="CG24" s="102">
        <f>PLĀNS_ar_grozījumiem!CG24-'plans (27122022)'!CG23</f>
        <v>0</v>
      </c>
      <c r="CH24" s="93">
        <f>PLĀNS_ar_grozījumiem!CH24-'plans (27122022)'!CH23</f>
        <v>-2.8048972602739726</v>
      </c>
      <c r="CI24" s="127">
        <f>PLĀNS_ar_grozījumiem!CI24-'plans (27122022)'!CI23</f>
        <v>0</v>
      </c>
      <c r="CJ24" s="98" t="e">
        <f>PLĀNS_ar_grozījumiem!CJ24-'plans (27122022)'!CJ23</f>
        <v>#VALUE!</v>
      </c>
      <c r="CK24" s="99" t="e">
        <f>PLĀNS_ar_grozījumiem!CK24-'plans (27122022)'!CK23</f>
        <v>#VALUE!</v>
      </c>
      <c r="CL24" s="100">
        <f>PLĀNS_ar_grozījumiem!CL24-'plans (27122022)'!CL23</f>
        <v>-4034.75</v>
      </c>
      <c r="CM24" s="107">
        <f>PLĀNS_ar_grozījumiem!CM24-'plans (27122022)'!CM23</f>
        <v>0</v>
      </c>
      <c r="CN24" s="108" t="e">
        <f>PLĀNS_ar_grozījumiem!CN24-'plans (27122022)'!CN23</f>
        <v>#VALUE!</v>
      </c>
      <c r="CO24" s="99" t="e">
        <f>PLĀNS_ar_grozījumiem!CO24-'plans (27122022)'!CO23</f>
        <v>#VALUE!</v>
      </c>
      <c r="CP24" s="100">
        <f>PLĀNS_ar_grozījumiem!CP24-'plans (27122022)'!CP23</f>
        <v>-4034.75</v>
      </c>
      <c r="CQ24" s="97">
        <f>PLĀNS_ar_grozījumiem!CQ24-'plans (27122022)'!CQ23</f>
        <v>0</v>
      </c>
      <c r="CR24" s="98" t="e">
        <f>PLĀNS_ar_grozījumiem!CR24-'plans (27122022)'!CR23</f>
        <v>#VALUE!</v>
      </c>
      <c r="CS24" s="99" t="e">
        <f>PLĀNS_ar_grozījumiem!CS24-'plans (27122022)'!CS23</f>
        <v>#VALUE!</v>
      </c>
      <c r="CT24" s="100">
        <f>PLĀNS_ar_grozījumiem!CT24-'plans (27122022)'!CT23</f>
        <v>0</v>
      </c>
      <c r="CU24" s="97">
        <f>PLĀNS_ar_grozījumiem!CU24-'plans (27122022)'!CU23</f>
        <v>0</v>
      </c>
      <c r="CV24" s="98" t="e">
        <f>PLĀNS_ar_grozījumiem!CV24-'plans (27122022)'!CV23</f>
        <v>#VALUE!</v>
      </c>
      <c r="CW24" s="99" t="e">
        <f>PLĀNS_ar_grozījumiem!CW24-'plans (27122022)'!CW23</f>
        <v>#VALUE!</v>
      </c>
      <c r="CX24" s="100">
        <f>PLĀNS_ar_grozījumiem!CX24-'plans (27122022)'!CX23</f>
        <v>-3.4756601517486843</v>
      </c>
      <c r="CY24" s="129">
        <f>PLĀNS_ar_grozījumiem!CY24-'plans (27122022)'!CY23</f>
        <v>0</v>
      </c>
      <c r="CZ24" s="110">
        <f t="shared" si="0"/>
        <v>31.4</v>
      </c>
      <c r="DA24" s="111">
        <f t="shared" si="0"/>
        <v>0</v>
      </c>
      <c r="DB24" s="112">
        <f t="shared" si="6"/>
        <v>0.72300253281142057</v>
      </c>
      <c r="DC24" s="113">
        <f t="shared" si="6"/>
        <v>0</v>
      </c>
      <c r="DD24" s="100">
        <f t="shared" si="1"/>
        <v>8314</v>
      </c>
      <c r="DE24" s="102">
        <f t="shared" si="1"/>
        <v>0</v>
      </c>
      <c r="DF24" s="102" t="e">
        <f t="shared" si="1"/>
        <v>#VALUE!</v>
      </c>
      <c r="DG24" s="114" t="e">
        <f t="shared" si="1"/>
        <v>#VALUE!</v>
      </c>
      <c r="DH24" s="100">
        <f t="shared" si="1"/>
        <v>8314</v>
      </c>
      <c r="DI24" s="97">
        <f t="shared" si="1"/>
        <v>0</v>
      </c>
      <c r="DJ24" s="97" t="e">
        <f t="shared" si="1"/>
        <v>#VALUE!</v>
      </c>
      <c r="DK24" s="97" t="e">
        <f t="shared" si="1"/>
        <v>#VALUE!</v>
      </c>
      <c r="DL24" s="100">
        <f t="shared" si="1"/>
        <v>0</v>
      </c>
      <c r="DM24" s="97">
        <f t="shared" si="1"/>
        <v>0</v>
      </c>
      <c r="DN24" s="97" t="e">
        <f t="shared" si="1"/>
        <v>#VALUE!</v>
      </c>
      <c r="DO24" s="115" t="e">
        <f t="shared" si="1"/>
        <v>#VALUE!</v>
      </c>
      <c r="DP24" s="100">
        <f t="shared" si="7"/>
        <v>265</v>
      </c>
      <c r="DQ24" s="116" t="e">
        <f t="shared" si="7"/>
        <v>#DIV/0!</v>
      </c>
      <c r="DR24" s="117">
        <f>PLĀNS_ar_grozījumiem!CF24-'plans (27122022)'!CF23</f>
        <v>-48.599999999999994</v>
      </c>
      <c r="DS24" s="908">
        <f>DR24/'plans (27122022)'!CF23</f>
        <v>-0.19620508679854662</v>
      </c>
      <c r="DT24" s="104">
        <f>PLĀNS_ar_grozījumiem!CL24-'plans (27122022)'!CL23</f>
        <v>-4034.75</v>
      </c>
      <c r="DU24" s="909">
        <f>DT24/'plans (27122022)'!CL23</f>
        <v>-0.23682279744086401</v>
      </c>
      <c r="DV24" s="120"/>
      <c r="DW24" s="118">
        <f>PLĀNS_ar_grozījumiem!CM24-'plans (27122022)'!CM23</f>
        <v>0</v>
      </c>
      <c r="DX24" s="104">
        <f>PLĀNS_ar_grozījumiem!CP24-'plans (27122022)'!CP23</f>
        <v>-4034.75</v>
      </c>
      <c r="DY24" s="909">
        <f>DX24/'plans (27122022)'!CP23</f>
        <v>-0.23682279744086401</v>
      </c>
      <c r="DZ24" s="120"/>
      <c r="EA24" s="118"/>
      <c r="EB24" s="104">
        <f>PLĀNS_ar_grozījumiem!CT24-'plans (27122022)'!CT23</f>
        <v>0</v>
      </c>
      <c r="EC24" s="121"/>
      <c r="ED24" s="120"/>
      <c r="EE24" s="121"/>
      <c r="EF24" s="122">
        <f>PLĀNS_ar_grozījumiem!CX24-'plans (27122022)'!CX23</f>
        <v>-3.4756601517486843</v>
      </c>
      <c r="EG24" s="911">
        <f>EF24/'plans (27122022)'!CX23</f>
        <v>-5.05324305680665E-2</v>
      </c>
    </row>
    <row r="25" spans="1:137" ht="15.75" customHeight="1" x14ac:dyDescent="0.3">
      <c r="A25" s="1070"/>
      <c r="B25" s="160"/>
      <c r="C25" s="1026" t="s">
        <v>51</v>
      </c>
      <c r="D25" s="1005">
        <v>11.9</v>
      </c>
      <c r="E25" s="93"/>
      <c r="F25" s="93">
        <v>100</v>
      </c>
      <c r="G25" s="93"/>
      <c r="H25" s="158" t="s">
        <v>44</v>
      </c>
      <c r="I25" s="159" t="s">
        <v>44</v>
      </c>
      <c r="J25" s="96">
        <v>5526</v>
      </c>
      <c r="K25" s="97"/>
      <c r="L25" s="98" t="s">
        <v>44</v>
      </c>
      <c r="M25" s="99" t="s">
        <v>44</v>
      </c>
      <c r="N25" s="100">
        <v>5526</v>
      </c>
      <c r="O25" s="126"/>
      <c r="P25" s="158" t="s">
        <v>44</v>
      </c>
      <c r="Q25" s="159" t="s">
        <v>44</v>
      </c>
      <c r="R25" s="100">
        <v>0</v>
      </c>
      <c r="S25" s="97"/>
      <c r="T25" s="158" t="s">
        <v>44</v>
      </c>
      <c r="U25" s="159" t="s">
        <v>44</v>
      </c>
      <c r="V25" s="102">
        <v>464</v>
      </c>
      <c r="W25" s="102"/>
      <c r="X25" s="92">
        <v>10.1</v>
      </c>
      <c r="Y25" s="93"/>
      <c r="Z25" s="93">
        <v>100</v>
      </c>
      <c r="AA25" s="93"/>
      <c r="AB25" s="158" t="s">
        <v>44</v>
      </c>
      <c r="AC25" s="159" t="s">
        <v>44</v>
      </c>
      <c r="AD25" s="96">
        <v>4875</v>
      </c>
      <c r="AE25" s="97"/>
      <c r="AF25" s="98" t="s">
        <v>44</v>
      </c>
      <c r="AG25" s="99" t="s">
        <v>44</v>
      </c>
      <c r="AH25" s="100">
        <v>4875</v>
      </c>
      <c r="AI25" s="126"/>
      <c r="AJ25" s="158" t="s">
        <v>44</v>
      </c>
      <c r="AK25" s="159" t="s">
        <v>44</v>
      </c>
      <c r="AL25" s="100">
        <v>0</v>
      </c>
      <c r="AM25" s="97"/>
      <c r="AN25" s="158" t="s">
        <v>44</v>
      </c>
      <c r="AO25" s="159" t="s">
        <v>44</v>
      </c>
      <c r="AP25" s="102">
        <v>483</v>
      </c>
      <c r="AQ25" s="102"/>
      <c r="AR25" s="92">
        <v>10.1</v>
      </c>
      <c r="AS25" s="93">
        <f>PLĀNS_ar_grozījumiem!AS25-'plans (27122022)'!AS24</f>
        <v>0</v>
      </c>
      <c r="AT25" s="93">
        <f>PLĀNS_ar_grozījumiem!AT25-'plans (27122022)'!AT24</f>
        <v>-99.151260504201687</v>
      </c>
      <c r="AU25" s="93">
        <f>PLĀNS_ar_grozījumiem!AU25-'plans (27122022)'!AU24</f>
        <v>0</v>
      </c>
      <c r="AV25" s="158" t="e">
        <f>PLĀNS_ar_grozījumiem!AV25-'plans (27122022)'!AV24</f>
        <v>#VALUE!</v>
      </c>
      <c r="AW25" s="159" t="e">
        <f>PLĀNS_ar_grozījumiem!AW25-'plans (27122022)'!AW24</f>
        <v>#VALUE!</v>
      </c>
      <c r="AX25" s="96">
        <f>PLĀNS_ar_grozījumiem!AX25-'plans (27122022)'!AX24</f>
        <v>0</v>
      </c>
      <c r="AY25" s="97">
        <f>PLĀNS_ar_grozījumiem!AY25-'plans (27122022)'!AY24</f>
        <v>0</v>
      </c>
      <c r="AZ25" s="98" t="e">
        <f>PLĀNS_ar_grozījumiem!AZ25-'plans (27122022)'!AZ24</f>
        <v>#VALUE!</v>
      </c>
      <c r="BA25" s="99" t="e">
        <f>PLĀNS_ar_grozījumiem!BA25-'plans (27122022)'!BA24</f>
        <v>#VALUE!</v>
      </c>
      <c r="BB25" s="100">
        <f>PLĀNS_ar_grozījumiem!BB25-'plans (27122022)'!BB24</f>
        <v>0</v>
      </c>
      <c r="BC25" s="126">
        <f>PLĀNS_ar_grozījumiem!BC25-'plans (27122022)'!BC24</f>
        <v>0</v>
      </c>
      <c r="BD25" s="158" t="e">
        <f>PLĀNS_ar_grozījumiem!BD25-'plans (27122022)'!BD24</f>
        <v>#VALUE!</v>
      </c>
      <c r="BE25" s="159" t="e">
        <f>PLĀNS_ar_grozījumiem!BE25-'plans (27122022)'!BE24</f>
        <v>#VALUE!</v>
      </c>
      <c r="BF25" s="100">
        <f>PLĀNS_ar_grozījumiem!BF25-'plans (27122022)'!BF24</f>
        <v>0</v>
      </c>
      <c r="BG25" s="97">
        <f>PLĀNS_ar_grozījumiem!BG25-'plans (27122022)'!BG24</f>
        <v>0</v>
      </c>
      <c r="BH25" s="158" t="e">
        <f>PLĀNS_ar_grozījumiem!BH25-'plans (27122022)'!BH24</f>
        <v>#VALUE!</v>
      </c>
      <c r="BI25" s="159" t="e">
        <f>PLĀNS_ar_grozījumiem!BI25-'plans (27122022)'!BI24</f>
        <v>#VALUE!</v>
      </c>
      <c r="BJ25" s="102">
        <f>PLĀNS_ar_grozījumiem!BJ25-'plans (27122022)'!BJ24</f>
        <v>0.21782178217824821</v>
      </c>
      <c r="BK25" s="102">
        <f>PLĀNS_ar_grozījumiem!BK25-'plans (27122022)'!BK24</f>
        <v>0</v>
      </c>
      <c r="BL25" s="92">
        <f>PLĀNS_ar_grozījumiem!BL25-'plans (27122022)'!BL24</f>
        <v>0</v>
      </c>
      <c r="BM25" s="93">
        <f>PLĀNS_ar_grozījumiem!BM25-'plans (27122022)'!BM24</f>
        <v>0</v>
      </c>
      <c r="BN25" s="93">
        <f>PLĀNS_ar_grozījumiem!BN25-'plans (27122022)'!BN24</f>
        <v>-99</v>
      </c>
      <c r="BO25" s="93">
        <f>PLĀNS_ar_grozījumiem!BO25-'plans (27122022)'!BO24</f>
        <v>0</v>
      </c>
      <c r="BP25" s="158" t="e">
        <f>PLĀNS_ar_grozījumiem!BP25-'plans (27122022)'!BP24</f>
        <v>#VALUE!</v>
      </c>
      <c r="BQ25" s="159" t="e">
        <f>PLĀNS_ar_grozījumiem!BQ25-'plans (27122022)'!BQ24</f>
        <v>#VALUE!</v>
      </c>
      <c r="BR25" s="96">
        <f>PLĀNS_ar_grozījumiem!BR25-'plans (27122022)'!BR24</f>
        <v>0</v>
      </c>
      <c r="BS25" s="97">
        <f>PLĀNS_ar_grozījumiem!BS25-'plans (27122022)'!BS24</f>
        <v>0</v>
      </c>
      <c r="BT25" s="98" t="e">
        <f>PLĀNS_ar_grozījumiem!BT25-'plans (27122022)'!BT24</f>
        <v>#VALUE!</v>
      </c>
      <c r="BU25" s="99" t="e">
        <f>PLĀNS_ar_grozījumiem!BU25-'plans (27122022)'!BU24</f>
        <v>#VALUE!</v>
      </c>
      <c r="BV25" s="100">
        <f>PLĀNS_ar_grozījumiem!BV25-'plans (27122022)'!BV24</f>
        <v>0</v>
      </c>
      <c r="BW25" s="126">
        <f>PLĀNS_ar_grozījumiem!BW25-'plans (27122022)'!BW24</f>
        <v>0</v>
      </c>
      <c r="BX25" s="158" t="e">
        <f>PLĀNS_ar_grozījumiem!BX25-'plans (27122022)'!BX24</f>
        <v>#VALUE!</v>
      </c>
      <c r="BY25" s="159" t="e">
        <f>PLĀNS_ar_grozījumiem!BY25-'plans (27122022)'!BY24</f>
        <v>#VALUE!</v>
      </c>
      <c r="BZ25" s="100">
        <f>PLĀNS_ar_grozījumiem!BZ25-'plans (27122022)'!BZ24</f>
        <v>0</v>
      </c>
      <c r="CA25" s="97">
        <f>PLĀNS_ar_grozījumiem!CA25-'plans (27122022)'!CA24</f>
        <v>0</v>
      </c>
      <c r="CB25" s="158" t="e">
        <f>PLĀNS_ar_grozījumiem!CB25-'plans (27122022)'!CB24</f>
        <v>#VALUE!</v>
      </c>
      <c r="CC25" s="159" t="e">
        <f>PLĀNS_ar_grozījumiem!CC25-'plans (27122022)'!CC24</f>
        <v>#VALUE!</v>
      </c>
      <c r="CD25" s="102">
        <f>PLĀNS_ar_grozījumiem!CD25-'plans (27122022)'!CD24</f>
        <v>-0.41176470588237635</v>
      </c>
      <c r="CE25" s="102">
        <f>PLĀNS_ar_grozījumiem!CE25-'plans (27122022)'!CE24</f>
        <v>0</v>
      </c>
      <c r="CF25" s="103">
        <f>PLĀNS_ar_grozījumiem!CF25-'plans (27122022)'!CF24</f>
        <v>0</v>
      </c>
      <c r="CG25" s="102">
        <f>PLĀNS_ar_grozījumiem!CG25-'plans (27122022)'!CG24</f>
        <v>0</v>
      </c>
      <c r="CH25" s="93">
        <f>PLĀNS_ar_grozījumiem!CH25-'plans (27122022)'!CH24</f>
        <v>-99.075630252100837</v>
      </c>
      <c r="CI25" s="127">
        <f>PLĀNS_ar_grozījumiem!CI25-'plans (27122022)'!CI24</f>
        <v>0</v>
      </c>
      <c r="CJ25" s="98" t="e">
        <f>PLĀNS_ar_grozījumiem!CJ25-'plans (27122022)'!CJ24</f>
        <v>#VALUE!</v>
      </c>
      <c r="CK25" s="99" t="e">
        <f>PLĀNS_ar_grozījumiem!CK25-'plans (27122022)'!CK24</f>
        <v>#VALUE!</v>
      </c>
      <c r="CL25" s="100">
        <f>PLĀNS_ar_grozījumiem!CL25-'plans (27122022)'!CL24</f>
        <v>0</v>
      </c>
      <c r="CM25" s="107">
        <f>PLĀNS_ar_grozījumiem!CM25-'plans (27122022)'!CM24</f>
        <v>0</v>
      </c>
      <c r="CN25" s="108" t="e">
        <f>PLĀNS_ar_grozījumiem!CN25-'plans (27122022)'!CN24</f>
        <v>#VALUE!</v>
      </c>
      <c r="CO25" s="99" t="e">
        <f>PLĀNS_ar_grozījumiem!CO25-'plans (27122022)'!CO24</f>
        <v>#VALUE!</v>
      </c>
      <c r="CP25" s="100">
        <f>PLĀNS_ar_grozījumiem!CP25-'plans (27122022)'!CP24</f>
        <v>0</v>
      </c>
      <c r="CQ25" s="97">
        <f>PLĀNS_ar_grozījumiem!CQ25-'plans (27122022)'!CQ24</f>
        <v>0</v>
      </c>
      <c r="CR25" s="98" t="e">
        <f>PLĀNS_ar_grozījumiem!CR25-'plans (27122022)'!CR24</f>
        <v>#VALUE!</v>
      </c>
      <c r="CS25" s="99" t="e">
        <f>PLĀNS_ar_grozījumiem!CS25-'plans (27122022)'!CS24</f>
        <v>#VALUE!</v>
      </c>
      <c r="CT25" s="100">
        <f>PLĀNS_ar_grozījumiem!CT25-'plans (27122022)'!CT24</f>
        <v>0</v>
      </c>
      <c r="CU25" s="97">
        <f>PLĀNS_ar_grozījumiem!CU25-'plans (27122022)'!CU24</f>
        <v>0</v>
      </c>
      <c r="CV25" s="98" t="e">
        <f>PLĀNS_ar_grozījumiem!CV25-'plans (27122022)'!CV24</f>
        <v>#VALUE!</v>
      </c>
      <c r="CW25" s="99" t="e">
        <f>PLĀNS_ar_grozījumiem!CW25-'plans (27122022)'!CW24</f>
        <v>#VALUE!</v>
      </c>
      <c r="CX25" s="100">
        <f>PLĀNS_ar_grozījumiem!CX25-'plans (27122022)'!CX24</f>
        <v>0</v>
      </c>
      <c r="CY25" s="129">
        <f>PLĀNS_ar_grozījumiem!CY25-'plans (27122022)'!CY24</f>
        <v>0</v>
      </c>
      <c r="CZ25" s="162">
        <f t="shared" si="0"/>
        <v>22</v>
      </c>
      <c r="DA25" s="111">
        <f t="shared" si="0"/>
        <v>0</v>
      </c>
      <c r="DB25" s="112">
        <f>(CZ25/22.9)*100</f>
        <v>96.069868995633186</v>
      </c>
      <c r="DC25" s="113">
        <f>(DA25/CZ25)*100</f>
        <v>0</v>
      </c>
      <c r="DD25" s="100">
        <f t="shared" si="1"/>
        <v>10401</v>
      </c>
      <c r="DE25" s="102">
        <f t="shared" si="1"/>
        <v>0</v>
      </c>
      <c r="DF25" s="102" t="e">
        <f t="shared" si="1"/>
        <v>#VALUE!</v>
      </c>
      <c r="DG25" s="114" t="e">
        <f t="shared" si="1"/>
        <v>#VALUE!</v>
      </c>
      <c r="DH25" s="100">
        <f t="shared" si="1"/>
        <v>10401</v>
      </c>
      <c r="DI25" s="97">
        <f t="shared" si="1"/>
        <v>0</v>
      </c>
      <c r="DJ25" s="97" t="e">
        <f t="shared" si="1"/>
        <v>#VALUE!</v>
      </c>
      <c r="DK25" s="97" t="e">
        <f t="shared" si="1"/>
        <v>#VALUE!</v>
      </c>
      <c r="DL25" s="100">
        <f t="shared" si="1"/>
        <v>0</v>
      </c>
      <c r="DM25" s="97">
        <f t="shared" si="1"/>
        <v>0</v>
      </c>
      <c r="DN25" s="97" t="e">
        <f t="shared" si="1"/>
        <v>#VALUE!</v>
      </c>
      <c r="DO25" s="115" t="e">
        <f t="shared" si="1"/>
        <v>#VALUE!</v>
      </c>
      <c r="DP25" s="100">
        <f t="shared" si="7"/>
        <v>473</v>
      </c>
      <c r="DQ25" s="116" t="e">
        <f t="shared" si="7"/>
        <v>#DIV/0!</v>
      </c>
      <c r="DR25" s="117">
        <f>PLĀNS_ar_grozījumiem!CF25-'plans (27122022)'!CF24</f>
        <v>0</v>
      </c>
      <c r="DS25" s="908">
        <f>DR25/'plans (27122022)'!CF24</f>
        <v>0</v>
      </c>
      <c r="DT25" s="104">
        <f>PLĀNS_ar_grozījumiem!CL25-'plans (27122022)'!CL24</f>
        <v>0</v>
      </c>
      <c r="DU25" s="909">
        <f>DT25/'plans (27122022)'!CL24</f>
        <v>0</v>
      </c>
      <c r="DV25" s="120"/>
      <c r="DW25" s="118">
        <f>PLĀNS_ar_grozījumiem!CM25-'plans (27122022)'!CM24</f>
        <v>0</v>
      </c>
      <c r="DX25" s="104">
        <f>PLĀNS_ar_grozījumiem!CP25-'plans (27122022)'!CP24</f>
        <v>0</v>
      </c>
      <c r="DY25" s="909">
        <f>DX25/'plans (27122022)'!CP24</f>
        <v>0</v>
      </c>
      <c r="DZ25" s="120"/>
      <c r="EA25" s="118"/>
      <c r="EB25" s="104">
        <f>PLĀNS_ar_grozījumiem!CT25-'plans (27122022)'!CT24</f>
        <v>0</v>
      </c>
      <c r="EC25" s="121"/>
      <c r="ED25" s="120"/>
      <c r="EE25" s="121"/>
      <c r="EF25" s="122">
        <f>PLĀNS_ar_grozījumiem!CX25-'plans (27122022)'!CX24</f>
        <v>0</v>
      </c>
      <c r="EG25" s="911">
        <f>EF25/'plans (27122022)'!CX24</f>
        <v>0</v>
      </c>
    </row>
    <row r="26" spans="1:137" s="157" customFormat="1" ht="26.25" customHeight="1" x14ac:dyDescent="0.3">
      <c r="A26" s="1070"/>
      <c r="B26" s="130" t="s">
        <v>52</v>
      </c>
      <c r="C26" s="1025"/>
      <c r="D26" s="1006">
        <v>12.2</v>
      </c>
      <c r="E26" s="133"/>
      <c r="F26" s="133">
        <v>0.11216431152258456</v>
      </c>
      <c r="G26" s="133"/>
      <c r="H26" s="134" t="s">
        <v>44</v>
      </c>
      <c r="I26" s="135" t="s">
        <v>44</v>
      </c>
      <c r="J26" s="136">
        <v>48615</v>
      </c>
      <c r="K26" s="86"/>
      <c r="L26" s="137" t="s">
        <v>44</v>
      </c>
      <c r="M26" s="138" t="s">
        <v>44</v>
      </c>
      <c r="N26" s="139">
        <v>48615</v>
      </c>
      <c r="O26" s="140"/>
      <c r="P26" s="134" t="s">
        <v>44</v>
      </c>
      <c r="Q26" s="135" t="s">
        <v>44</v>
      </c>
      <c r="R26" s="139">
        <v>0</v>
      </c>
      <c r="S26" s="140"/>
      <c r="T26" s="134" t="s">
        <v>44</v>
      </c>
      <c r="U26" s="135" t="s">
        <v>44</v>
      </c>
      <c r="V26" s="141">
        <v>3985</v>
      </c>
      <c r="W26" s="141"/>
      <c r="X26" s="132">
        <v>10.199999999999999</v>
      </c>
      <c r="Y26" s="133"/>
      <c r="Z26" s="133">
        <v>9.2922409787827148E-2</v>
      </c>
      <c r="AA26" s="133"/>
      <c r="AB26" s="134" t="s">
        <v>44</v>
      </c>
      <c r="AC26" s="135" t="s">
        <v>44</v>
      </c>
      <c r="AD26" s="136">
        <v>48222</v>
      </c>
      <c r="AE26" s="86"/>
      <c r="AF26" s="137" t="s">
        <v>44</v>
      </c>
      <c r="AG26" s="138" t="s">
        <v>44</v>
      </c>
      <c r="AH26" s="139">
        <v>48222</v>
      </c>
      <c r="AI26" s="140"/>
      <c r="AJ26" s="134" t="s">
        <v>44</v>
      </c>
      <c r="AK26" s="135" t="s">
        <v>44</v>
      </c>
      <c r="AL26" s="139">
        <v>0</v>
      </c>
      <c r="AM26" s="140"/>
      <c r="AN26" s="134" t="s">
        <v>44</v>
      </c>
      <c r="AO26" s="135" t="s">
        <v>44</v>
      </c>
      <c r="AP26" s="141">
        <v>4728</v>
      </c>
      <c r="AQ26" s="141"/>
      <c r="AR26" s="132">
        <v>4.5999999999999996</v>
      </c>
      <c r="AS26" s="133">
        <f>PLĀNS_ar_grozījumiem!AS26-'plans (27122022)'!AS25</f>
        <v>0</v>
      </c>
      <c r="AT26" s="133">
        <f>PLĀNS_ar_grozījumiem!AT26-'plans (27122022)'!AT25</f>
        <v>-4.1127501678663282E-2</v>
      </c>
      <c r="AU26" s="133">
        <f>PLĀNS_ar_grozījumiem!AU26-'plans (27122022)'!AU25</f>
        <v>0</v>
      </c>
      <c r="AV26" s="134" t="e">
        <f>PLĀNS_ar_grozījumiem!AV26-'plans (27122022)'!AV25</f>
        <v>#VALUE!</v>
      </c>
      <c r="AW26" s="135" t="e">
        <f>PLĀNS_ar_grozījumiem!AW26-'plans (27122022)'!AW25</f>
        <v>#VALUE!</v>
      </c>
      <c r="AX26" s="136">
        <f>PLĀNS_ar_grozījumiem!AX26-'plans (27122022)'!AX25</f>
        <v>1676.6000000000058</v>
      </c>
      <c r="AY26" s="86">
        <f>PLĀNS_ar_grozījumiem!AY26-'plans (27122022)'!AY25</f>
        <v>0</v>
      </c>
      <c r="AZ26" s="137" t="e">
        <f>PLĀNS_ar_grozījumiem!AZ26-'plans (27122022)'!AZ25</f>
        <v>#VALUE!</v>
      </c>
      <c r="BA26" s="138" t="e">
        <f>PLĀNS_ar_grozījumiem!BA26-'plans (27122022)'!BA25</f>
        <v>#VALUE!</v>
      </c>
      <c r="BB26" s="139">
        <f>PLĀNS_ar_grozījumiem!BB26-'plans (27122022)'!BB25</f>
        <v>1676.6000000000058</v>
      </c>
      <c r="BC26" s="140">
        <f>PLĀNS_ar_grozījumiem!BC26-'plans (27122022)'!BC25</f>
        <v>0</v>
      </c>
      <c r="BD26" s="134" t="e">
        <f>PLĀNS_ar_grozījumiem!BD26-'plans (27122022)'!BD25</f>
        <v>#VALUE!</v>
      </c>
      <c r="BE26" s="135" t="e">
        <f>PLĀNS_ar_grozījumiem!BE26-'plans (27122022)'!BE25</f>
        <v>#VALUE!</v>
      </c>
      <c r="BF26" s="139">
        <f>PLĀNS_ar_grozījumiem!BF26-'plans (27122022)'!BF25</f>
        <v>0</v>
      </c>
      <c r="BG26" s="140">
        <f>PLĀNS_ar_grozījumiem!BG26-'plans (27122022)'!BG25</f>
        <v>0</v>
      </c>
      <c r="BH26" s="134" t="e">
        <f>PLĀNS_ar_grozījumiem!BH26-'plans (27122022)'!BH25</f>
        <v>#VALUE!</v>
      </c>
      <c r="BI26" s="135" t="e">
        <f>PLĀNS_ar_grozījumiem!BI26-'plans (27122022)'!BI25</f>
        <v>#VALUE!</v>
      </c>
      <c r="BJ26" s="141">
        <f>PLĀNS_ar_grozījumiem!BJ26-'plans (27122022)'!BJ25</f>
        <v>2410.8421052631602</v>
      </c>
      <c r="BK26" s="141">
        <f>PLĀNS_ar_grozījumiem!BK26-'plans (27122022)'!BK25</f>
        <v>0</v>
      </c>
      <c r="BL26" s="132">
        <f>PLĀNS_ar_grozījumiem!BL26-'plans (27122022)'!BL25</f>
        <v>0</v>
      </c>
      <c r="BM26" s="133">
        <f>PLĀNS_ar_grozījumiem!BM26-'plans (27122022)'!BM25</f>
        <v>0</v>
      </c>
      <c r="BN26" s="133">
        <f>PLĀNS_ar_grozījumiem!BN26-'plans (27122022)'!BN25</f>
        <v>-0.10825587752870419</v>
      </c>
      <c r="BO26" s="133">
        <f>PLĀNS_ar_grozījumiem!BO26-'plans (27122022)'!BO25</f>
        <v>0</v>
      </c>
      <c r="BP26" s="134" t="e">
        <f>PLĀNS_ar_grozījumiem!BP26-'plans (27122022)'!BP25</f>
        <v>#VALUE!</v>
      </c>
      <c r="BQ26" s="135" t="e">
        <f>PLĀNS_ar_grozījumiem!BQ26-'plans (27122022)'!BQ25</f>
        <v>#VALUE!</v>
      </c>
      <c r="BR26" s="136">
        <f>PLĀNS_ar_grozījumiem!BR26-'plans (27122022)'!BR25</f>
        <v>2337.6000000000058</v>
      </c>
      <c r="BS26" s="86">
        <f>PLĀNS_ar_grozījumiem!BS26-'plans (27122022)'!BS25</f>
        <v>0</v>
      </c>
      <c r="BT26" s="137" t="e">
        <f>PLĀNS_ar_grozījumiem!BT26-'plans (27122022)'!BT25</f>
        <v>#VALUE!</v>
      </c>
      <c r="BU26" s="138" t="e">
        <f>PLĀNS_ar_grozījumiem!BU26-'plans (27122022)'!BU25</f>
        <v>#VALUE!</v>
      </c>
      <c r="BV26" s="139">
        <f>PLĀNS_ar_grozījumiem!BV26-'plans (27122022)'!BV25</f>
        <v>2337.6000000000058</v>
      </c>
      <c r="BW26" s="140">
        <f>PLĀNS_ar_grozījumiem!BW26-'plans (27122022)'!BW25</f>
        <v>0</v>
      </c>
      <c r="BX26" s="134" t="e">
        <f>PLĀNS_ar_grozījumiem!BX26-'plans (27122022)'!BX25</f>
        <v>#VALUE!</v>
      </c>
      <c r="BY26" s="135" t="e">
        <f>PLĀNS_ar_grozījumiem!BY26-'plans (27122022)'!BY25</f>
        <v>#VALUE!</v>
      </c>
      <c r="BZ26" s="139">
        <f>PLĀNS_ar_grozījumiem!BZ26-'plans (27122022)'!BZ25</f>
        <v>0</v>
      </c>
      <c r="CA26" s="140">
        <f>PLĀNS_ar_grozījumiem!CA26-'plans (27122022)'!CA25</f>
        <v>0</v>
      </c>
      <c r="CB26" s="134" t="e">
        <f>PLĀNS_ar_grozījumiem!CB26-'plans (27122022)'!CB25</f>
        <v>#VALUE!</v>
      </c>
      <c r="CC26" s="135" t="e">
        <f>PLĀNS_ar_grozījumiem!CC26-'plans (27122022)'!CC25</f>
        <v>#VALUE!</v>
      </c>
      <c r="CD26" s="141">
        <f>PLĀNS_ar_grozījumiem!CD26-'plans (27122022)'!CD25</f>
        <v>191.70491803278765</v>
      </c>
      <c r="CE26" s="141">
        <f>PLĀNS_ar_grozījumiem!CE26-'plans (27122022)'!CE25</f>
        <v>0</v>
      </c>
      <c r="CF26" s="142">
        <f>PLĀNS_ar_grozījumiem!CF26-'plans (27122022)'!CF25</f>
        <v>-0.80000000000000426</v>
      </c>
      <c r="CG26" s="141">
        <f>PLĀNS_ar_grozījumiem!CG26-'plans (27122022)'!CG25</f>
        <v>0</v>
      </c>
      <c r="CH26" s="133">
        <f>PLĀNS_ar_grozījumiem!CH26-'plans (27122022)'!CH25</f>
        <v>-8.8012951617364943E-2</v>
      </c>
      <c r="CI26" s="143">
        <f>PLĀNS_ar_grozījumiem!CI26-'plans (27122022)'!CI25</f>
        <v>0</v>
      </c>
      <c r="CJ26" s="137" t="e">
        <f>PLĀNS_ar_grozījumiem!CJ26-'plans (27122022)'!CJ25</f>
        <v>#VALUE!</v>
      </c>
      <c r="CK26" s="138" t="e">
        <f>PLĀNS_ar_grozījumiem!CK26-'plans (27122022)'!CK25</f>
        <v>#VALUE!</v>
      </c>
      <c r="CL26" s="139">
        <f>PLĀNS_ar_grozījumiem!CL26-'plans (27122022)'!CL25</f>
        <v>4014.2000000000116</v>
      </c>
      <c r="CM26" s="144">
        <f>PLĀNS_ar_grozījumiem!CM26-'plans (27122022)'!CM25</f>
        <v>0</v>
      </c>
      <c r="CN26" s="145" t="e">
        <f>PLĀNS_ar_grozījumiem!CN26-'plans (27122022)'!CN25</f>
        <v>#VALUE!</v>
      </c>
      <c r="CO26" s="138" t="e">
        <f>PLĀNS_ar_grozījumiem!CO26-'plans (27122022)'!CO25</f>
        <v>#VALUE!</v>
      </c>
      <c r="CP26" s="139">
        <f>PLĀNS_ar_grozījumiem!CP26-'plans (27122022)'!CP25</f>
        <v>4014.2000000000116</v>
      </c>
      <c r="CQ26" s="140">
        <f>PLĀNS_ar_grozījumiem!CQ26-'plans (27122022)'!CQ25</f>
        <v>0</v>
      </c>
      <c r="CR26" s="137" t="e">
        <f>PLĀNS_ar_grozījumiem!CR26-'plans (27122022)'!CR25</f>
        <v>#VALUE!</v>
      </c>
      <c r="CS26" s="138" t="e">
        <f>PLĀNS_ar_grozījumiem!CS26-'plans (27122022)'!CS25</f>
        <v>#VALUE!</v>
      </c>
      <c r="CT26" s="139">
        <f>PLĀNS_ar_grozījumiem!CT26-'plans (27122022)'!CT25</f>
        <v>0</v>
      </c>
      <c r="CU26" s="140">
        <f>PLĀNS_ar_grozījumiem!CU26-'plans (27122022)'!CU25</f>
        <v>0</v>
      </c>
      <c r="CV26" s="137" t="e">
        <f>PLĀNS_ar_grozījumiem!CV26-'plans (27122022)'!CV25</f>
        <v>#VALUE!</v>
      </c>
      <c r="CW26" s="138" t="e">
        <f>PLĀNS_ar_grozījumiem!CW26-'plans (27122022)'!CW25</f>
        <v>#VALUE!</v>
      </c>
      <c r="CX26" s="139">
        <f>PLĀNS_ar_grozījumiem!CX26-'plans (27122022)'!CX25</f>
        <v>201.76062925170118</v>
      </c>
      <c r="CY26" s="146">
        <f>PLĀNS_ar_grozījumiem!CY26-'plans (27122022)'!CY25</f>
        <v>0</v>
      </c>
      <c r="CZ26" s="147">
        <f t="shared" si="0"/>
        <v>22.4</v>
      </c>
      <c r="DA26" s="148">
        <f t="shared" si="0"/>
        <v>0</v>
      </c>
      <c r="DB26" s="149" t="e">
        <f>(CZ26/#REF!)*100</f>
        <v>#REF!</v>
      </c>
      <c r="DC26" s="150" t="e">
        <f>(DA26/#REF!)*100</f>
        <v>#REF!</v>
      </c>
      <c r="DD26" s="139">
        <f t="shared" si="1"/>
        <v>96837</v>
      </c>
      <c r="DE26" s="141">
        <f t="shared" si="1"/>
        <v>0</v>
      </c>
      <c r="DF26" s="141" t="e">
        <f t="shared" si="1"/>
        <v>#VALUE!</v>
      </c>
      <c r="DG26" s="151" t="e">
        <f t="shared" si="1"/>
        <v>#VALUE!</v>
      </c>
      <c r="DH26" s="139">
        <f t="shared" si="1"/>
        <v>96837</v>
      </c>
      <c r="DI26" s="140">
        <f t="shared" si="1"/>
        <v>0</v>
      </c>
      <c r="DJ26" s="140" t="e">
        <f t="shared" si="1"/>
        <v>#VALUE!</v>
      </c>
      <c r="DK26" s="140" t="e">
        <f t="shared" si="1"/>
        <v>#VALUE!</v>
      </c>
      <c r="DL26" s="139">
        <f t="shared" si="1"/>
        <v>0</v>
      </c>
      <c r="DM26" s="140">
        <f t="shared" si="1"/>
        <v>0</v>
      </c>
      <c r="DN26" s="140" t="e">
        <f t="shared" si="1"/>
        <v>#VALUE!</v>
      </c>
      <c r="DO26" s="152" t="e">
        <f t="shared" si="1"/>
        <v>#VALUE!</v>
      </c>
      <c r="DP26" s="139">
        <f>ROUND((DD26/CZ26),0)</f>
        <v>4323</v>
      </c>
      <c r="DQ26" s="153" t="e">
        <f>ROUND((DE26/DA26),0)</f>
        <v>#DIV/0!</v>
      </c>
      <c r="DR26" s="154">
        <f>PLĀNS_ar_grozījumiem!CF26-'plans (27122022)'!CF25</f>
        <v>-0.80000000000000426</v>
      </c>
      <c r="DS26" s="904">
        <f>DR26/'plans (27122022)'!CF25</f>
        <v>-2.0408163265306228E-2</v>
      </c>
      <c r="DT26" s="79">
        <f>PLĀNS_ar_grozījumiem!CL26-'plans (27122022)'!CL25</f>
        <v>4014.2000000000116</v>
      </c>
      <c r="DU26" s="905">
        <f>DT26/'plans (27122022)'!CL25</f>
        <v>2.1943073298458002E-2</v>
      </c>
      <c r="DV26" s="86"/>
      <c r="DW26" s="84">
        <f>PLĀNS_ar_grozījumiem!CM26-'plans (27122022)'!CM25</f>
        <v>0</v>
      </c>
      <c r="DX26" s="79">
        <f>PLĀNS_ar_grozījumiem!CP26-'plans (27122022)'!CP25</f>
        <v>4014.2000000000116</v>
      </c>
      <c r="DY26" s="905">
        <f>DX26/'plans (27122022)'!CP25</f>
        <v>2.1943073298458002E-2</v>
      </c>
      <c r="DZ26" s="86"/>
      <c r="EA26" s="84"/>
      <c r="EB26" s="79">
        <f>PLĀNS_ar_grozījumiem!CT26-'plans (27122022)'!CT25</f>
        <v>0</v>
      </c>
      <c r="EC26" s="87"/>
      <c r="ED26" s="86"/>
      <c r="EE26" s="87"/>
      <c r="EF26" s="155">
        <f>PLĀNS_ar_grozījumiem!CX26-'plans (27122022)'!CX25</f>
        <v>201.76062925170118</v>
      </c>
      <c r="EG26" s="912">
        <f>EF26/'plans (27122022)'!CX25</f>
        <v>4.3233553992175919E-2</v>
      </c>
    </row>
    <row r="27" spans="1:137" s="124" customFormat="1" ht="15.75" customHeight="1" x14ac:dyDescent="0.3">
      <c r="A27" s="1070"/>
      <c r="B27" s="90"/>
      <c r="C27" s="1024" t="s">
        <v>45</v>
      </c>
      <c r="D27" s="1005">
        <v>12.2</v>
      </c>
      <c r="E27" s="93"/>
      <c r="F27" s="93">
        <v>0.56507642427049554</v>
      </c>
      <c r="G27" s="93"/>
      <c r="H27" s="163" t="s">
        <v>44</v>
      </c>
      <c r="I27" s="159" t="s">
        <v>44</v>
      </c>
      <c r="J27" s="96">
        <v>48615</v>
      </c>
      <c r="K27" s="97"/>
      <c r="L27" s="98" t="s">
        <v>44</v>
      </c>
      <c r="M27" s="99" t="s">
        <v>44</v>
      </c>
      <c r="N27" s="100">
        <v>48615</v>
      </c>
      <c r="O27" s="101"/>
      <c r="P27" s="163" t="s">
        <v>44</v>
      </c>
      <c r="Q27" s="159" t="s">
        <v>44</v>
      </c>
      <c r="R27" s="100">
        <v>0</v>
      </c>
      <c r="S27" s="97"/>
      <c r="T27" s="163" t="s">
        <v>44</v>
      </c>
      <c r="U27" s="159" t="s">
        <v>44</v>
      </c>
      <c r="V27" s="102">
        <v>3985</v>
      </c>
      <c r="W27" s="102"/>
      <c r="X27" s="92">
        <v>10.199999999999999</v>
      </c>
      <c r="Y27" s="93"/>
      <c r="Z27" s="93">
        <v>0.46703296703296704</v>
      </c>
      <c r="AA27" s="93"/>
      <c r="AB27" s="163" t="s">
        <v>44</v>
      </c>
      <c r="AC27" s="159" t="s">
        <v>44</v>
      </c>
      <c r="AD27" s="96">
        <v>48222</v>
      </c>
      <c r="AE27" s="97"/>
      <c r="AF27" s="98" t="s">
        <v>44</v>
      </c>
      <c r="AG27" s="99" t="s">
        <v>44</v>
      </c>
      <c r="AH27" s="100">
        <v>48222</v>
      </c>
      <c r="AI27" s="101"/>
      <c r="AJ27" s="163" t="s">
        <v>44</v>
      </c>
      <c r="AK27" s="159" t="s">
        <v>44</v>
      </c>
      <c r="AL27" s="100">
        <v>0</v>
      </c>
      <c r="AM27" s="97"/>
      <c r="AN27" s="163" t="s">
        <v>44</v>
      </c>
      <c r="AO27" s="159" t="s">
        <v>44</v>
      </c>
      <c r="AP27" s="102">
        <v>4728</v>
      </c>
      <c r="AQ27" s="102"/>
      <c r="AR27" s="92">
        <v>4.5999999999999996</v>
      </c>
      <c r="AS27" s="93">
        <f>PLĀNS_ar_grozījumiem!AS27-'plans (27122022)'!AS26</f>
        <v>0</v>
      </c>
      <c r="AT27" s="93">
        <f>PLĀNS_ar_grozījumiem!AT27-'plans (27122022)'!AT26</f>
        <v>-0.20661231884057971</v>
      </c>
      <c r="AU27" s="93">
        <f>PLĀNS_ar_grozījumiem!AU27-'plans (27122022)'!AU26</f>
        <v>0</v>
      </c>
      <c r="AV27" s="163" t="e">
        <f>PLĀNS_ar_grozījumiem!AV27-'plans (27122022)'!AV26</f>
        <v>#VALUE!</v>
      </c>
      <c r="AW27" s="159" t="e">
        <f>PLĀNS_ar_grozījumiem!AW27-'plans (27122022)'!AW26</f>
        <v>#VALUE!</v>
      </c>
      <c r="AX27" s="96">
        <f>PLĀNS_ar_grozījumiem!AX27-'plans (27122022)'!AX26</f>
        <v>1676.6000000000058</v>
      </c>
      <c r="AY27" s="97">
        <f>PLĀNS_ar_grozījumiem!AY27-'plans (27122022)'!AY26</f>
        <v>0</v>
      </c>
      <c r="AZ27" s="98" t="e">
        <f>PLĀNS_ar_grozījumiem!AZ27-'plans (27122022)'!AZ26</f>
        <v>#VALUE!</v>
      </c>
      <c r="BA27" s="99" t="e">
        <f>PLĀNS_ar_grozījumiem!BA27-'plans (27122022)'!BA26</f>
        <v>#VALUE!</v>
      </c>
      <c r="BB27" s="100">
        <f>PLĀNS_ar_grozījumiem!BB27-'plans (27122022)'!BB26</f>
        <v>1676.6000000000058</v>
      </c>
      <c r="BC27" s="101">
        <f>PLĀNS_ar_grozījumiem!BC27-'plans (27122022)'!BC26</f>
        <v>0</v>
      </c>
      <c r="BD27" s="163" t="e">
        <f>PLĀNS_ar_grozījumiem!BD27-'plans (27122022)'!BD26</f>
        <v>#VALUE!</v>
      </c>
      <c r="BE27" s="159" t="e">
        <f>PLĀNS_ar_grozījumiem!BE27-'plans (27122022)'!BE26</f>
        <v>#VALUE!</v>
      </c>
      <c r="BF27" s="100">
        <f>PLĀNS_ar_grozījumiem!BF27-'plans (27122022)'!BF26</f>
        <v>0</v>
      </c>
      <c r="BG27" s="97">
        <f>PLĀNS_ar_grozījumiem!BG27-'plans (27122022)'!BG26</f>
        <v>0</v>
      </c>
      <c r="BH27" s="163" t="e">
        <f>PLĀNS_ar_grozījumiem!BH27-'plans (27122022)'!BH26</f>
        <v>#VALUE!</v>
      </c>
      <c r="BI27" s="159" t="e">
        <f>PLĀNS_ar_grozījumiem!BI27-'plans (27122022)'!BI26</f>
        <v>#VALUE!</v>
      </c>
      <c r="BJ27" s="102">
        <f>PLĀNS_ar_grozījumiem!BJ27-'plans (27122022)'!BJ26</f>
        <v>2410.8421052631602</v>
      </c>
      <c r="BK27" s="102">
        <f>PLĀNS_ar_grozījumiem!BK27-'plans (27122022)'!BK26</f>
        <v>0</v>
      </c>
      <c r="BL27" s="92">
        <f>PLĀNS_ar_grozījumiem!BL27-'plans (27122022)'!BL26</f>
        <v>0</v>
      </c>
      <c r="BM27" s="93">
        <f>PLĀNS_ar_grozījumiem!BM27-'plans (27122022)'!BM26</f>
        <v>0</v>
      </c>
      <c r="BN27" s="93">
        <f>PLĀNS_ar_grozījumiem!BN27-'plans (27122022)'!BN26</f>
        <v>-0.54676324128564946</v>
      </c>
      <c r="BO27" s="93">
        <f>PLĀNS_ar_grozījumiem!BO27-'plans (27122022)'!BO26</f>
        <v>0</v>
      </c>
      <c r="BP27" s="163" t="e">
        <f>PLĀNS_ar_grozījumiem!BP27-'plans (27122022)'!BP26</f>
        <v>#VALUE!</v>
      </c>
      <c r="BQ27" s="159" t="e">
        <f>PLĀNS_ar_grozījumiem!BQ27-'plans (27122022)'!BQ26</f>
        <v>#VALUE!</v>
      </c>
      <c r="BR27" s="96">
        <f>PLĀNS_ar_grozījumiem!BR27-'plans (27122022)'!BR26</f>
        <v>2337.6000000000058</v>
      </c>
      <c r="BS27" s="97">
        <f>PLĀNS_ar_grozījumiem!BS27-'plans (27122022)'!BS26</f>
        <v>0</v>
      </c>
      <c r="BT27" s="98" t="e">
        <f>PLĀNS_ar_grozījumiem!BT27-'plans (27122022)'!BT26</f>
        <v>#VALUE!</v>
      </c>
      <c r="BU27" s="99" t="e">
        <f>PLĀNS_ar_grozījumiem!BU27-'plans (27122022)'!BU26</f>
        <v>#VALUE!</v>
      </c>
      <c r="BV27" s="100">
        <f>PLĀNS_ar_grozījumiem!BV27-'plans (27122022)'!BV26</f>
        <v>2337.6000000000058</v>
      </c>
      <c r="BW27" s="101">
        <f>PLĀNS_ar_grozījumiem!BW27-'plans (27122022)'!BW26</f>
        <v>0</v>
      </c>
      <c r="BX27" s="163" t="e">
        <f>PLĀNS_ar_grozījumiem!BX27-'plans (27122022)'!BX26</f>
        <v>#VALUE!</v>
      </c>
      <c r="BY27" s="159" t="e">
        <f>PLĀNS_ar_grozījumiem!BY27-'plans (27122022)'!BY26</f>
        <v>#VALUE!</v>
      </c>
      <c r="BZ27" s="100">
        <f>PLĀNS_ar_grozījumiem!BZ27-'plans (27122022)'!BZ26</f>
        <v>0</v>
      </c>
      <c r="CA27" s="97">
        <f>PLĀNS_ar_grozījumiem!CA27-'plans (27122022)'!CA26</f>
        <v>0</v>
      </c>
      <c r="CB27" s="163" t="e">
        <f>PLĀNS_ar_grozījumiem!CB27-'plans (27122022)'!CB26</f>
        <v>#VALUE!</v>
      </c>
      <c r="CC27" s="159" t="e">
        <f>PLĀNS_ar_grozījumiem!CC27-'plans (27122022)'!CC26</f>
        <v>#VALUE!</v>
      </c>
      <c r="CD27" s="102">
        <f>PLĀNS_ar_grozījumiem!CD27-'plans (27122022)'!CD26</f>
        <v>191.70491803278765</v>
      </c>
      <c r="CE27" s="102">
        <f>PLĀNS_ar_grozījumiem!CE27-'plans (27122022)'!CE26</f>
        <v>0</v>
      </c>
      <c r="CF27" s="103">
        <f>PLĀNS_ar_grozījumiem!CF27-'plans (27122022)'!CF26</f>
        <v>-0.80000000000000426</v>
      </c>
      <c r="CG27" s="102">
        <f>PLĀNS_ar_grozījumiem!CG27-'plans (27122022)'!CG26</f>
        <v>0</v>
      </c>
      <c r="CH27" s="93">
        <f>PLĀNS_ar_grozījumiem!CH27-'plans (27122022)'!CH26</f>
        <v>-0.4431050228310503</v>
      </c>
      <c r="CI27" s="127">
        <f>PLĀNS_ar_grozījumiem!CI27-'plans (27122022)'!CI26</f>
        <v>0</v>
      </c>
      <c r="CJ27" s="98" t="e">
        <f>PLĀNS_ar_grozījumiem!CJ27-'plans (27122022)'!CJ26</f>
        <v>#VALUE!</v>
      </c>
      <c r="CK27" s="99" t="e">
        <f>PLĀNS_ar_grozījumiem!CK27-'plans (27122022)'!CK26</f>
        <v>#VALUE!</v>
      </c>
      <c r="CL27" s="100">
        <f>PLĀNS_ar_grozījumiem!CL27-'plans (27122022)'!CL26</f>
        <v>4014.2000000000116</v>
      </c>
      <c r="CM27" s="107">
        <f>PLĀNS_ar_grozījumiem!CM27-'plans (27122022)'!CM26</f>
        <v>0</v>
      </c>
      <c r="CN27" s="108" t="e">
        <f>PLĀNS_ar_grozījumiem!CN27-'plans (27122022)'!CN26</f>
        <v>#VALUE!</v>
      </c>
      <c r="CO27" s="99" t="e">
        <f>PLĀNS_ar_grozījumiem!CO27-'plans (27122022)'!CO26</f>
        <v>#VALUE!</v>
      </c>
      <c r="CP27" s="100">
        <f>PLĀNS_ar_grozījumiem!CP27-'plans (27122022)'!CP26</f>
        <v>4014.2000000000116</v>
      </c>
      <c r="CQ27" s="97">
        <f>PLĀNS_ar_grozījumiem!CQ27-'plans (27122022)'!CQ26</f>
        <v>0</v>
      </c>
      <c r="CR27" s="98" t="e">
        <f>PLĀNS_ar_grozījumiem!CR27-'plans (27122022)'!CR26</f>
        <v>#VALUE!</v>
      </c>
      <c r="CS27" s="99" t="e">
        <f>PLĀNS_ar_grozījumiem!CS27-'plans (27122022)'!CS26</f>
        <v>#VALUE!</v>
      </c>
      <c r="CT27" s="100">
        <f>PLĀNS_ar_grozījumiem!CT27-'plans (27122022)'!CT26</f>
        <v>0</v>
      </c>
      <c r="CU27" s="97">
        <f>PLĀNS_ar_grozījumiem!CU27-'plans (27122022)'!CU26</f>
        <v>0</v>
      </c>
      <c r="CV27" s="98" t="e">
        <f>PLĀNS_ar_grozījumiem!CV27-'plans (27122022)'!CV26</f>
        <v>#VALUE!</v>
      </c>
      <c r="CW27" s="99" t="e">
        <f>PLĀNS_ar_grozījumiem!CW27-'plans (27122022)'!CW26</f>
        <v>#VALUE!</v>
      </c>
      <c r="CX27" s="100">
        <f>PLĀNS_ar_grozījumiem!CX27-'plans (27122022)'!CX26</f>
        <v>201.76062925170118</v>
      </c>
      <c r="CY27" s="129">
        <f>PLĀNS_ar_grozījumiem!CY27-'plans (27122022)'!CY26</f>
        <v>0</v>
      </c>
      <c r="CZ27" s="110">
        <f t="shared" si="0"/>
        <v>22.4</v>
      </c>
      <c r="DA27" s="111">
        <f t="shared" si="0"/>
        <v>0</v>
      </c>
      <c r="DB27" s="112">
        <f>(CZ27/4343)*100</f>
        <v>0.51577250748330639</v>
      </c>
      <c r="DC27" s="113">
        <f>(DA27/4343)*100</f>
        <v>0</v>
      </c>
      <c r="DD27" s="100">
        <f t="shared" si="1"/>
        <v>96837</v>
      </c>
      <c r="DE27" s="102">
        <f t="shared" si="1"/>
        <v>0</v>
      </c>
      <c r="DF27" s="102" t="e">
        <f t="shared" si="1"/>
        <v>#VALUE!</v>
      </c>
      <c r="DG27" s="114" t="e">
        <f t="shared" si="1"/>
        <v>#VALUE!</v>
      </c>
      <c r="DH27" s="100">
        <f t="shared" si="1"/>
        <v>96837</v>
      </c>
      <c r="DI27" s="97">
        <f t="shared" si="1"/>
        <v>0</v>
      </c>
      <c r="DJ27" s="97" t="e">
        <f t="shared" si="1"/>
        <v>#VALUE!</v>
      </c>
      <c r="DK27" s="97" t="e">
        <f t="shared" si="1"/>
        <v>#VALUE!</v>
      </c>
      <c r="DL27" s="100">
        <f t="shared" si="1"/>
        <v>0</v>
      </c>
      <c r="DM27" s="97">
        <f t="shared" si="1"/>
        <v>0</v>
      </c>
      <c r="DN27" s="97" t="e">
        <f t="shared" si="1"/>
        <v>#VALUE!</v>
      </c>
      <c r="DO27" s="115" t="e">
        <f t="shared" si="1"/>
        <v>#VALUE!</v>
      </c>
      <c r="DP27" s="100">
        <f>ROUND((DD27/CZ27),0)</f>
        <v>4323</v>
      </c>
      <c r="DQ27" s="116" t="e">
        <f t="shared" si="5"/>
        <v>#DIV/0!</v>
      </c>
      <c r="DR27" s="117">
        <f>PLĀNS_ar_grozījumiem!CF27-'plans (27122022)'!CF26</f>
        <v>-0.80000000000000426</v>
      </c>
      <c r="DS27" s="908">
        <f>DR27/'plans (27122022)'!CF26</f>
        <v>-2.0408163265306228E-2</v>
      </c>
      <c r="DT27" s="104">
        <f>PLĀNS_ar_grozījumiem!CL27-'plans (27122022)'!CL26</f>
        <v>4014.2000000000116</v>
      </c>
      <c r="DU27" s="909">
        <f>DT27/'plans (27122022)'!CL26</f>
        <v>2.1943073298458002E-2</v>
      </c>
      <c r="DV27" s="120"/>
      <c r="DW27" s="118">
        <f>PLĀNS_ar_grozījumiem!CM27-'plans (27122022)'!CM26</f>
        <v>0</v>
      </c>
      <c r="DX27" s="104">
        <f>PLĀNS_ar_grozījumiem!CP27-'plans (27122022)'!CP26</f>
        <v>4014.2000000000116</v>
      </c>
      <c r="DY27" s="909">
        <f>DX27/'plans (27122022)'!CP26</f>
        <v>2.1943073298458002E-2</v>
      </c>
      <c r="DZ27" s="120"/>
      <c r="EA27" s="118"/>
      <c r="EB27" s="104">
        <f>PLĀNS_ar_grozījumiem!CT27-'plans (27122022)'!CT26</f>
        <v>0</v>
      </c>
      <c r="EC27" s="121"/>
      <c r="ED27" s="120"/>
      <c r="EE27" s="121"/>
      <c r="EF27" s="122">
        <f>PLĀNS_ar_grozījumiem!CX27-'plans (27122022)'!CX26</f>
        <v>201.76062925170118</v>
      </c>
      <c r="EG27" s="911">
        <f>EF27/'plans (27122022)'!CX26</f>
        <v>4.3233553992175919E-2</v>
      </c>
    </row>
    <row r="28" spans="1:137" s="157" customFormat="1" ht="15.75" customHeight="1" x14ac:dyDescent="0.3">
      <c r="A28" s="1070"/>
      <c r="B28" s="164" t="s">
        <v>53</v>
      </c>
      <c r="C28" s="1027"/>
      <c r="D28" s="1006">
        <v>66.100000000000009</v>
      </c>
      <c r="E28" s="133"/>
      <c r="F28" s="133">
        <v>0.6077099173477738</v>
      </c>
      <c r="G28" s="133"/>
      <c r="H28" s="134" t="s">
        <v>44</v>
      </c>
      <c r="I28" s="135" t="s">
        <v>44</v>
      </c>
      <c r="J28" s="136">
        <v>22521</v>
      </c>
      <c r="K28" s="86"/>
      <c r="L28" s="137" t="s">
        <v>44</v>
      </c>
      <c r="M28" s="138" t="s">
        <v>44</v>
      </c>
      <c r="N28" s="139">
        <v>22521</v>
      </c>
      <c r="O28" s="140"/>
      <c r="P28" s="134" t="s">
        <v>44</v>
      </c>
      <c r="Q28" s="135" t="s">
        <v>44</v>
      </c>
      <c r="R28" s="139">
        <v>0</v>
      </c>
      <c r="S28" s="140"/>
      <c r="T28" s="134" t="s">
        <v>44</v>
      </c>
      <c r="U28" s="135" t="s">
        <v>44</v>
      </c>
      <c r="V28" s="141">
        <v>341</v>
      </c>
      <c r="W28" s="141"/>
      <c r="X28" s="132">
        <v>64.8</v>
      </c>
      <c r="Y28" s="133"/>
      <c r="Z28" s="133">
        <v>0.59033060335796061</v>
      </c>
      <c r="AA28" s="133"/>
      <c r="AB28" s="134" t="s">
        <v>44</v>
      </c>
      <c r="AC28" s="135" t="s">
        <v>44</v>
      </c>
      <c r="AD28" s="136">
        <v>22506</v>
      </c>
      <c r="AE28" s="86"/>
      <c r="AF28" s="137" t="s">
        <v>44</v>
      </c>
      <c r="AG28" s="138" t="s">
        <v>44</v>
      </c>
      <c r="AH28" s="139">
        <v>22506</v>
      </c>
      <c r="AI28" s="140"/>
      <c r="AJ28" s="134" t="s">
        <v>44</v>
      </c>
      <c r="AK28" s="135" t="s">
        <v>44</v>
      </c>
      <c r="AL28" s="139">
        <v>0</v>
      </c>
      <c r="AM28" s="140"/>
      <c r="AN28" s="134" t="s">
        <v>44</v>
      </c>
      <c r="AO28" s="135" t="s">
        <v>44</v>
      </c>
      <c r="AP28" s="141">
        <v>347</v>
      </c>
      <c r="AQ28" s="141"/>
      <c r="AR28" s="132">
        <v>67.900000000000006</v>
      </c>
      <c r="AS28" s="133">
        <f>PLĀNS_ar_grozījumiem!AS28-'plans (27122022)'!AS27</f>
        <v>0</v>
      </c>
      <c r="AT28" s="133">
        <f>PLĀNS_ar_grozījumiem!AT28-'plans (27122022)'!AT27</f>
        <v>-0.60665117553467351</v>
      </c>
      <c r="AU28" s="133">
        <f>PLĀNS_ar_grozījumiem!AU28-'plans (27122022)'!AU27</f>
        <v>0</v>
      </c>
      <c r="AV28" s="134" t="e">
        <f>PLĀNS_ar_grozījumiem!AV28-'plans (27122022)'!AV27</f>
        <v>#VALUE!</v>
      </c>
      <c r="AW28" s="135" t="e">
        <f>PLĀNS_ar_grozījumiem!AW28-'plans (27122022)'!AW27</f>
        <v>#VALUE!</v>
      </c>
      <c r="AX28" s="136">
        <f>PLĀNS_ar_grozījumiem!AX28-'plans (27122022)'!AX27</f>
        <v>-129.25</v>
      </c>
      <c r="AY28" s="86">
        <f>PLĀNS_ar_grozījumiem!AY28-'plans (27122022)'!AY27</f>
        <v>0</v>
      </c>
      <c r="AZ28" s="137" t="e">
        <f>PLĀNS_ar_grozījumiem!AZ28-'plans (27122022)'!AZ27</f>
        <v>#VALUE!</v>
      </c>
      <c r="BA28" s="138" t="e">
        <f>PLĀNS_ar_grozījumiem!BA28-'plans (27122022)'!BA27</f>
        <v>#VALUE!</v>
      </c>
      <c r="BB28" s="139">
        <f>PLĀNS_ar_grozījumiem!BB28-'plans (27122022)'!BB27</f>
        <v>-129.25</v>
      </c>
      <c r="BC28" s="140">
        <f>PLĀNS_ar_grozījumiem!BC28-'plans (27122022)'!BC27</f>
        <v>0</v>
      </c>
      <c r="BD28" s="134" t="e">
        <f>PLĀNS_ar_grozījumiem!BD28-'plans (27122022)'!BD27</f>
        <v>#VALUE!</v>
      </c>
      <c r="BE28" s="135" t="e">
        <f>PLĀNS_ar_grozījumiem!BE28-'plans (27122022)'!BE27</f>
        <v>#VALUE!</v>
      </c>
      <c r="BF28" s="139">
        <f>PLĀNS_ar_grozījumiem!BF28-'plans (27122022)'!BF27</f>
        <v>0</v>
      </c>
      <c r="BG28" s="140">
        <f>PLĀNS_ar_grozījumiem!BG28-'plans (27122022)'!BG27</f>
        <v>0</v>
      </c>
      <c r="BH28" s="134" t="e">
        <f>PLĀNS_ar_grozījumiem!BH28-'plans (27122022)'!BH27</f>
        <v>#VALUE!</v>
      </c>
      <c r="BI28" s="135" t="e">
        <f>PLĀNS_ar_grozījumiem!BI28-'plans (27122022)'!BI27</f>
        <v>#VALUE!</v>
      </c>
      <c r="BJ28" s="141">
        <f>PLĀNS_ar_grozījumiem!BJ28-'plans (27122022)'!BJ27</f>
        <v>37.939967105263179</v>
      </c>
      <c r="BK28" s="141">
        <f>PLĀNS_ar_grozījumiem!BK28-'plans (27122022)'!BK27</f>
        <v>0</v>
      </c>
      <c r="BL28" s="132">
        <f>PLĀNS_ar_grozījumiem!BL28-'plans (27122022)'!BL27</f>
        <v>-6</v>
      </c>
      <c r="BM28" s="133">
        <f>PLĀNS_ar_grozījumiem!BM28-'plans (27122022)'!BM27</f>
        <v>0</v>
      </c>
      <c r="BN28" s="133">
        <f>PLĀNS_ar_grozījumiem!BN28-'plans (27122022)'!BN27</f>
        <v>-0.59683245345929425</v>
      </c>
      <c r="BO28" s="133">
        <f>PLĀNS_ar_grozījumiem!BO28-'plans (27122022)'!BO27</f>
        <v>0</v>
      </c>
      <c r="BP28" s="134" t="e">
        <f>PLĀNS_ar_grozījumiem!BP28-'plans (27122022)'!BP27</f>
        <v>#VALUE!</v>
      </c>
      <c r="BQ28" s="135" t="e">
        <f>PLĀNS_ar_grozījumiem!BQ28-'plans (27122022)'!BQ27</f>
        <v>#VALUE!</v>
      </c>
      <c r="BR28" s="136">
        <f>PLĀNS_ar_grozījumiem!BR28-'plans (27122022)'!BR27</f>
        <v>90.25</v>
      </c>
      <c r="BS28" s="86">
        <f>PLĀNS_ar_grozījumiem!BS28-'plans (27122022)'!BS27</f>
        <v>0</v>
      </c>
      <c r="BT28" s="137" t="e">
        <f>PLĀNS_ar_grozījumiem!BT28-'plans (27122022)'!BT27</f>
        <v>#VALUE!</v>
      </c>
      <c r="BU28" s="138" t="e">
        <f>PLĀNS_ar_grozījumiem!BU28-'plans (27122022)'!BU27</f>
        <v>#VALUE!</v>
      </c>
      <c r="BV28" s="139">
        <f>PLĀNS_ar_grozījumiem!BV28-'plans (27122022)'!BV27</f>
        <v>90.25</v>
      </c>
      <c r="BW28" s="140">
        <f>PLĀNS_ar_grozījumiem!BW28-'plans (27122022)'!BW27</f>
        <v>0</v>
      </c>
      <c r="BX28" s="134" t="e">
        <f>PLĀNS_ar_grozījumiem!BX28-'plans (27122022)'!BX27</f>
        <v>#VALUE!</v>
      </c>
      <c r="BY28" s="135" t="e">
        <f>PLĀNS_ar_grozījumiem!BY28-'plans (27122022)'!BY27</f>
        <v>#VALUE!</v>
      </c>
      <c r="BZ28" s="139">
        <f>PLĀNS_ar_grozījumiem!BZ28-'plans (27122022)'!BZ27</f>
        <v>0</v>
      </c>
      <c r="CA28" s="140">
        <f>PLĀNS_ar_grozījumiem!CA28-'plans (27122022)'!CA27</f>
        <v>0</v>
      </c>
      <c r="CB28" s="134" t="e">
        <f>PLĀNS_ar_grozījumiem!CB28-'plans (27122022)'!CB27</f>
        <v>#VALUE!</v>
      </c>
      <c r="CC28" s="135" t="e">
        <f>PLĀNS_ar_grozījumiem!CC28-'plans (27122022)'!CC27</f>
        <v>#VALUE!</v>
      </c>
      <c r="CD28" s="141">
        <f>PLĀNS_ar_grozījumiem!CD28-'plans (27122022)'!CD27</f>
        <v>35.046568627450938</v>
      </c>
      <c r="CE28" s="141">
        <f>PLĀNS_ar_grozījumiem!CE28-'plans (27122022)'!CE27</f>
        <v>0</v>
      </c>
      <c r="CF28" s="142">
        <f>PLĀNS_ar_grozījumiem!CF28-'plans (27122022)'!CF27</f>
        <v>-13.099999999999966</v>
      </c>
      <c r="CG28" s="141">
        <f>PLĀNS_ar_grozījumiem!CG28-'plans (27122022)'!CG27</f>
        <v>0</v>
      </c>
      <c r="CH28" s="133">
        <f>PLĀNS_ar_grozījumiem!CH28-'plans (27122022)'!CH27</f>
        <v>-0.59740468815897463</v>
      </c>
      <c r="CI28" s="143">
        <f>PLĀNS_ar_grozījumiem!CI28-'plans (27122022)'!CI27</f>
        <v>0</v>
      </c>
      <c r="CJ28" s="137" t="e">
        <f>PLĀNS_ar_grozījumiem!CJ28-'plans (27122022)'!CJ27</f>
        <v>#VALUE!</v>
      </c>
      <c r="CK28" s="138" t="e">
        <f>PLĀNS_ar_grozījumiem!CK28-'plans (27122022)'!CK27</f>
        <v>#VALUE!</v>
      </c>
      <c r="CL28" s="139">
        <f>PLĀNS_ar_grozījumiem!CL28-'plans (27122022)'!CL27</f>
        <v>-39</v>
      </c>
      <c r="CM28" s="144">
        <f>PLĀNS_ar_grozījumiem!CM28-'plans (27122022)'!CM27</f>
        <v>0</v>
      </c>
      <c r="CN28" s="145" t="e">
        <f>PLĀNS_ar_grozījumiem!CN28-'plans (27122022)'!CN27</f>
        <v>#VALUE!</v>
      </c>
      <c r="CO28" s="138" t="e">
        <f>PLĀNS_ar_grozījumiem!CO28-'plans (27122022)'!CO27</f>
        <v>#VALUE!</v>
      </c>
      <c r="CP28" s="139">
        <f>PLĀNS_ar_grozījumiem!CP28-'plans (27122022)'!CP27</f>
        <v>-39</v>
      </c>
      <c r="CQ28" s="140">
        <f>PLĀNS_ar_grozījumiem!CQ28-'plans (27122022)'!CQ27</f>
        <v>0</v>
      </c>
      <c r="CR28" s="137" t="e">
        <f>PLĀNS_ar_grozījumiem!CR28-'plans (27122022)'!CR27</f>
        <v>#VALUE!</v>
      </c>
      <c r="CS28" s="138" t="e">
        <f>PLĀNS_ar_grozījumiem!CS28-'plans (27122022)'!CS27</f>
        <v>#VALUE!</v>
      </c>
      <c r="CT28" s="139">
        <f>PLĀNS_ar_grozījumiem!CT28-'plans (27122022)'!CT27</f>
        <v>0</v>
      </c>
      <c r="CU28" s="140">
        <f>PLĀNS_ar_grozījumiem!CU28-'plans (27122022)'!CU27</f>
        <v>0</v>
      </c>
      <c r="CV28" s="137" t="e">
        <f>PLĀNS_ar_grozījumiem!CV28-'plans (27122022)'!CV27</f>
        <v>#VALUE!</v>
      </c>
      <c r="CW28" s="138" t="e">
        <f>PLĀNS_ar_grozījumiem!CW28-'plans (27122022)'!CW27</f>
        <v>#VALUE!</v>
      </c>
      <c r="CX28" s="139">
        <f>PLĀNS_ar_grozījumiem!CX28-'plans (27122022)'!CX27</f>
        <v>17.649500382034489</v>
      </c>
      <c r="CY28" s="146">
        <f>PLĀNS_ar_grozījumiem!CY28-'plans (27122022)'!CY27</f>
        <v>0</v>
      </c>
      <c r="CZ28" s="147">
        <f t="shared" si="0"/>
        <v>130.9</v>
      </c>
      <c r="DA28" s="148">
        <f t="shared" si="0"/>
        <v>0</v>
      </c>
      <c r="DB28" s="149" t="e">
        <f>(CZ28/#REF!)*100</f>
        <v>#REF!</v>
      </c>
      <c r="DC28" s="150" t="e">
        <f>(DA28/#REF!)*100</f>
        <v>#REF!</v>
      </c>
      <c r="DD28" s="139">
        <f t="shared" si="1"/>
        <v>45027</v>
      </c>
      <c r="DE28" s="141">
        <f t="shared" si="1"/>
        <v>0</v>
      </c>
      <c r="DF28" s="141" t="e">
        <f t="shared" si="1"/>
        <v>#VALUE!</v>
      </c>
      <c r="DG28" s="151" t="e">
        <f t="shared" si="1"/>
        <v>#VALUE!</v>
      </c>
      <c r="DH28" s="139">
        <f t="shared" si="1"/>
        <v>45027</v>
      </c>
      <c r="DI28" s="140">
        <f t="shared" si="1"/>
        <v>0</v>
      </c>
      <c r="DJ28" s="140" t="e">
        <f t="shared" si="1"/>
        <v>#VALUE!</v>
      </c>
      <c r="DK28" s="140" t="e">
        <f t="shared" si="1"/>
        <v>#VALUE!</v>
      </c>
      <c r="DL28" s="139">
        <f t="shared" si="1"/>
        <v>0</v>
      </c>
      <c r="DM28" s="140">
        <f t="shared" si="1"/>
        <v>0</v>
      </c>
      <c r="DN28" s="140" t="e">
        <f t="shared" si="1"/>
        <v>#VALUE!</v>
      </c>
      <c r="DO28" s="152" t="e">
        <f t="shared" si="1"/>
        <v>#VALUE!</v>
      </c>
      <c r="DP28" s="139">
        <f>ROUND((DD28/CZ28),0)</f>
        <v>344</v>
      </c>
      <c r="DQ28" s="153" t="e">
        <f>ROUND((DE28/DA28),0)</f>
        <v>#DIV/0!</v>
      </c>
      <c r="DR28" s="154">
        <f>PLĀNS_ar_grozījumiem!CF28-'plans (27122022)'!CF27</f>
        <v>-13.099999999999966</v>
      </c>
      <c r="DS28" s="904">
        <f>DR28/'plans (27122022)'!CF27</f>
        <v>-4.9248120300751749E-2</v>
      </c>
      <c r="DT28" s="79">
        <f>PLĀNS_ar_grozījumiem!CL28-'plans (27122022)'!CL27</f>
        <v>-39</v>
      </c>
      <c r="DU28" s="905">
        <f>DT28/'plans (27122022)'!CL27</f>
        <v>-4.265744974077396E-4</v>
      </c>
      <c r="DV28" s="86"/>
      <c r="DW28" s="84">
        <f>PLĀNS_ar_grozījumiem!CM28-'plans (27122022)'!CM27</f>
        <v>0</v>
      </c>
      <c r="DX28" s="79">
        <f>PLĀNS_ar_grozījumiem!CP28-'plans (27122022)'!CP27</f>
        <v>-39</v>
      </c>
      <c r="DY28" s="905">
        <f>DX28/'plans (27122022)'!CP27</f>
        <v>-4.265744974077396E-4</v>
      </c>
      <c r="DZ28" s="86"/>
      <c r="EA28" s="84"/>
      <c r="EB28" s="79">
        <f>PLĀNS_ar_grozījumiem!CT28-'plans (27122022)'!CT27</f>
        <v>0</v>
      </c>
      <c r="EC28" s="87"/>
      <c r="ED28" s="86"/>
      <c r="EE28" s="87"/>
      <c r="EF28" s="155">
        <f>PLĀNS_ar_grozījumiem!CX28-'plans (27122022)'!CX27</f>
        <v>17.649500382034489</v>
      </c>
      <c r="EG28" s="912">
        <f>EF28/'plans (27122022)'!CX27</f>
        <v>5.1350459405652374E-2</v>
      </c>
    </row>
    <row r="29" spans="1:137" s="124" customFormat="1" ht="15.75" customHeight="1" x14ac:dyDescent="0.3">
      <c r="A29" s="1070"/>
      <c r="B29" s="90"/>
      <c r="C29" s="1024" t="s">
        <v>45</v>
      </c>
      <c r="D29" s="1005">
        <v>37.6</v>
      </c>
      <c r="E29" s="93"/>
      <c r="F29" s="93">
        <v>1.7415470125057897</v>
      </c>
      <c r="G29" s="93"/>
      <c r="H29" s="158" t="s">
        <v>44</v>
      </c>
      <c r="I29" s="159" t="s">
        <v>44</v>
      </c>
      <c r="J29" s="96">
        <v>19227</v>
      </c>
      <c r="K29" s="97"/>
      <c r="L29" s="166" t="s">
        <v>44</v>
      </c>
      <c r="M29" s="167" t="s">
        <v>44</v>
      </c>
      <c r="N29" s="100">
        <v>19227</v>
      </c>
      <c r="O29" s="101"/>
      <c r="P29" s="158" t="s">
        <v>44</v>
      </c>
      <c r="Q29" s="159" t="s">
        <v>44</v>
      </c>
      <c r="R29" s="100">
        <v>0</v>
      </c>
      <c r="S29" s="97"/>
      <c r="T29" s="158" t="s">
        <v>44</v>
      </c>
      <c r="U29" s="159" t="s">
        <v>44</v>
      </c>
      <c r="V29" s="102">
        <v>511</v>
      </c>
      <c r="W29" s="102"/>
      <c r="X29" s="92">
        <v>37.4</v>
      </c>
      <c r="Y29" s="93"/>
      <c r="Z29" s="93">
        <v>1.7124542124542124</v>
      </c>
      <c r="AA29" s="93"/>
      <c r="AB29" s="158" t="s">
        <v>44</v>
      </c>
      <c r="AC29" s="159" t="s">
        <v>44</v>
      </c>
      <c r="AD29" s="96">
        <v>19531</v>
      </c>
      <c r="AE29" s="97"/>
      <c r="AF29" s="166" t="s">
        <v>44</v>
      </c>
      <c r="AG29" s="167" t="s">
        <v>44</v>
      </c>
      <c r="AH29" s="100">
        <v>19531</v>
      </c>
      <c r="AI29" s="101"/>
      <c r="AJ29" s="158" t="s">
        <v>44</v>
      </c>
      <c r="AK29" s="159" t="s">
        <v>44</v>
      </c>
      <c r="AL29" s="100">
        <v>0</v>
      </c>
      <c r="AM29" s="97"/>
      <c r="AN29" s="158" t="s">
        <v>44</v>
      </c>
      <c r="AO29" s="159" t="s">
        <v>44</v>
      </c>
      <c r="AP29" s="102">
        <v>522</v>
      </c>
      <c r="AQ29" s="102"/>
      <c r="AR29" s="92">
        <v>37.9</v>
      </c>
      <c r="AS29" s="93">
        <f>PLĀNS_ar_grozījumiem!AS29-'plans (27122022)'!AS28</f>
        <v>0</v>
      </c>
      <c r="AT29" s="93">
        <f>PLĀNS_ar_grozījumiem!AT29-'plans (27122022)'!AT28</f>
        <v>-1.699320652173913</v>
      </c>
      <c r="AU29" s="93">
        <f>PLĀNS_ar_grozījumiem!AU29-'plans (27122022)'!AU28</f>
        <v>0</v>
      </c>
      <c r="AV29" s="158" t="e">
        <f>PLĀNS_ar_grozījumiem!AV29-'plans (27122022)'!AV28</f>
        <v>#VALUE!</v>
      </c>
      <c r="AW29" s="159" t="e">
        <f>PLĀNS_ar_grozījumiem!AW29-'plans (27122022)'!AW28</f>
        <v>#VALUE!</v>
      </c>
      <c r="AX29" s="96">
        <f>PLĀNS_ar_grozījumiem!AX29-'plans (27122022)'!AX28</f>
        <v>451.75</v>
      </c>
      <c r="AY29" s="97">
        <f>PLĀNS_ar_grozījumiem!AY29-'plans (27122022)'!AY28</f>
        <v>0</v>
      </c>
      <c r="AZ29" s="166" t="e">
        <f>PLĀNS_ar_grozījumiem!AZ29-'plans (27122022)'!AZ28</f>
        <v>#VALUE!</v>
      </c>
      <c r="BA29" s="167" t="e">
        <f>PLĀNS_ar_grozījumiem!BA29-'plans (27122022)'!BA28</f>
        <v>#VALUE!</v>
      </c>
      <c r="BB29" s="100">
        <f>PLĀNS_ar_grozījumiem!BB29-'plans (27122022)'!BB28</f>
        <v>451.75</v>
      </c>
      <c r="BC29" s="101">
        <f>PLĀNS_ar_grozījumiem!BC29-'plans (27122022)'!BC28</f>
        <v>0</v>
      </c>
      <c r="BD29" s="158" t="e">
        <f>PLĀNS_ar_grozījumiem!BD29-'plans (27122022)'!BD28</f>
        <v>#VALUE!</v>
      </c>
      <c r="BE29" s="159" t="e">
        <f>PLĀNS_ar_grozījumiem!BE29-'plans (27122022)'!BE28</f>
        <v>#VALUE!</v>
      </c>
      <c r="BF29" s="100">
        <f>PLĀNS_ar_grozījumiem!BF29-'plans (27122022)'!BF28</f>
        <v>0</v>
      </c>
      <c r="BG29" s="97">
        <f>PLĀNS_ar_grozījumiem!BG29-'plans (27122022)'!BG28</f>
        <v>0</v>
      </c>
      <c r="BH29" s="158" t="e">
        <f>PLĀNS_ar_grozījumiem!BH29-'plans (27122022)'!BH28</f>
        <v>#VALUE!</v>
      </c>
      <c r="BI29" s="159" t="e">
        <f>PLĀNS_ar_grozījumiem!BI29-'plans (27122022)'!BI28</f>
        <v>#VALUE!</v>
      </c>
      <c r="BJ29" s="102">
        <f>PLĀNS_ar_grozījumiem!BJ29-'plans (27122022)'!BJ28</f>
        <v>11.449868073878633</v>
      </c>
      <c r="BK29" s="102">
        <f>PLĀNS_ar_grozījumiem!BK29-'plans (27122022)'!BK28</f>
        <v>0</v>
      </c>
      <c r="BL29" s="92">
        <f>PLĀNS_ar_grozījumiem!BL29-'plans (27122022)'!BL28</f>
        <v>0</v>
      </c>
      <c r="BM29" s="93">
        <f>PLĀNS_ar_grozījumiem!BM29-'plans (27122022)'!BM28</f>
        <v>0</v>
      </c>
      <c r="BN29" s="93">
        <f>PLĀNS_ar_grozījumiem!BN29-'plans (27122022)'!BN28</f>
        <v>-1.7254413761883205</v>
      </c>
      <c r="BO29" s="93">
        <f>PLĀNS_ar_grozījumiem!BO29-'plans (27122022)'!BO28</f>
        <v>0</v>
      </c>
      <c r="BP29" s="158" t="e">
        <f>PLĀNS_ar_grozījumiem!BP29-'plans (27122022)'!BP28</f>
        <v>#VALUE!</v>
      </c>
      <c r="BQ29" s="159" t="e">
        <f>PLĀNS_ar_grozījumiem!BQ29-'plans (27122022)'!BQ28</f>
        <v>#VALUE!</v>
      </c>
      <c r="BR29" s="96">
        <f>PLĀNS_ar_grozījumiem!BR29-'plans (27122022)'!BR28</f>
        <v>637.65000000000146</v>
      </c>
      <c r="BS29" s="97">
        <f>PLĀNS_ar_grozījumiem!BS29-'plans (27122022)'!BS28</f>
        <v>0</v>
      </c>
      <c r="BT29" s="166" t="e">
        <f>PLĀNS_ar_grozījumiem!BT29-'plans (27122022)'!BT28</f>
        <v>#VALUE!</v>
      </c>
      <c r="BU29" s="167" t="e">
        <f>PLĀNS_ar_grozījumiem!BU29-'plans (27122022)'!BU28</f>
        <v>#VALUE!</v>
      </c>
      <c r="BV29" s="100">
        <f>PLĀNS_ar_grozījumiem!BV29-'plans (27122022)'!BV28</f>
        <v>637.65000000000146</v>
      </c>
      <c r="BW29" s="101">
        <f>PLĀNS_ar_grozījumiem!BW29-'plans (27122022)'!BW28</f>
        <v>0</v>
      </c>
      <c r="BX29" s="158" t="e">
        <f>PLĀNS_ar_grozījumiem!BX29-'plans (27122022)'!BX28</f>
        <v>#VALUE!</v>
      </c>
      <c r="BY29" s="159" t="e">
        <f>PLĀNS_ar_grozījumiem!BY29-'plans (27122022)'!BY28</f>
        <v>#VALUE!</v>
      </c>
      <c r="BZ29" s="100">
        <f>PLĀNS_ar_grozījumiem!BZ29-'plans (27122022)'!BZ28</f>
        <v>0</v>
      </c>
      <c r="CA29" s="97">
        <f>PLĀNS_ar_grozījumiem!CA29-'plans (27122022)'!CA28</f>
        <v>0</v>
      </c>
      <c r="CB29" s="158" t="e">
        <f>PLĀNS_ar_grozījumiem!CB29-'plans (27122022)'!CB28</f>
        <v>#VALUE!</v>
      </c>
      <c r="CC29" s="159" t="e">
        <f>PLĀNS_ar_grozījumiem!CC29-'plans (27122022)'!CC28</f>
        <v>#VALUE!</v>
      </c>
      <c r="CD29" s="102">
        <f>PLĀNS_ar_grozījumiem!CD29-'plans (27122022)'!CD28</f>
        <v>16.990909090909099</v>
      </c>
      <c r="CE29" s="102">
        <f>PLĀNS_ar_grozījumiem!CE29-'plans (27122022)'!CE28</f>
        <v>0</v>
      </c>
      <c r="CF29" s="103">
        <f>PLĀNS_ar_grozījumiem!CF29-'plans (27122022)'!CF28</f>
        <v>0</v>
      </c>
      <c r="CG29" s="102">
        <f>PLĀNS_ar_grozījumiem!CG29-'plans (27122022)'!CG28</f>
        <v>0</v>
      </c>
      <c r="CH29" s="93">
        <f>PLĀNS_ar_grozījumiem!CH29-'plans (27122022)'!CH28</f>
        <v>-1.7110273972602739</v>
      </c>
      <c r="CI29" s="127">
        <f>PLĀNS_ar_grozījumiem!CI29-'plans (27122022)'!CI28</f>
        <v>0</v>
      </c>
      <c r="CJ29" s="166" t="e">
        <f>PLĀNS_ar_grozījumiem!CJ29-'plans (27122022)'!CJ28</f>
        <v>#VALUE!</v>
      </c>
      <c r="CK29" s="167" t="e">
        <f>PLĀNS_ar_grozījumiem!CK29-'plans (27122022)'!CK28</f>
        <v>#VALUE!</v>
      </c>
      <c r="CL29" s="100">
        <f>PLĀNS_ar_grozījumiem!CL29-'plans (27122022)'!CL28</f>
        <v>1089.3999999999942</v>
      </c>
      <c r="CM29" s="107">
        <f>PLĀNS_ar_grozījumiem!CM29-'plans (27122022)'!CM28</f>
        <v>0</v>
      </c>
      <c r="CN29" s="168" t="e">
        <f>PLĀNS_ar_grozījumiem!CN29-'plans (27122022)'!CN28</f>
        <v>#VALUE!</v>
      </c>
      <c r="CO29" s="167" t="e">
        <f>PLĀNS_ar_grozījumiem!CO29-'plans (27122022)'!CO28</f>
        <v>#VALUE!</v>
      </c>
      <c r="CP29" s="100">
        <f>PLĀNS_ar_grozījumiem!CP29-'plans (27122022)'!CP28</f>
        <v>1089.3999999999942</v>
      </c>
      <c r="CQ29" s="97">
        <f>PLĀNS_ar_grozījumiem!CQ29-'plans (27122022)'!CQ28</f>
        <v>0</v>
      </c>
      <c r="CR29" s="166" t="e">
        <f>PLĀNS_ar_grozījumiem!CR29-'plans (27122022)'!CR28</f>
        <v>#VALUE!</v>
      </c>
      <c r="CS29" s="167" t="e">
        <f>PLĀNS_ar_grozījumiem!CS29-'plans (27122022)'!CS28</f>
        <v>#VALUE!</v>
      </c>
      <c r="CT29" s="100">
        <f>PLĀNS_ar_grozījumiem!CT29-'plans (27122022)'!CT28</f>
        <v>0</v>
      </c>
      <c r="CU29" s="97">
        <f>PLĀNS_ar_grozījumiem!CU29-'plans (27122022)'!CU28</f>
        <v>0</v>
      </c>
      <c r="CV29" s="166" t="e">
        <f>PLĀNS_ar_grozījumiem!CV29-'plans (27122022)'!CV28</f>
        <v>#VALUE!</v>
      </c>
      <c r="CW29" s="167" t="e">
        <f>PLĀNS_ar_grozījumiem!CW29-'plans (27122022)'!CW28</f>
        <v>#VALUE!</v>
      </c>
      <c r="CX29" s="100">
        <f>PLĀNS_ar_grozījumiem!CX29-'plans (27122022)'!CX28</f>
        <v>7.1955085865257615</v>
      </c>
      <c r="CY29" s="129">
        <f>PLĀNS_ar_grozījumiem!CY29-'plans (27122022)'!CY28</f>
        <v>0</v>
      </c>
      <c r="CZ29" s="110">
        <f t="shared" si="0"/>
        <v>75</v>
      </c>
      <c r="DA29" s="111">
        <f t="shared" si="0"/>
        <v>0</v>
      </c>
      <c r="DB29" s="112">
        <f>(CZ29/4343)*100</f>
        <v>1.7269168777342851</v>
      </c>
      <c r="DC29" s="113">
        <f>(DA29/4343)*100</f>
        <v>0</v>
      </c>
      <c r="DD29" s="100">
        <f t="shared" si="1"/>
        <v>38758</v>
      </c>
      <c r="DE29" s="102">
        <f t="shared" si="1"/>
        <v>0</v>
      </c>
      <c r="DF29" s="102" t="e">
        <f t="shared" si="1"/>
        <v>#VALUE!</v>
      </c>
      <c r="DG29" s="114" t="e">
        <f t="shared" si="1"/>
        <v>#VALUE!</v>
      </c>
      <c r="DH29" s="100">
        <f t="shared" si="1"/>
        <v>38758</v>
      </c>
      <c r="DI29" s="97">
        <f t="shared" si="1"/>
        <v>0</v>
      </c>
      <c r="DJ29" s="97" t="e">
        <f t="shared" si="1"/>
        <v>#VALUE!</v>
      </c>
      <c r="DK29" s="97" t="e">
        <f t="shared" si="1"/>
        <v>#VALUE!</v>
      </c>
      <c r="DL29" s="100">
        <f t="shared" si="1"/>
        <v>0</v>
      </c>
      <c r="DM29" s="97">
        <f t="shared" si="1"/>
        <v>0</v>
      </c>
      <c r="DN29" s="97" t="e">
        <f t="shared" si="1"/>
        <v>#VALUE!</v>
      </c>
      <c r="DO29" s="115" t="e">
        <f t="shared" si="1"/>
        <v>#VALUE!</v>
      </c>
      <c r="DP29" s="100">
        <f>ROUND((DD29/CZ29),0)</f>
        <v>517</v>
      </c>
      <c r="DQ29" s="116" t="e">
        <f>ROUND((DE29/DA29),0)</f>
        <v>#DIV/0!</v>
      </c>
      <c r="DR29" s="117">
        <f>PLĀNS_ar_grozījumiem!CF29-'plans (27122022)'!CF28</f>
        <v>0</v>
      </c>
      <c r="DS29" s="908">
        <f>DR29/'plans (27122022)'!CF28</f>
        <v>0</v>
      </c>
      <c r="DT29" s="104">
        <f>PLĀNS_ar_grozījumiem!CL29-'plans (27122022)'!CL28</f>
        <v>1089.3999999999942</v>
      </c>
      <c r="DU29" s="909">
        <f>DT29/'plans (27122022)'!CL28</f>
        <v>1.3873818802373783E-2</v>
      </c>
      <c r="DV29" s="120"/>
      <c r="DW29" s="118">
        <f>PLĀNS_ar_grozījumiem!CM29-'plans (27122022)'!CM28</f>
        <v>0</v>
      </c>
      <c r="DX29" s="104">
        <f>PLĀNS_ar_grozījumiem!CP29-'plans (27122022)'!CP28</f>
        <v>1089.3999999999942</v>
      </c>
      <c r="DY29" s="909">
        <f>DX29/'plans (27122022)'!CP28</f>
        <v>1.3873818802373783E-2</v>
      </c>
      <c r="DZ29" s="120"/>
      <c r="EA29" s="118"/>
      <c r="EB29" s="104">
        <f>PLĀNS_ar_grozījumiem!CT29-'plans (27122022)'!CT28</f>
        <v>0</v>
      </c>
      <c r="EC29" s="121"/>
      <c r="ED29" s="120"/>
      <c r="EE29" s="121"/>
      <c r="EF29" s="122">
        <f>PLĀNS_ar_grozījumiem!CX29-'plans (27122022)'!CX28</f>
        <v>7.1955085865257615</v>
      </c>
      <c r="EG29" s="911">
        <f>EF29/'plans (27122022)'!CX28</f>
        <v>1.3873818802373861E-2</v>
      </c>
    </row>
    <row r="30" spans="1:137" s="124" customFormat="1" ht="15.75" customHeight="1" x14ac:dyDescent="0.3">
      <c r="A30" s="1070"/>
      <c r="B30" s="90"/>
      <c r="C30" s="1024" t="s">
        <v>46</v>
      </c>
      <c r="D30" s="1005">
        <v>3.2</v>
      </c>
      <c r="E30" s="93"/>
      <c r="F30" s="93">
        <v>0.14821676702176934</v>
      </c>
      <c r="G30" s="93"/>
      <c r="H30" s="158" t="s">
        <v>44</v>
      </c>
      <c r="I30" s="159" t="s">
        <v>44</v>
      </c>
      <c r="J30" s="96">
        <v>858</v>
      </c>
      <c r="K30" s="97"/>
      <c r="L30" s="166" t="s">
        <v>44</v>
      </c>
      <c r="M30" s="167" t="s">
        <v>44</v>
      </c>
      <c r="N30" s="100">
        <v>858</v>
      </c>
      <c r="O30" s="101"/>
      <c r="P30" s="158" t="s">
        <v>44</v>
      </c>
      <c r="Q30" s="159" t="s">
        <v>44</v>
      </c>
      <c r="R30" s="100">
        <v>0</v>
      </c>
      <c r="S30" s="97"/>
      <c r="T30" s="158" t="s">
        <v>44</v>
      </c>
      <c r="U30" s="159" t="s">
        <v>44</v>
      </c>
      <c r="V30" s="102">
        <v>268</v>
      </c>
      <c r="W30" s="102"/>
      <c r="X30" s="92">
        <v>3</v>
      </c>
      <c r="Y30" s="93"/>
      <c r="Z30" s="93">
        <v>0.13736263736263737</v>
      </c>
      <c r="AA30" s="93"/>
      <c r="AB30" s="158" t="s">
        <v>44</v>
      </c>
      <c r="AC30" s="159" t="s">
        <v>44</v>
      </c>
      <c r="AD30" s="96">
        <v>792</v>
      </c>
      <c r="AE30" s="97"/>
      <c r="AF30" s="166" t="s">
        <v>44</v>
      </c>
      <c r="AG30" s="167" t="s">
        <v>44</v>
      </c>
      <c r="AH30" s="100">
        <v>792</v>
      </c>
      <c r="AI30" s="101"/>
      <c r="AJ30" s="158" t="s">
        <v>44</v>
      </c>
      <c r="AK30" s="159" t="s">
        <v>44</v>
      </c>
      <c r="AL30" s="100">
        <v>0</v>
      </c>
      <c r="AM30" s="97"/>
      <c r="AN30" s="158" t="s">
        <v>44</v>
      </c>
      <c r="AO30" s="159" t="s">
        <v>44</v>
      </c>
      <c r="AP30" s="102">
        <v>264</v>
      </c>
      <c r="AQ30" s="102"/>
      <c r="AR30" s="92">
        <v>3.2</v>
      </c>
      <c r="AS30" s="93">
        <f>PLĀNS_ar_grozījumiem!AS30-'plans (27122022)'!AS29</f>
        <v>0</v>
      </c>
      <c r="AT30" s="93">
        <f>PLĀNS_ar_grozījumiem!AT30-'plans (27122022)'!AT29</f>
        <v>-0.14347826086956522</v>
      </c>
      <c r="AU30" s="93">
        <f>PLĀNS_ar_grozījumiem!AU30-'plans (27122022)'!AU29</f>
        <v>0</v>
      </c>
      <c r="AV30" s="158" t="e">
        <f>PLĀNS_ar_grozījumiem!AV30-'plans (27122022)'!AV29</f>
        <v>#VALUE!</v>
      </c>
      <c r="AW30" s="159" t="e">
        <f>PLĀNS_ar_grozījumiem!AW30-'plans (27122022)'!AW29</f>
        <v>#VALUE!</v>
      </c>
      <c r="AX30" s="96">
        <f>PLĀNS_ar_grozījumiem!AX30-'plans (27122022)'!AX29</f>
        <v>107.00000000000011</v>
      </c>
      <c r="AY30" s="97">
        <f>PLĀNS_ar_grozījumiem!AY30-'plans (27122022)'!AY29</f>
        <v>0</v>
      </c>
      <c r="AZ30" s="166" t="e">
        <f>PLĀNS_ar_grozījumiem!AZ30-'plans (27122022)'!AZ29</f>
        <v>#VALUE!</v>
      </c>
      <c r="BA30" s="167" t="e">
        <f>PLĀNS_ar_grozījumiem!BA30-'plans (27122022)'!BA29</f>
        <v>#VALUE!</v>
      </c>
      <c r="BB30" s="100">
        <f>PLĀNS_ar_grozījumiem!BB30-'plans (27122022)'!BB29</f>
        <v>107.00000000000011</v>
      </c>
      <c r="BC30" s="101">
        <f>PLĀNS_ar_grozījumiem!BC30-'plans (27122022)'!BC29</f>
        <v>0</v>
      </c>
      <c r="BD30" s="158" t="e">
        <f>PLĀNS_ar_grozījumiem!BD30-'plans (27122022)'!BD29</f>
        <v>#VALUE!</v>
      </c>
      <c r="BE30" s="159" t="e">
        <f>PLĀNS_ar_grozījumiem!BE30-'plans (27122022)'!BE29</f>
        <v>#VALUE!</v>
      </c>
      <c r="BF30" s="100">
        <f>PLĀNS_ar_grozījumiem!BF30-'plans (27122022)'!BF29</f>
        <v>0</v>
      </c>
      <c r="BG30" s="97">
        <f>PLĀNS_ar_grozījumiem!BG30-'plans (27122022)'!BG29</f>
        <v>0</v>
      </c>
      <c r="BH30" s="158" t="e">
        <f>PLĀNS_ar_grozījumiem!BH30-'plans (27122022)'!BH29</f>
        <v>#VALUE!</v>
      </c>
      <c r="BI30" s="159" t="e">
        <f>PLĀNS_ar_grozījumiem!BI30-'plans (27122022)'!BI29</f>
        <v>#VALUE!</v>
      </c>
      <c r="BJ30" s="102">
        <f>PLĀNS_ar_grozījumiem!BJ30-'plans (27122022)'!BJ29</f>
        <v>33.5</v>
      </c>
      <c r="BK30" s="102">
        <f>PLĀNS_ar_grozījumiem!BK30-'plans (27122022)'!BK29</f>
        <v>0</v>
      </c>
      <c r="BL30" s="92">
        <f>PLĀNS_ar_grozījumiem!BL30-'plans (27122022)'!BL29</f>
        <v>0</v>
      </c>
      <c r="BM30" s="93">
        <f>PLĀNS_ar_grozījumiem!BM30-'plans (27122022)'!BM29</f>
        <v>0</v>
      </c>
      <c r="BN30" s="93">
        <f>PLĀNS_ar_grozījumiem!BN30-'plans (27122022)'!BN29</f>
        <v>-0.13893164327750113</v>
      </c>
      <c r="BO30" s="93">
        <f>PLĀNS_ar_grozījumiem!BO30-'plans (27122022)'!BO29</f>
        <v>0</v>
      </c>
      <c r="BP30" s="158" t="e">
        <f>PLĀNS_ar_grozījumiem!BP30-'plans (27122022)'!BP29</f>
        <v>#VALUE!</v>
      </c>
      <c r="BQ30" s="159" t="e">
        <f>PLĀNS_ar_grozījumiem!BQ30-'plans (27122022)'!BQ29</f>
        <v>#VALUE!</v>
      </c>
      <c r="BR30" s="96">
        <f>PLĀNS_ar_grozījumiem!BR30-'plans (27122022)'!BR29</f>
        <v>87.800000000000068</v>
      </c>
      <c r="BS30" s="97">
        <f>PLĀNS_ar_grozījumiem!BS30-'plans (27122022)'!BS29</f>
        <v>0</v>
      </c>
      <c r="BT30" s="166" t="e">
        <f>PLĀNS_ar_grozījumiem!BT30-'plans (27122022)'!BT29</f>
        <v>#VALUE!</v>
      </c>
      <c r="BU30" s="167" t="e">
        <f>PLĀNS_ar_grozījumiem!BU30-'plans (27122022)'!BU29</f>
        <v>#VALUE!</v>
      </c>
      <c r="BV30" s="100">
        <f>PLĀNS_ar_grozījumiem!BV30-'plans (27122022)'!BV29</f>
        <v>87.800000000000068</v>
      </c>
      <c r="BW30" s="101">
        <f>PLĀNS_ar_grozījumiem!BW30-'plans (27122022)'!BW29</f>
        <v>0</v>
      </c>
      <c r="BX30" s="158" t="e">
        <f>PLĀNS_ar_grozījumiem!BX30-'plans (27122022)'!BX29</f>
        <v>#VALUE!</v>
      </c>
      <c r="BY30" s="159" t="e">
        <f>PLĀNS_ar_grozījumiem!BY30-'plans (27122022)'!BY29</f>
        <v>#VALUE!</v>
      </c>
      <c r="BZ30" s="100">
        <f>PLĀNS_ar_grozījumiem!BZ30-'plans (27122022)'!BZ29</f>
        <v>0</v>
      </c>
      <c r="CA30" s="97">
        <f>PLĀNS_ar_grozījumiem!CA30-'plans (27122022)'!CA29</f>
        <v>0</v>
      </c>
      <c r="CB30" s="158" t="e">
        <f>PLĀNS_ar_grozījumiem!CB30-'plans (27122022)'!CB29</f>
        <v>#VALUE!</v>
      </c>
      <c r="CC30" s="159" t="e">
        <f>PLĀNS_ar_grozījumiem!CC30-'plans (27122022)'!CC29</f>
        <v>#VALUE!</v>
      </c>
      <c r="CD30" s="102">
        <f>PLĀNS_ar_grozījumiem!CD30-'plans (27122022)'!CD29</f>
        <v>28.806451612903231</v>
      </c>
      <c r="CE30" s="102">
        <f>PLĀNS_ar_grozījumiem!CE30-'plans (27122022)'!CE29</f>
        <v>0</v>
      </c>
      <c r="CF30" s="103">
        <f>PLĀNS_ar_grozījumiem!CF30-'plans (27122022)'!CF29</f>
        <v>0</v>
      </c>
      <c r="CG30" s="102">
        <f>PLĀNS_ar_grozījumiem!CG30-'plans (27122022)'!CG29</f>
        <v>0</v>
      </c>
      <c r="CH30" s="93">
        <f>PLĀNS_ar_grozījumiem!CH30-'plans (27122022)'!CH29</f>
        <v>-0.14126712328767121</v>
      </c>
      <c r="CI30" s="127">
        <f>PLĀNS_ar_grozījumiem!CI30-'plans (27122022)'!CI29</f>
        <v>0</v>
      </c>
      <c r="CJ30" s="166" t="e">
        <f>PLĀNS_ar_grozījumiem!CJ30-'plans (27122022)'!CJ29</f>
        <v>#VALUE!</v>
      </c>
      <c r="CK30" s="167" t="e">
        <f>PLĀNS_ar_grozījumiem!CK30-'plans (27122022)'!CK29</f>
        <v>#VALUE!</v>
      </c>
      <c r="CL30" s="100">
        <f>PLĀNS_ar_grozījumiem!CL30-'plans (27122022)'!CL29</f>
        <v>194.80000000000018</v>
      </c>
      <c r="CM30" s="107">
        <f>PLĀNS_ar_grozījumiem!CM30-'plans (27122022)'!CM29</f>
        <v>0</v>
      </c>
      <c r="CN30" s="168" t="e">
        <f>PLĀNS_ar_grozījumiem!CN30-'plans (27122022)'!CN29</f>
        <v>#VALUE!</v>
      </c>
      <c r="CO30" s="167" t="e">
        <f>PLĀNS_ar_grozījumiem!CO30-'plans (27122022)'!CO29</f>
        <v>#VALUE!</v>
      </c>
      <c r="CP30" s="100">
        <f>PLĀNS_ar_grozījumiem!CP30-'plans (27122022)'!CP29</f>
        <v>194.80000000000018</v>
      </c>
      <c r="CQ30" s="97">
        <f>PLĀNS_ar_grozījumiem!CQ30-'plans (27122022)'!CQ29</f>
        <v>0</v>
      </c>
      <c r="CR30" s="166" t="e">
        <f>PLĀNS_ar_grozījumiem!CR30-'plans (27122022)'!CR29</f>
        <v>#VALUE!</v>
      </c>
      <c r="CS30" s="167" t="e">
        <f>PLĀNS_ar_grozījumiem!CS30-'plans (27122022)'!CS29</f>
        <v>#VALUE!</v>
      </c>
      <c r="CT30" s="100">
        <f>PLĀNS_ar_grozījumiem!CT30-'plans (27122022)'!CT29</f>
        <v>0</v>
      </c>
      <c r="CU30" s="97">
        <f>PLĀNS_ar_grozījumiem!CU30-'plans (27122022)'!CU29</f>
        <v>0</v>
      </c>
      <c r="CV30" s="166" t="e">
        <f>PLĀNS_ar_grozījumiem!CV30-'plans (27122022)'!CV29</f>
        <v>#VALUE!</v>
      </c>
      <c r="CW30" s="167" t="e">
        <f>PLĀNS_ar_grozījumiem!CW30-'plans (27122022)'!CW29</f>
        <v>#VALUE!</v>
      </c>
      <c r="CX30" s="100">
        <f>PLĀNS_ar_grozījumiem!CX30-'plans (27122022)'!CX29</f>
        <v>15.584000000000003</v>
      </c>
      <c r="CY30" s="129">
        <f>PLĀNS_ar_grozījumiem!CY30-'plans (27122022)'!CY29</f>
        <v>0</v>
      </c>
      <c r="CZ30" s="110">
        <f t="shared" si="0"/>
        <v>6.2</v>
      </c>
      <c r="DA30" s="111">
        <f t="shared" si="0"/>
        <v>0</v>
      </c>
      <c r="DB30" s="112">
        <f t="shared" ref="DB30:DC32" si="8">(CZ30/4343)*100</f>
        <v>0.14275846189270089</v>
      </c>
      <c r="DC30" s="113">
        <f t="shared" si="8"/>
        <v>0</v>
      </c>
      <c r="DD30" s="100">
        <f t="shared" si="1"/>
        <v>1650</v>
      </c>
      <c r="DE30" s="102">
        <f t="shared" si="1"/>
        <v>0</v>
      </c>
      <c r="DF30" s="102" t="e">
        <f t="shared" si="1"/>
        <v>#VALUE!</v>
      </c>
      <c r="DG30" s="114" t="e">
        <f t="shared" si="1"/>
        <v>#VALUE!</v>
      </c>
      <c r="DH30" s="100">
        <f t="shared" si="1"/>
        <v>1650</v>
      </c>
      <c r="DI30" s="97">
        <f t="shared" si="1"/>
        <v>0</v>
      </c>
      <c r="DJ30" s="97" t="e">
        <f t="shared" si="1"/>
        <v>#VALUE!</v>
      </c>
      <c r="DK30" s="97" t="e">
        <f t="shared" si="1"/>
        <v>#VALUE!</v>
      </c>
      <c r="DL30" s="100">
        <f t="shared" si="1"/>
        <v>0</v>
      </c>
      <c r="DM30" s="97">
        <f t="shared" si="1"/>
        <v>0</v>
      </c>
      <c r="DN30" s="97" t="e">
        <f t="shared" si="1"/>
        <v>#VALUE!</v>
      </c>
      <c r="DO30" s="115" t="e">
        <f t="shared" si="1"/>
        <v>#VALUE!</v>
      </c>
      <c r="DP30" s="100">
        <f t="shared" ref="DP30:DQ32" si="9">ROUND((DD30/CZ30),0)</f>
        <v>266</v>
      </c>
      <c r="DQ30" s="116" t="e">
        <f t="shared" si="9"/>
        <v>#DIV/0!</v>
      </c>
      <c r="DR30" s="117">
        <f>PLĀNS_ar_grozījumiem!CF30-'plans (27122022)'!CF29</f>
        <v>0</v>
      </c>
      <c r="DS30" s="908">
        <f>DR30/'plans (27122022)'!CF29</f>
        <v>0</v>
      </c>
      <c r="DT30" s="104">
        <f>PLĀNS_ar_grozījumiem!CL30-'plans (27122022)'!CL29</f>
        <v>194.80000000000018</v>
      </c>
      <c r="DU30" s="909">
        <f>DT30/'plans (27122022)'!CL29</f>
        <v>5.8428314337132629E-2</v>
      </c>
      <c r="DV30" s="120"/>
      <c r="DW30" s="118">
        <f>PLĀNS_ar_grozījumiem!CM30-'plans (27122022)'!CM29</f>
        <v>0</v>
      </c>
      <c r="DX30" s="104">
        <f>PLĀNS_ar_grozījumiem!CP30-'plans (27122022)'!CP29</f>
        <v>194.80000000000018</v>
      </c>
      <c r="DY30" s="909">
        <f>DX30/'plans (27122022)'!CP29</f>
        <v>5.8428314337132629E-2</v>
      </c>
      <c r="DZ30" s="120"/>
      <c r="EA30" s="118"/>
      <c r="EB30" s="104">
        <f>PLĀNS_ar_grozījumiem!CT30-'plans (27122022)'!CT29</f>
        <v>0</v>
      </c>
      <c r="EC30" s="121"/>
      <c r="ED30" s="120"/>
      <c r="EE30" s="121"/>
      <c r="EF30" s="122">
        <f>PLĀNS_ar_grozījumiem!CX30-'plans (27122022)'!CX29</f>
        <v>15.584000000000003</v>
      </c>
      <c r="EG30" s="911">
        <f>EF30/'plans (27122022)'!CX29</f>
        <v>5.8428314337132581E-2</v>
      </c>
    </row>
    <row r="31" spans="1:137" ht="15.75" customHeight="1" x14ac:dyDescent="0.3">
      <c r="A31" s="1070"/>
      <c r="B31" s="169"/>
      <c r="C31" s="1024" t="s">
        <v>48</v>
      </c>
      <c r="D31" s="1005">
        <v>18.8</v>
      </c>
      <c r="E31" s="93"/>
      <c r="F31" s="93">
        <v>0.87077350625289485</v>
      </c>
      <c r="G31" s="93"/>
      <c r="H31" s="158" t="s">
        <v>44</v>
      </c>
      <c r="I31" s="159" t="s">
        <v>44</v>
      </c>
      <c r="J31" s="96">
        <v>1687</v>
      </c>
      <c r="K31" s="97"/>
      <c r="L31" s="166" t="s">
        <v>44</v>
      </c>
      <c r="M31" s="167" t="s">
        <v>44</v>
      </c>
      <c r="N31" s="100">
        <v>1687</v>
      </c>
      <c r="O31" s="126"/>
      <c r="P31" s="158" t="s">
        <v>44</v>
      </c>
      <c r="Q31" s="159" t="s">
        <v>44</v>
      </c>
      <c r="R31" s="100">
        <v>0</v>
      </c>
      <c r="S31" s="97"/>
      <c r="T31" s="158" t="s">
        <v>44</v>
      </c>
      <c r="U31" s="159" t="s">
        <v>44</v>
      </c>
      <c r="V31" s="102">
        <v>90</v>
      </c>
      <c r="W31" s="102"/>
      <c r="X31" s="92">
        <v>17.899999999999999</v>
      </c>
      <c r="Y31" s="93"/>
      <c r="Z31" s="93">
        <v>0.81959706959706946</v>
      </c>
      <c r="AA31" s="93"/>
      <c r="AB31" s="158" t="s">
        <v>44</v>
      </c>
      <c r="AC31" s="159" t="s">
        <v>44</v>
      </c>
      <c r="AD31" s="96">
        <v>1436</v>
      </c>
      <c r="AE31" s="97"/>
      <c r="AF31" s="166" t="s">
        <v>44</v>
      </c>
      <c r="AG31" s="167" t="s">
        <v>44</v>
      </c>
      <c r="AH31" s="100">
        <v>1436</v>
      </c>
      <c r="AI31" s="126"/>
      <c r="AJ31" s="158" t="s">
        <v>44</v>
      </c>
      <c r="AK31" s="159" t="s">
        <v>44</v>
      </c>
      <c r="AL31" s="100">
        <v>0</v>
      </c>
      <c r="AM31" s="97"/>
      <c r="AN31" s="158" t="s">
        <v>44</v>
      </c>
      <c r="AO31" s="159" t="s">
        <v>44</v>
      </c>
      <c r="AP31" s="102">
        <v>80</v>
      </c>
      <c r="AQ31" s="102"/>
      <c r="AR31" s="92">
        <v>20.3</v>
      </c>
      <c r="AS31" s="93">
        <f>PLĀNS_ar_grozījumiem!AS31-'plans (27122022)'!AS30</f>
        <v>0</v>
      </c>
      <c r="AT31" s="93">
        <f>PLĀNS_ar_grozījumiem!AT31-'plans (27122022)'!AT30</f>
        <v>-0.91091485507246372</v>
      </c>
      <c r="AU31" s="93">
        <f>PLĀNS_ar_grozījumiem!AU31-'plans (27122022)'!AU30</f>
        <v>0</v>
      </c>
      <c r="AV31" s="158" t="e">
        <f>PLĀNS_ar_grozījumiem!AV31-'plans (27122022)'!AV30</f>
        <v>#VALUE!</v>
      </c>
      <c r="AW31" s="159" t="e">
        <f>PLĀNS_ar_grozījumiem!AW31-'plans (27122022)'!AW30</f>
        <v>#VALUE!</v>
      </c>
      <c r="AX31" s="96">
        <f>PLĀNS_ar_grozījumiem!AX31-'plans (27122022)'!AX30</f>
        <v>-58.999999999999773</v>
      </c>
      <c r="AY31" s="97">
        <f>PLĀNS_ar_grozījumiem!AY31-'plans (27122022)'!AY30</f>
        <v>0</v>
      </c>
      <c r="AZ31" s="166" t="e">
        <f>PLĀNS_ar_grozījumiem!AZ31-'plans (27122022)'!AZ30</f>
        <v>#VALUE!</v>
      </c>
      <c r="BA31" s="167" t="e">
        <f>PLĀNS_ar_grozījumiem!BA31-'plans (27122022)'!BA30</f>
        <v>#VALUE!</v>
      </c>
      <c r="BB31" s="100">
        <f>PLĀNS_ar_grozījumiem!BB31-'plans (27122022)'!BB30</f>
        <v>-58.999999999999773</v>
      </c>
      <c r="BC31" s="126">
        <f>PLĀNS_ar_grozījumiem!BC31-'plans (27122022)'!BC30</f>
        <v>0</v>
      </c>
      <c r="BD31" s="158" t="e">
        <f>PLĀNS_ar_grozījumiem!BD31-'plans (27122022)'!BD30</f>
        <v>#VALUE!</v>
      </c>
      <c r="BE31" s="159" t="e">
        <f>PLĀNS_ar_grozījumiem!BE31-'plans (27122022)'!BE30</f>
        <v>#VALUE!</v>
      </c>
      <c r="BF31" s="100">
        <f>PLĀNS_ar_grozījumiem!BF31-'plans (27122022)'!BF30</f>
        <v>0</v>
      </c>
      <c r="BG31" s="97">
        <f>PLĀNS_ar_grozījumiem!BG31-'plans (27122022)'!BG30</f>
        <v>0</v>
      </c>
      <c r="BH31" s="158" t="e">
        <f>PLĀNS_ar_grozījumiem!BH31-'plans (27122022)'!BH30</f>
        <v>#VALUE!</v>
      </c>
      <c r="BI31" s="159" t="e">
        <f>PLĀNS_ar_grozījumiem!BI31-'plans (27122022)'!BI30</f>
        <v>#VALUE!</v>
      </c>
      <c r="BJ31" s="102">
        <f>PLĀNS_ar_grozījumiem!BJ31-'plans (27122022)'!BJ30</f>
        <v>4.0000000000000142</v>
      </c>
      <c r="BK31" s="102">
        <f>PLĀNS_ar_grozījumiem!BK31-'plans (27122022)'!BK30</f>
        <v>0</v>
      </c>
      <c r="BL31" s="92">
        <f>PLĀNS_ar_grozījumiem!BL31-'plans (27122022)'!BL30</f>
        <v>0</v>
      </c>
      <c r="BM31" s="93">
        <f>PLĀNS_ar_grozījumiem!BM31-'plans (27122022)'!BM30</f>
        <v>0</v>
      </c>
      <c r="BN31" s="93">
        <f>PLĀNS_ar_grozījumiem!BN31-'plans (27122022)'!BN30</f>
        <v>-0.87840651878678144</v>
      </c>
      <c r="BO31" s="93">
        <f>PLĀNS_ar_grozījumiem!BO31-'plans (27122022)'!BO30</f>
        <v>0</v>
      </c>
      <c r="BP31" s="158" t="e">
        <f>PLĀNS_ar_grozījumiem!BP31-'plans (27122022)'!BP30</f>
        <v>#VALUE!</v>
      </c>
      <c r="BQ31" s="159" t="e">
        <f>PLĀNS_ar_grozījumiem!BQ31-'plans (27122022)'!BQ30</f>
        <v>#VALUE!</v>
      </c>
      <c r="BR31" s="96">
        <f>PLĀNS_ar_grozījumiem!BR31-'plans (27122022)'!BR30</f>
        <v>81.800000000000182</v>
      </c>
      <c r="BS31" s="97">
        <f>PLĀNS_ar_grozījumiem!BS31-'plans (27122022)'!BS30</f>
        <v>0</v>
      </c>
      <c r="BT31" s="166" t="e">
        <f>PLĀNS_ar_grozījumiem!BT31-'plans (27122022)'!BT30</f>
        <v>#VALUE!</v>
      </c>
      <c r="BU31" s="167" t="e">
        <f>PLĀNS_ar_grozījumiem!BU31-'plans (27122022)'!BU30</f>
        <v>#VALUE!</v>
      </c>
      <c r="BV31" s="100">
        <f>PLĀNS_ar_grozījumiem!BV31-'plans (27122022)'!BV30</f>
        <v>81.800000000000182</v>
      </c>
      <c r="BW31" s="126">
        <f>PLĀNS_ar_grozījumiem!BW31-'plans (27122022)'!BW30</f>
        <v>0</v>
      </c>
      <c r="BX31" s="158" t="e">
        <f>PLĀNS_ar_grozījumiem!BX31-'plans (27122022)'!BX30</f>
        <v>#VALUE!</v>
      </c>
      <c r="BY31" s="159" t="e">
        <f>PLĀNS_ar_grozījumiem!BY31-'plans (27122022)'!BY30</f>
        <v>#VALUE!</v>
      </c>
      <c r="BZ31" s="100">
        <f>PLĀNS_ar_grozījumiem!BZ31-'plans (27122022)'!BZ30</f>
        <v>0</v>
      </c>
      <c r="CA31" s="97">
        <f>PLĀNS_ar_grozījumiem!CA31-'plans (27122022)'!CA30</f>
        <v>0</v>
      </c>
      <c r="CB31" s="158" t="e">
        <f>PLĀNS_ar_grozījumiem!CB31-'plans (27122022)'!CB30</f>
        <v>#VALUE!</v>
      </c>
      <c r="CC31" s="159" t="e">
        <f>PLĀNS_ar_grozījumiem!CC31-'plans (27122022)'!CC30</f>
        <v>#VALUE!</v>
      </c>
      <c r="CD31" s="102">
        <f>PLĀNS_ar_grozījumiem!CD31-'plans (27122022)'!CD30</f>
        <v>4.6122448979591866</v>
      </c>
      <c r="CE31" s="102">
        <f>PLĀNS_ar_grozījumiem!CE31-'plans (27122022)'!CE30</f>
        <v>0</v>
      </c>
      <c r="CF31" s="103">
        <f>PLĀNS_ar_grozījumiem!CF31-'plans (27122022)'!CF30</f>
        <v>-1.5999999999999943</v>
      </c>
      <c r="CG31" s="102">
        <f>PLĀNS_ar_grozījumiem!CG31-'plans (27122022)'!CG30</f>
        <v>0</v>
      </c>
      <c r="CH31" s="93">
        <f>PLĀNS_ar_grozījumiem!CH31-'plans (27122022)'!CH30</f>
        <v>-0.8658675799086758</v>
      </c>
      <c r="CI31" s="127">
        <f>PLĀNS_ar_grozījumiem!CI31-'plans (27122022)'!CI30</f>
        <v>0</v>
      </c>
      <c r="CJ31" s="166" t="e">
        <f>PLĀNS_ar_grozījumiem!CJ31-'plans (27122022)'!CJ30</f>
        <v>#VALUE!</v>
      </c>
      <c r="CK31" s="167" t="e">
        <f>PLĀNS_ar_grozījumiem!CK31-'plans (27122022)'!CK30</f>
        <v>#VALUE!</v>
      </c>
      <c r="CL31" s="100">
        <f>PLĀNS_ar_grozījumiem!CL31-'plans (27122022)'!CL30</f>
        <v>22.800000000000182</v>
      </c>
      <c r="CM31" s="107">
        <f>PLĀNS_ar_grozījumiem!CM31-'plans (27122022)'!CM30</f>
        <v>0</v>
      </c>
      <c r="CN31" s="168" t="e">
        <f>PLĀNS_ar_grozījumiem!CN31-'plans (27122022)'!CN30</f>
        <v>#VALUE!</v>
      </c>
      <c r="CO31" s="167" t="e">
        <f>PLĀNS_ar_grozījumiem!CO31-'plans (27122022)'!CO30</f>
        <v>#VALUE!</v>
      </c>
      <c r="CP31" s="100">
        <f>PLĀNS_ar_grozījumiem!CP31-'plans (27122022)'!CP30</f>
        <v>22.800000000000182</v>
      </c>
      <c r="CQ31" s="97">
        <f>PLĀNS_ar_grozījumiem!CQ31-'plans (27122022)'!CQ30</f>
        <v>0</v>
      </c>
      <c r="CR31" s="166" t="e">
        <f>PLĀNS_ar_grozījumiem!CR31-'plans (27122022)'!CR30</f>
        <v>#VALUE!</v>
      </c>
      <c r="CS31" s="167" t="e">
        <f>PLĀNS_ar_grozījumiem!CS31-'plans (27122022)'!CS30</f>
        <v>#VALUE!</v>
      </c>
      <c r="CT31" s="100">
        <f>PLĀNS_ar_grozījumiem!CT31-'plans (27122022)'!CT30</f>
        <v>0</v>
      </c>
      <c r="CU31" s="97">
        <f>PLĀNS_ar_grozījumiem!CU31-'plans (27122022)'!CU30</f>
        <v>0</v>
      </c>
      <c r="CV31" s="166" t="e">
        <f>PLĀNS_ar_grozījumiem!CV31-'plans (27122022)'!CV30</f>
        <v>#VALUE!</v>
      </c>
      <c r="CW31" s="167" t="e">
        <f>PLĀNS_ar_grozījumiem!CW31-'plans (27122022)'!CW30</f>
        <v>#VALUE!</v>
      </c>
      <c r="CX31" s="100">
        <f>PLĀNS_ar_grozījumiem!CX31-'plans (27122022)'!CX30</f>
        <v>2.1471331592689182</v>
      </c>
      <c r="CY31" s="129">
        <f>PLĀNS_ar_grozījumiem!CY31-'plans (27122022)'!CY30</f>
        <v>0</v>
      </c>
      <c r="CZ31" s="110">
        <f t="shared" si="0"/>
        <v>36.700000000000003</v>
      </c>
      <c r="DA31" s="111">
        <f t="shared" si="0"/>
        <v>0</v>
      </c>
      <c r="DB31" s="112">
        <f t="shared" si="8"/>
        <v>0.84503799217131026</v>
      </c>
      <c r="DC31" s="113">
        <f t="shared" si="8"/>
        <v>0</v>
      </c>
      <c r="DD31" s="100">
        <f t="shared" si="1"/>
        <v>3123</v>
      </c>
      <c r="DE31" s="102">
        <f t="shared" si="1"/>
        <v>0</v>
      </c>
      <c r="DF31" s="102" t="e">
        <f t="shared" si="1"/>
        <v>#VALUE!</v>
      </c>
      <c r="DG31" s="114" t="e">
        <f t="shared" si="1"/>
        <v>#VALUE!</v>
      </c>
      <c r="DH31" s="100">
        <f t="shared" si="1"/>
        <v>3123</v>
      </c>
      <c r="DI31" s="97">
        <f t="shared" si="1"/>
        <v>0</v>
      </c>
      <c r="DJ31" s="97" t="e">
        <f t="shared" si="1"/>
        <v>#VALUE!</v>
      </c>
      <c r="DK31" s="97" t="e">
        <f t="shared" si="1"/>
        <v>#VALUE!</v>
      </c>
      <c r="DL31" s="100">
        <f t="shared" si="1"/>
        <v>0</v>
      </c>
      <c r="DM31" s="97">
        <f t="shared" si="1"/>
        <v>0</v>
      </c>
      <c r="DN31" s="97" t="e">
        <f t="shared" si="1"/>
        <v>#VALUE!</v>
      </c>
      <c r="DO31" s="115" t="e">
        <f t="shared" si="1"/>
        <v>#VALUE!</v>
      </c>
      <c r="DP31" s="100">
        <f t="shared" si="9"/>
        <v>85</v>
      </c>
      <c r="DQ31" s="116" t="e">
        <f t="shared" si="9"/>
        <v>#DIV/0!</v>
      </c>
      <c r="DR31" s="117">
        <f>PLĀNS_ar_grozījumiem!CF31-'plans (27122022)'!CF30</f>
        <v>-1.5999999999999943</v>
      </c>
      <c r="DS31" s="908">
        <f>DR31/'plans (27122022)'!CF30</f>
        <v>-2.0887728459529954E-2</v>
      </c>
      <c r="DT31" s="104">
        <f>PLĀNS_ar_grozījumiem!CL31-'plans (27122022)'!CL30</f>
        <v>22.800000000000182</v>
      </c>
      <c r="DU31" s="909">
        <f>DT31/'plans (27122022)'!CL30</f>
        <v>3.4451495920217864E-3</v>
      </c>
      <c r="DV31" s="120"/>
      <c r="DW31" s="118">
        <f>PLĀNS_ar_grozījumiem!CM31-'plans (27122022)'!CM30</f>
        <v>0</v>
      </c>
      <c r="DX31" s="104">
        <f>PLĀNS_ar_grozījumiem!CP31-'plans (27122022)'!CP30</f>
        <v>22.800000000000182</v>
      </c>
      <c r="DY31" s="909">
        <f>DX31/'plans (27122022)'!CP30</f>
        <v>3.4451495920217864E-3</v>
      </c>
      <c r="DZ31" s="120"/>
      <c r="EA31" s="118"/>
      <c r="EB31" s="104">
        <f>PLĀNS_ar_grozījumiem!CT31-'plans (27122022)'!CT30</f>
        <v>0</v>
      </c>
      <c r="EC31" s="121"/>
      <c r="ED31" s="120"/>
      <c r="EE31" s="121"/>
      <c r="EF31" s="122">
        <f>PLĀNS_ar_grozījumiem!CX31-'plans (27122022)'!CX30</f>
        <v>2.1471331592689182</v>
      </c>
      <c r="EG31" s="911">
        <f>EF31/'plans (27122022)'!CX30</f>
        <v>2.4851979449984758E-2</v>
      </c>
    </row>
    <row r="32" spans="1:137" ht="15.75" customHeight="1" x14ac:dyDescent="0.3">
      <c r="A32" s="1070"/>
      <c r="B32" s="169"/>
      <c r="C32" s="1024" t="s">
        <v>49</v>
      </c>
      <c r="D32" s="1005">
        <v>6.5</v>
      </c>
      <c r="E32" s="93"/>
      <c r="F32" s="93">
        <v>0.30106530801296894</v>
      </c>
      <c r="G32" s="93"/>
      <c r="H32" s="158" t="s">
        <v>44</v>
      </c>
      <c r="I32" s="159" t="s">
        <v>44</v>
      </c>
      <c r="J32" s="96">
        <v>749</v>
      </c>
      <c r="K32" s="97"/>
      <c r="L32" s="166" t="s">
        <v>44</v>
      </c>
      <c r="M32" s="167" t="s">
        <v>44</v>
      </c>
      <c r="N32" s="100">
        <v>749</v>
      </c>
      <c r="O32" s="126"/>
      <c r="P32" s="158" t="s">
        <v>44</v>
      </c>
      <c r="Q32" s="159" t="s">
        <v>44</v>
      </c>
      <c r="R32" s="100">
        <v>0</v>
      </c>
      <c r="S32" s="97"/>
      <c r="T32" s="158" t="s">
        <v>44</v>
      </c>
      <c r="U32" s="159" t="s">
        <v>44</v>
      </c>
      <c r="V32" s="102">
        <v>115</v>
      </c>
      <c r="W32" s="102"/>
      <c r="X32" s="92">
        <v>6.5</v>
      </c>
      <c r="Y32" s="93"/>
      <c r="Z32" s="93">
        <v>0.29761904761904762</v>
      </c>
      <c r="AA32" s="93"/>
      <c r="AB32" s="158" t="s">
        <v>44</v>
      </c>
      <c r="AC32" s="159" t="s">
        <v>44</v>
      </c>
      <c r="AD32" s="96">
        <v>747</v>
      </c>
      <c r="AE32" s="97"/>
      <c r="AF32" s="166" t="s">
        <v>44</v>
      </c>
      <c r="AG32" s="167" t="s">
        <v>44</v>
      </c>
      <c r="AH32" s="100">
        <v>747</v>
      </c>
      <c r="AI32" s="126"/>
      <c r="AJ32" s="158" t="s">
        <v>44</v>
      </c>
      <c r="AK32" s="159" t="s">
        <v>44</v>
      </c>
      <c r="AL32" s="100">
        <v>0</v>
      </c>
      <c r="AM32" s="97"/>
      <c r="AN32" s="158" t="s">
        <v>44</v>
      </c>
      <c r="AO32" s="159" t="s">
        <v>44</v>
      </c>
      <c r="AP32" s="102">
        <v>115</v>
      </c>
      <c r="AQ32" s="102"/>
      <c r="AR32" s="92">
        <v>6.5</v>
      </c>
      <c r="AS32" s="93">
        <f>PLĀNS_ar_grozījumiem!AS32-'plans (27122022)'!AS31</f>
        <v>0</v>
      </c>
      <c r="AT32" s="93">
        <f>PLĀNS_ar_grozījumiem!AT32-'plans (27122022)'!AT31</f>
        <v>-0.29393115942028991</v>
      </c>
      <c r="AU32" s="93">
        <f>PLĀNS_ar_grozījumiem!AU32-'plans (27122022)'!AU31</f>
        <v>0</v>
      </c>
      <c r="AV32" s="158" t="e">
        <f>PLĀNS_ar_grozījumiem!AV32-'plans (27122022)'!AV31</f>
        <v>#VALUE!</v>
      </c>
      <c r="AW32" s="159" t="e">
        <f>PLĀNS_ar_grozījumiem!AW32-'plans (27122022)'!AW31</f>
        <v>#VALUE!</v>
      </c>
      <c r="AX32" s="96">
        <f>PLĀNS_ar_grozījumiem!AX32-'plans (27122022)'!AX31</f>
        <v>-629</v>
      </c>
      <c r="AY32" s="97">
        <f>PLĀNS_ar_grozījumiem!AY32-'plans (27122022)'!AY31</f>
        <v>0</v>
      </c>
      <c r="AZ32" s="166" t="e">
        <f>PLĀNS_ar_grozījumiem!AZ32-'plans (27122022)'!AZ31</f>
        <v>#VALUE!</v>
      </c>
      <c r="BA32" s="167" t="e">
        <f>PLĀNS_ar_grozījumiem!BA32-'plans (27122022)'!BA31</f>
        <v>#VALUE!</v>
      </c>
      <c r="BB32" s="100">
        <f>PLĀNS_ar_grozījumiem!BB32-'plans (27122022)'!BB31</f>
        <v>-629</v>
      </c>
      <c r="BC32" s="126">
        <f>PLĀNS_ar_grozījumiem!BC32-'plans (27122022)'!BC31</f>
        <v>0</v>
      </c>
      <c r="BD32" s="158" t="e">
        <f>PLĀNS_ar_grozījumiem!BD32-'plans (27122022)'!BD31</f>
        <v>#VALUE!</v>
      </c>
      <c r="BE32" s="159" t="e">
        <f>PLĀNS_ar_grozījumiem!BE32-'plans (27122022)'!BE31</f>
        <v>#VALUE!</v>
      </c>
      <c r="BF32" s="100">
        <f>PLĀNS_ar_grozījumiem!BF32-'plans (27122022)'!BF31</f>
        <v>0</v>
      </c>
      <c r="BG32" s="97">
        <f>PLĀNS_ar_grozījumiem!BG32-'plans (27122022)'!BG31</f>
        <v>0</v>
      </c>
      <c r="BH32" s="158" t="e">
        <f>PLĀNS_ar_grozījumiem!BH32-'plans (27122022)'!BH31</f>
        <v>#VALUE!</v>
      </c>
      <c r="BI32" s="159" t="e">
        <f>PLĀNS_ar_grozījumiem!BI32-'plans (27122022)'!BI31</f>
        <v>#VALUE!</v>
      </c>
      <c r="BJ32" s="102">
        <f>PLĀNS_ar_grozījumiem!BJ32-'plans (27122022)'!BJ31</f>
        <v>-4</v>
      </c>
      <c r="BK32" s="102">
        <f>PLĀNS_ar_grozījumiem!BK32-'plans (27122022)'!BK31</f>
        <v>0</v>
      </c>
      <c r="BL32" s="92">
        <f>PLĀNS_ar_grozījumiem!BL32-'plans (27122022)'!BL31</f>
        <v>-6</v>
      </c>
      <c r="BM32" s="93">
        <f>PLĀNS_ar_grozījumiem!BM32-'plans (27122022)'!BM31</f>
        <v>0</v>
      </c>
      <c r="BN32" s="93">
        <f>PLĀNS_ar_grozījumiem!BN32-'plans (27122022)'!BN31</f>
        <v>-0.27161611588954282</v>
      </c>
      <c r="BO32" s="93">
        <f>PLĀNS_ar_grozījumiem!BO32-'plans (27122022)'!BO31</f>
        <v>0</v>
      </c>
      <c r="BP32" s="158" t="e">
        <f>PLĀNS_ar_grozījumiem!BP32-'plans (27122022)'!BP31</f>
        <v>#VALUE!</v>
      </c>
      <c r="BQ32" s="159" t="e">
        <f>PLĀNS_ar_grozījumiem!BQ32-'plans (27122022)'!BQ31</f>
        <v>#VALUE!</v>
      </c>
      <c r="BR32" s="96">
        <f>PLĀNS_ar_grozījumiem!BR32-'plans (27122022)'!BR31</f>
        <v>-717</v>
      </c>
      <c r="BS32" s="97">
        <f>PLĀNS_ar_grozījumiem!BS32-'plans (27122022)'!BS31</f>
        <v>0</v>
      </c>
      <c r="BT32" s="166" t="e">
        <f>PLĀNS_ar_grozījumiem!BT32-'plans (27122022)'!BT31</f>
        <v>#VALUE!</v>
      </c>
      <c r="BU32" s="167" t="e">
        <f>PLĀNS_ar_grozījumiem!BU32-'plans (27122022)'!BU31</f>
        <v>#VALUE!</v>
      </c>
      <c r="BV32" s="100">
        <f>PLĀNS_ar_grozījumiem!BV32-'plans (27122022)'!BV31</f>
        <v>-717</v>
      </c>
      <c r="BW32" s="126">
        <f>PLĀNS_ar_grozījumiem!BW32-'plans (27122022)'!BW31</f>
        <v>0</v>
      </c>
      <c r="BX32" s="158" t="e">
        <f>PLĀNS_ar_grozījumiem!BX32-'plans (27122022)'!BX31</f>
        <v>#VALUE!</v>
      </c>
      <c r="BY32" s="159" t="e">
        <f>PLĀNS_ar_grozījumiem!BY32-'plans (27122022)'!BY31</f>
        <v>#VALUE!</v>
      </c>
      <c r="BZ32" s="100">
        <f>PLĀNS_ar_grozījumiem!BZ32-'plans (27122022)'!BZ31</f>
        <v>0</v>
      </c>
      <c r="CA32" s="97">
        <f>PLĀNS_ar_grozījumiem!CA32-'plans (27122022)'!CA31</f>
        <v>0</v>
      </c>
      <c r="CB32" s="158" t="e">
        <f>PLĀNS_ar_grozījumiem!CB32-'plans (27122022)'!CB31</f>
        <v>#VALUE!</v>
      </c>
      <c r="CC32" s="159" t="e">
        <f>PLĀNS_ar_grozījumiem!CC32-'plans (27122022)'!CC31</f>
        <v>#VALUE!</v>
      </c>
      <c r="CD32" s="102">
        <f>PLĀNS_ar_grozījumiem!CD32-'plans (27122022)'!CD31</f>
        <v>-120</v>
      </c>
      <c r="CE32" s="102">
        <f>PLĀNS_ar_grozījumiem!CE32-'plans (27122022)'!CE31</f>
        <v>0</v>
      </c>
      <c r="CF32" s="103">
        <f>PLĀNS_ar_grozījumiem!CF32-'plans (27122022)'!CF31</f>
        <v>-11.5</v>
      </c>
      <c r="CG32" s="102">
        <f>PLĀNS_ar_grozījumiem!CG32-'plans (27122022)'!CG31</f>
        <v>0</v>
      </c>
      <c r="CH32" s="93">
        <f>PLĀNS_ar_grozījumiem!CH32-'plans (27122022)'!CH31</f>
        <v>-0.28949771689497716</v>
      </c>
      <c r="CI32" s="127">
        <f>PLĀNS_ar_grozījumiem!CI32-'plans (27122022)'!CI31</f>
        <v>0</v>
      </c>
      <c r="CJ32" s="166" t="e">
        <f>PLĀNS_ar_grozījumiem!CJ32-'plans (27122022)'!CJ31</f>
        <v>#VALUE!</v>
      </c>
      <c r="CK32" s="167" t="e">
        <f>PLĀNS_ar_grozījumiem!CK32-'plans (27122022)'!CK31</f>
        <v>#VALUE!</v>
      </c>
      <c r="CL32" s="100">
        <f>PLĀNS_ar_grozījumiem!CL32-'plans (27122022)'!CL31</f>
        <v>-1346</v>
      </c>
      <c r="CM32" s="107">
        <f>PLĀNS_ar_grozījumiem!CM32-'plans (27122022)'!CM31</f>
        <v>0</v>
      </c>
      <c r="CN32" s="168" t="e">
        <f>PLĀNS_ar_grozījumiem!CN32-'plans (27122022)'!CN31</f>
        <v>#VALUE!</v>
      </c>
      <c r="CO32" s="167" t="e">
        <f>PLĀNS_ar_grozījumiem!CO32-'plans (27122022)'!CO31</f>
        <v>#VALUE!</v>
      </c>
      <c r="CP32" s="100">
        <f>PLĀNS_ar_grozījumiem!CP32-'plans (27122022)'!CP31</f>
        <v>-1346</v>
      </c>
      <c r="CQ32" s="97">
        <f>PLĀNS_ar_grozījumiem!CQ32-'plans (27122022)'!CQ31</f>
        <v>0</v>
      </c>
      <c r="CR32" s="166" t="e">
        <f>PLĀNS_ar_grozījumiem!CR32-'plans (27122022)'!CR31</f>
        <v>#VALUE!</v>
      </c>
      <c r="CS32" s="167" t="e">
        <f>PLĀNS_ar_grozījumiem!CS32-'plans (27122022)'!CS31</f>
        <v>#VALUE!</v>
      </c>
      <c r="CT32" s="100">
        <f>PLĀNS_ar_grozījumiem!CT32-'plans (27122022)'!CT31</f>
        <v>0</v>
      </c>
      <c r="CU32" s="97">
        <f>PLĀNS_ar_grozījumiem!CU32-'plans (27122022)'!CU31</f>
        <v>0</v>
      </c>
      <c r="CV32" s="166" t="e">
        <f>PLĀNS_ar_grozījumiem!CV32-'plans (27122022)'!CV31</f>
        <v>#VALUE!</v>
      </c>
      <c r="CW32" s="167" t="e">
        <f>PLĀNS_ar_grozījumiem!CW32-'plans (27122022)'!CW31</f>
        <v>#VALUE!</v>
      </c>
      <c r="CX32" s="100">
        <f>PLĀNS_ar_grozījumiem!CX32-'plans (27122022)'!CX31</f>
        <v>-1.0504201680672338</v>
      </c>
      <c r="CY32" s="129">
        <f>PLĀNS_ar_grozījumiem!CY32-'plans (27122022)'!CY31</f>
        <v>0</v>
      </c>
      <c r="CZ32" s="110">
        <f t="shared" si="0"/>
        <v>13</v>
      </c>
      <c r="DA32" s="111">
        <f t="shared" si="0"/>
        <v>0</v>
      </c>
      <c r="DB32" s="112">
        <f t="shared" si="8"/>
        <v>0.2993322588072761</v>
      </c>
      <c r="DC32" s="113">
        <f t="shared" si="8"/>
        <v>0</v>
      </c>
      <c r="DD32" s="100">
        <f t="shared" si="1"/>
        <v>1496</v>
      </c>
      <c r="DE32" s="102">
        <f t="shared" si="1"/>
        <v>0</v>
      </c>
      <c r="DF32" s="102" t="e">
        <f t="shared" si="1"/>
        <v>#VALUE!</v>
      </c>
      <c r="DG32" s="114" t="e">
        <f t="shared" si="1"/>
        <v>#VALUE!</v>
      </c>
      <c r="DH32" s="100">
        <f t="shared" si="1"/>
        <v>1496</v>
      </c>
      <c r="DI32" s="97">
        <f t="shared" si="1"/>
        <v>0</v>
      </c>
      <c r="DJ32" s="97" t="e">
        <f t="shared" si="1"/>
        <v>#VALUE!</v>
      </c>
      <c r="DK32" s="97" t="e">
        <f t="shared" si="1"/>
        <v>#VALUE!</v>
      </c>
      <c r="DL32" s="100">
        <f t="shared" si="1"/>
        <v>0</v>
      </c>
      <c r="DM32" s="97">
        <f t="shared" si="1"/>
        <v>0</v>
      </c>
      <c r="DN32" s="97" t="e">
        <f t="shared" si="1"/>
        <v>#VALUE!</v>
      </c>
      <c r="DO32" s="115" t="e">
        <f t="shared" si="1"/>
        <v>#VALUE!</v>
      </c>
      <c r="DP32" s="100">
        <f t="shared" si="9"/>
        <v>115</v>
      </c>
      <c r="DQ32" s="116" t="e">
        <f t="shared" si="9"/>
        <v>#DIV/0!</v>
      </c>
      <c r="DR32" s="117">
        <f>PLĀNS_ar_grozījumiem!CF32-'plans (27122022)'!CF31</f>
        <v>-11.5</v>
      </c>
      <c r="DS32" s="908">
        <f>DR32/'plans (27122022)'!CF31</f>
        <v>-0.45098039215686275</v>
      </c>
      <c r="DT32" s="104">
        <f>PLĀNS_ar_grozījumiem!CL32-'plans (27122022)'!CL31</f>
        <v>-1346</v>
      </c>
      <c r="DU32" s="909">
        <f>DT32/'plans (27122022)'!CL31</f>
        <v>-0.45596205962059622</v>
      </c>
      <c r="DV32" s="120"/>
      <c r="DW32" s="118">
        <f>PLĀNS_ar_grozījumiem!CM32-'plans (27122022)'!CM31</f>
        <v>0</v>
      </c>
      <c r="DX32" s="104">
        <f>PLĀNS_ar_grozījumiem!CP32-'plans (27122022)'!CP31</f>
        <v>-1346</v>
      </c>
      <c r="DY32" s="909">
        <f>DX32/'plans (27122022)'!CP31</f>
        <v>-0.45596205962059622</v>
      </c>
      <c r="DZ32" s="120"/>
      <c r="EA32" s="118"/>
      <c r="EB32" s="104">
        <f>PLĀNS_ar_grozījumiem!CT32-'plans (27122022)'!CT31</f>
        <v>0</v>
      </c>
      <c r="EC32" s="121"/>
      <c r="ED32" s="120"/>
      <c r="EE32" s="121"/>
      <c r="EF32" s="122">
        <f>PLĀNS_ar_grozījumiem!CX32-'plans (27122022)'!CX31</f>
        <v>-1.0504201680672338</v>
      </c>
      <c r="EG32" s="911">
        <f>EF32/'plans (27122022)'!CX31</f>
        <v>-9.0737514518002913E-3</v>
      </c>
    </row>
    <row r="33" spans="1:137" s="157" customFormat="1" ht="29.25" customHeight="1" x14ac:dyDescent="0.3">
      <c r="A33" s="1070"/>
      <c r="B33" s="164" t="s">
        <v>54</v>
      </c>
      <c r="C33" s="1027"/>
      <c r="D33" s="1006">
        <v>555.4</v>
      </c>
      <c r="E33" s="133"/>
      <c r="F33" s="133">
        <v>5.1062343130855306</v>
      </c>
      <c r="G33" s="133"/>
      <c r="H33" s="134" t="s">
        <v>44</v>
      </c>
      <c r="I33" s="135" t="s">
        <v>44</v>
      </c>
      <c r="J33" s="136">
        <v>43611</v>
      </c>
      <c r="K33" s="86"/>
      <c r="L33" s="170" t="s">
        <v>44</v>
      </c>
      <c r="M33" s="171" t="s">
        <v>44</v>
      </c>
      <c r="N33" s="139">
        <v>43611</v>
      </c>
      <c r="O33" s="140"/>
      <c r="P33" s="134" t="s">
        <v>44</v>
      </c>
      <c r="Q33" s="135" t="s">
        <v>44</v>
      </c>
      <c r="R33" s="139">
        <v>0</v>
      </c>
      <c r="S33" s="140"/>
      <c r="T33" s="134" t="s">
        <v>44</v>
      </c>
      <c r="U33" s="135" t="s">
        <v>44</v>
      </c>
      <c r="V33" s="141">
        <v>79</v>
      </c>
      <c r="W33" s="141"/>
      <c r="X33" s="132">
        <v>524.70000000000005</v>
      </c>
      <c r="Y33" s="133"/>
      <c r="Z33" s="133">
        <v>4.780038079967933</v>
      </c>
      <c r="AA33" s="133"/>
      <c r="AB33" s="134" t="s">
        <v>44</v>
      </c>
      <c r="AC33" s="135" t="s">
        <v>44</v>
      </c>
      <c r="AD33" s="136">
        <v>41713</v>
      </c>
      <c r="AE33" s="86"/>
      <c r="AF33" s="170" t="s">
        <v>44</v>
      </c>
      <c r="AG33" s="171" t="s">
        <v>44</v>
      </c>
      <c r="AH33" s="139">
        <v>41713</v>
      </c>
      <c r="AI33" s="140"/>
      <c r="AJ33" s="134" t="s">
        <v>44</v>
      </c>
      <c r="AK33" s="135" t="s">
        <v>44</v>
      </c>
      <c r="AL33" s="139">
        <v>0</v>
      </c>
      <c r="AM33" s="140"/>
      <c r="AN33" s="134" t="s">
        <v>44</v>
      </c>
      <c r="AO33" s="135" t="s">
        <v>44</v>
      </c>
      <c r="AP33" s="141">
        <v>79</v>
      </c>
      <c r="AQ33" s="141"/>
      <c r="AR33" s="132">
        <v>549.9</v>
      </c>
      <c r="AS33" s="133">
        <f>PLĀNS_ar_grozījumiem!AS33-'plans (27122022)'!AS32</f>
        <v>0</v>
      </c>
      <c r="AT33" s="133">
        <f>PLĀNS_ar_grozījumiem!AT33-'plans (27122022)'!AT32</f>
        <v>-4.9201718145673867</v>
      </c>
      <c r="AU33" s="133">
        <f>PLĀNS_ar_grozījumiem!AU33-'plans (27122022)'!AU32</f>
        <v>0</v>
      </c>
      <c r="AV33" s="134" t="e">
        <f>PLĀNS_ar_grozījumiem!AV33-'plans (27122022)'!AV32</f>
        <v>#VALUE!</v>
      </c>
      <c r="AW33" s="135" t="e">
        <f>PLĀNS_ar_grozījumiem!AW33-'plans (27122022)'!AW32</f>
        <v>#VALUE!</v>
      </c>
      <c r="AX33" s="136">
        <f>PLĀNS_ar_grozījumiem!AX33-'plans (27122022)'!AX32</f>
        <v>-4795.25</v>
      </c>
      <c r="AY33" s="86">
        <f>PLĀNS_ar_grozījumiem!AY33-'plans (27122022)'!AY32</f>
        <v>0</v>
      </c>
      <c r="AZ33" s="170" t="e">
        <f>PLĀNS_ar_grozījumiem!AZ33-'plans (27122022)'!AZ32</f>
        <v>#VALUE!</v>
      </c>
      <c r="BA33" s="171" t="e">
        <f>PLĀNS_ar_grozījumiem!BA33-'plans (27122022)'!BA32</f>
        <v>#VALUE!</v>
      </c>
      <c r="BB33" s="139">
        <f>PLĀNS_ar_grozījumiem!BB33-'plans (27122022)'!BB32</f>
        <v>-4795.25</v>
      </c>
      <c r="BC33" s="140">
        <f>PLĀNS_ar_grozījumiem!BC33-'plans (27122022)'!BC32</f>
        <v>0</v>
      </c>
      <c r="BD33" s="134" t="e">
        <f>PLĀNS_ar_grozījumiem!BD33-'plans (27122022)'!BD32</f>
        <v>#VALUE!</v>
      </c>
      <c r="BE33" s="135" t="e">
        <f>PLĀNS_ar_grozījumiem!BE33-'plans (27122022)'!BE32</f>
        <v>#VALUE!</v>
      </c>
      <c r="BF33" s="139">
        <f>PLĀNS_ar_grozījumiem!BF33-'plans (27122022)'!BF32</f>
        <v>0</v>
      </c>
      <c r="BG33" s="140">
        <f>PLĀNS_ar_grozījumiem!BG33-'plans (27122022)'!BG32</f>
        <v>0</v>
      </c>
      <c r="BH33" s="134" t="e">
        <f>PLĀNS_ar_grozījumiem!BH33-'plans (27122022)'!BH32</f>
        <v>#VALUE!</v>
      </c>
      <c r="BI33" s="135" t="e">
        <f>PLĀNS_ar_grozījumiem!BI33-'plans (27122022)'!BI32</f>
        <v>#VALUE!</v>
      </c>
      <c r="BJ33" s="141">
        <f>PLĀNS_ar_grozījumiem!BJ33-'plans (27122022)'!BJ32</f>
        <v>7.8979468599033851</v>
      </c>
      <c r="BK33" s="141">
        <f>PLĀNS_ar_grozījumiem!BK33-'plans (27122022)'!BK32</f>
        <v>0</v>
      </c>
      <c r="BL33" s="132">
        <f>PLĀNS_ar_grozījumiem!BL33-'plans (27122022)'!BL32</f>
        <v>18.099999999999966</v>
      </c>
      <c r="BM33" s="133">
        <f>PLĀNS_ar_grozījumiem!BM33-'plans (27122022)'!BM32</f>
        <v>0</v>
      </c>
      <c r="BN33" s="133">
        <f>PLĀNS_ar_grozījumiem!BN33-'plans (27122022)'!BN32</f>
        <v>-4.4013749338974089</v>
      </c>
      <c r="BO33" s="133">
        <f>PLĀNS_ar_grozījumiem!BO33-'plans (27122022)'!BO32</f>
        <v>0</v>
      </c>
      <c r="BP33" s="134" t="e">
        <f>PLĀNS_ar_grozījumiem!BP33-'plans (27122022)'!BP32</f>
        <v>#VALUE!</v>
      </c>
      <c r="BQ33" s="135" t="e">
        <f>PLĀNS_ar_grozījumiem!BQ33-'plans (27122022)'!BQ32</f>
        <v>#VALUE!</v>
      </c>
      <c r="BR33" s="136">
        <f>PLĀNS_ar_grozījumiem!BR33-'plans (27122022)'!BR32</f>
        <v>-3113.0999999999985</v>
      </c>
      <c r="BS33" s="86">
        <f>PLĀNS_ar_grozījumiem!BS33-'plans (27122022)'!BS32</f>
        <v>0</v>
      </c>
      <c r="BT33" s="170" t="e">
        <f>PLĀNS_ar_grozījumiem!BT33-'plans (27122022)'!BT32</f>
        <v>#VALUE!</v>
      </c>
      <c r="BU33" s="171" t="e">
        <f>PLĀNS_ar_grozījumiem!BU33-'plans (27122022)'!BU32</f>
        <v>#VALUE!</v>
      </c>
      <c r="BV33" s="139">
        <f>PLĀNS_ar_grozījumiem!BV33-'plans (27122022)'!BV32</f>
        <v>-3113.0999999999985</v>
      </c>
      <c r="BW33" s="140">
        <f>PLĀNS_ar_grozījumiem!BW33-'plans (27122022)'!BW32</f>
        <v>0</v>
      </c>
      <c r="BX33" s="134" t="e">
        <f>PLĀNS_ar_grozījumiem!BX33-'plans (27122022)'!BX32</f>
        <v>#VALUE!</v>
      </c>
      <c r="BY33" s="135" t="e">
        <f>PLĀNS_ar_grozījumiem!BY33-'plans (27122022)'!BY32</f>
        <v>#VALUE!</v>
      </c>
      <c r="BZ33" s="139">
        <f>PLĀNS_ar_grozījumiem!BZ33-'plans (27122022)'!BZ32</f>
        <v>0</v>
      </c>
      <c r="CA33" s="140">
        <f>PLĀNS_ar_grozījumiem!CA33-'plans (27122022)'!CA32</f>
        <v>0</v>
      </c>
      <c r="CB33" s="134" t="e">
        <f>PLĀNS_ar_grozījumiem!CB33-'plans (27122022)'!CB32</f>
        <v>#VALUE!</v>
      </c>
      <c r="CC33" s="135" t="e">
        <f>PLĀNS_ar_grozījumiem!CC33-'plans (27122022)'!CC32</f>
        <v>#VALUE!</v>
      </c>
      <c r="CD33" s="141">
        <f>PLĀNS_ar_grozījumiem!CD33-'plans (27122022)'!CD32</f>
        <v>-9.3039082247715186</v>
      </c>
      <c r="CE33" s="141">
        <f>PLĀNS_ar_grozījumiem!CE33-'plans (27122022)'!CE32</f>
        <v>0</v>
      </c>
      <c r="CF33" s="142">
        <f>PLĀNS_ar_grozījumiem!CF33-'plans (27122022)'!CF32</f>
        <v>-117.79999999999973</v>
      </c>
      <c r="CG33" s="141">
        <f>PLĀNS_ar_grozījumiem!CG33-'plans (27122022)'!CG32</f>
        <v>0</v>
      </c>
      <c r="CH33" s="133">
        <f>PLĀNS_ar_grozījumiem!CH33-'plans (27122022)'!CH32</f>
        <v>-4.7754916943672248</v>
      </c>
      <c r="CI33" s="143">
        <f>PLĀNS_ar_grozījumiem!CI33-'plans (27122022)'!CI32</f>
        <v>0</v>
      </c>
      <c r="CJ33" s="170" t="e">
        <f>PLĀNS_ar_grozījumiem!CJ33-'plans (27122022)'!CJ32</f>
        <v>#VALUE!</v>
      </c>
      <c r="CK33" s="171" t="e">
        <f>PLĀNS_ar_grozījumiem!CK33-'plans (27122022)'!CK32</f>
        <v>#VALUE!</v>
      </c>
      <c r="CL33" s="139">
        <f>PLĀNS_ar_grozījumiem!CL33-'plans (27122022)'!CL32</f>
        <v>-7908.3500000000058</v>
      </c>
      <c r="CM33" s="144">
        <f>PLĀNS_ar_grozījumiem!CM33-'plans (27122022)'!CM32</f>
        <v>0</v>
      </c>
      <c r="CN33" s="172" t="e">
        <f>PLĀNS_ar_grozījumiem!CN33-'plans (27122022)'!CN32</f>
        <v>#VALUE!</v>
      </c>
      <c r="CO33" s="171" t="e">
        <f>PLĀNS_ar_grozījumiem!CO33-'plans (27122022)'!CO32</f>
        <v>#VALUE!</v>
      </c>
      <c r="CP33" s="139">
        <f>PLĀNS_ar_grozījumiem!CP33-'plans (27122022)'!CP32</f>
        <v>-7908.3500000000058</v>
      </c>
      <c r="CQ33" s="140">
        <f>PLĀNS_ar_grozījumiem!CQ33-'plans (27122022)'!CQ32</f>
        <v>0</v>
      </c>
      <c r="CR33" s="170" t="e">
        <f>PLĀNS_ar_grozījumiem!CR33-'plans (27122022)'!CR32</f>
        <v>#VALUE!</v>
      </c>
      <c r="CS33" s="171" t="e">
        <f>PLĀNS_ar_grozījumiem!CS33-'plans (27122022)'!CS32</f>
        <v>#VALUE!</v>
      </c>
      <c r="CT33" s="139">
        <f>PLĀNS_ar_grozījumiem!CT33-'plans (27122022)'!CT32</f>
        <v>0</v>
      </c>
      <c r="CU33" s="140">
        <f>PLĀNS_ar_grozījumiem!CU33-'plans (27122022)'!CU32</f>
        <v>0</v>
      </c>
      <c r="CV33" s="170" t="e">
        <f>PLĀNS_ar_grozījumiem!CV33-'plans (27122022)'!CV32</f>
        <v>#VALUE!</v>
      </c>
      <c r="CW33" s="171" t="e">
        <f>PLĀNS_ar_grozījumiem!CW33-'plans (27122022)'!CW32</f>
        <v>#VALUE!</v>
      </c>
      <c r="CX33" s="139">
        <f>PLĀNS_ar_grozījumiem!CX33-'plans (27122022)'!CX32</f>
        <v>0.45529063653658852</v>
      </c>
      <c r="CY33" s="146">
        <f>PLĀNS_ar_grozījumiem!CY33-'plans (27122022)'!CY32</f>
        <v>0</v>
      </c>
      <c r="CZ33" s="147">
        <f t="shared" si="0"/>
        <v>1080.0999999999999</v>
      </c>
      <c r="DA33" s="148">
        <f t="shared" si="0"/>
        <v>0</v>
      </c>
      <c r="DB33" s="149" t="e">
        <f>(CZ33/#REF!)*100</f>
        <v>#REF!</v>
      </c>
      <c r="DC33" s="150" t="e">
        <f>(DA33/#REF!)*100</f>
        <v>#REF!</v>
      </c>
      <c r="DD33" s="139">
        <f t="shared" si="1"/>
        <v>85324</v>
      </c>
      <c r="DE33" s="141">
        <f t="shared" si="1"/>
        <v>0</v>
      </c>
      <c r="DF33" s="141" t="e">
        <f t="shared" si="1"/>
        <v>#VALUE!</v>
      </c>
      <c r="DG33" s="151" t="e">
        <f t="shared" si="1"/>
        <v>#VALUE!</v>
      </c>
      <c r="DH33" s="139">
        <f t="shared" si="1"/>
        <v>85324</v>
      </c>
      <c r="DI33" s="140">
        <f t="shared" si="1"/>
        <v>0</v>
      </c>
      <c r="DJ33" s="140" t="e">
        <f t="shared" si="1"/>
        <v>#VALUE!</v>
      </c>
      <c r="DK33" s="140" t="e">
        <f t="shared" si="1"/>
        <v>#VALUE!</v>
      </c>
      <c r="DL33" s="139">
        <f t="shared" si="1"/>
        <v>0</v>
      </c>
      <c r="DM33" s="140">
        <f t="shared" si="1"/>
        <v>0</v>
      </c>
      <c r="DN33" s="140" t="e">
        <f t="shared" si="1"/>
        <v>#VALUE!</v>
      </c>
      <c r="DO33" s="152" t="e">
        <f t="shared" si="1"/>
        <v>#VALUE!</v>
      </c>
      <c r="DP33" s="139">
        <f>ROUND((DD33/CZ33),0)</f>
        <v>79</v>
      </c>
      <c r="DQ33" s="153" t="e">
        <f>ROUND((DE33/DA33),0)</f>
        <v>#DIV/0!</v>
      </c>
      <c r="DR33" s="154">
        <f>PLĀNS_ar_grozījumiem!CF33-'plans (27122022)'!CF32</f>
        <v>-117.79999999999973</v>
      </c>
      <c r="DS33" s="904">
        <f>DR33/'plans (27122022)'!CF32</f>
        <v>-5.5404007148904026E-2</v>
      </c>
      <c r="DT33" s="79">
        <f>PLĀNS_ar_grozījumiem!CL33-'plans (27122022)'!CL32</f>
        <v>-7908.3500000000058</v>
      </c>
      <c r="DU33" s="905">
        <f>DT33/'plans (27122022)'!CL32</f>
        <v>-4.9661839692547324E-2</v>
      </c>
      <c r="DV33" s="86"/>
      <c r="DW33" s="84">
        <f>PLĀNS_ar_grozījumiem!CM33-'plans (27122022)'!CM32</f>
        <v>0</v>
      </c>
      <c r="DX33" s="79">
        <f>PLĀNS_ar_grozījumiem!CP33-'plans (27122022)'!CP32</f>
        <v>-7908.3500000000058</v>
      </c>
      <c r="DY33" s="905">
        <f>DX33/'plans (27122022)'!CP32</f>
        <v>-4.9661839692547324E-2</v>
      </c>
      <c r="DZ33" s="86"/>
      <c r="EA33" s="84"/>
      <c r="EB33" s="79">
        <f>PLĀNS_ar_grozījumiem!CT33-'plans (27122022)'!CT32</f>
        <v>0</v>
      </c>
      <c r="EC33" s="87"/>
      <c r="ED33" s="86"/>
      <c r="EE33" s="87"/>
      <c r="EF33" s="155">
        <f>PLĀNS_ar_grozījumiem!CX33-'plans (27122022)'!CX32</f>
        <v>0.45529063653658852</v>
      </c>
      <c r="EG33" s="912">
        <f>EF33/'plans (27122022)'!CX32</f>
        <v>6.0789665632871226E-3</v>
      </c>
    </row>
    <row r="34" spans="1:137" ht="15.75" customHeight="1" x14ac:dyDescent="0.3">
      <c r="A34" s="1070"/>
      <c r="B34" s="160"/>
      <c r="C34" s="1024" t="s">
        <v>45</v>
      </c>
      <c r="D34" s="1005">
        <v>31.8</v>
      </c>
      <c r="E34" s="93"/>
      <c r="F34" s="93">
        <v>1.4729041222788328</v>
      </c>
      <c r="G34" s="93"/>
      <c r="H34" s="158" t="s">
        <v>44</v>
      </c>
      <c r="I34" s="159" t="s">
        <v>44</v>
      </c>
      <c r="J34" s="96">
        <v>12294</v>
      </c>
      <c r="K34" s="97"/>
      <c r="L34" s="98" t="s">
        <v>44</v>
      </c>
      <c r="M34" s="99" t="s">
        <v>44</v>
      </c>
      <c r="N34" s="100">
        <v>12294</v>
      </c>
      <c r="O34" s="126"/>
      <c r="P34" s="158" t="s">
        <v>44</v>
      </c>
      <c r="Q34" s="159" t="s">
        <v>44</v>
      </c>
      <c r="R34" s="100">
        <v>0</v>
      </c>
      <c r="S34" s="97"/>
      <c r="T34" s="158" t="s">
        <v>44</v>
      </c>
      <c r="U34" s="159" t="s">
        <v>44</v>
      </c>
      <c r="V34" s="102">
        <v>387</v>
      </c>
      <c r="W34" s="102"/>
      <c r="X34" s="92">
        <v>34.5</v>
      </c>
      <c r="Y34" s="93"/>
      <c r="Z34" s="93">
        <v>1.5796703296703296</v>
      </c>
      <c r="AA34" s="93"/>
      <c r="AB34" s="158" t="s">
        <v>44</v>
      </c>
      <c r="AC34" s="159" t="s">
        <v>44</v>
      </c>
      <c r="AD34" s="96">
        <v>12674</v>
      </c>
      <c r="AE34" s="97"/>
      <c r="AF34" s="98" t="s">
        <v>44</v>
      </c>
      <c r="AG34" s="99" t="s">
        <v>44</v>
      </c>
      <c r="AH34" s="100">
        <v>12674</v>
      </c>
      <c r="AI34" s="126"/>
      <c r="AJ34" s="158" t="s">
        <v>44</v>
      </c>
      <c r="AK34" s="159" t="s">
        <v>44</v>
      </c>
      <c r="AL34" s="100">
        <v>0</v>
      </c>
      <c r="AM34" s="97"/>
      <c r="AN34" s="158" t="s">
        <v>44</v>
      </c>
      <c r="AO34" s="159" t="s">
        <v>44</v>
      </c>
      <c r="AP34" s="102">
        <v>367</v>
      </c>
      <c r="AQ34" s="102"/>
      <c r="AR34" s="92">
        <v>31.7</v>
      </c>
      <c r="AS34" s="93">
        <f>PLĀNS_ar_grozījumiem!AS34-'plans (27122022)'!AS33</f>
        <v>0</v>
      </c>
      <c r="AT34" s="93">
        <f>PLĀNS_ar_grozījumiem!AT34-'plans (27122022)'!AT33</f>
        <v>-1.4256793478260867</v>
      </c>
      <c r="AU34" s="93">
        <f>PLĀNS_ar_grozījumiem!AU34-'plans (27122022)'!AU33</f>
        <v>0</v>
      </c>
      <c r="AV34" s="158" t="e">
        <f>PLĀNS_ar_grozījumiem!AV34-'plans (27122022)'!AV33</f>
        <v>#VALUE!</v>
      </c>
      <c r="AW34" s="159" t="e">
        <f>PLĀNS_ar_grozījumiem!AW34-'plans (27122022)'!AW33</f>
        <v>#VALUE!</v>
      </c>
      <c r="AX34" s="96">
        <f>PLĀNS_ar_grozījumiem!AX34-'plans (27122022)'!AX33</f>
        <v>3386.3500000000004</v>
      </c>
      <c r="AY34" s="97">
        <f>PLĀNS_ar_grozījumiem!AY34-'plans (27122022)'!AY33</f>
        <v>0</v>
      </c>
      <c r="AZ34" s="98" t="e">
        <f>PLĀNS_ar_grozījumiem!AZ34-'plans (27122022)'!AZ33</f>
        <v>#VALUE!</v>
      </c>
      <c r="BA34" s="99" t="e">
        <f>PLĀNS_ar_grozījumiem!BA34-'plans (27122022)'!BA33</f>
        <v>#VALUE!</v>
      </c>
      <c r="BB34" s="100">
        <f>PLĀNS_ar_grozījumiem!BB34-'plans (27122022)'!BB33</f>
        <v>3386.3500000000004</v>
      </c>
      <c r="BC34" s="126">
        <f>PLĀNS_ar_grozījumiem!BC34-'plans (27122022)'!BC33</f>
        <v>0</v>
      </c>
      <c r="BD34" s="158" t="e">
        <f>PLĀNS_ar_grozījumiem!BD34-'plans (27122022)'!BD33</f>
        <v>#VALUE!</v>
      </c>
      <c r="BE34" s="159" t="e">
        <f>PLĀNS_ar_grozījumiem!BE34-'plans (27122022)'!BE33</f>
        <v>#VALUE!</v>
      </c>
      <c r="BF34" s="100">
        <f>PLĀNS_ar_grozījumiem!BF34-'plans (27122022)'!BF33</f>
        <v>0</v>
      </c>
      <c r="BG34" s="97">
        <f>PLĀNS_ar_grozījumiem!BG34-'plans (27122022)'!BG33</f>
        <v>0</v>
      </c>
      <c r="BH34" s="158" t="e">
        <f>PLĀNS_ar_grozījumiem!BH34-'plans (27122022)'!BH33</f>
        <v>#VALUE!</v>
      </c>
      <c r="BI34" s="159" t="e">
        <f>PLĀNS_ar_grozījumiem!BI34-'plans (27122022)'!BI33</f>
        <v>#VALUE!</v>
      </c>
      <c r="BJ34" s="102">
        <f>PLĀNS_ar_grozījumiem!BJ34-'plans (27122022)'!BJ33</f>
        <v>248.79411764705878</v>
      </c>
      <c r="BK34" s="102">
        <f>PLĀNS_ar_grozījumiem!BK34-'plans (27122022)'!BK33</f>
        <v>0</v>
      </c>
      <c r="BL34" s="92">
        <f>PLĀNS_ar_grozījumiem!BL34-'plans (27122022)'!BL33</f>
        <v>-1.8000000000000007</v>
      </c>
      <c r="BM34" s="93">
        <f>PLĀNS_ar_grozījumiem!BM34-'plans (27122022)'!BM33</f>
        <v>0</v>
      </c>
      <c r="BN34" s="93">
        <f>PLĀNS_ar_grozījumiem!BN34-'plans (27122022)'!BN33</f>
        <v>-1.4080579447713897</v>
      </c>
      <c r="BO34" s="93">
        <f>PLĀNS_ar_grozījumiem!BO34-'plans (27122022)'!BO33</f>
        <v>0</v>
      </c>
      <c r="BP34" s="158" t="e">
        <f>PLĀNS_ar_grozījumiem!BP34-'plans (27122022)'!BP33</f>
        <v>#VALUE!</v>
      </c>
      <c r="BQ34" s="159" t="e">
        <f>PLĀNS_ar_grozījumiem!BQ34-'plans (27122022)'!BQ33</f>
        <v>#VALUE!</v>
      </c>
      <c r="BR34" s="96">
        <f>PLĀNS_ar_grozījumiem!BR34-'plans (27122022)'!BR33</f>
        <v>2174</v>
      </c>
      <c r="BS34" s="97">
        <f>PLĀNS_ar_grozījumiem!BS34-'plans (27122022)'!BS33</f>
        <v>0</v>
      </c>
      <c r="BT34" s="98" t="e">
        <f>PLĀNS_ar_grozījumiem!BT34-'plans (27122022)'!BT33</f>
        <v>#VALUE!</v>
      </c>
      <c r="BU34" s="99" t="e">
        <f>PLĀNS_ar_grozījumiem!BU34-'plans (27122022)'!BU33</f>
        <v>#VALUE!</v>
      </c>
      <c r="BV34" s="100">
        <f>PLĀNS_ar_grozījumiem!BV34-'plans (27122022)'!BV33</f>
        <v>2174</v>
      </c>
      <c r="BW34" s="126">
        <f>PLĀNS_ar_grozījumiem!BW34-'plans (27122022)'!BW33</f>
        <v>0</v>
      </c>
      <c r="BX34" s="158" t="e">
        <f>PLĀNS_ar_grozījumiem!BX34-'plans (27122022)'!BX33</f>
        <v>#VALUE!</v>
      </c>
      <c r="BY34" s="159" t="e">
        <f>PLĀNS_ar_grozījumiem!BY34-'plans (27122022)'!BY33</f>
        <v>#VALUE!</v>
      </c>
      <c r="BZ34" s="100">
        <f>PLĀNS_ar_grozījumiem!BZ34-'plans (27122022)'!BZ33</f>
        <v>0</v>
      </c>
      <c r="CA34" s="97">
        <f>PLĀNS_ar_grozījumiem!CA34-'plans (27122022)'!CA33</f>
        <v>0</v>
      </c>
      <c r="CB34" s="158" t="e">
        <f>PLĀNS_ar_grozījumiem!CB34-'plans (27122022)'!CB33</f>
        <v>#VALUE!</v>
      </c>
      <c r="CC34" s="159" t="e">
        <f>PLĀNS_ar_grozījumiem!CC34-'plans (27122022)'!CC33</f>
        <v>#VALUE!</v>
      </c>
      <c r="CD34" s="102">
        <f>PLĀNS_ar_grozījumiem!CD34-'plans (27122022)'!CD33</f>
        <v>95.986486486486513</v>
      </c>
      <c r="CE34" s="102">
        <f>PLĀNS_ar_grozījumiem!CE34-'plans (27122022)'!CE33</f>
        <v>0</v>
      </c>
      <c r="CF34" s="103">
        <f>PLĀNS_ar_grozījumiem!CF34-'plans (27122022)'!CF33</f>
        <v>-11.400000000000006</v>
      </c>
      <c r="CG34" s="102">
        <f>PLĀNS_ar_grozījumiem!CG34-'plans (27122022)'!CG33</f>
        <v>0</v>
      </c>
      <c r="CH34" s="93">
        <f>PLĀNS_ar_grozījumiem!CH34-'plans (27122022)'!CH33</f>
        <v>-1.4636986301369863</v>
      </c>
      <c r="CI34" s="127">
        <f>PLĀNS_ar_grozījumiem!CI34-'plans (27122022)'!CI33</f>
        <v>0</v>
      </c>
      <c r="CJ34" s="98" t="e">
        <f>PLĀNS_ar_grozījumiem!CJ34-'plans (27122022)'!CJ33</f>
        <v>#VALUE!</v>
      </c>
      <c r="CK34" s="99" t="e">
        <f>PLĀNS_ar_grozījumiem!CK34-'plans (27122022)'!CK33</f>
        <v>#VALUE!</v>
      </c>
      <c r="CL34" s="100">
        <f>PLĀNS_ar_grozījumiem!CL34-'plans (27122022)'!CL33</f>
        <v>5560.3499999999985</v>
      </c>
      <c r="CM34" s="107">
        <f>PLĀNS_ar_grozījumiem!CM34-'plans (27122022)'!CM33</f>
        <v>0</v>
      </c>
      <c r="CN34" s="108" t="e">
        <f>PLĀNS_ar_grozījumiem!CN34-'plans (27122022)'!CN33</f>
        <v>#VALUE!</v>
      </c>
      <c r="CO34" s="99" t="e">
        <f>PLĀNS_ar_grozījumiem!CO34-'plans (27122022)'!CO33</f>
        <v>#VALUE!</v>
      </c>
      <c r="CP34" s="100">
        <f>PLĀNS_ar_grozījumiem!CP34-'plans (27122022)'!CP33</f>
        <v>5560.3499999999985</v>
      </c>
      <c r="CQ34" s="97">
        <f>PLĀNS_ar_grozījumiem!CQ34-'plans (27122022)'!CQ33</f>
        <v>0</v>
      </c>
      <c r="CR34" s="98" t="e">
        <f>PLĀNS_ar_grozījumiem!CR34-'plans (27122022)'!CR33</f>
        <v>#VALUE!</v>
      </c>
      <c r="CS34" s="99" t="e">
        <f>PLĀNS_ar_grozījumiem!CS34-'plans (27122022)'!CS33</f>
        <v>#VALUE!</v>
      </c>
      <c r="CT34" s="100">
        <f>PLĀNS_ar_grozījumiem!CT34-'plans (27122022)'!CT33</f>
        <v>0</v>
      </c>
      <c r="CU34" s="97">
        <f>PLĀNS_ar_grozījumiem!CU34-'plans (27122022)'!CU33</f>
        <v>0</v>
      </c>
      <c r="CV34" s="98" t="e">
        <f>PLĀNS_ar_grozījumiem!CV34-'plans (27122022)'!CV33</f>
        <v>#VALUE!</v>
      </c>
      <c r="CW34" s="99" t="e">
        <f>PLĀNS_ar_grozījumiem!CW34-'plans (27122022)'!CW33</f>
        <v>#VALUE!</v>
      </c>
      <c r="CX34" s="100">
        <f>PLĀNS_ar_grozījumiem!CX34-'plans (27122022)'!CX33</f>
        <v>79.710743850365475</v>
      </c>
      <c r="CY34" s="129">
        <f>PLĀNS_ar_grozījumiem!CY34-'plans (27122022)'!CY33</f>
        <v>0</v>
      </c>
      <c r="CZ34" s="110">
        <f t="shared" si="0"/>
        <v>66.3</v>
      </c>
      <c r="DA34" s="111">
        <f t="shared" si="0"/>
        <v>0</v>
      </c>
      <c r="DB34" s="112">
        <f>(CZ34/4343)*100</f>
        <v>1.5265945199171078</v>
      </c>
      <c r="DC34" s="113">
        <f>(DA34/4343)*100</f>
        <v>0</v>
      </c>
      <c r="DD34" s="100">
        <f t="shared" si="1"/>
        <v>24968</v>
      </c>
      <c r="DE34" s="102">
        <f t="shared" si="1"/>
        <v>0</v>
      </c>
      <c r="DF34" s="102" t="e">
        <f t="shared" si="1"/>
        <v>#VALUE!</v>
      </c>
      <c r="DG34" s="114" t="e">
        <f t="shared" ref="DG34:DO62" si="10">M34+AG34</f>
        <v>#VALUE!</v>
      </c>
      <c r="DH34" s="100">
        <f t="shared" si="10"/>
        <v>24968</v>
      </c>
      <c r="DI34" s="97">
        <f t="shared" si="10"/>
        <v>0</v>
      </c>
      <c r="DJ34" s="97" t="e">
        <f t="shared" si="10"/>
        <v>#VALUE!</v>
      </c>
      <c r="DK34" s="97" t="e">
        <f t="shared" si="10"/>
        <v>#VALUE!</v>
      </c>
      <c r="DL34" s="100">
        <f t="shared" si="10"/>
        <v>0</v>
      </c>
      <c r="DM34" s="97">
        <f t="shared" si="10"/>
        <v>0</v>
      </c>
      <c r="DN34" s="97" t="e">
        <f t="shared" si="10"/>
        <v>#VALUE!</v>
      </c>
      <c r="DO34" s="115" t="e">
        <f t="shared" si="10"/>
        <v>#VALUE!</v>
      </c>
      <c r="DP34" s="100">
        <f t="shared" ref="DP34:DQ62" si="11">ROUND((DD34/CZ34),0)</f>
        <v>377</v>
      </c>
      <c r="DQ34" s="116" t="e">
        <f t="shared" si="11"/>
        <v>#DIV/0!</v>
      </c>
      <c r="DR34" s="117">
        <f>PLĀNS_ar_grozījumiem!CF34-'plans (27122022)'!CF33</f>
        <v>-11.400000000000006</v>
      </c>
      <c r="DS34" s="908">
        <f>DR34/'plans (27122022)'!CF33</f>
        <v>-8.809891808346218E-2</v>
      </c>
      <c r="DT34" s="104">
        <f>PLĀNS_ar_grozījumiem!CL34-'plans (27122022)'!CL33</f>
        <v>5560.3499999999985</v>
      </c>
      <c r="DU34" s="909">
        <f>DT34/'plans (27122022)'!CL33</f>
        <v>0.12738487972508589</v>
      </c>
      <c r="DV34" s="120"/>
      <c r="DW34" s="118">
        <f>PLĀNS_ar_grozījumiem!CM34-'plans (27122022)'!CM33</f>
        <v>0</v>
      </c>
      <c r="DX34" s="104">
        <f>PLĀNS_ar_grozījumiem!CP34-'plans (27122022)'!CP33</f>
        <v>5560.3499999999985</v>
      </c>
      <c r="DY34" s="909">
        <f>DX34/'plans (27122022)'!CP33</f>
        <v>0.12738487972508589</v>
      </c>
      <c r="DZ34" s="120"/>
      <c r="EA34" s="118"/>
      <c r="EB34" s="104">
        <f>PLĀNS_ar_grozījumiem!CT34-'plans (27122022)'!CT33</f>
        <v>0</v>
      </c>
      <c r="EC34" s="121"/>
      <c r="ED34" s="120"/>
      <c r="EE34" s="121"/>
      <c r="EF34" s="122">
        <f>PLĀNS_ar_grozījumiem!CX34-'plans (27122022)'!CX33</f>
        <v>79.710743850365475</v>
      </c>
      <c r="EG34" s="911">
        <f>EF34/'plans (27122022)'!CX33</f>
        <v>0.23630172403750957</v>
      </c>
    </row>
    <row r="35" spans="1:137" ht="15.75" customHeight="1" x14ac:dyDescent="0.3">
      <c r="A35" s="1070"/>
      <c r="B35" s="160"/>
      <c r="C35" s="1024" t="s">
        <v>46</v>
      </c>
      <c r="D35" s="1005">
        <v>0</v>
      </c>
      <c r="E35" s="93"/>
      <c r="F35" s="93">
        <v>0</v>
      </c>
      <c r="G35" s="93"/>
      <c r="H35" s="158" t="s">
        <v>44</v>
      </c>
      <c r="I35" s="159" t="s">
        <v>44</v>
      </c>
      <c r="J35" s="96">
        <v>0</v>
      </c>
      <c r="K35" s="97"/>
      <c r="L35" s="98" t="s">
        <v>44</v>
      </c>
      <c r="M35" s="99" t="s">
        <v>44</v>
      </c>
      <c r="N35" s="100">
        <v>0</v>
      </c>
      <c r="O35" s="126"/>
      <c r="P35" s="158" t="s">
        <v>44</v>
      </c>
      <c r="Q35" s="159" t="s">
        <v>44</v>
      </c>
      <c r="R35" s="100">
        <v>0</v>
      </c>
      <c r="S35" s="97"/>
      <c r="T35" s="158" t="s">
        <v>44</v>
      </c>
      <c r="U35" s="159" t="s">
        <v>44</v>
      </c>
      <c r="V35" s="102">
        <v>0</v>
      </c>
      <c r="W35" s="102"/>
      <c r="X35" s="92">
        <v>0</v>
      </c>
      <c r="Y35" s="93"/>
      <c r="Z35" s="93">
        <v>0</v>
      </c>
      <c r="AA35" s="93"/>
      <c r="AB35" s="158" t="s">
        <v>44</v>
      </c>
      <c r="AC35" s="159" t="s">
        <v>44</v>
      </c>
      <c r="AD35" s="96">
        <v>0</v>
      </c>
      <c r="AE35" s="97"/>
      <c r="AF35" s="98" t="s">
        <v>44</v>
      </c>
      <c r="AG35" s="99" t="s">
        <v>44</v>
      </c>
      <c r="AH35" s="100">
        <v>0</v>
      </c>
      <c r="AI35" s="126"/>
      <c r="AJ35" s="158" t="s">
        <v>44</v>
      </c>
      <c r="AK35" s="159" t="s">
        <v>44</v>
      </c>
      <c r="AL35" s="100">
        <v>0</v>
      </c>
      <c r="AM35" s="97"/>
      <c r="AN35" s="158" t="s">
        <v>44</v>
      </c>
      <c r="AO35" s="159" t="s">
        <v>44</v>
      </c>
      <c r="AP35" s="102">
        <v>0</v>
      </c>
      <c r="AQ35" s="102"/>
      <c r="AR35" s="92">
        <v>0</v>
      </c>
      <c r="AS35" s="93">
        <f>PLĀNS_ar_grozījumiem!AS35-'plans (27122022)'!AS34</f>
        <v>0</v>
      </c>
      <c r="AT35" s="93">
        <f>PLĀNS_ar_grozījumiem!AT35-'plans (27122022)'!AT34</f>
        <v>0</v>
      </c>
      <c r="AU35" s="93">
        <f>PLĀNS_ar_grozījumiem!AU35-'plans (27122022)'!AU34</f>
        <v>0</v>
      </c>
      <c r="AV35" s="158" t="e">
        <f>PLĀNS_ar_grozījumiem!AV35-'plans (27122022)'!AV34</f>
        <v>#VALUE!</v>
      </c>
      <c r="AW35" s="159" t="e">
        <f>PLĀNS_ar_grozījumiem!AW35-'plans (27122022)'!AW34</f>
        <v>#VALUE!</v>
      </c>
      <c r="AX35" s="96">
        <f>PLĀNS_ar_grozījumiem!AX35-'plans (27122022)'!AX34</f>
        <v>0</v>
      </c>
      <c r="AY35" s="97">
        <f>PLĀNS_ar_grozījumiem!AY35-'plans (27122022)'!AY34</f>
        <v>0</v>
      </c>
      <c r="AZ35" s="98" t="e">
        <f>PLĀNS_ar_grozījumiem!AZ35-'plans (27122022)'!AZ34</f>
        <v>#VALUE!</v>
      </c>
      <c r="BA35" s="99" t="e">
        <f>PLĀNS_ar_grozījumiem!BA35-'plans (27122022)'!BA34</f>
        <v>#VALUE!</v>
      </c>
      <c r="BB35" s="100">
        <f>PLĀNS_ar_grozījumiem!BB35-'plans (27122022)'!BB34</f>
        <v>0</v>
      </c>
      <c r="BC35" s="126">
        <f>PLĀNS_ar_grozījumiem!BC35-'plans (27122022)'!BC34</f>
        <v>0</v>
      </c>
      <c r="BD35" s="158" t="e">
        <f>PLĀNS_ar_grozījumiem!BD35-'plans (27122022)'!BD34</f>
        <v>#VALUE!</v>
      </c>
      <c r="BE35" s="159" t="e">
        <f>PLĀNS_ar_grozījumiem!BE35-'plans (27122022)'!BE34</f>
        <v>#VALUE!</v>
      </c>
      <c r="BF35" s="100">
        <f>PLĀNS_ar_grozījumiem!BF35-'plans (27122022)'!BF34</f>
        <v>0</v>
      </c>
      <c r="BG35" s="97">
        <f>PLĀNS_ar_grozījumiem!BG35-'plans (27122022)'!BG34</f>
        <v>0</v>
      </c>
      <c r="BH35" s="158" t="e">
        <f>PLĀNS_ar_grozījumiem!BH35-'plans (27122022)'!BH34</f>
        <v>#VALUE!</v>
      </c>
      <c r="BI35" s="159" t="e">
        <f>PLĀNS_ar_grozījumiem!BI35-'plans (27122022)'!BI34</f>
        <v>#VALUE!</v>
      </c>
      <c r="BJ35" s="102">
        <f>PLĀNS_ar_grozījumiem!BJ35-'plans (27122022)'!BJ34</f>
        <v>0</v>
      </c>
      <c r="BK35" s="102">
        <f>PLĀNS_ar_grozījumiem!BK35-'plans (27122022)'!BK34</f>
        <v>0</v>
      </c>
      <c r="BL35" s="92">
        <f>PLĀNS_ar_grozījumiem!BL35-'plans (27122022)'!BL34</f>
        <v>0</v>
      </c>
      <c r="BM35" s="93">
        <f>PLĀNS_ar_grozījumiem!BM35-'plans (27122022)'!BM34</f>
        <v>0</v>
      </c>
      <c r="BN35" s="93">
        <f>PLĀNS_ar_grozījumiem!BN35-'plans (27122022)'!BN34</f>
        <v>0</v>
      </c>
      <c r="BO35" s="93">
        <f>PLĀNS_ar_grozījumiem!BO35-'plans (27122022)'!BO34</f>
        <v>0</v>
      </c>
      <c r="BP35" s="158" t="e">
        <f>PLĀNS_ar_grozījumiem!BP35-'plans (27122022)'!BP34</f>
        <v>#VALUE!</v>
      </c>
      <c r="BQ35" s="159" t="e">
        <f>PLĀNS_ar_grozījumiem!BQ35-'plans (27122022)'!BQ34</f>
        <v>#VALUE!</v>
      </c>
      <c r="BR35" s="96">
        <f>PLĀNS_ar_grozījumiem!BR35-'plans (27122022)'!BR34</f>
        <v>0</v>
      </c>
      <c r="BS35" s="97">
        <f>PLĀNS_ar_grozījumiem!BS35-'plans (27122022)'!BS34</f>
        <v>0</v>
      </c>
      <c r="BT35" s="98" t="e">
        <f>PLĀNS_ar_grozījumiem!BT35-'plans (27122022)'!BT34</f>
        <v>#VALUE!</v>
      </c>
      <c r="BU35" s="99" t="e">
        <f>PLĀNS_ar_grozījumiem!BU35-'plans (27122022)'!BU34</f>
        <v>#VALUE!</v>
      </c>
      <c r="BV35" s="100">
        <f>PLĀNS_ar_grozījumiem!BV35-'plans (27122022)'!BV34</f>
        <v>0</v>
      </c>
      <c r="BW35" s="126">
        <f>PLĀNS_ar_grozījumiem!BW35-'plans (27122022)'!BW34</f>
        <v>0</v>
      </c>
      <c r="BX35" s="158" t="e">
        <f>PLĀNS_ar_grozījumiem!BX35-'plans (27122022)'!BX34</f>
        <v>#VALUE!</v>
      </c>
      <c r="BY35" s="159" t="e">
        <f>PLĀNS_ar_grozījumiem!BY35-'plans (27122022)'!BY34</f>
        <v>#VALUE!</v>
      </c>
      <c r="BZ35" s="100">
        <f>PLĀNS_ar_grozījumiem!BZ35-'plans (27122022)'!BZ34</f>
        <v>0</v>
      </c>
      <c r="CA35" s="97">
        <f>PLĀNS_ar_grozījumiem!CA35-'plans (27122022)'!CA34</f>
        <v>0</v>
      </c>
      <c r="CB35" s="158" t="e">
        <f>PLĀNS_ar_grozījumiem!CB35-'plans (27122022)'!CB34</f>
        <v>#VALUE!</v>
      </c>
      <c r="CC35" s="159" t="e">
        <f>PLĀNS_ar_grozījumiem!CC35-'plans (27122022)'!CC34</f>
        <v>#VALUE!</v>
      </c>
      <c r="CD35" s="102">
        <f>PLĀNS_ar_grozījumiem!CD35-'plans (27122022)'!CD34</f>
        <v>0</v>
      </c>
      <c r="CE35" s="102">
        <f>PLĀNS_ar_grozījumiem!CE35-'plans (27122022)'!CE34</f>
        <v>0</v>
      </c>
      <c r="CF35" s="103">
        <f>PLĀNS_ar_grozījumiem!CF35-'plans (27122022)'!CF34</f>
        <v>0</v>
      </c>
      <c r="CG35" s="102">
        <f>PLĀNS_ar_grozījumiem!CG35-'plans (27122022)'!CG34</f>
        <v>0</v>
      </c>
      <c r="CH35" s="93">
        <f>PLĀNS_ar_grozījumiem!CH35-'plans (27122022)'!CH34</f>
        <v>0</v>
      </c>
      <c r="CI35" s="127">
        <f>PLĀNS_ar_grozījumiem!CI35-'plans (27122022)'!CI34</f>
        <v>0</v>
      </c>
      <c r="CJ35" s="98" t="e">
        <f>PLĀNS_ar_grozījumiem!CJ35-'plans (27122022)'!CJ34</f>
        <v>#VALUE!</v>
      </c>
      <c r="CK35" s="99" t="e">
        <f>PLĀNS_ar_grozījumiem!CK35-'plans (27122022)'!CK34</f>
        <v>#VALUE!</v>
      </c>
      <c r="CL35" s="100">
        <f>PLĀNS_ar_grozījumiem!CL35-'plans (27122022)'!CL34</f>
        <v>0</v>
      </c>
      <c r="CM35" s="107">
        <f>PLĀNS_ar_grozījumiem!CM35-'plans (27122022)'!CM34</f>
        <v>0</v>
      </c>
      <c r="CN35" s="108" t="e">
        <f>PLĀNS_ar_grozījumiem!CN35-'plans (27122022)'!CN34</f>
        <v>#VALUE!</v>
      </c>
      <c r="CO35" s="99" t="e">
        <f>PLĀNS_ar_grozījumiem!CO35-'plans (27122022)'!CO34</f>
        <v>#VALUE!</v>
      </c>
      <c r="CP35" s="100">
        <f>PLĀNS_ar_grozījumiem!CP35-'plans (27122022)'!CP34</f>
        <v>0</v>
      </c>
      <c r="CQ35" s="97">
        <f>PLĀNS_ar_grozījumiem!CQ35-'plans (27122022)'!CQ34</f>
        <v>0</v>
      </c>
      <c r="CR35" s="98" t="e">
        <f>PLĀNS_ar_grozījumiem!CR35-'plans (27122022)'!CR34</f>
        <v>#VALUE!</v>
      </c>
      <c r="CS35" s="99" t="e">
        <f>PLĀNS_ar_grozījumiem!CS35-'plans (27122022)'!CS34</f>
        <v>#VALUE!</v>
      </c>
      <c r="CT35" s="100">
        <f>PLĀNS_ar_grozījumiem!CT35-'plans (27122022)'!CT34</f>
        <v>0</v>
      </c>
      <c r="CU35" s="97">
        <f>PLĀNS_ar_grozījumiem!CU35-'plans (27122022)'!CU34</f>
        <v>0</v>
      </c>
      <c r="CV35" s="98" t="e">
        <f>PLĀNS_ar_grozījumiem!CV35-'plans (27122022)'!CV34</f>
        <v>#VALUE!</v>
      </c>
      <c r="CW35" s="99" t="e">
        <f>PLĀNS_ar_grozījumiem!CW35-'plans (27122022)'!CW34</f>
        <v>#VALUE!</v>
      </c>
      <c r="CX35" s="100">
        <f>PLĀNS_ar_grozījumiem!CX35-'plans (27122022)'!CX34</f>
        <v>0</v>
      </c>
      <c r="CY35" s="129">
        <f>PLĀNS_ar_grozījumiem!CY35-'plans (27122022)'!CY34</f>
        <v>0</v>
      </c>
      <c r="CZ35" s="110">
        <f t="shared" si="0"/>
        <v>0</v>
      </c>
      <c r="DA35" s="111">
        <f t="shared" si="0"/>
        <v>0</v>
      </c>
      <c r="DB35" s="112">
        <f t="shared" ref="DB35:DC38" si="12">(CZ35/4343)*100</f>
        <v>0</v>
      </c>
      <c r="DC35" s="113">
        <f t="shared" si="12"/>
        <v>0</v>
      </c>
      <c r="DD35" s="100">
        <f t="shared" ref="DD35:DF62" si="13">J35+AD35</f>
        <v>0</v>
      </c>
      <c r="DE35" s="102">
        <f t="shared" si="13"/>
        <v>0</v>
      </c>
      <c r="DF35" s="102" t="e">
        <f t="shared" si="13"/>
        <v>#VALUE!</v>
      </c>
      <c r="DG35" s="114" t="e">
        <f t="shared" si="10"/>
        <v>#VALUE!</v>
      </c>
      <c r="DH35" s="100">
        <f t="shared" si="10"/>
        <v>0</v>
      </c>
      <c r="DI35" s="97">
        <f t="shared" si="10"/>
        <v>0</v>
      </c>
      <c r="DJ35" s="97" t="e">
        <f t="shared" si="10"/>
        <v>#VALUE!</v>
      </c>
      <c r="DK35" s="97" t="e">
        <f t="shared" si="10"/>
        <v>#VALUE!</v>
      </c>
      <c r="DL35" s="100">
        <f t="shared" si="10"/>
        <v>0</v>
      </c>
      <c r="DM35" s="97">
        <f t="shared" si="10"/>
        <v>0</v>
      </c>
      <c r="DN35" s="97" t="e">
        <f t="shared" si="10"/>
        <v>#VALUE!</v>
      </c>
      <c r="DO35" s="115" t="e">
        <f t="shared" si="10"/>
        <v>#VALUE!</v>
      </c>
      <c r="DP35" s="100" t="e">
        <f t="shared" si="11"/>
        <v>#DIV/0!</v>
      </c>
      <c r="DQ35" s="116" t="e">
        <f t="shared" si="11"/>
        <v>#DIV/0!</v>
      </c>
      <c r="DR35" s="117">
        <f>PLĀNS_ar_grozījumiem!CF35-'plans (27122022)'!CF34</f>
        <v>0</v>
      </c>
      <c r="DS35" s="908"/>
      <c r="DT35" s="104">
        <f>PLĀNS_ar_grozījumiem!CL35-'plans (27122022)'!CL34</f>
        <v>0</v>
      </c>
      <c r="DU35" s="909"/>
      <c r="DV35" s="120"/>
      <c r="DW35" s="118">
        <f>PLĀNS_ar_grozījumiem!CM35-'plans (27122022)'!CM34</f>
        <v>0</v>
      </c>
      <c r="DX35" s="104">
        <f>PLĀNS_ar_grozījumiem!CP35-'plans (27122022)'!CP34</f>
        <v>0</v>
      </c>
      <c r="DY35" s="909"/>
      <c r="DZ35" s="120"/>
      <c r="EA35" s="118"/>
      <c r="EB35" s="104">
        <f>PLĀNS_ar_grozījumiem!CT35-'plans (27122022)'!CT34</f>
        <v>0</v>
      </c>
      <c r="EC35" s="121"/>
      <c r="ED35" s="120"/>
      <c r="EE35" s="121"/>
      <c r="EF35" s="122"/>
      <c r="EG35" s="911"/>
    </row>
    <row r="36" spans="1:137" ht="15.75" customHeight="1" x14ac:dyDescent="0.25">
      <c r="A36" s="1070"/>
      <c r="B36" s="173"/>
      <c r="C36" s="1024" t="s">
        <v>47</v>
      </c>
      <c r="D36" s="1005">
        <v>9.5</v>
      </c>
      <c r="E36" s="93"/>
      <c r="F36" s="93">
        <v>0.44001852709587774</v>
      </c>
      <c r="G36" s="93"/>
      <c r="H36" s="158" t="s">
        <v>44</v>
      </c>
      <c r="I36" s="159" t="s">
        <v>44</v>
      </c>
      <c r="J36" s="96">
        <v>3664</v>
      </c>
      <c r="K36" s="97"/>
      <c r="L36" s="98" t="s">
        <v>44</v>
      </c>
      <c r="M36" s="99" t="s">
        <v>44</v>
      </c>
      <c r="N36" s="100">
        <v>3664</v>
      </c>
      <c r="O36" s="126"/>
      <c r="P36" s="158" t="s">
        <v>44</v>
      </c>
      <c r="Q36" s="159" t="s">
        <v>44</v>
      </c>
      <c r="R36" s="100">
        <v>0</v>
      </c>
      <c r="S36" s="97"/>
      <c r="T36" s="158" t="s">
        <v>44</v>
      </c>
      <c r="U36" s="159" t="s">
        <v>44</v>
      </c>
      <c r="V36" s="102">
        <v>386</v>
      </c>
      <c r="W36" s="102"/>
      <c r="X36" s="92">
        <v>12</v>
      </c>
      <c r="Y36" s="93"/>
      <c r="Z36" s="93">
        <v>0.5494505494505495</v>
      </c>
      <c r="AA36" s="93"/>
      <c r="AB36" s="158" t="s">
        <v>44</v>
      </c>
      <c r="AC36" s="159" t="s">
        <v>44</v>
      </c>
      <c r="AD36" s="96">
        <v>4395</v>
      </c>
      <c r="AE36" s="97"/>
      <c r="AF36" s="98" t="s">
        <v>44</v>
      </c>
      <c r="AG36" s="99" t="s">
        <v>44</v>
      </c>
      <c r="AH36" s="100">
        <v>4395</v>
      </c>
      <c r="AI36" s="126"/>
      <c r="AJ36" s="158" t="s">
        <v>44</v>
      </c>
      <c r="AK36" s="159" t="s">
        <v>44</v>
      </c>
      <c r="AL36" s="100">
        <v>0</v>
      </c>
      <c r="AM36" s="97"/>
      <c r="AN36" s="158" t="s">
        <v>44</v>
      </c>
      <c r="AO36" s="159" t="s">
        <v>44</v>
      </c>
      <c r="AP36" s="102">
        <v>366</v>
      </c>
      <c r="AQ36" s="102"/>
      <c r="AR36" s="92">
        <v>2</v>
      </c>
      <c r="AS36" s="93">
        <f>PLĀNS_ar_grozījumiem!AS36-'plans (27122022)'!AS35</f>
        <v>0</v>
      </c>
      <c r="AT36" s="93">
        <f>PLĀNS_ar_grozījumiem!AT36-'plans (27122022)'!AT35</f>
        <v>-8.9221014492753617E-2</v>
      </c>
      <c r="AU36" s="93">
        <f>PLĀNS_ar_grozījumiem!AU36-'plans (27122022)'!AU35</f>
        <v>0</v>
      </c>
      <c r="AV36" s="158" t="e">
        <f>PLĀNS_ar_grozījumiem!AV36-'plans (27122022)'!AV35</f>
        <v>#VALUE!</v>
      </c>
      <c r="AW36" s="159" t="e">
        <f>PLĀNS_ar_grozījumiem!AW36-'plans (27122022)'!AW35</f>
        <v>#VALUE!</v>
      </c>
      <c r="AX36" s="96">
        <f>PLĀNS_ar_grozījumiem!AX36-'plans (27122022)'!AX35</f>
        <v>-29</v>
      </c>
      <c r="AY36" s="97">
        <f>PLĀNS_ar_grozījumiem!AY36-'plans (27122022)'!AY35</f>
        <v>0</v>
      </c>
      <c r="AZ36" s="98" t="e">
        <f>PLĀNS_ar_grozījumiem!AZ36-'plans (27122022)'!AZ35</f>
        <v>#VALUE!</v>
      </c>
      <c r="BA36" s="99" t="e">
        <f>PLĀNS_ar_grozījumiem!BA36-'plans (27122022)'!BA35</f>
        <v>#VALUE!</v>
      </c>
      <c r="BB36" s="100">
        <f>PLĀNS_ar_grozījumiem!BB36-'plans (27122022)'!BB35</f>
        <v>-29</v>
      </c>
      <c r="BC36" s="126">
        <f>PLĀNS_ar_grozījumiem!BC36-'plans (27122022)'!BC35</f>
        <v>0</v>
      </c>
      <c r="BD36" s="158" t="e">
        <f>PLĀNS_ar_grozījumiem!BD36-'plans (27122022)'!BD35</f>
        <v>#VALUE!</v>
      </c>
      <c r="BE36" s="159" t="e">
        <f>PLĀNS_ar_grozījumiem!BE36-'plans (27122022)'!BE35</f>
        <v>#VALUE!</v>
      </c>
      <c r="BF36" s="100">
        <f>PLĀNS_ar_grozījumiem!BF36-'plans (27122022)'!BF35</f>
        <v>0</v>
      </c>
      <c r="BG36" s="97">
        <f>PLĀNS_ar_grozījumiem!BG36-'plans (27122022)'!BG35</f>
        <v>0</v>
      </c>
      <c r="BH36" s="158" t="e">
        <f>PLĀNS_ar_grozījumiem!BH36-'plans (27122022)'!BH35</f>
        <v>#VALUE!</v>
      </c>
      <c r="BI36" s="159" t="e">
        <f>PLĀNS_ar_grozījumiem!BI36-'plans (27122022)'!BI35</f>
        <v>#VALUE!</v>
      </c>
      <c r="BJ36" s="102">
        <f>PLĀNS_ar_grozījumiem!BJ36-'plans (27122022)'!BJ35</f>
        <v>-150.33333333333331</v>
      </c>
      <c r="BK36" s="102">
        <f>PLĀNS_ar_grozījumiem!BK36-'plans (27122022)'!BK35</f>
        <v>0</v>
      </c>
      <c r="BL36" s="92">
        <f>PLĀNS_ar_grozījumiem!BL36-'plans (27122022)'!BL35</f>
        <v>0</v>
      </c>
      <c r="BM36" s="93">
        <f>PLĀNS_ar_grozījumiem!BM36-'plans (27122022)'!BM35</f>
        <v>0</v>
      </c>
      <c r="BN36" s="93">
        <f>PLĀNS_ar_grozījumiem!BN36-'plans (27122022)'!BN35</f>
        <v>-0.53779990946129475</v>
      </c>
      <c r="BO36" s="93">
        <f>PLĀNS_ar_grozījumiem!BO36-'plans (27122022)'!BO35</f>
        <v>0</v>
      </c>
      <c r="BP36" s="158" t="e">
        <f>PLĀNS_ar_grozījumiem!BP36-'plans (27122022)'!BP35</f>
        <v>#VALUE!</v>
      </c>
      <c r="BQ36" s="159" t="e">
        <f>PLĀNS_ar_grozījumiem!BQ36-'plans (27122022)'!BQ35</f>
        <v>#VALUE!</v>
      </c>
      <c r="BR36" s="96">
        <f>PLĀNS_ar_grozījumiem!BR36-'plans (27122022)'!BR35</f>
        <v>866</v>
      </c>
      <c r="BS36" s="97">
        <f>PLĀNS_ar_grozījumiem!BS36-'plans (27122022)'!BS35</f>
        <v>0</v>
      </c>
      <c r="BT36" s="98" t="e">
        <f>PLĀNS_ar_grozījumiem!BT36-'plans (27122022)'!BT35</f>
        <v>#VALUE!</v>
      </c>
      <c r="BU36" s="99" t="e">
        <f>PLĀNS_ar_grozījumiem!BU36-'plans (27122022)'!BU35</f>
        <v>#VALUE!</v>
      </c>
      <c r="BV36" s="100">
        <f>PLĀNS_ar_grozījumiem!BV36-'plans (27122022)'!BV35</f>
        <v>866</v>
      </c>
      <c r="BW36" s="126">
        <f>PLĀNS_ar_grozījumiem!BW36-'plans (27122022)'!BW35</f>
        <v>0</v>
      </c>
      <c r="BX36" s="158" t="e">
        <f>PLĀNS_ar_grozījumiem!BX36-'plans (27122022)'!BX35</f>
        <v>#VALUE!</v>
      </c>
      <c r="BY36" s="159" t="e">
        <f>PLĀNS_ar_grozījumiem!BY36-'plans (27122022)'!BY35</f>
        <v>#VALUE!</v>
      </c>
      <c r="BZ36" s="100">
        <f>PLĀNS_ar_grozījumiem!BZ36-'plans (27122022)'!BZ35</f>
        <v>0</v>
      </c>
      <c r="CA36" s="97">
        <f>PLĀNS_ar_grozījumiem!CA36-'plans (27122022)'!CA35</f>
        <v>0</v>
      </c>
      <c r="CB36" s="158" t="e">
        <f>PLĀNS_ar_grozījumiem!CB36-'plans (27122022)'!CB35</f>
        <v>#VALUE!</v>
      </c>
      <c r="CC36" s="159" t="e">
        <f>PLĀNS_ar_grozījumiem!CC36-'plans (27122022)'!CC35</f>
        <v>#VALUE!</v>
      </c>
      <c r="CD36" s="102">
        <f>PLĀNS_ar_grozījumiem!CD36-'plans (27122022)'!CD35</f>
        <v>72.583333333333314</v>
      </c>
      <c r="CE36" s="102">
        <f>PLĀNS_ar_grozījumiem!CE36-'plans (27122022)'!CE35</f>
        <v>0</v>
      </c>
      <c r="CF36" s="103">
        <f>PLĀNS_ar_grozījumiem!CF36-'plans (27122022)'!CF35</f>
        <v>1</v>
      </c>
      <c r="CG36" s="102">
        <f>PLĀNS_ar_grozījumiem!CG36-'plans (27122022)'!CG35</f>
        <v>0</v>
      </c>
      <c r="CH36" s="93">
        <f>PLĀNS_ar_grozījumiem!CH36-'plans (27122022)'!CH35</f>
        <v>-0.40108447488584476</v>
      </c>
      <c r="CI36" s="127">
        <f>PLĀNS_ar_grozījumiem!CI36-'plans (27122022)'!CI35</f>
        <v>0</v>
      </c>
      <c r="CJ36" s="98" t="e">
        <f>PLĀNS_ar_grozījumiem!CJ36-'plans (27122022)'!CJ35</f>
        <v>#VALUE!</v>
      </c>
      <c r="CK36" s="99" t="e">
        <f>PLĀNS_ar_grozījumiem!CK36-'plans (27122022)'!CK35</f>
        <v>#VALUE!</v>
      </c>
      <c r="CL36" s="100">
        <f>PLĀNS_ar_grozījumiem!CL36-'plans (27122022)'!CL35</f>
        <v>837</v>
      </c>
      <c r="CM36" s="107">
        <f>PLĀNS_ar_grozījumiem!CM36-'plans (27122022)'!CM35</f>
        <v>0</v>
      </c>
      <c r="CN36" s="108" t="e">
        <f>PLĀNS_ar_grozījumiem!CN36-'plans (27122022)'!CN35</f>
        <v>#VALUE!</v>
      </c>
      <c r="CO36" s="99" t="e">
        <f>PLĀNS_ar_grozījumiem!CO36-'plans (27122022)'!CO35</f>
        <v>#VALUE!</v>
      </c>
      <c r="CP36" s="100">
        <f>PLĀNS_ar_grozījumiem!CP36-'plans (27122022)'!CP35</f>
        <v>837</v>
      </c>
      <c r="CQ36" s="97">
        <f>PLĀNS_ar_grozījumiem!CQ36-'plans (27122022)'!CQ35</f>
        <v>0</v>
      </c>
      <c r="CR36" s="98" t="e">
        <f>PLĀNS_ar_grozījumiem!CR36-'plans (27122022)'!CR35</f>
        <v>#VALUE!</v>
      </c>
      <c r="CS36" s="99" t="e">
        <f>PLĀNS_ar_grozījumiem!CS36-'plans (27122022)'!CS35</f>
        <v>#VALUE!</v>
      </c>
      <c r="CT36" s="100">
        <f>PLĀNS_ar_grozījumiem!CT36-'plans (27122022)'!CT35</f>
        <v>0</v>
      </c>
      <c r="CU36" s="97">
        <f>PLĀNS_ar_grozījumiem!CU36-'plans (27122022)'!CU35</f>
        <v>0</v>
      </c>
      <c r="CV36" s="98" t="e">
        <f>PLĀNS_ar_grozījumiem!CV36-'plans (27122022)'!CV35</f>
        <v>#VALUE!</v>
      </c>
      <c r="CW36" s="99" t="e">
        <f>PLĀNS_ar_grozījumiem!CW36-'plans (27122022)'!CW35</f>
        <v>#VALUE!</v>
      </c>
      <c r="CX36" s="100">
        <f>PLĀNS_ar_grozījumiem!CX36-'plans (27122022)'!CX35</f>
        <v>12.787574763650412</v>
      </c>
      <c r="CY36" s="174">
        <f>PLĀNS_ar_grozījumiem!CY36-'plans (27122022)'!CY35</f>
        <v>0</v>
      </c>
      <c r="CZ36" s="110">
        <f t="shared" si="0"/>
        <v>21.5</v>
      </c>
      <c r="DA36" s="111">
        <f t="shared" si="0"/>
        <v>0</v>
      </c>
      <c r="DB36" s="112">
        <f t="shared" si="12"/>
        <v>0.49504950495049505</v>
      </c>
      <c r="DC36" s="113">
        <f t="shared" si="12"/>
        <v>0</v>
      </c>
      <c r="DD36" s="100">
        <f t="shared" si="13"/>
        <v>8059</v>
      </c>
      <c r="DE36" s="102">
        <f t="shared" si="13"/>
        <v>0</v>
      </c>
      <c r="DF36" s="102" t="e">
        <f t="shared" si="13"/>
        <v>#VALUE!</v>
      </c>
      <c r="DG36" s="114" t="e">
        <f t="shared" si="10"/>
        <v>#VALUE!</v>
      </c>
      <c r="DH36" s="100">
        <f t="shared" si="10"/>
        <v>8059</v>
      </c>
      <c r="DI36" s="97">
        <f t="shared" si="10"/>
        <v>0</v>
      </c>
      <c r="DJ36" s="97" t="e">
        <f t="shared" si="10"/>
        <v>#VALUE!</v>
      </c>
      <c r="DK36" s="97" t="e">
        <f t="shared" si="10"/>
        <v>#VALUE!</v>
      </c>
      <c r="DL36" s="100">
        <f t="shared" si="10"/>
        <v>0</v>
      </c>
      <c r="DM36" s="97">
        <f t="shared" si="10"/>
        <v>0</v>
      </c>
      <c r="DN36" s="97" t="e">
        <f t="shared" si="10"/>
        <v>#VALUE!</v>
      </c>
      <c r="DO36" s="115" t="e">
        <f t="shared" si="10"/>
        <v>#VALUE!</v>
      </c>
      <c r="DP36" s="100">
        <f t="shared" si="11"/>
        <v>375</v>
      </c>
      <c r="DQ36" s="116" t="e">
        <f t="shared" si="11"/>
        <v>#DIV/0!</v>
      </c>
      <c r="DR36" s="117">
        <f>PLĀNS_ar_grozījumiem!CF36-'plans (27122022)'!CF35</f>
        <v>1</v>
      </c>
      <c r="DS36" s="908">
        <f>DR36/'plans (27122022)'!CF35</f>
        <v>2.8169014084507043E-2</v>
      </c>
      <c r="DT36" s="104">
        <f>PLĀNS_ar_grozījumiem!CL36-'plans (27122022)'!CL35</f>
        <v>837</v>
      </c>
      <c r="DU36" s="909">
        <f>DT36/'plans (27122022)'!CL35</f>
        <v>6.3679245283018868E-2</v>
      </c>
      <c r="DV36" s="120"/>
      <c r="DW36" s="118">
        <f>PLĀNS_ar_grozījumiem!CM36-'plans (27122022)'!CM35</f>
        <v>0</v>
      </c>
      <c r="DX36" s="104">
        <f>PLĀNS_ar_grozījumiem!CP36-'plans (27122022)'!CP35</f>
        <v>837</v>
      </c>
      <c r="DY36" s="909">
        <f>DX36/'plans (27122022)'!CP35</f>
        <v>6.3679245283018868E-2</v>
      </c>
      <c r="DZ36" s="120"/>
      <c r="EA36" s="118"/>
      <c r="EB36" s="104">
        <f>PLĀNS_ar_grozījumiem!CT36-'plans (27122022)'!CT35</f>
        <v>0</v>
      </c>
      <c r="EC36" s="121"/>
      <c r="ED36" s="120"/>
      <c r="EE36" s="121"/>
      <c r="EF36" s="122">
        <f>PLĀNS_ar_grozījumiem!CX36-'plans (27122022)'!CX35</f>
        <v>12.787574763650412</v>
      </c>
      <c r="EG36" s="911">
        <f>EF36/'plans (27122022)'!CX35</f>
        <v>3.4537348151977294E-2</v>
      </c>
    </row>
    <row r="37" spans="1:137" ht="15.75" customHeight="1" x14ac:dyDescent="0.25">
      <c r="A37" s="1070"/>
      <c r="B37" s="173"/>
      <c r="C37" s="1024" t="s">
        <v>48</v>
      </c>
      <c r="D37" s="1005">
        <v>18.399999999999999</v>
      </c>
      <c r="E37" s="93"/>
      <c r="F37" s="93">
        <v>0.85224641037517368</v>
      </c>
      <c r="G37" s="93"/>
      <c r="H37" s="158" t="s">
        <v>44</v>
      </c>
      <c r="I37" s="159" t="s">
        <v>44</v>
      </c>
      <c r="J37" s="96">
        <v>9835</v>
      </c>
      <c r="K37" s="97"/>
      <c r="L37" s="98" t="s">
        <v>44</v>
      </c>
      <c r="M37" s="99" t="s">
        <v>44</v>
      </c>
      <c r="N37" s="100">
        <v>9835</v>
      </c>
      <c r="O37" s="126"/>
      <c r="P37" s="158" t="s">
        <v>44</v>
      </c>
      <c r="Q37" s="159" t="s">
        <v>44</v>
      </c>
      <c r="R37" s="100">
        <v>0</v>
      </c>
      <c r="S37" s="97"/>
      <c r="T37" s="158" t="s">
        <v>44</v>
      </c>
      <c r="U37" s="159" t="s">
        <v>44</v>
      </c>
      <c r="V37" s="102">
        <v>535</v>
      </c>
      <c r="W37" s="102"/>
      <c r="X37" s="92">
        <v>18.399999999999999</v>
      </c>
      <c r="Y37" s="93"/>
      <c r="Z37" s="93">
        <v>0.8424908424908425</v>
      </c>
      <c r="AA37" s="93"/>
      <c r="AB37" s="158" t="s">
        <v>44</v>
      </c>
      <c r="AC37" s="159" t="s">
        <v>44</v>
      </c>
      <c r="AD37" s="96">
        <v>9870</v>
      </c>
      <c r="AE37" s="97"/>
      <c r="AF37" s="98" t="s">
        <v>44</v>
      </c>
      <c r="AG37" s="99" t="s">
        <v>44</v>
      </c>
      <c r="AH37" s="100">
        <v>9870</v>
      </c>
      <c r="AI37" s="126"/>
      <c r="AJ37" s="158" t="s">
        <v>44</v>
      </c>
      <c r="AK37" s="159" t="s">
        <v>44</v>
      </c>
      <c r="AL37" s="100">
        <v>0</v>
      </c>
      <c r="AM37" s="97"/>
      <c r="AN37" s="158" t="s">
        <v>44</v>
      </c>
      <c r="AO37" s="159" t="s">
        <v>44</v>
      </c>
      <c r="AP37" s="102">
        <v>536</v>
      </c>
      <c r="AQ37" s="102"/>
      <c r="AR37" s="92">
        <v>18.399999999999999</v>
      </c>
      <c r="AS37" s="93">
        <f>PLĀNS_ar_grozījumiem!AS37-'plans (27122022)'!AS36</f>
        <v>0</v>
      </c>
      <c r="AT37" s="93">
        <f>PLĀNS_ar_grozījumiem!AT37-'plans (27122022)'!AT36</f>
        <v>-0.82500000000000007</v>
      </c>
      <c r="AU37" s="93">
        <f>PLĀNS_ar_grozījumiem!AU37-'plans (27122022)'!AU36</f>
        <v>0</v>
      </c>
      <c r="AV37" s="158" t="e">
        <f>PLĀNS_ar_grozījumiem!AV37-'plans (27122022)'!AV36</f>
        <v>#VALUE!</v>
      </c>
      <c r="AW37" s="159" t="e">
        <f>PLĀNS_ar_grozījumiem!AW37-'plans (27122022)'!AW36</f>
        <v>#VALUE!</v>
      </c>
      <c r="AX37" s="96">
        <f>PLĀNS_ar_grozījumiem!AX37-'plans (27122022)'!AX36</f>
        <v>-4252.3999999999996</v>
      </c>
      <c r="AY37" s="97">
        <f>PLĀNS_ar_grozījumiem!AY37-'plans (27122022)'!AY36</f>
        <v>0</v>
      </c>
      <c r="AZ37" s="98" t="e">
        <f>PLĀNS_ar_grozījumiem!AZ37-'plans (27122022)'!AZ36</f>
        <v>#VALUE!</v>
      </c>
      <c r="BA37" s="99" t="e">
        <f>PLĀNS_ar_grozījumiem!BA37-'plans (27122022)'!BA36</f>
        <v>#VALUE!</v>
      </c>
      <c r="BB37" s="100">
        <f>PLĀNS_ar_grozījumiem!BB37-'plans (27122022)'!BB36</f>
        <v>-4252.3999999999996</v>
      </c>
      <c r="BC37" s="126">
        <f>PLĀNS_ar_grozījumiem!BC37-'plans (27122022)'!BC36</f>
        <v>0</v>
      </c>
      <c r="BD37" s="158" t="e">
        <f>PLĀNS_ar_grozījumiem!BD37-'plans (27122022)'!BD36</f>
        <v>#VALUE!</v>
      </c>
      <c r="BE37" s="159" t="e">
        <f>PLĀNS_ar_grozījumiem!BE37-'plans (27122022)'!BE36</f>
        <v>#VALUE!</v>
      </c>
      <c r="BF37" s="100">
        <f>PLĀNS_ar_grozījumiem!BF37-'plans (27122022)'!BF36</f>
        <v>0</v>
      </c>
      <c r="BG37" s="97">
        <f>PLĀNS_ar_grozījumiem!BG37-'plans (27122022)'!BG36</f>
        <v>0</v>
      </c>
      <c r="BH37" s="158" t="e">
        <f>PLĀNS_ar_grozījumiem!BH37-'plans (27122022)'!BH36</f>
        <v>#VALUE!</v>
      </c>
      <c r="BI37" s="159" t="e">
        <f>PLĀNS_ar_grozījumiem!BI37-'plans (27122022)'!BI36</f>
        <v>#VALUE!</v>
      </c>
      <c r="BJ37" s="102">
        <f>PLĀNS_ar_grozījumiem!BJ37-'plans (27122022)'!BJ36</f>
        <v>-230.72826086956519</v>
      </c>
      <c r="BK37" s="102">
        <f>PLĀNS_ar_grozījumiem!BK37-'plans (27122022)'!BK36</f>
        <v>0</v>
      </c>
      <c r="BL37" s="92">
        <f>PLĀNS_ar_grozījumiem!BL37-'plans (27122022)'!BL36</f>
        <v>2.4000000000000021</v>
      </c>
      <c r="BM37" s="93">
        <f>PLĀNS_ar_grozījumiem!BM37-'plans (27122022)'!BM36</f>
        <v>0</v>
      </c>
      <c r="BN37" s="93">
        <f>PLĀNS_ar_grozījumiem!BN37-'plans (27122022)'!BN36</f>
        <v>-0.85043005885015832</v>
      </c>
      <c r="BO37" s="93">
        <f>PLĀNS_ar_grozījumiem!BO37-'plans (27122022)'!BO36</f>
        <v>0</v>
      </c>
      <c r="BP37" s="158" t="e">
        <f>PLĀNS_ar_grozījumiem!BP37-'plans (27122022)'!BP36</f>
        <v>#VALUE!</v>
      </c>
      <c r="BQ37" s="159" t="e">
        <f>PLĀNS_ar_grozījumiem!BQ37-'plans (27122022)'!BQ36</f>
        <v>#VALUE!</v>
      </c>
      <c r="BR37" s="96">
        <f>PLĀNS_ar_grozījumiem!BR37-'plans (27122022)'!BR36</f>
        <v>-5477</v>
      </c>
      <c r="BS37" s="97">
        <f>PLĀNS_ar_grozījumiem!BS37-'plans (27122022)'!BS36</f>
        <v>0</v>
      </c>
      <c r="BT37" s="98" t="e">
        <f>PLĀNS_ar_grozījumiem!BT37-'plans (27122022)'!BT36</f>
        <v>#VALUE!</v>
      </c>
      <c r="BU37" s="99" t="e">
        <f>PLĀNS_ar_grozījumiem!BU37-'plans (27122022)'!BU36</f>
        <v>#VALUE!</v>
      </c>
      <c r="BV37" s="100">
        <f>PLĀNS_ar_grozījumiem!BV37-'plans (27122022)'!BV36</f>
        <v>-5477</v>
      </c>
      <c r="BW37" s="126">
        <f>PLĀNS_ar_grozījumiem!BW37-'plans (27122022)'!BW36</f>
        <v>0</v>
      </c>
      <c r="BX37" s="158" t="e">
        <f>PLĀNS_ar_grozījumiem!BX37-'plans (27122022)'!BX36</f>
        <v>#VALUE!</v>
      </c>
      <c r="BY37" s="159" t="e">
        <f>PLĀNS_ar_grozījumiem!BY37-'plans (27122022)'!BY36</f>
        <v>#VALUE!</v>
      </c>
      <c r="BZ37" s="100">
        <f>PLĀNS_ar_grozījumiem!BZ37-'plans (27122022)'!BZ36</f>
        <v>0</v>
      </c>
      <c r="CA37" s="97">
        <f>PLĀNS_ar_grozījumiem!CA37-'plans (27122022)'!CA36</f>
        <v>0</v>
      </c>
      <c r="CB37" s="158" t="e">
        <f>PLĀNS_ar_grozījumiem!CB37-'plans (27122022)'!CB36</f>
        <v>#VALUE!</v>
      </c>
      <c r="CC37" s="159" t="e">
        <f>PLĀNS_ar_grozījumiem!CC37-'plans (27122022)'!CC36</f>
        <v>#VALUE!</v>
      </c>
      <c r="CD37" s="102">
        <f>PLĀNS_ar_grozījumiem!CD37-'plans (27122022)'!CD36</f>
        <v>-315.41121495327104</v>
      </c>
      <c r="CE37" s="102">
        <f>PLĀNS_ar_grozījumiem!CE37-'plans (27122022)'!CE36</f>
        <v>0</v>
      </c>
      <c r="CF37" s="103">
        <f>PLĀNS_ar_grozījumiem!CF37-'plans (27122022)'!CF36</f>
        <v>2.4000000000000057</v>
      </c>
      <c r="CG37" s="102">
        <f>PLĀNS_ar_grozījumiem!CG37-'plans (27122022)'!CG36</f>
        <v>0</v>
      </c>
      <c r="CH37" s="93">
        <f>PLĀNS_ar_grozījumiem!CH37-'plans (27122022)'!CH36</f>
        <v>-0.83828767123287662</v>
      </c>
      <c r="CI37" s="127">
        <f>PLĀNS_ar_grozījumiem!CI37-'plans (27122022)'!CI36</f>
        <v>0</v>
      </c>
      <c r="CJ37" s="98" t="e">
        <f>PLĀNS_ar_grozījumiem!CJ37-'plans (27122022)'!CJ36</f>
        <v>#VALUE!</v>
      </c>
      <c r="CK37" s="99" t="e">
        <f>PLĀNS_ar_grozījumiem!CK37-'plans (27122022)'!CK36</f>
        <v>#VALUE!</v>
      </c>
      <c r="CL37" s="100">
        <f>PLĀNS_ar_grozījumiem!CL37-'plans (27122022)'!CL36</f>
        <v>-9729.4000000000015</v>
      </c>
      <c r="CM37" s="107">
        <f>PLĀNS_ar_grozījumiem!CM37-'plans (27122022)'!CM36</f>
        <v>0</v>
      </c>
      <c r="CN37" s="108" t="e">
        <f>PLĀNS_ar_grozījumiem!CN37-'plans (27122022)'!CN36</f>
        <v>#VALUE!</v>
      </c>
      <c r="CO37" s="99" t="e">
        <f>PLĀNS_ar_grozījumiem!CO37-'plans (27122022)'!CO36</f>
        <v>#VALUE!</v>
      </c>
      <c r="CP37" s="100">
        <f>PLĀNS_ar_grozījumiem!CP37-'plans (27122022)'!CP36</f>
        <v>-9729.4000000000015</v>
      </c>
      <c r="CQ37" s="97">
        <f>PLĀNS_ar_grozījumiem!CQ37-'plans (27122022)'!CQ36</f>
        <v>0</v>
      </c>
      <c r="CR37" s="98" t="e">
        <f>PLĀNS_ar_grozījumiem!CR37-'plans (27122022)'!CR36</f>
        <v>#VALUE!</v>
      </c>
      <c r="CS37" s="99" t="e">
        <f>PLĀNS_ar_grozījumiem!CS37-'plans (27122022)'!CS36</f>
        <v>#VALUE!</v>
      </c>
      <c r="CT37" s="100">
        <f>PLĀNS_ar_grozījumiem!CT37-'plans (27122022)'!CT36</f>
        <v>0</v>
      </c>
      <c r="CU37" s="97">
        <f>PLĀNS_ar_grozījumiem!CU37-'plans (27122022)'!CU36</f>
        <v>0</v>
      </c>
      <c r="CV37" s="98" t="e">
        <f>PLĀNS_ar_grozījumiem!CV37-'plans (27122022)'!CV36</f>
        <v>#VALUE!</v>
      </c>
      <c r="CW37" s="99" t="e">
        <f>PLĀNS_ar_grozījumiem!CW37-'plans (27122022)'!CW36</f>
        <v>#VALUE!</v>
      </c>
      <c r="CX37" s="100">
        <f>PLĀNS_ar_grozījumiem!CX37-'plans (27122022)'!CX36</f>
        <v>-143.76582238393178</v>
      </c>
      <c r="CY37" s="174">
        <f>PLĀNS_ar_grozījumiem!CY37-'plans (27122022)'!CY36</f>
        <v>0</v>
      </c>
      <c r="CZ37" s="110">
        <f t="shared" si="0"/>
        <v>36.799999999999997</v>
      </c>
      <c r="DA37" s="111">
        <f t="shared" si="0"/>
        <v>0</v>
      </c>
      <c r="DB37" s="112">
        <f t="shared" si="12"/>
        <v>0.84734054800828917</v>
      </c>
      <c r="DC37" s="113">
        <f t="shared" si="12"/>
        <v>0</v>
      </c>
      <c r="DD37" s="100">
        <f t="shared" si="13"/>
        <v>19705</v>
      </c>
      <c r="DE37" s="102">
        <f t="shared" si="13"/>
        <v>0</v>
      </c>
      <c r="DF37" s="102" t="e">
        <f t="shared" si="13"/>
        <v>#VALUE!</v>
      </c>
      <c r="DG37" s="114" t="e">
        <f t="shared" si="10"/>
        <v>#VALUE!</v>
      </c>
      <c r="DH37" s="100">
        <f t="shared" si="10"/>
        <v>19705</v>
      </c>
      <c r="DI37" s="97">
        <f t="shared" si="10"/>
        <v>0</v>
      </c>
      <c r="DJ37" s="97" t="e">
        <f t="shared" si="10"/>
        <v>#VALUE!</v>
      </c>
      <c r="DK37" s="97" t="e">
        <f t="shared" si="10"/>
        <v>#VALUE!</v>
      </c>
      <c r="DL37" s="100">
        <f t="shared" si="10"/>
        <v>0</v>
      </c>
      <c r="DM37" s="97">
        <f t="shared" si="10"/>
        <v>0</v>
      </c>
      <c r="DN37" s="97" t="e">
        <f t="shared" si="10"/>
        <v>#VALUE!</v>
      </c>
      <c r="DO37" s="115" t="e">
        <f t="shared" si="10"/>
        <v>#VALUE!</v>
      </c>
      <c r="DP37" s="100">
        <f t="shared" si="11"/>
        <v>535</v>
      </c>
      <c r="DQ37" s="116" t="e">
        <f t="shared" si="11"/>
        <v>#DIV/0!</v>
      </c>
      <c r="DR37" s="117">
        <f>PLĀNS_ar_grozījumiem!CF37-'plans (27122022)'!CF36</f>
        <v>2.4000000000000057</v>
      </c>
      <c r="DS37" s="908">
        <f>DR37/'plans (27122022)'!CF36</f>
        <v>3.2345013477089034E-2</v>
      </c>
      <c r="DT37" s="104">
        <f>PLĀNS_ar_grozījumiem!CL37-'plans (27122022)'!CL36</f>
        <v>-9729.4000000000015</v>
      </c>
      <c r="DU37" s="909">
        <f>DT37/'plans (27122022)'!CL36</f>
        <v>-0.24527074720177477</v>
      </c>
      <c r="DV37" s="120"/>
      <c r="DW37" s="118">
        <f>PLĀNS_ar_grozījumiem!CM37-'plans (27122022)'!CM36</f>
        <v>0</v>
      </c>
      <c r="DX37" s="104">
        <f>PLĀNS_ar_grozījumiem!CP37-'plans (27122022)'!CP36</f>
        <v>-9729.4000000000015</v>
      </c>
      <c r="DY37" s="909">
        <f>DX37/'plans (27122022)'!CP36</f>
        <v>-0.24527074720177477</v>
      </c>
      <c r="DZ37" s="120"/>
      <c r="EA37" s="118"/>
      <c r="EB37" s="104">
        <f>PLĀNS_ar_grozījumiem!CT37-'plans (27122022)'!CT36</f>
        <v>0</v>
      </c>
      <c r="EC37" s="121"/>
      <c r="ED37" s="120"/>
      <c r="EE37" s="121"/>
      <c r="EF37" s="122">
        <f>PLĀNS_ar_grozījumiem!CX37-'plans (27122022)'!CX36</f>
        <v>-143.76582238393178</v>
      </c>
      <c r="EG37" s="911">
        <f>EF37/'plans (27122022)'!CX36</f>
        <v>-0.26891761674114489</v>
      </c>
    </row>
    <row r="38" spans="1:137" ht="15.75" customHeight="1" x14ac:dyDescent="0.25">
      <c r="A38" s="1070"/>
      <c r="B38" s="169"/>
      <c r="C38" s="1024" t="s">
        <v>49</v>
      </c>
      <c r="D38" s="1005">
        <v>495.7</v>
      </c>
      <c r="E38" s="93"/>
      <c r="F38" s="93">
        <v>22.959703566465954</v>
      </c>
      <c r="G38" s="93"/>
      <c r="H38" s="158" t="s">
        <v>44</v>
      </c>
      <c r="I38" s="159" t="s">
        <v>44</v>
      </c>
      <c r="J38" s="96">
        <v>17818</v>
      </c>
      <c r="K38" s="97"/>
      <c r="L38" s="98" t="s">
        <v>44</v>
      </c>
      <c r="M38" s="99" t="s">
        <v>44</v>
      </c>
      <c r="N38" s="100">
        <v>17818</v>
      </c>
      <c r="O38" s="126"/>
      <c r="P38" s="158" t="s">
        <v>44</v>
      </c>
      <c r="Q38" s="159" t="s">
        <v>44</v>
      </c>
      <c r="R38" s="100">
        <v>0</v>
      </c>
      <c r="S38" s="97"/>
      <c r="T38" s="158" t="s">
        <v>44</v>
      </c>
      <c r="U38" s="159" t="s">
        <v>44</v>
      </c>
      <c r="V38" s="102">
        <v>36</v>
      </c>
      <c r="W38" s="102"/>
      <c r="X38" s="92">
        <v>459.8</v>
      </c>
      <c r="Y38" s="93"/>
      <c r="Z38" s="93">
        <v>21.053113553113555</v>
      </c>
      <c r="AA38" s="93"/>
      <c r="AB38" s="158" t="s">
        <v>44</v>
      </c>
      <c r="AC38" s="159" t="s">
        <v>44</v>
      </c>
      <c r="AD38" s="96">
        <v>14774</v>
      </c>
      <c r="AE38" s="97"/>
      <c r="AF38" s="98" t="s">
        <v>44</v>
      </c>
      <c r="AG38" s="99" t="s">
        <v>44</v>
      </c>
      <c r="AH38" s="100">
        <v>14774</v>
      </c>
      <c r="AI38" s="126"/>
      <c r="AJ38" s="158" t="s">
        <v>44</v>
      </c>
      <c r="AK38" s="159" t="s">
        <v>44</v>
      </c>
      <c r="AL38" s="100">
        <v>0</v>
      </c>
      <c r="AM38" s="97"/>
      <c r="AN38" s="158" t="s">
        <v>44</v>
      </c>
      <c r="AO38" s="159" t="s">
        <v>44</v>
      </c>
      <c r="AP38" s="102">
        <v>32</v>
      </c>
      <c r="AQ38" s="102"/>
      <c r="AR38" s="92">
        <v>497.8</v>
      </c>
      <c r="AS38" s="93">
        <f>PLĀNS_ar_grozījumiem!AS38-'plans (27122022)'!AS37</f>
        <v>0</v>
      </c>
      <c r="AT38" s="93">
        <f>PLĀNS_ar_grozījumiem!AT38-'plans (27122022)'!AT37</f>
        <v>-22.377490942028988</v>
      </c>
      <c r="AU38" s="93">
        <f>PLĀNS_ar_grozījumiem!AU38-'plans (27122022)'!AU37</f>
        <v>0</v>
      </c>
      <c r="AV38" s="158" t="e">
        <f>PLĀNS_ar_grozījumiem!AV38-'plans (27122022)'!AV37</f>
        <v>#VALUE!</v>
      </c>
      <c r="AW38" s="159" t="e">
        <f>PLĀNS_ar_grozījumiem!AW38-'plans (27122022)'!AW37</f>
        <v>#VALUE!</v>
      </c>
      <c r="AX38" s="96">
        <f>PLĀNS_ar_grozījumiem!AX38-'plans (27122022)'!AX37</f>
        <v>-3900.1999999999989</v>
      </c>
      <c r="AY38" s="97">
        <f>PLĀNS_ar_grozījumiem!AY38-'plans (27122022)'!AY37</f>
        <v>0</v>
      </c>
      <c r="AZ38" s="98" t="e">
        <f>PLĀNS_ar_grozījumiem!AZ38-'plans (27122022)'!AZ37</f>
        <v>#VALUE!</v>
      </c>
      <c r="BA38" s="99" t="e">
        <f>PLĀNS_ar_grozījumiem!BA38-'plans (27122022)'!BA37</f>
        <v>#VALUE!</v>
      </c>
      <c r="BB38" s="100">
        <f>PLĀNS_ar_grozījumiem!BB38-'plans (27122022)'!BB37</f>
        <v>-3900.1999999999989</v>
      </c>
      <c r="BC38" s="126">
        <f>PLĀNS_ar_grozījumiem!BC38-'plans (27122022)'!BC37</f>
        <v>0</v>
      </c>
      <c r="BD38" s="158" t="e">
        <f>PLĀNS_ar_grozījumiem!BD38-'plans (27122022)'!BD37</f>
        <v>#VALUE!</v>
      </c>
      <c r="BE38" s="159" t="e">
        <f>PLĀNS_ar_grozījumiem!BE38-'plans (27122022)'!BE37</f>
        <v>#VALUE!</v>
      </c>
      <c r="BF38" s="100">
        <f>PLĀNS_ar_grozījumiem!BF38-'plans (27122022)'!BF37</f>
        <v>0</v>
      </c>
      <c r="BG38" s="97">
        <f>PLĀNS_ar_grozījumiem!BG38-'plans (27122022)'!BG37</f>
        <v>0</v>
      </c>
      <c r="BH38" s="158" t="e">
        <f>PLĀNS_ar_grozījumiem!BH38-'plans (27122022)'!BH37</f>
        <v>#VALUE!</v>
      </c>
      <c r="BI38" s="159" t="e">
        <f>PLĀNS_ar_grozījumiem!BI38-'plans (27122022)'!BI37</f>
        <v>#VALUE!</v>
      </c>
      <c r="BJ38" s="102">
        <f>PLĀNS_ar_grozījumiem!BJ38-'plans (27122022)'!BJ37</f>
        <v>-0.40404858299594792</v>
      </c>
      <c r="BK38" s="102">
        <f>PLĀNS_ar_grozījumiem!BK38-'plans (27122022)'!BK37</f>
        <v>0</v>
      </c>
      <c r="BL38" s="92">
        <f>PLĀNS_ar_grozījumiem!BL38-'plans (27122022)'!BL37</f>
        <v>17.5</v>
      </c>
      <c r="BM38" s="93">
        <f>PLĀNS_ar_grozījumiem!BM38-'plans (27122022)'!BM37</f>
        <v>0</v>
      </c>
      <c r="BN38" s="93">
        <f>PLĀNS_ar_grozījumiem!BN38-'plans (27122022)'!BN37</f>
        <v>-19.433544590312358</v>
      </c>
      <c r="BO38" s="93">
        <f>PLĀNS_ar_grozījumiem!BO38-'plans (27122022)'!BO37</f>
        <v>0</v>
      </c>
      <c r="BP38" s="158" t="e">
        <f>PLĀNS_ar_grozījumiem!BP38-'plans (27122022)'!BP37</f>
        <v>#VALUE!</v>
      </c>
      <c r="BQ38" s="159" t="e">
        <f>PLĀNS_ar_grozījumiem!BQ38-'plans (27122022)'!BQ37</f>
        <v>#VALUE!</v>
      </c>
      <c r="BR38" s="96">
        <f>PLĀNS_ar_grozījumiem!BR38-'plans (27122022)'!BR37</f>
        <v>-676.09999999999854</v>
      </c>
      <c r="BS38" s="97">
        <f>PLĀNS_ar_grozījumiem!BS38-'plans (27122022)'!BS37</f>
        <v>0</v>
      </c>
      <c r="BT38" s="98" t="e">
        <f>PLĀNS_ar_grozījumiem!BT38-'plans (27122022)'!BT37</f>
        <v>#VALUE!</v>
      </c>
      <c r="BU38" s="99" t="e">
        <f>PLĀNS_ar_grozījumiem!BU38-'plans (27122022)'!BU37</f>
        <v>#VALUE!</v>
      </c>
      <c r="BV38" s="100">
        <f>PLĀNS_ar_grozījumiem!BV38-'plans (27122022)'!BV37</f>
        <v>-676.09999999999854</v>
      </c>
      <c r="BW38" s="126">
        <f>PLĀNS_ar_grozījumiem!BW38-'plans (27122022)'!BW37</f>
        <v>0</v>
      </c>
      <c r="BX38" s="158" t="e">
        <f>PLĀNS_ar_grozījumiem!BX38-'plans (27122022)'!BX37</f>
        <v>#VALUE!</v>
      </c>
      <c r="BY38" s="159" t="e">
        <f>PLĀNS_ar_grozījumiem!BY38-'plans (27122022)'!BY37</f>
        <v>#VALUE!</v>
      </c>
      <c r="BZ38" s="100">
        <f>PLĀNS_ar_grozījumiem!BZ38-'plans (27122022)'!BZ37</f>
        <v>0</v>
      </c>
      <c r="CA38" s="97">
        <f>PLĀNS_ar_grozījumiem!CA38-'plans (27122022)'!CA37</f>
        <v>0</v>
      </c>
      <c r="CB38" s="158" t="e">
        <f>PLĀNS_ar_grozījumiem!CB38-'plans (27122022)'!CB37</f>
        <v>#VALUE!</v>
      </c>
      <c r="CC38" s="159" t="e">
        <f>PLĀNS_ar_grozījumiem!CC38-'plans (27122022)'!CC37</f>
        <v>#VALUE!</v>
      </c>
      <c r="CD38" s="102">
        <f>PLĀNS_ar_grozījumiem!CD38-'plans (27122022)'!CD37</f>
        <v>-2.3627298914247703</v>
      </c>
      <c r="CE38" s="102">
        <f>PLĀNS_ar_grozījumiem!CE38-'plans (27122022)'!CE37</f>
        <v>0</v>
      </c>
      <c r="CF38" s="103">
        <f>PLĀNS_ar_grozījumiem!CF38-'plans (27122022)'!CF37</f>
        <v>-109.79999999999995</v>
      </c>
      <c r="CG38" s="102">
        <f>PLĀNS_ar_grozījumiem!CG38-'plans (27122022)'!CG37</f>
        <v>0</v>
      </c>
      <c r="CH38" s="93">
        <f>PLĀNS_ar_grozījumiem!CH38-'plans (27122022)'!CH37</f>
        <v>-21.339349315068493</v>
      </c>
      <c r="CI38" s="127">
        <f>PLĀNS_ar_grozījumiem!CI38-'plans (27122022)'!CI37</f>
        <v>0</v>
      </c>
      <c r="CJ38" s="98" t="e">
        <f>PLĀNS_ar_grozījumiem!CJ38-'plans (27122022)'!CJ37</f>
        <v>#VALUE!</v>
      </c>
      <c r="CK38" s="99" t="e">
        <f>PLĀNS_ar_grozījumiem!CK38-'plans (27122022)'!CK37</f>
        <v>#VALUE!</v>
      </c>
      <c r="CL38" s="100">
        <f>PLĀNS_ar_grozījumiem!CL38-'plans (27122022)'!CL37</f>
        <v>-4576.2999999999956</v>
      </c>
      <c r="CM38" s="107">
        <f>PLĀNS_ar_grozījumiem!CM38-'plans (27122022)'!CM37</f>
        <v>0</v>
      </c>
      <c r="CN38" s="108" t="e">
        <f>PLĀNS_ar_grozījumiem!CN38-'plans (27122022)'!CN37</f>
        <v>#VALUE!</v>
      </c>
      <c r="CO38" s="99" t="e">
        <f>PLĀNS_ar_grozījumiem!CO38-'plans (27122022)'!CO37</f>
        <v>#VALUE!</v>
      </c>
      <c r="CP38" s="100">
        <f>PLĀNS_ar_grozījumiem!CP38-'plans (27122022)'!CP37</f>
        <v>-4576.2999999999956</v>
      </c>
      <c r="CQ38" s="97">
        <f>PLĀNS_ar_grozījumiem!CQ38-'plans (27122022)'!CQ37</f>
        <v>0</v>
      </c>
      <c r="CR38" s="98" t="e">
        <f>PLĀNS_ar_grozījumiem!CR38-'plans (27122022)'!CR37</f>
        <v>#VALUE!</v>
      </c>
      <c r="CS38" s="99" t="e">
        <f>PLĀNS_ar_grozījumiem!CS38-'plans (27122022)'!CS37</f>
        <v>#VALUE!</v>
      </c>
      <c r="CT38" s="100">
        <f>PLĀNS_ar_grozījumiem!CT38-'plans (27122022)'!CT37</f>
        <v>0</v>
      </c>
      <c r="CU38" s="97">
        <f>PLĀNS_ar_grozījumiem!CU38-'plans (27122022)'!CU37</f>
        <v>0</v>
      </c>
      <c r="CV38" s="98" t="e">
        <f>PLĀNS_ar_grozījumiem!CV38-'plans (27122022)'!CV37</f>
        <v>#VALUE!</v>
      </c>
      <c r="CW38" s="99" t="e">
        <f>PLĀNS_ar_grozījumiem!CW38-'plans (27122022)'!CW37</f>
        <v>#VALUE!</v>
      </c>
      <c r="CX38" s="100">
        <f>PLĀNS_ar_grozījumiem!CX38-'plans (27122022)'!CX37</f>
        <v>-0.51952946675599776</v>
      </c>
      <c r="CY38" s="174">
        <f>PLĀNS_ar_grozījumiem!CY38-'plans (27122022)'!CY37</f>
        <v>0</v>
      </c>
      <c r="CZ38" s="110">
        <f t="shared" si="0"/>
        <v>955.5</v>
      </c>
      <c r="DA38" s="111">
        <f t="shared" si="0"/>
        <v>0</v>
      </c>
      <c r="DB38" s="112">
        <f t="shared" si="12"/>
        <v>22.00092102233479</v>
      </c>
      <c r="DC38" s="113">
        <f t="shared" si="12"/>
        <v>0</v>
      </c>
      <c r="DD38" s="100">
        <f t="shared" si="13"/>
        <v>32592</v>
      </c>
      <c r="DE38" s="102">
        <f t="shared" si="13"/>
        <v>0</v>
      </c>
      <c r="DF38" s="102" t="e">
        <f t="shared" si="13"/>
        <v>#VALUE!</v>
      </c>
      <c r="DG38" s="114" t="e">
        <f t="shared" si="10"/>
        <v>#VALUE!</v>
      </c>
      <c r="DH38" s="100">
        <f t="shared" si="10"/>
        <v>32592</v>
      </c>
      <c r="DI38" s="97">
        <f t="shared" si="10"/>
        <v>0</v>
      </c>
      <c r="DJ38" s="97" t="e">
        <f t="shared" si="10"/>
        <v>#VALUE!</v>
      </c>
      <c r="DK38" s="97" t="e">
        <f t="shared" si="10"/>
        <v>#VALUE!</v>
      </c>
      <c r="DL38" s="100">
        <f t="shared" si="10"/>
        <v>0</v>
      </c>
      <c r="DM38" s="97">
        <f t="shared" si="10"/>
        <v>0</v>
      </c>
      <c r="DN38" s="97" t="e">
        <f t="shared" si="10"/>
        <v>#VALUE!</v>
      </c>
      <c r="DO38" s="115" t="e">
        <f t="shared" si="10"/>
        <v>#VALUE!</v>
      </c>
      <c r="DP38" s="100">
        <f t="shared" si="11"/>
        <v>34</v>
      </c>
      <c r="DQ38" s="116" t="e">
        <f t="shared" si="11"/>
        <v>#DIV/0!</v>
      </c>
      <c r="DR38" s="117">
        <f>PLĀNS_ar_grozījumiem!CF38-'plans (27122022)'!CF37</f>
        <v>-109.79999999999995</v>
      </c>
      <c r="DS38" s="908">
        <f>DR38/'plans (27122022)'!CF37</f>
        <v>-5.8184515923904383E-2</v>
      </c>
      <c r="DT38" s="104">
        <f>PLĀNS_ar_grozījumiem!CL38-'plans (27122022)'!CL37</f>
        <v>-4576.2999999999956</v>
      </c>
      <c r="DU38" s="909">
        <f>DT38/'plans (27122022)'!CL37</f>
        <v>-7.2891911694434638E-2</v>
      </c>
      <c r="DV38" s="120"/>
      <c r="DW38" s="118">
        <f>PLĀNS_ar_grozījumiem!CM38-'plans (27122022)'!CM37</f>
        <v>0</v>
      </c>
      <c r="DX38" s="104">
        <f>PLĀNS_ar_grozījumiem!CP38-'plans (27122022)'!CP37</f>
        <v>-4576.2999999999956</v>
      </c>
      <c r="DY38" s="909">
        <f>DX38/'plans (27122022)'!CP37</f>
        <v>-7.2891911694434638E-2</v>
      </c>
      <c r="DZ38" s="120"/>
      <c r="EA38" s="118"/>
      <c r="EB38" s="104">
        <f>PLĀNS_ar_grozījumiem!CT38-'plans (27122022)'!CT37</f>
        <v>0</v>
      </c>
      <c r="EC38" s="121"/>
      <c r="ED38" s="120"/>
      <c r="EE38" s="121"/>
      <c r="EF38" s="122">
        <f>PLĀNS_ar_grozījumiem!CX38-'plans (27122022)'!CX37</f>
        <v>-0.51952946675599776</v>
      </c>
      <c r="EG38" s="911">
        <f>EF38/'plans (27122022)'!CX37</f>
        <v>-1.561600549066999E-2</v>
      </c>
    </row>
    <row r="39" spans="1:137" s="157" customFormat="1" ht="27" customHeight="1" x14ac:dyDescent="0.25">
      <c r="A39" s="1070"/>
      <c r="B39" s="164" t="s">
        <v>55</v>
      </c>
      <c r="C39" s="1027"/>
      <c r="D39" s="1006">
        <v>1115.6999999999998</v>
      </c>
      <c r="E39" s="133"/>
      <c r="F39" s="133">
        <v>10.25751822670062</v>
      </c>
      <c r="G39" s="133"/>
      <c r="H39" s="134" t="s">
        <v>44</v>
      </c>
      <c r="I39" s="135" t="s">
        <v>44</v>
      </c>
      <c r="J39" s="136">
        <v>170139</v>
      </c>
      <c r="K39" s="86"/>
      <c r="L39" s="137" t="s">
        <v>44</v>
      </c>
      <c r="M39" s="138" t="s">
        <v>44</v>
      </c>
      <c r="N39" s="139">
        <v>157376</v>
      </c>
      <c r="O39" s="140"/>
      <c r="P39" s="134" t="s">
        <v>44</v>
      </c>
      <c r="Q39" s="135" t="s">
        <v>44</v>
      </c>
      <c r="R39" s="139">
        <v>12763</v>
      </c>
      <c r="S39" s="140"/>
      <c r="T39" s="134" t="s">
        <v>44</v>
      </c>
      <c r="U39" s="135" t="s">
        <v>44</v>
      </c>
      <c r="V39" s="141">
        <v>152</v>
      </c>
      <c r="W39" s="141"/>
      <c r="X39" s="132">
        <v>1118.8999999999999</v>
      </c>
      <c r="Y39" s="133"/>
      <c r="Z39" s="133">
        <v>10.193223952117627</v>
      </c>
      <c r="AA39" s="133"/>
      <c r="AB39" s="134" t="s">
        <v>44</v>
      </c>
      <c r="AC39" s="135" t="s">
        <v>44</v>
      </c>
      <c r="AD39" s="136">
        <v>155810</v>
      </c>
      <c r="AE39" s="86"/>
      <c r="AF39" s="137" t="s">
        <v>44</v>
      </c>
      <c r="AG39" s="138" t="s">
        <v>44</v>
      </c>
      <c r="AH39" s="139">
        <v>146660</v>
      </c>
      <c r="AI39" s="140"/>
      <c r="AJ39" s="134" t="s">
        <v>44</v>
      </c>
      <c r="AK39" s="135" t="s">
        <v>44</v>
      </c>
      <c r="AL39" s="139">
        <v>9150</v>
      </c>
      <c r="AM39" s="140"/>
      <c r="AN39" s="134" t="s">
        <v>44</v>
      </c>
      <c r="AO39" s="135" t="s">
        <v>44</v>
      </c>
      <c r="AP39" s="141">
        <v>139</v>
      </c>
      <c r="AQ39" s="141"/>
      <c r="AR39" s="132">
        <v>1062.5999999999999</v>
      </c>
      <c r="AS39" s="133">
        <f>PLĀNS_ar_grozījumiem!AS39-'plans (27122022)'!AS38</f>
        <v>0</v>
      </c>
      <c r="AT39" s="133">
        <f>PLĀNS_ar_grozījumiem!AT39-'plans (27122022)'!AT38</f>
        <v>-9.4862708225538235</v>
      </c>
      <c r="AU39" s="133">
        <f>PLĀNS_ar_grozījumiem!AU39-'plans (27122022)'!AU38</f>
        <v>0</v>
      </c>
      <c r="AV39" s="134" t="e">
        <f>PLĀNS_ar_grozījumiem!AV39-'plans (27122022)'!AV38</f>
        <v>#VALUE!</v>
      </c>
      <c r="AW39" s="135" t="e">
        <f>PLĀNS_ar_grozījumiem!AW39-'plans (27122022)'!AW38</f>
        <v>#VALUE!</v>
      </c>
      <c r="AX39" s="136">
        <f>PLĀNS_ar_grozījumiem!AX39-'plans (27122022)'!AX38</f>
        <v>17302.800000000017</v>
      </c>
      <c r="AY39" s="86">
        <f>PLĀNS_ar_grozījumiem!AY39-'plans (27122022)'!AY38</f>
        <v>0</v>
      </c>
      <c r="AZ39" s="137" t="e">
        <f>PLĀNS_ar_grozījumiem!AZ39-'plans (27122022)'!AZ38</f>
        <v>#VALUE!</v>
      </c>
      <c r="BA39" s="138" t="e">
        <f>PLĀNS_ar_grozījumiem!BA39-'plans (27122022)'!BA38</f>
        <v>#VALUE!</v>
      </c>
      <c r="BB39" s="139">
        <f>PLĀNS_ar_grozījumiem!BB39-'plans (27122022)'!BB38</f>
        <v>15134.800000000017</v>
      </c>
      <c r="BC39" s="140">
        <f>PLĀNS_ar_grozījumiem!BC39-'plans (27122022)'!BC38</f>
        <v>0</v>
      </c>
      <c r="BD39" s="134" t="e">
        <f>PLĀNS_ar_grozījumiem!BD39-'plans (27122022)'!BD38</f>
        <v>#VALUE!</v>
      </c>
      <c r="BE39" s="135" t="e">
        <f>PLĀNS_ar_grozījumiem!BE39-'plans (27122022)'!BE38</f>
        <v>#VALUE!</v>
      </c>
      <c r="BF39" s="139">
        <f>PLĀNS_ar_grozījumiem!BF39-'plans (27122022)'!BF38</f>
        <v>2168</v>
      </c>
      <c r="BG39" s="140">
        <f>PLĀNS_ar_grozījumiem!BG39-'plans (27122022)'!BG38</f>
        <v>0</v>
      </c>
      <c r="BH39" s="134" t="e">
        <f>PLĀNS_ar_grozījumiem!BH39-'plans (27122022)'!BH38</f>
        <v>#VALUE!</v>
      </c>
      <c r="BI39" s="135" t="e">
        <f>PLĀNS_ar_grozījumiem!BI39-'plans (27122022)'!BI38</f>
        <v>#VALUE!</v>
      </c>
      <c r="BJ39" s="141">
        <f>PLĀNS_ar_grozījumiem!BJ39-'plans (27122022)'!BJ38</f>
        <v>20.201484961860871</v>
      </c>
      <c r="BK39" s="141">
        <f>PLĀNS_ar_grozījumiem!BK39-'plans (27122022)'!BK38</f>
        <v>0</v>
      </c>
      <c r="BL39" s="132">
        <f>PLĀNS_ar_grozījumiem!BL39-'plans (27122022)'!BL38</f>
        <v>12.200000000000045</v>
      </c>
      <c r="BM39" s="133">
        <f>PLĀNS_ar_grozījumiem!BM39-'plans (27122022)'!BM38</f>
        <v>0</v>
      </c>
      <c r="BN39" s="133">
        <f>PLĀNS_ar_grozījumiem!BN39-'plans (27122022)'!BN38</f>
        <v>-10.280552841739192</v>
      </c>
      <c r="BO39" s="133">
        <f>PLĀNS_ar_grozījumiem!BO39-'plans (27122022)'!BO38</f>
        <v>0</v>
      </c>
      <c r="BP39" s="134" t="e">
        <f>PLĀNS_ar_grozījumiem!BP39-'plans (27122022)'!BP38</f>
        <v>#VALUE!</v>
      </c>
      <c r="BQ39" s="135" t="e">
        <f>PLĀNS_ar_grozījumiem!BQ39-'plans (27122022)'!BQ38</f>
        <v>#VALUE!</v>
      </c>
      <c r="BR39" s="136">
        <f>PLĀNS_ar_grozījumiem!BR39-'plans (27122022)'!BR38</f>
        <v>34456.81</v>
      </c>
      <c r="BS39" s="86">
        <f>PLĀNS_ar_grozījumiem!BS39-'plans (27122022)'!BS38</f>
        <v>0</v>
      </c>
      <c r="BT39" s="137" t="e">
        <f>PLĀNS_ar_grozījumiem!BT39-'plans (27122022)'!BT38</f>
        <v>#VALUE!</v>
      </c>
      <c r="BU39" s="138" t="e">
        <f>PLĀNS_ar_grozījumiem!BU39-'plans (27122022)'!BU38</f>
        <v>#VALUE!</v>
      </c>
      <c r="BV39" s="139">
        <f>PLĀNS_ar_grozījumiem!BV39-'plans (27122022)'!BV38</f>
        <v>31959.809999999998</v>
      </c>
      <c r="BW39" s="140">
        <f>PLĀNS_ar_grozījumiem!BW39-'plans (27122022)'!BW38</f>
        <v>0</v>
      </c>
      <c r="BX39" s="134" t="e">
        <f>PLĀNS_ar_grozījumiem!BX39-'plans (27122022)'!BX38</f>
        <v>#VALUE!</v>
      </c>
      <c r="BY39" s="135" t="e">
        <f>PLĀNS_ar_grozījumiem!BY39-'plans (27122022)'!BY38</f>
        <v>#VALUE!</v>
      </c>
      <c r="BZ39" s="139">
        <f>PLĀNS_ar_grozījumiem!BZ39-'plans (27122022)'!BZ38</f>
        <v>2497</v>
      </c>
      <c r="CA39" s="140">
        <f>PLĀNS_ar_grozījumiem!CA39-'plans (27122022)'!CA38</f>
        <v>0</v>
      </c>
      <c r="CB39" s="134" t="e">
        <f>PLĀNS_ar_grozījumiem!CB39-'plans (27122022)'!CB38</f>
        <v>#VALUE!</v>
      </c>
      <c r="CC39" s="135" t="e">
        <f>PLĀNS_ar_grozījumiem!CC39-'plans (27122022)'!CC38</f>
        <v>#VALUE!</v>
      </c>
      <c r="CD39" s="141">
        <f>PLĀNS_ar_grozījumiem!CD39-'plans (27122022)'!CD38</f>
        <v>28.0312665471005</v>
      </c>
      <c r="CE39" s="141">
        <f>PLĀNS_ar_grozījumiem!CE39-'plans (27122022)'!CE38</f>
        <v>0</v>
      </c>
      <c r="CF39" s="142">
        <f>PLĀNS_ar_grozījumiem!CF39-'plans (27122022)'!CF38</f>
        <v>-16.029999999999745</v>
      </c>
      <c r="CG39" s="141">
        <f>PLĀNS_ar_grozījumiem!CG39-'plans (27122022)'!CG38</f>
        <v>0</v>
      </c>
      <c r="CH39" s="133">
        <f>PLĀNS_ar_grozījumiem!CH39-'plans (27122022)'!CH38</f>
        <v>-10.002814573290461</v>
      </c>
      <c r="CI39" s="143">
        <f>PLĀNS_ar_grozījumiem!CI39-'plans (27122022)'!CI38</f>
        <v>0</v>
      </c>
      <c r="CJ39" s="137" t="e">
        <f>PLĀNS_ar_grozījumiem!CJ39-'plans (27122022)'!CJ38</f>
        <v>#VALUE!</v>
      </c>
      <c r="CK39" s="138" t="e">
        <f>PLĀNS_ar_grozījumiem!CK39-'plans (27122022)'!CK38</f>
        <v>#VALUE!</v>
      </c>
      <c r="CL39" s="139">
        <f>PLĀNS_ar_grozījumiem!CL39-'plans (27122022)'!CL38</f>
        <v>51759.609999999986</v>
      </c>
      <c r="CM39" s="144">
        <f>PLĀNS_ar_grozījumiem!CM39-'plans (27122022)'!CM38</f>
        <v>0</v>
      </c>
      <c r="CN39" s="145" t="e">
        <f>PLĀNS_ar_grozījumiem!CN39-'plans (27122022)'!CN38</f>
        <v>#VALUE!</v>
      </c>
      <c r="CO39" s="138" t="e">
        <f>PLĀNS_ar_grozījumiem!CO39-'plans (27122022)'!CO38</f>
        <v>#VALUE!</v>
      </c>
      <c r="CP39" s="139">
        <f>PLĀNS_ar_grozījumiem!CP39-'plans (27122022)'!CP38</f>
        <v>47094.609999999986</v>
      </c>
      <c r="CQ39" s="140">
        <f>PLĀNS_ar_grozījumiem!CQ39-'plans (27122022)'!CQ38</f>
        <v>0</v>
      </c>
      <c r="CR39" s="137" t="e">
        <f>PLĀNS_ar_grozījumiem!CR39-'plans (27122022)'!CR38</f>
        <v>#VALUE!</v>
      </c>
      <c r="CS39" s="138" t="e">
        <f>PLĀNS_ar_grozījumiem!CS39-'plans (27122022)'!CS38</f>
        <v>#VALUE!</v>
      </c>
      <c r="CT39" s="139">
        <f>PLĀNS_ar_grozījumiem!CT39-'plans (27122022)'!CT38</f>
        <v>4665</v>
      </c>
      <c r="CU39" s="140">
        <f>PLĀNS_ar_grozījumiem!CU39-'plans (27122022)'!CU38</f>
        <v>0</v>
      </c>
      <c r="CV39" s="137" t="e">
        <f>PLĀNS_ar_grozījumiem!CV39-'plans (27122022)'!CV38</f>
        <v>#VALUE!</v>
      </c>
      <c r="CW39" s="138" t="e">
        <f>PLĀNS_ar_grozījumiem!CW39-'plans (27122022)'!CW38</f>
        <v>#VALUE!</v>
      </c>
      <c r="CX39" s="139">
        <f>PLĀNS_ar_grozījumiem!CX39-'plans (27122022)'!CX38</f>
        <v>12.162867557862938</v>
      </c>
      <c r="CY39" s="175">
        <f>PLĀNS_ar_grozījumiem!CY39-'plans (27122022)'!CY38</f>
        <v>0</v>
      </c>
      <c r="CZ39" s="147">
        <f t="shared" si="0"/>
        <v>2234.5999999999995</v>
      </c>
      <c r="DA39" s="148">
        <f t="shared" si="0"/>
        <v>0</v>
      </c>
      <c r="DB39" s="149" t="e">
        <f>(CZ39/#REF!)*100</f>
        <v>#REF!</v>
      </c>
      <c r="DC39" s="150" t="e">
        <f>(DA39/#REF!)*100</f>
        <v>#REF!</v>
      </c>
      <c r="DD39" s="139">
        <f t="shared" si="13"/>
        <v>325949</v>
      </c>
      <c r="DE39" s="141">
        <f t="shared" si="13"/>
        <v>0</v>
      </c>
      <c r="DF39" s="141" t="e">
        <f t="shared" si="13"/>
        <v>#VALUE!</v>
      </c>
      <c r="DG39" s="151" t="e">
        <f t="shared" si="10"/>
        <v>#VALUE!</v>
      </c>
      <c r="DH39" s="139">
        <f t="shared" si="10"/>
        <v>304036</v>
      </c>
      <c r="DI39" s="140">
        <f t="shared" si="10"/>
        <v>0</v>
      </c>
      <c r="DJ39" s="140" t="e">
        <f t="shared" si="10"/>
        <v>#VALUE!</v>
      </c>
      <c r="DK39" s="140" t="e">
        <f t="shared" si="10"/>
        <v>#VALUE!</v>
      </c>
      <c r="DL39" s="139">
        <f t="shared" si="10"/>
        <v>21913</v>
      </c>
      <c r="DM39" s="140">
        <f t="shared" si="10"/>
        <v>0</v>
      </c>
      <c r="DN39" s="140" t="e">
        <f t="shared" si="10"/>
        <v>#VALUE!</v>
      </c>
      <c r="DO39" s="152" t="e">
        <f t="shared" si="10"/>
        <v>#VALUE!</v>
      </c>
      <c r="DP39" s="139">
        <f t="shared" si="11"/>
        <v>146</v>
      </c>
      <c r="DQ39" s="153" t="e">
        <f t="shared" si="11"/>
        <v>#DIV/0!</v>
      </c>
      <c r="DR39" s="154">
        <f>PLĀNS_ar_grozījumiem!CF39-'plans (27122022)'!CF38</f>
        <v>-16.029999999999745</v>
      </c>
      <c r="DS39" s="904">
        <f>DR39/'plans (27122022)'!CF38</f>
        <v>-3.59747750173921E-3</v>
      </c>
      <c r="DT39" s="79">
        <f>PLĀNS_ar_grozījumiem!CL39-'plans (27122022)'!CL38</f>
        <v>51759.609999999986</v>
      </c>
      <c r="DU39" s="905">
        <f>DT39/'plans (27122022)'!CL38</f>
        <v>8.3054839713862988E-2</v>
      </c>
      <c r="DV39" s="86"/>
      <c r="DW39" s="84">
        <f>PLĀNS_ar_grozījumiem!CM39-'plans (27122022)'!CM38</f>
        <v>0</v>
      </c>
      <c r="DX39" s="79">
        <f>PLĀNS_ar_grozījumiem!CP39-'plans (27122022)'!CP38</f>
        <v>47094.609999999986</v>
      </c>
      <c r="DY39" s="905">
        <f>DX39/'plans (27122022)'!CP38</f>
        <v>8.0937069811486101E-2</v>
      </c>
      <c r="DZ39" s="86"/>
      <c r="EA39" s="84"/>
      <c r="EB39" s="79">
        <f>PLĀNS_ar_grozījumiem!CT39-'plans (27122022)'!CT38</f>
        <v>4665</v>
      </c>
      <c r="EC39" s="905">
        <f>EB39/'plans (27122022)'!CT38</f>
        <v>0.11286927487842055</v>
      </c>
      <c r="ED39" s="86"/>
      <c r="EE39" s="87"/>
      <c r="EF39" s="155">
        <f>PLĀNS_ar_grozījumiem!CX39-'plans (27122022)'!CX38</f>
        <v>12.162867557862938</v>
      </c>
      <c r="EG39" s="912">
        <f>EF39/'plans (27122022)'!CX38</f>
        <v>8.6965172466987165E-2</v>
      </c>
    </row>
    <row r="40" spans="1:137" s="124" customFormat="1" ht="15.75" customHeight="1" x14ac:dyDescent="0.25">
      <c r="A40" s="1070"/>
      <c r="B40" s="90"/>
      <c r="C40" s="1024" t="s">
        <v>45</v>
      </c>
      <c r="D40" s="1005">
        <v>245.39999999999998</v>
      </c>
      <c r="E40" s="93"/>
      <c r="F40" s="93">
        <v>11.366373320981934</v>
      </c>
      <c r="G40" s="93"/>
      <c r="H40" s="158" t="s">
        <v>44</v>
      </c>
      <c r="I40" s="159" t="s">
        <v>44</v>
      </c>
      <c r="J40" s="96">
        <v>56468</v>
      </c>
      <c r="K40" s="97"/>
      <c r="L40" s="98" t="s">
        <v>44</v>
      </c>
      <c r="M40" s="99" t="s">
        <v>44</v>
      </c>
      <c r="N40" s="100">
        <v>52627</v>
      </c>
      <c r="O40" s="101"/>
      <c r="P40" s="158" t="s">
        <v>44</v>
      </c>
      <c r="Q40" s="159" t="s">
        <v>44</v>
      </c>
      <c r="R40" s="100">
        <v>3841</v>
      </c>
      <c r="S40" s="97"/>
      <c r="T40" s="158" t="s">
        <v>44</v>
      </c>
      <c r="U40" s="159" t="s">
        <v>44</v>
      </c>
      <c r="V40" s="102">
        <v>230</v>
      </c>
      <c r="W40" s="102"/>
      <c r="X40" s="92">
        <v>253.59999999999997</v>
      </c>
      <c r="Y40" s="93"/>
      <c r="Z40" s="93">
        <v>11.611721611721611</v>
      </c>
      <c r="AA40" s="93"/>
      <c r="AB40" s="158" t="s">
        <v>44</v>
      </c>
      <c r="AC40" s="159" t="s">
        <v>44</v>
      </c>
      <c r="AD40" s="96">
        <v>55033</v>
      </c>
      <c r="AE40" s="97"/>
      <c r="AF40" s="98" t="s">
        <v>44</v>
      </c>
      <c r="AG40" s="99" t="s">
        <v>44</v>
      </c>
      <c r="AH40" s="100">
        <v>51102</v>
      </c>
      <c r="AI40" s="101"/>
      <c r="AJ40" s="158" t="s">
        <v>44</v>
      </c>
      <c r="AK40" s="159" t="s">
        <v>44</v>
      </c>
      <c r="AL40" s="100">
        <v>3931</v>
      </c>
      <c r="AM40" s="97"/>
      <c r="AN40" s="158" t="s">
        <v>44</v>
      </c>
      <c r="AO40" s="159" t="s">
        <v>44</v>
      </c>
      <c r="AP40" s="102">
        <v>217</v>
      </c>
      <c r="AQ40" s="102"/>
      <c r="AR40" s="92">
        <v>241.6</v>
      </c>
      <c r="AS40" s="93">
        <f>PLĀNS_ar_grozījumiem!AS40-'plans (27122022)'!AS39</f>
        <v>0</v>
      </c>
      <c r="AT40" s="93">
        <f>PLĀNS_ar_grozījumiem!AT40-'plans (27122022)'!AT39</f>
        <v>-10.84338768115942</v>
      </c>
      <c r="AU40" s="93">
        <f>PLĀNS_ar_grozījumiem!AU40-'plans (27122022)'!AU39</f>
        <v>0</v>
      </c>
      <c r="AV40" s="158" t="e">
        <f>PLĀNS_ar_grozījumiem!AV40-'plans (27122022)'!AV39</f>
        <v>#VALUE!</v>
      </c>
      <c r="AW40" s="159" t="e">
        <f>PLĀNS_ar_grozījumiem!AW40-'plans (27122022)'!AW39</f>
        <v>#VALUE!</v>
      </c>
      <c r="AX40" s="96">
        <f>PLĀNS_ar_grozījumiem!AX40-'plans (27122022)'!AX39</f>
        <v>7651.3000000000029</v>
      </c>
      <c r="AY40" s="97">
        <f>PLĀNS_ar_grozījumiem!AY40-'plans (27122022)'!AY39</f>
        <v>0</v>
      </c>
      <c r="AZ40" s="98" t="e">
        <f>PLĀNS_ar_grozījumiem!AZ40-'plans (27122022)'!AZ39</f>
        <v>#VALUE!</v>
      </c>
      <c r="BA40" s="99" t="e">
        <f>PLĀNS_ar_grozījumiem!BA40-'plans (27122022)'!BA39</f>
        <v>#VALUE!</v>
      </c>
      <c r="BB40" s="100">
        <f>PLĀNS_ar_grozījumiem!BB40-'plans (27122022)'!BB39</f>
        <v>5483.3000000000029</v>
      </c>
      <c r="BC40" s="101">
        <f>PLĀNS_ar_grozījumiem!BC40-'plans (27122022)'!BC39</f>
        <v>0</v>
      </c>
      <c r="BD40" s="158" t="e">
        <f>PLĀNS_ar_grozījumiem!BD40-'plans (27122022)'!BD39</f>
        <v>#VALUE!</v>
      </c>
      <c r="BE40" s="159" t="e">
        <f>PLĀNS_ar_grozījumiem!BE40-'plans (27122022)'!BE39</f>
        <v>#VALUE!</v>
      </c>
      <c r="BF40" s="100">
        <f>PLĀNS_ar_grozījumiem!BF40-'plans (27122022)'!BF39</f>
        <v>2168</v>
      </c>
      <c r="BG40" s="97">
        <f>PLĀNS_ar_grozījumiem!BG40-'plans (27122022)'!BG39</f>
        <v>0</v>
      </c>
      <c r="BH40" s="158" t="e">
        <f>PLĀNS_ar_grozījumiem!BH40-'plans (27122022)'!BH39</f>
        <v>#VALUE!</v>
      </c>
      <c r="BI40" s="159" t="e">
        <f>PLĀNS_ar_grozījumiem!BI40-'plans (27122022)'!BI39</f>
        <v>#VALUE!</v>
      </c>
      <c r="BJ40" s="102">
        <f>PLĀNS_ar_grozījumiem!BJ40-'plans (27122022)'!BJ39</f>
        <v>54.766299357208453</v>
      </c>
      <c r="BK40" s="102">
        <f>PLĀNS_ar_grozījumiem!BK40-'plans (27122022)'!BK39</f>
        <v>0</v>
      </c>
      <c r="BL40" s="92">
        <f>PLĀNS_ar_grozījumiem!BL40-'plans (27122022)'!BL39</f>
        <v>-15.300000000000068</v>
      </c>
      <c r="BM40" s="93">
        <f>PLĀNS_ar_grozījumiem!BM40-'plans (27122022)'!BM39</f>
        <v>0</v>
      </c>
      <c r="BN40" s="93">
        <f>PLĀNS_ar_grozījumiem!BN40-'plans (27122022)'!BN39</f>
        <v>-12.855862381167951</v>
      </c>
      <c r="BO40" s="93">
        <f>PLĀNS_ar_grozījumiem!BO40-'plans (27122022)'!BO39</f>
        <v>0</v>
      </c>
      <c r="BP40" s="158" t="e">
        <f>PLĀNS_ar_grozījumiem!BP40-'plans (27122022)'!BP39</f>
        <v>#VALUE!</v>
      </c>
      <c r="BQ40" s="159" t="e">
        <f>PLĀNS_ar_grozījumiem!BQ40-'plans (27122022)'!BQ39</f>
        <v>#VALUE!</v>
      </c>
      <c r="BR40" s="96">
        <f>PLĀNS_ar_grozījumiem!BR40-'plans (27122022)'!BR39</f>
        <v>17282.86</v>
      </c>
      <c r="BS40" s="97">
        <f>PLĀNS_ar_grozījumiem!BS40-'plans (27122022)'!BS39</f>
        <v>0</v>
      </c>
      <c r="BT40" s="98" t="e">
        <f>PLĀNS_ar_grozījumiem!BT40-'plans (27122022)'!BT39</f>
        <v>#VALUE!</v>
      </c>
      <c r="BU40" s="99" t="e">
        <f>PLĀNS_ar_grozījumiem!BU40-'plans (27122022)'!BU39</f>
        <v>#VALUE!</v>
      </c>
      <c r="BV40" s="100">
        <f>PLĀNS_ar_grozījumiem!BV40-'plans (27122022)'!BV39</f>
        <v>15402.86</v>
      </c>
      <c r="BW40" s="101">
        <f>PLĀNS_ar_grozījumiem!BW40-'plans (27122022)'!BW39</f>
        <v>0</v>
      </c>
      <c r="BX40" s="158" t="e">
        <f>PLĀNS_ar_grozījumiem!BX40-'plans (27122022)'!BX39</f>
        <v>#VALUE!</v>
      </c>
      <c r="BY40" s="159" t="e">
        <f>PLĀNS_ar_grozījumiem!BY40-'plans (27122022)'!BY39</f>
        <v>#VALUE!</v>
      </c>
      <c r="BZ40" s="100">
        <f>PLĀNS_ar_grozījumiem!BZ40-'plans (27122022)'!BZ39</f>
        <v>1880</v>
      </c>
      <c r="CA40" s="97">
        <f>PLĀNS_ar_grozījumiem!CA40-'plans (27122022)'!CA39</f>
        <v>0</v>
      </c>
      <c r="CB40" s="158" t="e">
        <f>PLĀNS_ar_grozījumiem!CB40-'plans (27122022)'!CB39</f>
        <v>#VALUE!</v>
      </c>
      <c r="CC40" s="159" t="e">
        <f>PLĀNS_ar_grozījumiem!CC40-'plans (27122022)'!CC39</f>
        <v>#VALUE!</v>
      </c>
      <c r="CD40" s="102">
        <f>PLĀNS_ar_grozījumiem!CD40-'plans (27122022)'!CD39</f>
        <v>75.265512159174648</v>
      </c>
      <c r="CE40" s="102">
        <f>PLĀNS_ar_grozījumiem!CE40-'plans (27122022)'!CE39</f>
        <v>0</v>
      </c>
      <c r="CF40" s="103">
        <f>PLĀNS_ar_grozījumiem!CF40-'plans (27122022)'!CF39</f>
        <v>-39.100000000000023</v>
      </c>
      <c r="CG40" s="102">
        <f>PLĀNS_ar_grozījumiem!CG40-'plans (27122022)'!CG39</f>
        <v>0</v>
      </c>
      <c r="CH40" s="93">
        <f>PLĀNS_ar_grozījumiem!CH40-'plans (27122022)'!CH39</f>
        <v>-11.614360730593607</v>
      </c>
      <c r="CI40" s="127">
        <f>PLĀNS_ar_grozījumiem!CI40-'plans (27122022)'!CI39</f>
        <v>0</v>
      </c>
      <c r="CJ40" s="98" t="e">
        <f>PLĀNS_ar_grozījumiem!CJ40-'plans (27122022)'!CJ39</f>
        <v>#VALUE!</v>
      </c>
      <c r="CK40" s="99" t="e">
        <f>PLĀNS_ar_grozījumiem!CK40-'plans (27122022)'!CK39</f>
        <v>#VALUE!</v>
      </c>
      <c r="CL40" s="100">
        <f>PLĀNS_ar_grozījumiem!CL40-'plans (27122022)'!CL39</f>
        <v>24934.160000000003</v>
      </c>
      <c r="CM40" s="107">
        <f>PLĀNS_ar_grozījumiem!CM40-'plans (27122022)'!CM39</f>
        <v>0</v>
      </c>
      <c r="CN40" s="108" t="e">
        <f>PLĀNS_ar_grozījumiem!CN40-'plans (27122022)'!CN39</f>
        <v>#VALUE!</v>
      </c>
      <c r="CO40" s="99" t="e">
        <f>PLĀNS_ar_grozījumiem!CO40-'plans (27122022)'!CO39</f>
        <v>#VALUE!</v>
      </c>
      <c r="CP40" s="100">
        <f>PLĀNS_ar_grozījumiem!CP40-'plans (27122022)'!CP39</f>
        <v>20886.160000000003</v>
      </c>
      <c r="CQ40" s="97">
        <f>PLĀNS_ar_grozījumiem!CQ40-'plans (27122022)'!CQ39</f>
        <v>0</v>
      </c>
      <c r="CR40" s="98" t="e">
        <f>PLĀNS_ar_grozījumiem!CR40-'plans (27122022)'!CR39</f>
        <v>#VALUE!</v>
      </c>
      <c r="CS40" s="99" t="e">
        <f>PLĀNS_ar_grozījumiem!CS40-'plans (27122022)'!CS39</f>
        <v>#VALUE!</v>
      </c>
      <c r="CT40" s="100">
        <f>PLĀNS_ar_grozījumiem!CT40-'plans (27122022)'!CT39</f>
        <v>4048</v>
      </c>
      <c r="CU40" s="97">
        <f>PLĀNS_ar_grozījumiem!CU40-'plans (27122022)'!CU39</f>
        <v>0</v>
      </c>
      <c r="CV40" s="98" t="e">
        <f>PLĀNS_ar_grozījumiem!CV40-'plans (27122022)'!CV39</f>
        <v>#VALUE!</v>
      </c>
      <c r="CW40" s="99" t="e">
        <f>PLĀNS_ar_grozījumiem!CW40-'plans (27122022)'!CW39</f>
        <v>#VALUE!</v>
      </c>
      <c r="CX40" s="100">
        <f>PLĀNS_ar_grozījumiem!CX40-'plans (27122022)'!CX39</f>
        <v>33.529850688430116</v>
      </c>
      <c r="CY40" s="174">
        <f>PLĀNS_ar_grozījumiem!CY40-'plans (27122022)'!CY39</f>
        <v>0</v>
      </c>
      <c r="CZ40" s="110">
        <f t="shared" si="0"/>
        <v>498.99999999999994</v>
      </c>
      <c r="DA40" s="111">
        <f t="shared" si="0"/>
        <v>0</v>
      </c>
      <c r="DB40" s="112">
        <f>(CZ40/4343)*100</f>
        <v>11.489753626525442</v>
      </c>
      <c r="DC40" s="113">
        <f>(DA40/4343)*100</f>
        <v>0</v>
      </c>
      <c r="DD40" s="100">
        <f t="shared" si="13"/>
        <v>111501</v>
      </c>
      <c r="DE40" s="102">
        <f t="shared" si="13"/>
        <v>0</v>
      </c>
      <c r="DF40" s="102" t="e">
        <f t="shared" si="13"/>
        <v>#VALUE!</v>
      </c>
      <c r="DG40" s="114" t="e">
        <f t="shared" si="10"/>
        <v>#VALUE!</v>
      </c>
      <c r="DH40" s="100">
        <f t="shared" si="10"/>
        <v>103729</v>
      </c>
      <c r="DI40" s="97">
        <f t="shared" si="10"/>
        <v>0</v>
      </c>
      <c r="DJ40" s="97" t="e">
        <f t="shared" si="10"/>
        <v>#VALUE!</v>
      </c>
      <c r="DK40" s="97" t="e">
        <f t="shared" si="10"/>
        <v>#VALUE!</v>
      </c>
      <c r="DL40" s="100">
        <f t="shared" si="10"/>
        <v>7772</v>
      </c>
      <c r="DM40" s="97">
        <f t="shared" si="10"/>
        <v>0</v>
      </c>
      <c r="DN40" s="97" t="e">
        <f t="shared" si="10"/>
        <v>#VALUE!</v>
      </c>
      <c r="DO40" s="115" t="e">
        <f t="shared" si="10"/>
        <v>#VALUE!</v>
      </c>
      <c r="DP40" s="100">
        <f t="shared" si="11"/>
        <v>223</v>
      </c>
      <c r="DQ40" s="116" t="e">
        <f t="shared" si="11"/>
        <v>#DIV/0!</v>
      </c>
      <c r="DR40" s="117">
        <f>PLĀNS_ar_grozījumiem!CF40-'plans (27122022)'!CF39</f>
        <v>-39.100000000000023</v>
      </c>
      <c r="DS40" s="908">
        <f>DR40/'plans (27122022)'!CF39</f>
        <v>-3.8060936435315898E-2</v>
      </c>
      <c r="DT40" s="104">
        <f>PLĀNS_ar_grozījumiem!CL40-'plans (27122022)'!CL39</f>
        <v>24934.160000000003</v>
      </c>
      <c r="DU40" s="909">
        <f>DT40/'plans (27122022)'!CL39</f>
        <v>0.11573329620088656</v>
      </c>
      <c r="DV40" s="120"/>
      <c r="DW40" s="118">
        <f>PLĀNS_ar_grozījumiem!CM40-'plans (27122022)'!CM39</f>
        <v>0</v>
      </c>
      <c r="DX40" s="104">
        <f>PLĀNS_ar_grozījumiem!CP40-'plans (27122022)'!CP39</f>
        <v>20886.160000000003</v>
      </c>
      <c r="DY40" s="909">
        <f>DX40/'plans (27122022)'!CP39</f>
        <v>0.10319452953615686</v>
      </c>
      <c r="DZ40" s="120"/>
      <c r="EA40" s="118"/>
      <c r="EB40" s="104">
        <f>PLĀNS_ar_grozījumiem!CT40-'plans (27122022)'!CT39</f>
        <v>4048</v>
      </c>
      <c r="EC40" s="121"/>
      <c r="ED40" s="120"/>
      <c r="EE40" s="121"/>
      <c r="EF40" s="122">
        <f>PLĀNS_ar_grozījumiem!CX40-'plans (27122022)'!CX39</f>
        <v>33.529850688430116</v>
      </c>
      <c r="EG40" s="911">
        <f>EF40/'plans (27122022)'!CX39</f>
        <v>0.15987939201292328</v>
      </c>
    </row>
    <row r="41" spans="1:137" ht="15.75" customHeight="1" x14ac:dyDescent="0.25">
      <c r="A41" s="1070"/>
      <c r="B41" s="169"/>
      <c r="C41" s="1024" t="s">
        <v>46</v>
      </c>
      <c r="D41" s="1005">
        <v>151.69999999999999</v>
      </c>
      <c r="E41" s="93"/>
      <c r="F41" s="93">
        <v>7.0264011116257521</v>
      </c>
      <c r="G41" s="93"/>
      <c r="H41" s="158" t="s">
        <v>44</v>
      </c>
      <c r="I41" s="159" t="s">
        <v>44</v>
      </c>
      <c r="J41" s="96">
        <v>11845</v>
      </c>
      <c r="K41" s="97"/>
      <c r="L41" s="98" t="s">
        <v>44</v>
      </c>
      <c r="M41" s="99" t="s">
        <v>44</v>
      </c>
      <c r="N41" s="100">
        <v>11845</v>
      </c>
      <c r="O41" s="126"/>
      <c r="P41" s="158" t="s">
        <v>44</v>
      </c>
      <c r="Q41" s="159" t="s">
        <v>44</v>
      </c>
      <c r="R41" s="100">
        <v>0</v>
      </c>
      <c r="S41" s="97"/>
      <c r="T41" s="158" t="s">
        <v>44</v>
      </c>
      <c r="U41" s="159" t="s">
        <v>44</v>
      </c>
      <c r="V41" s="102">
        <v>78</v>
      </c>
      <c r="W41" s="102"/>
      <c r="X41" s="92">
        <v>164.3</v>
      </c>
      <c r="Y41" s="93"/>
      <c r="Z41" s="93">
        <v>7.5228937728937737</v>
      </c>
      <c r="AA41" s="93"/>
      <c r="AB41" s="158" t="s">
        <v>44</v>
      </c>
      <c r="AC41" s="159" t="s">
        <v>44</v>
      </c>
      <c r="AD41" s="96">
        <v>14098</v>
      </c>
      <c r="AE41" s="97"/>
      <c r="AF41" s="98" t="s">
        <v>44</v>
      </c>
      <c r="AG41" s="99" t="s">
        <v>44</v>
      </c>
      <c r="AH41" s="100">
        <v>14098</v>
      </c>
      <c r="AI41" s="126"/>
      <c r="AJ41" s="158" t="s">
        <v>44</v>
      </c>
      <c r="AK41" s="159" t="s">
        <v>44</v>
      </c>
      <c r="AL41" s="100">
        <v>0</v>
      </c>
      <c r="AM41" s="97"/>
      <c r="AN41" s="158" t="s">
        <v>44</v>
      </c>
      <c r="AO41" s="159" t="s">
        <v>44</v>
      </c>
      <c r="AP41" s="102">
        <v>86</v>
      </c>
      <c r="AQ41" s="102"/>
      <c r="AR41" s="92">
        <v>153.6</v>
      </c>
      <c r="AS41" s="93">
        <f>PLĀNS_ar_grozījumiem!AS41-'plans (27122022)'!AS40</f>
        <v>0</v>
      </c>
      <c r="AT41" s="93">
        <f>PLĀNS_ar_grozījumiem!AT41-'plans (27122022)'!AT40</f>
        <v>-6.8901268115942029</v>
      </c>
      <c r="AU41" s="93">
        <f>PLĀNS_ar_grozījumiem!AU41-'plans (27122022)'!AU40</f>
        <v>0</v>
      </c>
      <c r="AV41" s="158" t="e">
        <f>PLĀNS_ar_grozījumiem!AV41-'plans (27122022)'!AV40</f>
        <v>#VALUE!</v>
      </c>
      <c r="AW41" s="159" t="e">
        <f>PLĀNS_ar_grozījumiem!AW41-'plans (27122022)'!AW40</f>
        <v>#VALUE!</v>
      </c>
      <c r="AX41" s="96">
        <f>PLĀNS_ar_grozījumiem!AX41-'plans (27122022)'!AX40</f>
        <v>1955.8000000000011</v>
      </c>
      <c r="AY41" s="97">
        <f>PLĀNS_ar_grozījumiem!AY41-'plans (27122022)'!AY40</f>
        <v>0</v>
      </c>
      <c r="AZ41" s="98" t="e">
        <f>PLĀNS_ar_grozījumiem!AZ41-'plans (27122022)'!AZ40</f>
        <v>#VALUE!</v>
      </c>
      <c r="BA41" s="99" t="e">
        <f>PLĀNS_ar_grozījumiem!BA41-'plans (27122022)'!BA40</f>
        <v>#VALUE!</v>
      </c>
      <c r="BB41" s="100">
        <f>PLĀNS_ar_grozījumiem!BB41-'plans (27122022)'!BB40</f>
        <v>1955.8000000000011</v>
      </c>
      <c r="BC41" s="126">
        <f>PLĀNS_ar_grozījumiem!BC41-'plans (27122022)'!BC40</f>
        <v>0</v>
      </c>
      <c r="BD41" s="158" t="e">
        <f>PLĀNS_ar_grozījumiem!BD41-'plans (27122022)'!BD40</f>
        <v>#VALUE!</v>
      </c>
      <c r="BE41" s="159" t="e">
        <f>PLĀNS_ar_grozījumiem!BE41-'plans (27122022)'!BE40</f>
        <v>#VALUE!</v>
      </c>
      <c r="BF41" s="100">
        <f>PLĀNS_ar_grozījumiem!BF41-'plans (27122022)'!BF40</f>
        <v>0</v>
      </c>
      <c r="BG41" s="97">
        <f>PLĀNS_ar_grozījumiem!BG41-'plans (27122022)'!BG40</f>
        <v>0</v>
      </c>
      <c r="BH41" s="158" t="e">
        <f>PLĀNS_ar_grozījumiem!BH41-'plans (27122022)'!BH40</f>
        <v>#VALUE!</v>
      </c>
      <c r="BI41" s="159" t="e">
        <f>PLĀNS_ar_grozījumiem!BI41-'plans (27122022)'!BI40</f>
        <v>#VALUE!</v>
      </c>
      <c r="BJ41" s="102">
        <f>PLĀNS_ar_grozījumiem!BJ41-'plans (27122022)'!BJ40</f>
        <v>16.95361527967259</v>
      </c>
      <c r="BK41" s="102">
        <f>PLĀNS_ar_grozījumiem!BK41-'plans (27122022)'!BK40</f>
        <v>0</v>
      </c>
      <c r="BL41" s="92">
        <f>PLĀNS_ar_grozījumiem!BL41-'plans (27122022)'!BL40</f>
        <v>0</v>
      </c>
      <c r="BM41" s="93">
        <f>PLĀNS_ar_grozījumiem!BM41-'plans (27122022)'!BM40</f>
        <v>0</v>
      </c>
      <c r="BN41" s="93">
        <f>PLĀNS_ar_grozījumiem!BN41-'plans (27122022)'!BN40</f>
        <v>-6.9510638297872349</v>
      </c>
      <c r="BO41" s="93">
        <f>PLĀNS_ar_grozījumiem!BO41-'plans (27122022)'!BO40</f>
        <v>0</v>
      </c>
      <c r="BP41" s="158" t="e">
        <f>PLĀNS_ar_grozījumiem!BP41-'plans (27122022)'!BP40</f>
        <v>#VALUE!</v>
      </c>
      <c r="BQ41" s="159" t="e">
        <f>PLĀNS_ar_grozījumiem!BQ41-'plans (27122022)'!BQ40</f>
        <v>#VALUE!</v>
      </c>
      <c r="BR41" s="96">
        <f>PLĀNS_ar_grozījumiem!BR41-'plans (27122022)'!BR40</f>
        <v>1543.4000000000015</v>
      </c>
      <c r="BS41" s="97">
        <f>PLĀNS_ar_grozījumiem!BS41-'plans (27122022)'!BS40</f>
        <v>0</v>
      </c>
      <c r="BT41" s="98" t="e">
        <f>PLĀNS_ar_grozījumiem!BT41-'plans (27122022)'!BT40</f>
        <v>#VALUE!</v>
      </c>
      <c r="BU41" s="99" t="e">
        <f>PLĀNS_ar_grozījumiem!BU41-'plans (27122022)'!BU40</f>
        <v>#VALUE!</v>
      </c>
      <c r="BV41" s="100">
        <f>PLĀNS_ar_grozījumiem!BV41-'plans (27122022)'!BV40</f>
        <v>1543.4000000000015</v>
      </c>
      <c r="BW41" s="126">
        <f>PLĀNS_ar_grozījumiem!BW41-'plans (27122022)'!BW40</f>
        <v>0</v>
      </c>
      <c r="BX41" s="158" t="e">
        <f>PLĀNS_ar_grozījumiem!BX41-'plans (27122022)'!BX40</f>
        <v>#VALUE!</v>
      </c>
      <c r="BY41" s="159" t="e">
        <f>PLĀNS_ar_grozījumiem!BY41-'plans (27122022)'!BY40</f>
        <v>#VALUE!</v>
      </c>
      <c r="BZ41" s="100">
        <f>PLĀNS_ar_grozījumiem!BZ41-'plans (27122022)'!BZ40</f>
        <v>0</v>
      </c>
      <c r="CA41" s="97">
        <f>PLĀNS_ar_grozījumiem!CA41-'plans (27122022)'!CA40</f>
        <v>0</v>
      </c>
      <c r="CB41" s="158" t="e">
        <f>PLĀNS_ar_grozījumiem!CB41-'plans (27122022)'!CB40</f>
        <v>#VALUE!</v>
      </c>
      <c r="CC41" s="159" t="e">
        <f>PLĀNS_ar_grozījumiem!CC41-'plans (27122022)'!CC40</f>
        <v>#VALUE!</v>
      </c>
      <c r="CD41" s="102">
        <f>PLĀNS_ar_grozījumiem!CD41-'plans (27122022)'!CD40</f>
        <v>10.255319148936181</v>
      </c>
      <c r="CE41" s="102">
        <f>PLĀNS_ar_grozījumiem!CE41-'plans (27122022)'!CE40</f>
        <v>0</v>
      </c>
      <c r="CF41" s="103">
        <f>PLĀNS_ar_grozījumiem!CF41-'plans (27122022)'!CF40</f>
        <v>-7</v>
      </c>
      <c r="CG41" s="102">
        <f>PLĀNS_ar_grozījumiem!CG41-'plans (27122022)'!CG40</f>
        <v>0</v>
      </c>
      <c r="CH41" s="93">
        <f>PLĀNS_ar_grozījumiem!CH41-'plans (27122022)'!CH40</f>
        <v>-7.0607648401826486</v>
      </c>
      <c r="CI41" s="127">
        <f>PLĀNS_ar_grozījumiem!CI41-'plans (27122022)'!CI40</f>
        <v>0</v>
      </c>
      <c r="CJ41" s="98" t="e">
        <f>PLĀNS_ar_grozījumiem!CJ41-'plans (27122022)'!CJ40</f>
        <v>#VALUE!</v>
      </c>
      <c r="CK41" s="99" t="e">
        <f>PLĀNS_ar_grozījumiem!CK41-'plans (27122022)'!CK40</f>
        <v>#VALUE!</v>
      </c>
      <c r="CL41" s="100">
        <f>PLĀNS_ar_grozījumiem!CL41-'plans (27122022)'!CL40</f>
        <v>3499.2000000000044</v>
      </c>
      <c r="CM41" s="107">
        <f>PLĀNS_ar_grozījumiem!CM41-'plans (27122022)'!CM40</f>
        <v>0</v>
      </c>
      <c r="CN41" s="108" t="e">
        <f>PLĀNS_ar_grozījumiem!CN41-'plans (27122022)'!CN40</f>
        <v>#VALUE!</v>
      </c>
      <c r="CO41" s="99" t="e">
        <f>PLĀNS_ar_grozījumiem!CO41-'plans (27122022)'!CO40</f>
        <v>#VALUE!</v>
      </c>
      <c r="CP41" s="100">
        <f>PLĀNS_ar_grozījumiem!CP41-'plans (27122022)'!CP40</f>
        <v>3499.2000000000044</v>
      </c>
      <c r="CQ41" s="97">
        <f>PLĀNS_ar_grozījumiem!CQ41-'plans (27122022)'!CQ40</f>
        <v>0</v>
      </c>
      <c r="CR41" s="98" t="e">
        <f>PLĀNS_ar_grozījumiem!CR41-'plans (27122022)'!CR40</f>
        <v>#VALUE!</v>
      </c>
      <c r="CS41" s="99" t="e">
        <f>PLĀNS_ar_grozījumiem!CS41-'plans (27122022)'!CS40</f>
        <v>#VALUE!</v>
      </c>
      <c r="CT41" s="100">
        <f>PLĀNS_ar_grozījumiem!CT41-'plans (27122022)'!CT40</f>
        <v>0</v>
      </c>
      <c r="CU41" s="97">
        <f>PLĀNS_ar_grozījumiem!CU41-'plans (27122022)'!CU40</f>
        <v>0</v>
      </c>
      <c r="CV41" s="98" t="e">
        <f>PLĀNS_ar_grozījumiem!CV41-'plans (27122022)'!CV40</f>
        <v>#VALUE!</v>
      </c>
      <c r="CW41" s="99" t="e">
        <f>PLĀNS_ar_grozījumiem!CW41-'plans (27122022)'!CW40</f>
        <v>#VALUE!</v>
      </c>
      <c r="CX41" s="100">
        <f>PLĀNS_ar_grozījumiem!CX41-'plans (27122022)'!CX40</f>
        <v>6.5755201544823052</v>
      </c>
      <c r="CY41" s="174">
        <f>PLĀNS_ar_grozījumiem!CY41-'plans (27122022)'!CY40</f>
        <v>0</v>
      </c>
      <c r="CZ41" s="110">
        <f t="shared" si="0"/>
        <v>316</v>
      </c>
      <c r="DA41" s="111">
        <f t="shared" si="0"/>
        <v>0</v>
      </c>
      <c r="DB41" s="112">
        <f t="shared" ref="DB41:DC44" si="14">(CZ41/4343)*100</f>
        <v>7.2760764448537882</v>
      </c>
      <c r="DC41" s="113">
        <f t="shared" si="14"/>
        <v>0</v>
      </c>
      <c r="DD41" s="100">
        <f t="shared" si="13"/>
        <v>25943</v>
      </c>
      <c r="DE41" s="102">
        <f t="shared" si="13"/>
        <v>0</v>
      </c>
      <c r="DF41" s="102" t="e">
        <f t="shared" si="13"/>
        <v>#VALUE!</v>
      </c>
      <c r="DG41" s="114" t="e">
        <f t="shared" si="10"/>
        <v>#VALUE!</v>
      </c>
      <c r="DH41" s="100">
        <f t="shared" si="10"/>
        <v>25943</v>
      </c>
      <c r="DI41" s="97">
        <f t="shared" si="10"/>
        <v>0</v>
      </c>
      <c r="DJ41" s="97" t="e">
        <f t="shared" si="10"/>
        <v>#VALUE!</v>
      </c>
      <c r="DK41" s="97" t="e">
        <f t="shared" si="10"/>
        <v>#VALUE!</v>
      </c>
      <c r="DL41" s="100">
        <f t="shared" si="10"/>
        <v>0</v>
      </c>
      <c r="DM41" s="97">
        <f t="shared" si="10"/>
        <v>0</v>
      </c>
      <c r="DN41" s="97" t="e">
        <f t="shared" si="10"/>
        <v>#VALUE!</v>
      </c>
      <c r="DO41" s="115" t="e">
        <f t="shared" si="10"/>
        <v>#VALUE!</v>
      </c>
      <c r="DP41" s="100">
        <f t="shared" si="11"/>
        <v>82</v>
      </c>
      <c r="DQ41" s="116" t="e">
        <f t="shared" si="11"/>
        <v>#DIV/0!</v>
      </c>
      <c r="DR41" s="117">
        <f>PLĀNS_ar_grozījumiem!CF41-'plans (27122022)'!CF40</f>
        <v>-7</v>
      </c>
      <c r="DS41" s="908">
        <f>DR41/'plans (27122022)'!CF40</f>
        <v>-1.1205378581719225E-2</v>
      </c>
      <c r="DT41" s="104">
        <f>PLĀNS_ar_grozījumiem!CL41-'plans (27122022)'!CL40</f>
        <v>3499.2000000000044</v>
      </c>
      <c r="DU41" s="909">
        <f>DT41/'plans (27122022)'!CL40</f>
        <v>6.970656785991762E-2</v>
      </c>
      <c r="DV41" s="120"/>
      <c r="DW41" s="118">
        <f>PLĀNS_ar_grozījumiem!CM41-'plans (27122022)'!CM40</f>
        <v>0</v>
      </c>
      <c r="DX41" s="104">
        <f>PLĀNS_ar_grozījumiem!CP41-'plans (27122022)'!CP40</f>
        <v>3499.2000000000044</v>
      </c>
      <c r="DY41" s="909">
        <f>DX41/'plans (27122022)'!CP40</f>
        <v>6.970656785991762E-2</v>
      </c>
      <c r="DZ41" s="120"/>
      <c r="EA41" s="118"/>
      <c r="EB41" s="104">
        <f>PLĀNS_ar_grozījumiem!CT41-'plans (27122022)'!CT40</f>
        <v>0</v>
      </c>
      <c r="EC41" s="121"/>
      <c r="ED41" s="120"/>
      <c r="EE41" s="121"/>
      <c r="EF41" s="122">
        <f>PLĀNS_ar_grozījumiem!CX41-'plans (27122022)'!CX40</f>
        <v>6.5755201544823052</v>
      </c>
      <c r="EG41" s="911">
        <f>EF41/'plans (27122022)'!CX40</f>
        <v>8.1828869907868598E-2</v>
      </c>
    </row>
    <row r="42" spans="1:137" ht="15.75" customHeight="1" x14ac:dyDescent="0.25">
      <c r="A42" s="1070"/>
      <c r="B42" s="169"/>
      <c r="C42" s="1024" t="s">
        <v>47</v>
      </c>
      <c r="D42" s="1005">
        <v>541.70000000000005</v>
      </c>
      <c r="E42" s="93"/>
      <c r="F42" s="93">
        <v>25.090319592403894</v>
      </c>
      <c r="G42" s="93"/>
      <c r="H42" s="158" t="s">
        <v>44</v>
      </c>
      <c r="I42" s="159" t="s">
        <v>44</v>
      </c>
      <c r="J42" s="96">
        <v>73969</v>
      </c>
      <c r="K42" s="97"/>
      <c r="L42" s="98" t="s">
        <v>44</v>
      </c>
      <c r="M42" s="99" t="s">
        <v>44</v>
      </c>
      <c r="N42" s="100">
        <v>73969</v>
      </c>
      <c r="O42" s="126"/>
      <c r="P42" s="158" t="s">
        <v>44</v>
      </c>
      <c r="Q42" s="159" t="s">
        <v>44</v>
      </c>
      <c r="R42" s="100">
        <v>0</v>
      </c>
      <c r="S42" s="97"/>
      <c r="T42" s="158" t="s">
        <v>44</v>
      </c>
      <c r="U42" s="159" t="s">
        <v>44</v>
      </c>
      <c r="V42" s="102">
        <v>137</v>
      </c>
      <c r="W42" s="102"/>
      <c r="X42" s="92">
        <v>533.9</v>
      </c>
      <c r="Y42" s="93"/>
      <c r="Z42" s="93">
        <v>24.445970695970693</v>
      </c>
      <c r="AA42" s="93"/>
      <c r="AB42" s="158" t="s">
        <v>44</v>
      </c>
      <c r="AC42" s="159" t="s">
        <v>44</v>
      </c>
      <c r="AD42" s="96">
        <v>62675</v>
      </c>
      <c r="AE42" s="97"/>
      <c r="AF42" s="98" t="s">
        <v>44</v>
      </c>
      <c r="AG42" s="99" t="s">
        <v>44</v>
      </c>
      <c r="AH42" s="100">
        <v>62675</v>
      </c>
      <c r="AI42" s="126"/>
      <c r="AJ42" s="158" t="s">
        <v>44</v>
      </c>
      <c r="AK42" s="159" t="s">
        <v>44</v>
      </c>
      <c r="AL42" s="100">
        <v>0</v>
      </c>
      <c r="AM42" s="97"/>
      <c r="AN42" s="158" t="s">
        <v>44</v>
      </c>
      <c r="AO42" s="159" t="s">
        <v>44</v>
      </c>
      <c r="AP42" s="102">
        <v>117</v>
      </c>
      <c r="AQ42" s="102"/>
      <c r="AR42" s="92">
        <v>495.9</v>
      </c>
      <c r="AS42" s="93">
        <f>PLĀNS_ar_grozījumiem!AS42-'plans (27122022)'!AS41</f>
        <v>0</v>
      </c>
      <c r="AT42" s="93">
        <f>PLĀNS_ar_grozījumiem!AT42-'plans (27122022)'!AT41</f>
        <v>-22.223777173913042</v>
      </c>
      <c r="AU42" s="93">
        <f>PLĀNS_ar_grozījumiem!AU42-'plans (27122022)'!AU41</f>
        <v>0</v>
      </c>
      <c r="AV42" s="158" t="e">
        <f>PLĀNS_ar_grozījumiem!AV42-'plans (27122022)'!AV41</f>
        <v>#VALUE!</v>
      </c>
      <c r="AW42" s="159" t="e">
        <f>PLĀNS_ar_grozījumiem!AW42-'plans (27122022)'!AW41</f>
        <v>#VALUE!</v>
      </c>
      <c r="AX42" s="96">
        <f>PLĀNS_ar_grozījumiem!AX42-'plans (27122022)'!AX41</f>
        <v>9022.2499999999927</v>
      </c>
      <c r="AY42" s="97">
        <f>PLĀNS_ar_grozījumiem!AY42-'plans (27122022)'!AY41</f>
        <v>0</v>
      </c>
      <c r="AZ42" s="98" t="e">
        <f>PLĀNS_ar_grozījumiem!AZ42-'plans (27122022)'!AZ41</f>
        <v>#VALUE!</v>
      </c>
      <c r="BA42" s="99" t="e">
        <f>PLĀNS_ar_grozījumiem!BA42-'plans (27122022)'!BA41</f>
        <v>#VALUE!</v>
      </c>
      <c r="BB42" s="100">
        <f>PLĀNS_ar_grozījumiem!BB42-'plans (27122022)'!BB41</f>
        <v>9022.2499999999927</v>
      </c>
      <c r="BC42" s="126">
        <f>PLĀNS_ar_grozījumiem!BC42-'plans (27122022)'!BC41</f>
        <v>0</v>
      </c>
      <c r="BD42" s="158" t="e">
        <f>PLĀNS_ar_grozījumiem!BD42-'plans (27122022)'!BD41</f>
        <v>#VALUE!</v>
      </c>
      <c r="BE42" s="159" t="e">
        <f>PLĀNS_ar_grozījumiem!BE42-'plans (27122022)'!BE41</f>
        <v>#VALUE!</v>
      </c>
      <c r="BF42" s="100">
        <f>PLĀNS_ar_grozījumiem!BF42-'plans (27122022)'!BF41</f>
        <v>0</v>
      </c>
      <c r="BG42" s="97">
        <f>PLĀNS_ar_grozījumiem!BG42-'plans (27122022)'!BG41</f>
        <v>0</v>
      </c>
      <c r="BH42" s="158" t="e">
        <f>PLĀNS_ar_grozījumiem!BH42-'plans (27122022)'!BH41</f>
        <v>#VALUE!</v>
      </c>
      <c r="BI42" s="159" t="e">
        <f>PLĀNS_ar_grozījumiem!BI42-'plans (27122022)'!BI41</f>
        <v>#VALUE!</v>
      </c>
      <c r="BJ42" s="102">
        <f>PLĀNS_ar_grozījumiem!BJ42-'plans (27122022)'!BJ41</f>
        <v>12.018368917099437</v>
      </c>
      <c r="BK42" s="102">
        <f>PLĀNS_ar_grozījumiem!BK42-'plans (27122022)'!BK41</f>
        <v>0</v>
      </c>
      <c r="BL42" s="92">
        <f>PLĀNS_ar_grozījumiem!BL42-'plans (27122022)'!BL41</f>
        <v>32.600000000000023</v>
      </c>
      <c r="BM42" s="93">
        <f>PLĀNS_ar_grozījumiem!BM42-'plans (27122022)'!BM41</f>
        <v>0</v>
      </c>
      <c r="BN42" s="93">
        <f>PLĀNS_ar_grozījumiem!BN42-'plans (27122022)'!BN41</f>
        <v>-24.343096423721143</v>
      </c>
      <c r="BO42" s="93">
        <f>PLĀNS_ar_grozījumiem!BO42-'plans (27122022)'!BO41</f>
        <v>0</v>
      </c>
      <c r="BP42" s="158" t="e">
        <f>PLĀNS_ar_grozījumiem!BP42-'plans (27122022)'!BP41</f>
        <v>#VALUE!</v>
      </c>
      <c r="BQ42" s="159" t="e">
        <f>PLĀNS_ar_grozījumiem!BQ42-'plans (27122022)'!BQ41</f>
        <v>#VALUE!</v>
      </c>
      <c r="BR42" s="96">
        <f>PLĀNS_ar_grozījumiem!BR42-'plans (27122022)'!BR41</f>
        <v>15522.649999999994</v>
      </c>
      <c r="BS42" s="97">
        <f>PLĀNS_ar_grozījumiem!BS42-'plans (27122022)'!BS41</f>
        <v>0</v>
      </c>
      <c r="BT42" s="98" t="e">
        <f>PLĀNS_ar_grozījumiem!BT42-'plans (27122022)'!BT41</f>
        <v>#VALUE!</v>
      </c>
      <c r="BU42" s="99" t="e">
        <f>PLĀNS_ar_grozījumiem!BU42-'plans (27122022)'!BU41</f>
        <v>#VALUE!</v>
      </c>
      <c r="BV42" s="100">
        <f>PLĀNS_ar_grozījumiem!BV42-'plans (27122022)'!BV41</f>
        <v>15522.649999999994</v>
      </c>
      <c r="BW42" s="126">
        <f>PLĀNS_ar_grozījumiem!BW42-'plans (27122022)'!BW41</f>
        <v>0</v>
      </c>
      <c r="BX42" s="158" t="e">
        <f>PLĀNS_ar_grozījumiem!BX42-'plans (27122022)'!BX41</f>
        <v>#VALUE!</v>
      </c>
      <c r="BY42" s="159" t="e">
        <f>PLĀNS_ar_grozījumiem!BY42-'plans (27122022)'!BY41</f>
        <v>#VALUE!</v>
      </c>
      <c r="BZ42" s="100">
        <f>PLĀNS_ar_grozījumiem!BZ42-'plans (27122022)'!BZ41</f>
        <v>0</v>
      </c>
      <c r="CA42" s="97">
        <f>PLĀNS_ar_grozījumiem!CA42-'plans (27122022)'!CA41</f>
        <v>0</v>
      </c>
      <c r="CB42" s="158" t="e">
        <f>PLĀNS_ar_grozījumiem!CB42-'plans (27122022)'!CB41</f>
        <v>#VALUE!</v>
      </c>
      <c r="CC42" s="159" t="e">
        <f>PLĀNS_ar_grozījumiem!CC42-'plans (27122022)'!CC41</f>
        <v>#VALUE!</v>
      </c>
      <c r="CD42" s="102">
        <f>PLĀNS_ar_grozījumiem!CD42-'plans (27122022)'!CD41</f>
        <v>20.245183127929153</v>
      </c>
      <c r="CE42" s="102">
        <f>PLĀNS_ar_grozījumiem!CE42-'plans (27122022)'!CE41</f>
        <v>0</v>
      </c>
      <c r="CF42" s="103">
        <f>PLĀNS_ar_grozījumiem!CF42-'plans (27122022)'!CF41</f>
        <v>56.600000000000364</v>
      </c>
      <c r="CG42" s="102">
        <f>PLĀNS_ar_grozījumiem!CG42-'plans (27122022)'!CG41</f>
        <v>0</v>
      </c>
      <c r="CH42" s="93">
        <f>PLĀNS_ar_grozījumiem!CH42-'plans (27122022)'!CH41</f>
        <v>-23.89593607305936</v>
      </c>
      <c r="CI42" s="127">
        <f>PLĀNS_ar_grozījumiem!CI42-'plans (27122022)'!CI41</f>
        <v>0</v>
      </c>
      <c r="CJ42" s="98" t="e">
        <f>PLĀNS_ar_grozījumiem!CJ42-'plans (27122022)'!CJ41</f>
        <v>#VALUE!</v>
      </c>
      <c r="CK42" s="99" t="e">
        <f>PLĀNS_ar_grozījumiem!CK42-'plans (27122022)'!CK41</f>
        <v>#VALUE!</v>
      </c>
      <c r="CL42" s="100">
        <f>PLĀNS_ar_grozījumiem!CL42-'plans (27122022)'!CL41</f>
        <v>24544.900000000023</v>
      </c>
      <c r="CM42" s="107">
        <f>PLĀNS_ar_grozījumiem!CM42-'plans (27122022)'!CM41</f>
        <v>0</v>
      </c>
      <c r="CN42" s="108" t="e">
        <f>PLĀNS_ar_grozījumiem!CN42-'plans (27122022)'!CN41</f>
        <v>#VALUE!</v>
      </c>
      <c r="CO42" s="99" t="e">
        <f>PLĀNS_ar_grozījumiem!CO42-'plans (27122022)'!CO41</f>
        <v>#VALUE!</v>
      </c>
      <c r="CP42" s="100">
        <f>PLĀNS_ar_grozījumiem!CP42-'plans (27122022)'!CP41</f>
        <v>24544.900000000023</v>
      </c>
      <c r="CQ42" s="97">
        <f>PLĀNS_ar_grozījumiem!CQ42-'plans (27122022)'!CQ41</f>
        <v>0</v>
      </c>
      <c r="CR42" s="98" t="e">
        <f>PLĀNS_ar_grozījumiem!CR42-'plans (27122022)'!CR41</f>
        <v>#VALUE!</v>
      </c>
      <c r="CS42" s="99" t="e">
        <f>PLĀNS_ar_grozījumiem!CS42-'plans (27122022)'!CS41</f>
        <v>#VALUE!</v>
      </c>
      <c r="CT42" s="100">
        <f>PLĀNS_ar_grozījumiem!CT42-'plans (27122022)'!CT41</f>
        <v>0</v>
      </c>
      <c r="CU42" s="97">
        <f>PLĀNS_ar_grozījumiem!CU42-'plans (27122022)'!CU41</f>
        <v>0</v>
      </c>
      <c r="CV42" s="98" t="e">
        <f>PLĀNS_ar_grozījumiem!CV42-'plans (27122022)'!CV41</f>
        <v>#VALUE!</v>
      </c>
      <c r="CW42" s="99" t="e">
        <f>PLĀNS_ar_grozījumiem!CW42-'plans (27122022)'!CW41</f>
        <v>#VALUE!</v>
      </c>
      <c r="CX42" s="100">
        <f>PLĀNS_ar_grozījumiem!CX42-'plans (27122022)'!CX41</f>
        <v>8.1800231616652752</v>
      </c>
      <c r="CY42" s="174">
        <f>PLĀNS_ar_grozījumiem!CY42-'plans (27122022)'!CY41</f>
        <v>0</v>
      </c>
      <c r="CZ42" s="110">
        <f t="shared" si="0"/>
        <v>1075.5999999999999</v>
      </c>
      <c r="DA42" s="111">
        <f t="shared" si="0"/>
        <v>0</v>
      </c>
      <c r="DB42" s="176">
        <f t="shared" si="14"/>
        <v>24.766290582546624</v>
      </c>
      <c r="DC42" s="113">
        <f t="shared" si="14"/>
        <v>0</v>
      </c>
      <c r="DD42" s="100">
        <f t="shared" si="13"/>
        <v>136644</v>
      </c>
      <c r="DE42" s="102">
        <f t="shared" si="13"/>
        <v>0</v>
      </c>
      <c r="DF42" s="102" t="e">
        <f t="shared" si="13"/>
        <v>#VALUE!</v>
      </c>
      <c r="DG42" s="114" t="e">
        <f t="shared" si="10"/>
        <v>#VALUE!</v>
      </c>
      <c r="DH42" s="100">
        <f t="shared" si="10"/>
        <v>136644</v>
      </c>
      <c r="DI42" s="97">
        <f t="shared" si="10"/>
        <v>0</v>
      </c>
      <c r="DJ42" s="97" t="e">
        <f t="shared" si="10"/>
        <v>#VALUE!</v>
      </c>
      <c r="DK42" s="97" t="e">
        <f t="shared" si="10"/>
        <v>#VALUE!</v>
      </c>
      <c r="DL42" s="100">
        <f t="shared" si="10"/>
        <v>0</v>
      </c>
      <c r="DM42" s="97">
        <f t="shared" si="10"/>
        <v>0</v>
      </c>
      <c r="DN42" s="97" t="e">
        <f t="shared" si="10"/>
        <v>#VALUE!</v>
      </c>
      <c r="DO42" s="115" t="e">
        <f t="shared" si="10"/>
        <v>#VALUE!</v>
      </c>
      <c r="DP42" s="100">
        <f t="shared" si="11"/>
        <v>127</v>
      </c>
      <c r="DQ42" s="116" t="e">
        <f t="shared" si="11"/>
        <v>#DIV/0!</v>
      </c>
      <c r="DR42" s="117">
        <f>PLĀNS_ar_grozījumiem!CF42-'plans (27122022)'!CF41</f>
        <v>56.600000000000364</v>
      </c>
      <c r="DS42" s="908">
        <f>DR42/'plans (27122022)'!CF41</f>
        <v>2.6761229314420976E-2</v>
      </c>
      <c r="DT42" s="104">
        <f>PLĀNS_ar_grozījumiem!CL42-'plans (27122022)'!CL41</f>
        <v>24544.900000000023</v>
      </c>
      <c r="DU42" s="909">
        <f>DT42/'plans (27122022)'!CL41</f>
        <v>9.6864184376171683E-2</v>
      </c>
      <c r="DV42" s="120"/>
      <c r="DW42" s="118">
        <f>PLĀNS_ar_grozījumiem!CM42-'plans (27122022)'!CM41</f>
        <v>0</v>
      </c>
      <c r="DX42" s="104">
        <f>PLĀNS_ar_grozījumiem!CP42-'plans (27122022)'!CP41</f>
        <v>24544.900000000023</v>
      </c>
      <c r="DY42" s="909">
        <f>DX42/'plans (27122022)'!CP41</f>
        <v>9.6864184376171683E-2</v>
      </c>
      <c r="DZ42" s="120"/>
      <c r="EA42" s="118"/>
      <c r="EB42" s="104">
        <f>PLĀNS_ar_grozījumiem!CT42-'plans (27122022)'!CT41</f>
        <v>0</v>
      </c>
      <c r="EC42" s="121"/>
      <c r="ED42" s="120"/>
      <c r="EE42" s="121"/>
      <c r="EF42" s="122">
        <f>PLĀNS_ar_grozījumiem!CX42-'plans (27122022)'!CX41</f>
        <v>8.1800231616652752</v>
      </c>
      <c r="EG42" s="911">
        <f>EF42/'plans (27122022)'!CX41</f>
        <v>6.8275810441887394E-2</v>
      </c>
    </row>
    <row r="43" spans="1:137" ht="15.75" customHeight="1" x14ac:dyDescent="0.25">
      <c r="A43" s="1070"/>
      <c r="B43" s="169"/>
      <c r="C43" s="1024" t="s">
        <v>48</v>
      </c>
      <c r="D43" s="1005">
        <v>170.39999999999998</v>
      </c>
      <c r="E43" s="93"/>
      <c r="F43" s="93">
        <v>7.892542843909216</v>
      </c>
      <c r="G43" s="93"/>
      <c r="H43" s="158" t="s">
        <v>44</v>
      </c>
      <c r="I43" s="159" t="s">
        <v>44</v>
      </c>
      <c r="J43" s="96">
        <v>27108</v>
      </c>
      <c r="K43" s="97"/>
      <c r="L43" s="98" t="s">
        <v>44</v>
      </c>
      <c r="M43" s="99" t="s">
        <v>44</v>
      </c>
      <c r="N43" s="100">
        <v>18186</v>
      </c>
      <c r="O43" s="126"/>
      <c r="P43" s="158" t="s">
        <v>44</v>
      </c>
      <c r="Q43" s="159" t="s">
        <v>44</v>
      </c>
      <c r="R43" s="100">
        <v>8922</v>
      </c>
      <c r="S43" s="97"/>
      <c r="T43" s="158" t="s">
        <v>44</v>
      </c>
      <c r="U43" s="159" t="s">
        <v>44</v>
      </c>
      <c r="V43" s="102">
        <v>159</v>
      </c>
      <c r="W43" s="102"/>
      <c r="X43" s="92">
        <v>162.1</v>
      </c>
      <c r="Y43" s="93"/>
      <c r="Z43" s="93">
        <v>7.4221611721611724</v>
      </c>
      <c r="AA43" s="93"/>
      <c r="AB43" s="158" t="s">
        <v>44</v>
      </c>
      <c r="AC43" s="159" t="s">
        <v>44</v>
      </c>
      <c r="AD43" s="96">
        <v>23415</v>
      </c>
      <c r="AE43" s="97"/>
      <c r="AF43" s="98" t="s">
        <v>44</v>
      </c>
      <c r="AG43" s="99" t="s">
        <v>44</v>
      </c>
      <c r="AH43" s="100">
        <v>18196</v>
      </c>
      <c r="AI43" s="126"/>
      <c r="AJ43" s="158" t="s">
        <v>44</v>
      </c>
      <c r="AK43" s="159" t="s">
        <v>44</v>
      </c>
      <c r="AL43" s="100">
        <v>5219</v>
      </c>
      <c r="AM43" s="97"/>
      <c r="AN43" s="158" t="s">
        <v>44</v>
      </c>
      <c r="AO43" s="159" t="s">
        <v>44</v>
      </c>
      <c r="AP43" s="102">
        <v>144</v>
      </c>
      <c r="AQ43" s="102"/>
      <c r="AR43" s="92">
        <v>165</v>
      </c>
      <c r="AS43" s="93">
        <f>PLĀNS_ar_grozījumiem!AS43-'plans (27122022)'!AS42</f>
        <v>0</v>
      </c>
      <c r="AT43" s="93">
        <f>PLĀNS_ar_grozījumiem!AT43-'plans (27122022)'!AT42</f>
        <v>-7.4053125</v>
      </c>
      <c r="AU43" s="93">
        <f>PLĀNS_ar_grozījumiem!AU43-'plans (27122022)'!AU42</f>
        <v>0</v>
      </c>
      <c r="AV43" s="158" t="e">
        <f>PLĀNS_ar_grozījumiem!AV43-'plans (27122022)'!AV42</f>
        <v>#VALUE!</v>
      </c>
      <c r="AW43" s="159" t="e">
        <f>PLĀNS_ar_grozījumiem!AW43-'plans (27122022)'!AW42</f>
        <v>#VALUE!</v>
      </c>
      <c r="AX43" s="96">
        <f>PLĀNS_ar_grozījumiem!AX43-'plans (27122022)'!AX42</f>
        <v>-697.54999999999927</v>
      </c>
      <c r="AY43" s="97">
        <f>PLĀNS_ar_grozījumiem!AY43-'plans (27122022)'!AY42</f>
        <v>0</v>
      </c>
      <c r="AZ43" s="98" t="e">
        <f>PLĀNS_ar_grozījumiem!AZ43-'plans (27122022)'!AZ42</f>
        <v>#VALUE!</v>
      </c>
      <c r="BA43" s="99" t="e">
        <f>PLĀNS_ar_grozījumiem!BA43-'plans (27122022)'!BA42</f>
        <v>#VALUE!</v>
      </c>
      <c r="BB43" s="100">
        <f>PLĀNS_ar_grozījumiem!BB43-'plans (27122022)'!BB42</f>
        <v>-697.54999999999927</v>
      </c>
      <c r="BC43" s="126">
        <f>PLĀNS_ar_grozījumiem!BC43-'plans (27122022)'!BC42</f>
        <v>0</v>
      </c>
      <c r="BD43" s="158" t="e">
        <f>PLĀNS_ar_grozījumiem!BD43-'plans (27122022)'!BD42</f>
        <v>#VALUE!</v>
      </c>
      <c r="BE43" s="159" t="e">
        <f>PLĀNS_ar_grozījumiem!BE43-'plans (27122022)'!BE42</f>
        <v>#VALUE!</v>
      </c>
      <c r="BF43" s="100">
        <f>PLĀNS_ar_grozījumiem!BF43-'plans (27122022)'!BF42</f>
        <v>0</v>
      </c>
      <c r="BG43" s="97">
        <f>PLĀNS_ar_grozījumiem!BG43-'plans (27122022)'!BG42</f>
        <v>0</v>
      </c>
      <c r="BH43" s="158" t="e">
        <f>PLĀNS_ar_grozījumiem!BH43-'plans (27122022)'!BH42</f>
        <v>#VALUE!</v>
      </c>
      <c r="BI43" s="159" t="e">
        <f>PLĀNS_ar_grozījumiem!BI43-'plans (27122022)'!BI42</f>
        <v>#VALUE!</v>
      </c>
      <c r="BJ43" s="102">
        <f>PLĀNS_ar_grozījumiem!BJ43-'plans (27122022)'!BJ42</f>
        <v>10.715100288455091</v>
      </c>
      <c r="BK43" s="102">
        <f>PLĀNS_ar_grozījumiem!BK43-'plans (27122022)'!BK42</f>
        <v>0</v>
      </c>
      <c r="BL43" s="92">
        <f>PLĀNS_ar_grozījumiem!BL43-'plans (27122022)'!BL42</f>
        <v>0.40000000000003411</v>
      </c>
      <c r="BM43" s="93">
        <f>PLĀNS_ar_grozījumiem!BM43-'plans (27122022)'!BM42</f>
        <v>0</v>
      </c>
      <c r="BN43" s="93">
        <f>PLĀNS_ar_grozījumiem!BN43-'plans (27122022)'!BN42</f>
        <v>-7.5245359891353534</v>
      </c>
      <c r="BO43" s="93">
        <f>PLĀNS_ar_grozījumiem!BO43-'plans (27122022)'!BO42</f>
        <v>0</v>
      </c>
      <c r="BP43" s="158" t="e">
        <f>PLĀNS_ar_grozījumiem!BP43-'plans (27122022)'!BP42</f>
        <v>#VALUE!</v>
      </c>
      <c r="BQ43" s="159" t="e">
        <f>PLĀNS_ar_grozījumiem!BQ43-'plans (27122022)'!BQ42</f>
        <v>#VALUE!</v>
      </c>
      <c r="BR43" s="96">
        <f>PLĀNS_ar_grozījumiem!BR43-'plans (27122022)'!BR42</f>
        <v>769.90000000000146</v>
      </c>
      <c r="BS43" s="97">
        <f>PLĀNS_ar_grozījumiem!BS43-'plans (27122022)'!BS42</f>
        <v>0</v>
      </c>
      <c r="BT43" s="98" t="e">
        <f>PLĀNS_ar_grozījumiem!BT43-'plans (27122022)'!BT42</f>
        <v>#VALUE!</v>
      </c>
      <c r="BU43" s="99" t="e">
        <f>PLĀNS_ar_grozījumiem!BU43-'plans (27122022)'!BU42</f>
        <v>#VALUE!</v>
      </c>
      <c r="BV43" s="100">
        <f>PLĀNS_ar_grozījumiem!BV43-'plans (27122022)'!BV42</f>
        <v>152.90000000000146</v>
      </c>
      <c r="BW43" s="126">
        <f>PLĀNS_ar_grozījumiem!BW43-'plans (27122022)'!BW42</f>
        <v>0</v>
      </c>
      <c r="BX43" s="158" t="e">
        <f>PLĀNS_ar_grozījumiem!BX43-'plans (27122022)'!BX42</f>
        <v>#VALUE!</v>
      </c>
      <c r="BY43" s="159" t="e">
        <f>PLĀNS_ar_grozījumiem!BY43-'plans (27122022)'!BY42</f>
        <v>#VALUE!</v>
      </c>
      <c r="BZ43" s="100">
        <f>PLĀNS_ar_grozījumiem!BZ43-'plans (27122022)'!BZ42</f>
        <v>617</v>
      </c>
      <c r="CA43" s="97">
        <f>PLĀNS_ar_grozījumiem!CA43-'plans (27122022)'!CA42</f>
        <v>0</v>
      </c>
      <c r="CB43" s="158" t="e">
        <f>PLĀNS_ar_grozījumiem!CB43-'plans (27122022)'!CB42</f>
        <v>#VALUE!</v>
      </c>
      <c r="CC43" s="159" t="e">
        <f>PLĀNS_ar_grozījumiem!CC43-'plans (27122022)'!CC42</f>
        <v>#VALUE!</v>
      </c>
      <c r="CD43" s="102">
        <f>PLĀNS_ar_grozījumiem!CD43-'plans (27122022)'!CD42</f>
        <v>3.9251336898395834</v>
      </c>
      <c r="CE43" s="102">
        <f>PLĀNS_ar_grozījumiem!CE43-'plans (27122022)'!CE42</f>
        <v>0</v>
      </c>
      <c r="CF43" s="103">
        <f>PLĀNS_ar_grozījumiem!CF43-'plans (27122022)'!CF42</f>
        <v>-15.529999999999973</v>
      </c>
      <c r="CG43" s="102">
        <f>PLĀNS_ar_grozījumiem!CG43-'plans (27122022)'!CG42</f>
        <v>0</v>
      </c>
      <c r="CH43" s="93">
        <f>PLĀNS_ar_grozījumiem!CH43-'plans (27122022)'!CH42</f>
        <v>-7.5217043378995436</v>
      </c>
      <c r="CI43" s="127">
        <f>PLĀNS_ar_grozījumiem!CI43-'plans (27122022)'!CI42</f>
        <v>0</v>
      </c>
      <c r="CJ43" s="98" t="e">
        <f>PLĀNS_ar_grozījumiem!CJ43-'plans (27122022)'!CJ42</f>
        <v>#VALUE!</v>
      </c>
      <c r="CK43" s="99" t="e">
        <f>PLĀNS_ar_grozījumiem!CK43-'plans (27122022)'!CK42</f>
        <v>#VALUE!</v>
      </c>
      <c r="CL43" s="100">
        <f>PLĀNS_ar_grozījumiem!CL43-'plans (27122022)'!CL42</f>
        <v>72.350000000005821</v>
      </c>
      <c r="CM43" s="107">
        <f>PLĀNS_ar_grozījumiem!CM43-'plans (27122022)'!CM42</f>
        <v>0</v>
      </c>
      <c r="CN43" s="108" t="e">
        <f>PLĀNS_ar_grozījumiem!CN43-'plans (27122022)'!CN42</f>
        <v>#VALUE!</v>
      </c>
      <c r="CO43" s="99" t="e">
        <f>PLĀNS_ar_grozījumiem!CO43-'plans (27122022)'!CO42</f>
        <v>#VALUE!</v>
      </c>
      <c r="CP43" s="100">
        <f>PLĀNS_ar_grozījumiem!CP43-'plans (27122022)'!CP42</f>
        <v>-544.64999999999418</v>
      </c>
      <c r="CQ43" s="97">
        <f>PLĀNS_ar_grozījumiem!CQ43-'plans (27122022)'!CQ42</f>
        <v>0</v>
      </c>
      <c r="CR43" s="98" t="e">
        <f>PLĀNS_ar_grozījumiem!CR43-'plans (27122022)'!CR42</f>
        <v>#VALUE!</v>
      </c>
      <c r="CS43" s="99" t="e">
        <f>PLĀNS_ar_grozījumiem!CS43-'plans (27122022)'!CS42</f>
        <v>#VALUE!</v>
      </c>
      <c r="CT43" s="100">
        <f>PLĀNS_ar_grozījumiem!CT43-'plans (27122022)'!CT42</f>
        <v>617</v>
      </c>
      <c r="CU43" s="97">
        <f>PLĀNS_ar_grozījumiem!CU43-'plans (27122022)'!CU42</f>
        <v>0</v>
      </c>
      <c r="CV43" s="98" t="e">
        <f>PLĀNS_ar_grozījumiem!CV43-'plans (27122022)'!CV42</f>
        <v>#VALUE!</v>
      </c>
      <c r="CW43" s="99" t="e">
        <f>PLĀNS_ar_grozījumiem!CW43-'plans (27122022)'!CW42</f>
        <v>#VALUE!</v>
      </c>
      <c r="CX43" s="100">
        <f>PLĀNS_ar_grozījumiem!CX43-'plans (27122022)'!CX42</f>
        <v>3.7537143506479822</v>
      </c>
      <c r="CY43" s="174">
        <f>PLĀNS_ar_grozījumiem!CY43-'plans (27122022)'!CY42</f>
        <v>0</v>
      </c>
      <c r="CZ43" s="110">
        <f t="shared" si="0"/>
        <v>332.5</v>
      </c>
      <c r="DA43" s="111">
        <f t="shared" si="0"/>
        <v>0</v>
      </c>
      <c r="DB43" s="176">
        <f t="shared" si="14"/>
        <v>7.6559981579553309</v>
      </c>
      <c r="DC43" s="113">
        <f t="shared" si="14"/>
        <v>0</v>
      </c>
      <c r="DD43" s="100">
        <f t="shared" si="13"/>
        <v>50523</v>
      </c>
      <c r="DE43" s="102">
        <f t="shared" si="13"/>
        <v>0</v>
      </c>
      <c r="DF43" s="102" t="e">
        <f t="shared" si="13"/>
        <v>#VALUE!</v>
      </c>
      <c r="DG43" s="114" t="e">
        <f t="shared" si="10"/>
        <v>#VALUE!</v>
      </c>
      <c r="DH43" s="100">
        <f t="shared" si="10"/>
        <v>36382</v>
      </c>
      <c r="DI43" s="97">
        <f t="shared" si="10"/>
        <v>0</v>
      </c>
      <c r="DJ43" s="97" t="e">
        <f t="shared" si="10"/>
        <v>#VALUE!</v>
      </c>
      <c r="DK43" s="97" t="e">
        <f t="shared" si="10"/>
        <v>#VALUE!</v>
      </c>
      <c r="DL43" s="100">
        <f t="shared" si="10"/>
        <v>14141</v>
      </c>
      <c r="DM43" s="97">
        <f t="shared" si="10"/>
        <v>0</v>
      </c>
      <c r="DN43" s="97" t="e">
        <f t="shared" si="10"/>
        <v>#VALUE!</v>
      </c>
      <c r="DO43" s="115" t="e">
        <f t="shared" si="10"/>
        <v>#VALUE!</v>
      </c>
      <c r="DP43" s="100">
        <f t="shared" si="11"/>
        <v>152</v>
      </c>
      <c r="DQ43" s="116" t="e">
        <f t="shared" si="11"/>
        <v>#DIV/0!</v>
      </c>
      <c r="DR43" s="117">
        <f>PLĀNS_ar_grozījumiem!CF43-'plans (27122022)'!CF42</f>
        <v>-15.529999999999973</v>
      </c>
      <c r="DS43" s="908">
        <f>DR43/'plans (27122022)'!CF42</f>
        <v>-2.3339344755034526E-2</v>
      </c>
      <c r="DT43" s="104">
        <f>PLĀNS_ar_grozījumiem!CL43-'plans (27122022)'!CL42</f>
        <v>72.350000000005821</v>
      </c>
      <c r="DU43" s="909">
        <f>DT43/'plans (27122022)'!CL42</f>
        <v>7.133701439558846E-4</v>
      </c>
      <c r="DV43" s="120"/>
      <c r="DW43" s="118">
        <f>PLĀNS_ar_grozījumiem!CM43-'plans (27122022)'!CM42</f>
        <v>0</v>
      </c>
      <c r="DX43" s="104">
        <f>PLĀNS_ar_grozījumiem!CP43-'plans (27122022)'!CP42</f>
        <v>-544.64999999999418</v>
      </c>
      <c r="DY43" s="909">
        <f>DX43/'plans (27122022)'!CP42</f>
        <v>-7.4468812382071448E-3</v>
      </c>
      <c r="DZ43" s="120"/>
      <c r="EA43" s="118"/>
      <c r="EB43" s="104">
        <f>PLĀNS_ar_grozījumiem!CT43-'plans (27122022)'!CT42</f>
        <v>617</v>
      </c>
      <c r="EC43" s="909">
        <f>EB43/'plans (27122022)'!CT42</f>
        <v>2.1815996039884024E-2</v>
      </c>
      <c r="ED43" s="120"/>
      <c r="EE43" s="121"/>
      <c r="EF43" s="122">
        <f>PLĀNS_ar_grozījumiem!CX43-'plans (27122022)'!CX42</f>
        <v>3.7537143506479822</v>
      </c>
      <c r="EG43" s="911">
        <f>EF43/'plans (27122022)'!CX42</f>
        <v>2.4627504722157044E-2</v>
      </c>
    </row>
    <row r="44" spans="1:137" ht="15.75" customHeight="1" x14ac:dyDescent="0.25">
      <c r="A44" s="1070"/>
      <c r="B44" s="169"/>
      <c r="C44" s="1024" t="s">
        <v>49</v>
      </c>
      <c r="D44" s="1005">
        <v>6.5</v>
      </c>
      <c r="E44" s="93"/>
      <c r="F44" s="93">
        <v>0.30106530801296894</v>
      </c>
      <c r="G44" s="93"/>
      <c r="H44" s="158" t="s">
        <v>44</v>
      </c>
      <c r="I44" s="159" t="s">
        <v>44</v>
      </c>
      <c r="J44" s="96">
        <v>749</v>
      </c>
      <c r="K44" s="97"/>
      <c r="L44" s="98" t="s">
        <v>44</v>
      </c>
      <c r="M44" s="99" t="s">
        <v>44</v>
      </c>
      <c r="N44" s="100">
        <v>749</v>
      </c>
      <c r="O44" s="126"/>
      <c r="P44" s="158" t="s">
        <v>44</v>
      </c>
      <c r="Q44" s="159" t="s">
        <v>44</v>
      </c>
      <c r="R44" s="100">
        <v>0</v>
      </c>
      <c r="S44" s="97"/>
      <c r="T44" s="158" t="s">
        <v>44</v>
      </c>
      <c r="U44" s="159" t="s">
        <v>44</v>
      </c>
      <c r="V44" s="102">
        <v>115</v>
      </c>
      <c r="W44" s="102"/>
      <c r="X44" s="92">
        <v>5</v>
      </c>
      <c r="Y44" s="93"/>
      <c r="Z44" s="93">
        <v>0.22893772893772896</v>
      </c>
      <c r="AA44" s="93"/>
      <c r="AB44" s="158" t="s">
        <v>44</v>
      </c>
      <c r="AC44" s="159" t="s">
        <v>44</v>
      </c>
      <c r="AD44" s="96">
        <v>589</v>
      </c>
      <c r="AE44" s="97"/>
      <c r="AF44" s="98" t="s">
        <v>44</v>
      </c>
      <c r="AG44" s="99" t="s">
        <v>44</v>
      </c>
      <c r="AH44" s="100">
        <v>589</v>
      </c>
      <c r="AI44" s="126"/>
      <c r="AJ44" s="158" t="s">
        <v>44</v>
      </c>
      <c r="AK44" s="159" t="s">
        <v>44</v>
      </c>
      <c r="AL44" s="100">
        <v>0</v>
      </c>
      <c r="AM44" s="97"/>
      <c r="AN44" s="158" t="s">
        <v>44</v>
      </c>
      <c r="AO44" s="159" t="s">
        <v>44</v>
      </c>
      <c r="AP44" s="102">
        <v>118</v>
      </c>
      <c r="AQ44" s="102"/>
      <c r="AR44" s="92">
        <v>6.5</v>
      </c>
      <c r="AS44" s="93">
        <f>PLĀNS_ar_grozījumiem!AS44-'plans (27122022)'!AS43</f>
        <v>0</v>
      </c>
      <c r="AT44" s="93">
        <f>PLĀNS_ar_grozījumiem!AT44-'plans (27122022)'!AT43</f>
        <v>-0.29393115942028991</v>
      </c>
      <c r="AU44" s="93">
        <f>PLĀNS_ar_grozījumiem!AU44-'plans (27122022)'!AU43</f>
        <v>0</v>
      </c>
      <c r="AV44" s="158" t="e">
        <f>PLĀNS_ar_grozījumiem!AV44-'plans (27122022)'!AV43</f>
        <v>#VALUE!</v>
      </c>
      <c r="AW44" s="159" t="e">
        <f>PLĀNS_ar_grozījumiem!AW44-'plans (27122022)'!AW43</f>
        <v>#VALUE!</v>
      </c>
      <c r="AX44" s="96">
        <f>PLĀNS_ar_grozījumiem!AX44-'plans (27122022)'!AX43</f>
        <v>-629</v>
      </c>
      <c r="AY44" s="97">
        <f>PLĀNS_ar_grozījumiem!AY44-'plans (27122022)'!AY43</f>
        <v>0</v>
      </c>
      <c r="AZ44" s="98" t="e">
        <f>PLĀNS_ar_grozījumiem!AZ44-'plans (27122022)'!AZ43</f>
        <v>#VALUE!</v>
      </c>
      <c r="BA44" s="99" t="e">
        <f>PLĀNS_ar_grozījumiem!BA44-'plans (27122022)'!BA43</f>
        <v>#VALUE!</v>
      </c>
      <c r="BB44" s="100">
        <f>PLĀNS_ar_grozījumiem!BB44-'plans (27122022)'!BB43</f>
        <v>-629</v>
      </c>
      <c r="BC44" s="126">
        <f>PLĀNS_ar_grozījumiem!BC44-'plans (27122022)'!BC43</f>
        <v>0</v>
      </c>
      <c r="BD44" s="158" t="e">
        <f>PLĀNS_ar_grozījumiem!BD44-'plans (27122022)'!BD43</f>
        <v>#VALUE!</v>
      </c>
      <c r="BE44" s="159" t="e">
        <f>PLĀNS_ar_grozījumiem!BE44-'plans (27122022)'!BE43</f>
        <v>#VALUE!</v>
      </c>
      <c r="BF44" s="100">
        <f>PLĀNS_ar_grozījumiem!BF44-'plans (27122022)'!BF43</f>
        <v>0</v>
      </c>
      <c r="BG44" s="97">
        <f>PLĀNS_ar_grozījumiem!BG44-'plans (27122022)'!BG43</f>
        <v>0</v>
      </c>
      <c r="BH44" s="158" t="e">
        <f>PLĀNS_ar_grozījumiem!BH44-'plans (27122022)'!BH43</f>
        <v>#VALUE!</v>
      </c>
      <c r="BI44" s="159" t="e">
        <f>PLĀNS_ar_grozījumiem!BI44-'plans (27122022)'!BI43</f>
        <v>#VALUE!</v>
      </c>
      <c r="BJ44" s="102">
        <f>PLĀNS_ar_grozījumiem!BJ44-'plans (27122022)'!BJ43</f>
        <v>-4</v>
      </c>
      <c r="BK44" s="102">
        <f>PLĀNS_ar_grozījumiem!BK44-'plans (27122022)'!BK43</f>
        <v>0</v>
      </c>
      <c r="BL44" s="92">
        <f>PLĀNS_ar_grozījumiem!BL44-'plans (27122022)'!BL43</f>
        <v>-5.5</v>
      </c>
      <c r="BM44" s="93">
        <f>PLĀNS_ar_grozījumiem!BM44-'plans (27122022)'!BM43</f>
        <v>0</v>
      </c>
      <c r="BN44" s="93">
        <f>PLĀNS_ar_grozījumiem!BN44-'plans (27122022)'!BN43</f>
        <v>-0.24898143956541421</v>
      </c>
      <c r="BO44" s="93">
        <f>PLĀNS_ar_grozījumiem!BO44-'plans (27122022)'!BO43</f>
        <v>0</v>
      </c>
      <c r="BP44" s="158" t="e">
        <f>PLĀNS_ar_grozījumiem!BP44-'plans (27122022)'!BP43</f>
        <v>#VALUE!</v>
      </c>
      <c r="BQ44" s="159" t="e">
        <f>PLĀNS_ar_grozījumiem!BQ44-'plans (27122022)'!BQ43</f>
        <v>#VALUE!</v>
      </c>
      <c r="BR44" s="96">
        <f>PLĀNS_ar_grozījumiem!BR44-'plans (27122022)'!BR43</f>
        <v>-662</v>
      </c>
      <c r="BS44" s="97">
        <f>PLĀNS_ar_grozījumiem!BS44-'plans (27122022)'!BS43</f>
        <v>0</v>
      </c>
      <c r="BT44" s="98" t="e">
        <f>PLĀNS_ar_grozījumiem!BT44-'plans (27122022)'!BT43</f>
        <v>#VALUE!</v>
      </c>
      <c r="BU44" s="99" t="e">
        <f>PLĀNS_ar_grozījumiem!BU44-'plans (27122022)'!BU43</f>
        <v>#VALUE!</v>
      </c>
      <c r="BV44" s="100">
        <f>PLĀNS_ar_grozījumiem!BV44-'plans (27122022)'!BV43</f>
        <v>-662</v>
      </c>
      <c r="BW44" s="126">
        <f>PLĀNS_ar_grozījumiem!BW44-'plans (27122022)'!BW43</f>
        <v>0</v>
      </c>
      <c r="BX44" s="158" t="e">
        <f>PLĀNS_ar_grozījumiem!BX44-'plans (27122022)'!BX43</f>
        <v>#VALUE!</v>
      </c>
      <c r="BY44" s="159" t="e">
        <f>PLĀNS_ar_grozījumiem!BY44-'plans (27122022)'!BY43</f>
        <v>#VALUE!</v>
      </c>
      <c r="BZ44" s="100">
        <f>PLĀNS_ar_grozījumiem!BZ44-'plans (27122022)'!BZ43</f>
        <v>0</v>
      </c>
      <c r="CA44" s="97">
        <f>PLĀNS_ar_grozījumiem!CA44-'plans (27122022)'!CA43</f>
        <v>0</v>
      </c>
      <c r="CB44" s="158" t="e">
        <f>PLĀNS_ar_grozījumiem!CB44-'plans (27122022)'!CB43</f>
        <v>#VALUE!</v>
      </c>
      <c r="CC44" s="159" t="e">
        <f>PLĀNS_ar_grozījumiem!CC44-'plans (27122022)'!CC43</f>
        <v>#VALUE!</v>
      </c>
      <c r="CD44" s="102">
        <f>PLĀNS_ar_grozījumiem!CD44-'plans (27122022)'!CD43</f>
        <v>-120</v>
      </c>
      <c r="CE44" s="102">
        <f>PLĀNS_ar_grozījumiem!CE44-'plans (27122022)'!CE43</f>
        <v>0</v>
      </c>
      <c r="CF44" s="103">
        <f>PLĀNS_ar_grozījumiem!CF44-'plans (27122022)'!CF43</f>
        <v>-11</v>
      </c>
      <c r="CG44" s="102">
        <f>PLĀNS_ar_grozījumiem!CG44-'plans (27122022)'!CG43</f>
        <v>0</v>
      </c>
      <c r="CH44" s="93">
        <f>PLĀNS_ar_grozījumiem!CH44-'plans (27122022)'!CH43</f>
        <v>-0.266837899543379</v>
      </c>
      <c r="CI44" s="127">
        <f>PLĀNS_ar_grozījumiem!CI44-'plans (27122022)'!CI43</f>
        <v>0</v>
      </c>
      <c r="CJ44" s="98" t="e">
        <f>PLĀNS_ar_grozījumiem!CJ44-'plans (27122022)'!CJ43</f>
        <v>#VALUE!</v>
      </c>
      <c r="CK44" s="99" t="e">
        <f>PLĀNS_ar_grozījumiem!CK44-'plans (27122022)'!CK43</f>
        <v>#VALUE!</v>
      </c>
      <c r="CL44" s="100">
        <f>PLĀNS_ar_grozījumiem!CL44-'plans (27122022)'!CL43</f>
        <v>-1291</v>
      </c>
      <c r="CM44" s="107">
        <f>PLĀNS_ar_grozījumiem!CM44-'plans (27122022)'!CM43</f>
        <v>0</v>
      </c>
      <c r="CN44" s="108" t="e">
        <f>PLĀNS_ar_grozījumiem!CN44-'plans (27122022)'!CN43</f>
        <v>#VALUE!</v>
      </c>
      <c r="CO44" s="99" t="e">
        <f>PLĀNS_ar_grozījumiem!CO44-'plans (27122022)'!CO43</f>
        <v>#VALUE!</v>
      </c>
      <c r="CP44" s="100">
        <f>PLĀNS_ar_grozījumiem!CP44-'plans (27122022)'!CP43</f>
        <v>-1291</v>
      </c>
      <c r="CQ44" s="97">
        <f>PLĀNS_ar_grozījumiem!CQ44-'plans (27122022)'!CQ43</f>
        <v>0</v>
      </c>
      <c r="CR44" s="98" t="e">
        <f>PLĀNS_ar_grozījumiem!CR44-'plans (27122022)'!CR43</f>
        <v>#VALUE!</v>
      </c>
      <c r="CS44" s="99" t="e">
        <f>PLĀNS_ar_grozījumiem!CS44-'plans (27122022)'!CS43</f>
        <v>#VALUE!</v>
      </c>
      <c r="CT44" s="100">
        <f>PLĀNS_ar_grozījumiem!CT44-'plans (27122022)'!CT43</f>
        <v>0</v>
      </c>
      <c r="CU44" s="97">
        <f>PLĀNS_ar_grozījumiem!CU44-'plans (27122022)'!CU43</f>
        <v>0</v>
      </c>
      <c r="CV44" s="98" t="e">
        <f>PLĀNS_ar_grozījumiem!CV44-'plans (27122022)'!CV43</f>
        <v>#VALUE!</v>
      </c>
      <c r="CW44" s="99" t="e">
        <f>PLĀNS_ar_grozījumiem!CW44-'plans (27122022)'!CW43</f>
        <v>#VALUE!</v>
      </c>
      <c r="CX44" s="100">
        <f>PLĀNS_ar_grozījumiem!CX44-'plans (27122022)'!CX43</f>
        <v>-0.71319148936170507</v>
      </c>
      <c r="CY44" s="174">
        <f>PLĀNS_ar_grozījumiem!CY44-'plans (27122022)'!CY43</f>
        <v>0</v>
      </c>
      <c r="CZ44" s="110">
        <f t="shared" si="0"/>
        <v>11.5</v>
      </c>
      <c r="DA44" s="111">
        <f t="shared" si="0"/>
        <v>0</v>
      </c>
      <c r="DB44" s="176">
        <f t="shared" si="14"/>
        <v>0.26479392125259038</v>
      </c>
      <c r="DC44" s="113">
        <f t="shared" si="14"/>
        <v>0</v>
      </c>
      <c r="DD44" s="100">
        <f t="shared" si="13"/>
        <v>1338</v>
      </c>
      <c r="DE44" s="102">
        <f t="shared" si="13"/>
        <v>0</v>
      </c>
      <c r="DF44" s="102" t="e">
        <f t="shared" si="13"/>
        <v>#VALUE!</v>
      </c>
      <c r="DG44" s="114" t="e">
        <f t="shared" si="10"/>
        <v>#VALUE!</v>
      </c>
      <c r="DH44" s="100">
        <f t="shared" si="10"/>
        <v>1338</v>
      </c>
      <c r="DI44" s="97">
        <f t="shared" si="10"/>
        <v>0</v>
      </c>
      <c r="DJ44" s="97" t="e">
        <f t="shared" si="10"/>
        <v>#VALUE!</v>
      </c>
      <c r="DK44" s="97" t="e">
        <f t="shared" si="10"/>
        <v>#VALUE!</v>
      </c>
      <c r="DL44" s="100">
        <f t="shared" si="10"/>
        <v>0</v>
      </c>
      <c r="DM44" s="97">
        <f t="shared" si="10"/>
        <v>0</v>
      </c>
      <c r="DN44" s="97" t="e">
        <f t="shared" si="10"/>
        <v>#VALUE!</v>
      </c>
      <c r="DO44" s="115" t="e">
        <f t="shared" si="10"/>
        <v>#VALUE!</v>
      </c>
      <c r="DP44" s="100">
        <f t="shared" si="11"/>
        <v>116</v>
      </c>
      <c r="DQ44" s="116" t="e">
        <f t="shared" si="11"/>
        <v>#DIV/0!</v>
      </c>
      <c r="DR44" s="117">
        <f>PLĀNS_ar_grozījumiem!CF44-'plans (27122022)'!CF43</f>
        <v>-11</v>
      </c>
      <c r="DS44" s="908">
        <f>DR44/'plans (27122022)'!CF43</f>
        <v>-0.46808510638297873</v>
      </c>
      <c r="DT44" s="104">
        <f>PLĀNS_ar_grozījumiem!CL44-'plans (27122022)'!CL43</f>
        <v>-1291</v>
      </c>
      <c r="DU44" s="909">
        <f>DT44/'plans (27122022)'!CL43</f>
        <v>-0.47133990507484486</v>
      </c>
      <c r="DV44" s="120"/>
      <c r="DW44" s="118">
        <f>PLĀNS_ar_grozījumiem!CM44-'plans (27122022)'!CM43</f>
        <v>0</v>
      </c>
      <c r="DX44" s="104">
        <f>PLĀNS_ar_grozījumiem!CP44-'plans (27122022)'!CP43</f>
        <v>-1291</v>
      </c>
      <c r="DY44" s="909">
        <f>DX44/'plans (27122022)'!CP43</f>
        <v>-0.47133990507484486</v>
      </c>
      <c r="DZ44" s="120"/>
      <c r="EA44" s="118"/>
      <c r="EB44" s="104">
        <f>PLĀNS_ar_grozījumiem!CT44-'plans (27122022)'!CT43</f>
        <v>0</v>
      </c>
      <c r="EC44" s="121"/>
      <c r="ED44" s="120"/>
      <c r="EE44" s="121"/>
      <c r="EF44" s="122">
        <f>PLĀNS_ar_grozījumiem!CX44-'plans (27122022)'!CX43</f>
        <v>-0.71319148936170507</v>
      </c>
      <c r="EG44" s="911">
        <f>EF44/'plans (27122022)'!CX43</f>
        <v>-6.1190215407083129E-3</v>
      </c>
    </row>
    <row r="45" spans="1:137" s="157" customFormat="1" ht="29.25" customHeight="1" x14ac:dyDescent="0.25">
      <c r="A45" s="1070"/>
      <c r="B45" s="164" t="s">
        <v>56</v>
      </c>
      <c r="C45" s="1027"/>
      <c r="D45" s="1006">
        <v>563.09999999999991</v>
      </c>
      <c r="E45" s="133"/>
      <c r="F45" s="133">
        <v>5.177026542489128</v>
      </c>
      <c r="G45" s="133"/>
      <c r="H45" s="134" t="s">
        <v>44</v>
      </c>
      <c r="I45" s="135" t="s">
        <v>44</v>
      </c>
      <c r="J45" s="136">
        <v>79073</v>
      </c>
      <c r="K45" s="86"/>
      <c r="L45" s="137" t="s">
        <v>44</v>
      </c>
      <c r="M45" s="138" t="s">
        <v>44</v>
      </c>
      <c r="N45" s="139">
        <v>79073</v>
      </c>
      <c r="O45" s="140"/>
      <c r="P45" s="134" t="s">
        <v>44</v>
      </c>
      <c r="Q45" s="135" t="s">
        <v>44</v>
      </c>
      <c r="R45" s="139">
        <v>0</v>
      </c>
      <c r="S45" s="140"/>
      <c r="T45" s="134" t="s">
        <v>44</v>
      </c>
      <c r="U45" s="135" t="s">
        <v>44</v>
      </c>
      <c r="V45" s="141">
        <v>140</v>
      </c>
      <c r="W45" s="141"/>
      <c r="X45" s="132">
        <v>552.40000000000009</v>
      </c>
      <c r="Y45" s="133"/>
      <c r="Z45" s="133">
        <v>5.0323861928231111</v>
      </c>
      <c r="AA45" s="133"/>
      <c r="AB45" s="134" t="s">
        <v>44</v>
      </c>
      <c r="AC45" s="135" t="s">
        <v>44</v>
      </c>
      <c r="AD45" s="136">
        <v>78609</v>
      </c>
      <c r="AE45" s="86"/>
      <c r="AF45" s="137" t="s">
        <v>44</v>
      </c>
      <c r="AG45" s="138" t="s">
        <v>44</v>
      </c>
      <c r="AH45" s="139">
        <v>78609</v>
      </c>
      <c r="AI45" s="140"/>
      <c r="AJ45" s="134" t="s">
        <v>44</v>
      </c>
      <c r="AK45" s="135" t="s">
        <v>44</v>
      </c>
      <c r="AL45" s="139">
        <v>0</v>
      </c>
      <c r="AM45" s="140"/>
      <c r="AN45" s="134" t="s">
        <v>44</v>
      </c>
      <c r="AO45" s="135" t="s">
        <v>44</v>
      </c>
      <c r="AP45" s="141">
        <v>142</v>
      </c>
      <c r="AQ45" s="141"/>
      <c r="AR45" s="132">
        <v>575.09999999999991</v>
      </c>
      <c r="AS45" s="133">
        <f>PLĀNS_ar_grozījumiem!AS45-'plans (27122022)'!AS44</f>
        <v>0</v>
      </c>
      <c r="AT45" s="133">
        <f>PLĀNS_ar_grozījumiem!AT45-'plans (27122022)'!AT44</f>
        <v>-5.1359805729758916</v>
      </c>
      <c r="AU45" s="133">
        <f>PLĀNS_ar_grozījumiem!AU45-'plans (27122022)'!AU44</f>
        <v>0</v>
      </c>
      <c r="AV45" s="134" t="e">
        <f>PLĀNS_ar_grozījumiem!AV45-'plans (27122022)'!AV44</f>
        <v>#VALUE!</v>
      </c>
      <c r="AW45" s="135" t="e">
        <f>PLĀNS_ar_grozījumiem!AW45-'plans (27122022)'!AW44</f>
        <v>#VALUE!</v>
      </c>
      <c r="AX45" s="136">
        <f>PLĀNS_ar_grozījumiem!AX45-'plans (27122022)'!AX44</f>
        <v>5277.1000000000058</v>
      </c>
      <c r="AY45" s="86">
        <f>PLĀNS_ar_grozījumiem!AY45-'plans (27122022)'!AY44</f>
        <v>0</v>
      </c>
      <c r="AZ45" s="137" t="e">
        <f>PLĀNS_ar_grozījumiem!AZ45-'plans (27122022)'!AZ44</f>
        <v>#VALUE!</v>
      </c>
      <c r="BA45" s="138" t="e">
        <f>PLĀNS_ar_grozījumiem!BA45-'plans (27122022)'!BA44</f>
        <v>#VALUE!</v>
      </c>
      <c r="BB45" s="139">
        <f>PLĀNS_ar_grozījumiem!BB45-'plans (27122022)'!BB44</f>
        <v>5277.1000000000058</v>
      </c>
      <c r="BC45" s="140">
        <f>PLĀNS_ar_grozījumiem!BC45-'plans (27122022)'!BC44</f>
        <v>0</v>
      </c>
      <c r="BD45" s="134" t="e">
        <f>PLĀNS_ar_grozījumiem!BD45-'plans (27122022)'!BD44</f>
        <v>#VALUE!</v>
      </c>
      <c r="BE45" s="135" t="e">
        <f>PLĀNS_ar_grozījumiem!BE45-'plans (27122022)'!BE44</f>
        <v>#VALUE!</v>
      </c>
      <c r="BF45" s="139">
        <f>PLĀNS_ar_grozījumiem!BF45-'plans (27122022)'!BF44</f>
        <v>0</v>
      </c>
      <c r="BG45" s="140">
        <f>PLĀNS_ar_grozījumiem!BG45-'plans (27122022)'!BG44</f>
        <v>0</v>
      </c>
      <c r="BH45" s="134" t="e">
        <f>PLĀNS_ar_grozījumiem!BH45-'plans (27122022)'!BH44</f>
        <v>#VALUE!</v>
      </c>
      <c r="BI45" s="135" t="e">
        <f>PLĀNS_ar_grozījumiem!BI45-'plans (27122022)'!BI44</f>
        <v>#VALUE!</v>
      </c>
      <c r="BJ45" s="141">
        <f>PLĀNS_ar_grozījumiem!BJ45-'plans (27122022)'!BJ44</f>
        <v>19.205640379484151</v>
      </c>
      <c r="BK45" s="141">
        <f>PLĀNS_ar_grozījumiem!BK45-'plans (27122022)'!BK44</f>
        <v>0</v>
      </c>
      <c r="BL45" s="132">
        <f>PLĀNS_ar_grozījumiem!BL45-'plans (27122022)'!BL44</f>
        <v>-18.299999999999955</v>
      </c>
      <c r="BM45" s="133">
        <f>PLĀNS_ar_grozījumiem!BM45-'plans (27122022)'!BM44</f>
        <v>0</v>
      </c>
      <c r="BN45" s="133">
        <f>PLĀNS_ar_grozījumiem!BN45-'plans (27122022)'!BN44</f>
        <v>-5.0311018293612024</v>
      </c>
      <c r="BO45" s="133">
        <f>PLĀNS_ar_grozījumiem!BO45-'plans (27122022)'!BO44</f>
        <v>0</v>
      </c>
      <c r="BP45" s="134" t="e">
        <f>PLĀNS_ar_grozījumiem!BP45-'plans (27122022)'!BP44</f>
        <v>#VALUE!</v>
      </c>
      <c r="BQ45" s="135" t="e">
        <f>PLĀNS_ar_grozījumiem!BQ45-'plans (27122022)'!BQ44</f>
        <v>#VALUE!</v>
      </c>
      <c r="BR45" s="136">
        <f>PLĀNS_ar_grozījumiem!BR45-'plans (27122022)'!BR44</f>
        <v>12413.199999999997</v>
      </c>
      <c r="BS45" s="86">
        <f>PLĀNS_ar_grozījumiem!BS45-'plans (27122022)'!BS44</f>
        <v>0</v>
      </c>
      <c r="BT45" s="137" t="e">
        <f>PLĀNS_ar_grozījumiem!BT45-'plans (27122022)'!BT44</f>
        <v>#VALUE!</v>
      </c>
      <c r="BU45" s="138" t="e">
        <f>PLĀNS_ar_grozījumiem!BU45-'plans (27122022)'!BU44</f>
        <v>#VALUE!</v>
      </c>
      <c r="BV45" s="139">
        <f>PLĀNS_ar_grozījumiem!BV45-'plans (27122022)'!BV44</f>
        <v>12413.199999999997</v>
      </c>
      <c r="BW45" s="140">
        <f>PLĀNS_ar_grozījumiem!BW45-'plans (27122022)'!BW44</f>
        <v>0</v>
      </c>
      <c r="BX45" s="134" t="e">
        <f>PLĀNS_ar_grozījumiem!BX45-'plans (27122022)'!BX44</f>
        <v>#VALUE!</v>
      </c>
      <c r="BY45" s="135" t="e">
        <f>PLĀNS_ar_grozījumiem!BY45-'plans (27122022)'!BY44</f>
        <v>#VALUE!</v>
      </c>
      <c r="BZ45" s="139">
        <f>PLĀNS_ar_grozījumiem!BZ45-'plans (27122022)'!BZ44</f>
        <v>0</v>
      </c>
      <c r="CA45" s="140">
        <f>PLĀNS_ar_grozījumiem!CA45-'plans (27122022)'!CA44</f>
        <v>0</v>
      </c>
      <c r="CB45" s="134" t="e">
        <f>PLĀNS_ar_grozījumiem!CB45-'plans (27122022)'!CB44</f>
        <v>#VALUE!</v>
      </c>
      <c r="CC45" s="135" t="e">
        <f>PLĀNS_ar_grozījumiem!CC45-'plans (27122022)'!CC44</f>
        <v>#VALUE!</v>
      </c>
      <c r="CD45" s="141">
        <f>PLĀNS_ar_grozījumiem!CD45-'plans (27122022)'!CD44</f>
        <v>27.303008204193247</v>
      </c>
      <c r="CE45" s="141">
        <f>PLĀNS_ar_grozījumiem!CE45-'plans (27122022)'!CE44</f>
        <v>0</v>
      </c>
      <c r="CF45" s="142">
        <f>PLĀNS_ar_grozījumiem!CF45-'plans (27122022)'!CF44</f>
        <v>-53.720000000000255</v>
      </c>
      <c r="CG45" s="141">
        <f>PLĀNS_ar_grozījumiem!CG45-'plans (27122022)'!CG44</f>
        <v>0</v>
      </c>
      <c r="CH45" s="133">
        <f>PLĀNS_ar_grozījumiem!CH45-'plans (27122022)'!CH44</f>
        <v>-5.0685519674577009</v>
      </c>
      <c r="CI45" s="143">
        <f>PLĀNS_ar_grozījumiem!CI45-'plans (27122022)'!CI44</f>
        <v>0</v>
      </c>
      <c r="CJ45" s="137" t="e">
        <f>PLĀNS_ar_grozījumiem!CJ45-'plans (27122022)'!CJ44</f>
        <v>#VALUE!</v>
      </c>
      <c r="CK45" s="138" t="e">
        <f>PLĀNS_ar_grozījumiem!CK45-'plans (27122022)'!CK44</f>
        <v>#VALUE!</v>
      </c>
      <c r="CL45" s="139">
        <f>PLĀNS_ar_grozījumiem!CL45-'plans (27122022)'!CL44</f>
        <v>17690.299999999988</v>
      </c>
      <c r="CM45" s="144">
        <f>PLĀNS_ar_grozījumiem!CM45-'plans (27122022)'!CM44</f>
        <v>0</v>
      </c>
      <c r="CN45" s="145" t="e">
        <f>PLĀNS_ar_grozījumiem!CN45-'plans (27122022)'!CN44</f>
        <v>#VALUE!</v>
      </c>
      <c r="CO45" s="138" t="e">
        <f>PLĀNS_ar_grozījumiem!CO45-'plans (27122022)'!CO44</f>
        <v>#VALUE!</v>
      </c>
      <c r="CP45" s="139">
        <f>PLĀNS_ar_grozījumiem!CP45-'plans (27122022)'!CP44</f>
        <v>17690.299999999988</v>
      </c>
      <c r="CQ45" s="140">
        <f>PLĀNS_ar_grozījumiem!CQ45-'plans (27122022)'!CQ44</f>
        <v>0</v>
      </c>
      <c r="CR45" s="137" t="e">
        <f>PLĀNS_ar_grozījumiem!CR45-'plans (27122022)'!CR44</f>
        <v>#VALUE!</v>
      </c>
      <c r="CS45" s="138" t="e">
        <f>PLĀNS_ar_grozījumiem!CS45-'plans (27122022)'!CS44</f>
        <v>#VALUE!</v>
      </c>
      <c r="CT45" s="139">
        <f>PLĀNS_ar_grozījumiem!CT45-'plans (27122022)'!CT44</f>
        <v>0</v>
      </c>
      <c r="CU45" s="140">
        <f>PLĀNS_ar_grozījumiem!CU45-'plans (27122022)'!CU44</f>
        <v>0</v>
      </c>
      <c r="CV45" s="137" t="e">
        <f>PLĀNS_ar_grozījumiem!CV45-'plans (27122022)'!CV44</f>
        <v>#VALUE!</v>
      </c>
      <c r="CW45" s="138" t="e">
        <f>PLĀNS_ar_grozījumiem!CW45-'plans (27122022)'!CW44</f>
        <v>#VALUE!</v>
      </c>
      <c r="CX45" s="139">
        <f>PLĀNS_ar_grozījumiem!CX45-'plans (27122022)'!CX44</f>
        <v>11.464103709579888</v>
      </c>
      <c r="CY45" s="175">
        <f>PLĀNS_ar_grozījumiem!CY45-'plans (27122022)'!CY44</f>
        <v>0</v>
      </c>
      <c r="CZ45" s="147">
        <f t="shared" ref="CZ45:DA62" si="15">D45+X45</f>
        <v>1115.5</v>
      </c>
      <c r="DA45" s="148">
        <f t="shared" si="15"/>
        <v>0</v>
      </c>
      <c r="DB45" s="177" t="e">
        <f>(CZ45/#REF!)*100</f>
        <v>#REF!</v>
      </c>
      <c r="DC45" s="150" t="e">
        <f>(DA45/#REF!)*100</f>
        <v>#REF!</v>
      </c>
      <c r="DD45" s="139">
        <f t="shared" si="13"/>
        <v>157682</v>
      </c>
      <c r="DE45" s="141">
        <f t="shared" si="13"/>
        <v>0</v>
      </c>
      <c r="DF45" s="141" t="e">
        <f t="shared" si="13"/>
        <v>#VALUE!</v>
      </c>
      <c r="DG45" s="151" t="e">
        <f t="shared" si="10"/>
        <v>#VALUE!</v>
      </c>
      <c r="DH45" s="139">
        <f t="shared" si="10"/>
        <v>157682</v>
      </c>
      <c r="DI45" s="140">
        <f t="shared" si="10"/>
        <v>0</v>
      </c>
      <c r="DJ45" s="140" t="e">
        <f t="shared" si="10"/>
        <v>#VALUE!</v>
      </c>
      <c r="DK45" s="140" t="e">
        <f t="shared" si="10"/>
        <v>#VALUE!</v>
      </c>
      <c r="DL45" s="139">
        <f t="shared" si="10"/>
        <v>0</v>
      </c>
      <c r="DM45" s="140">
        <f t="shared" si="10"/>
        <v>0</v>
      </c>
      <c r="DN45" s="140" t="e">
        <f t="shared" si="10"/>
        <v>#VALUE!</v>
      </c>
      <c r="DO45" s="152" t="e">
        <f t="shared" si="10"/>
        <v>#VALUE!</v>
      </c>
      <c r="DP45" s="139">
        <f t="shared" si="11"/>
        <v>141</v>
      </c>
      <c r="DQ45" s="153" t="e">
        <f t="shared" si="11"/>
        <v>#DIV/0!</v>
      </c>
      <c r="DR45" s="154">
        <f>PLĀNS_ar_grozījumiem!CF45-'plans (27122022)'!CF44</f>
        <v>-53.720000000000255</v>
      </c>
      <c r="DS45" s="908">
        <f>DR45/'plans (27122022)'!CF44</f>
        <v>-2.3797288916452667E-2</v>
      </c>
      <c r="DT45" s="104">
        <f>PLĀNS_ar_grozījumiem!CL45-'plans (27122022)'!CL44</f>
        <v>17690.299999999988</v>
      </c>
      <c r="DU45" s="909">
        <f>DT45/'plans (27122022)'!CL44</f>
        <v>5.559036659480994E-2</v>
      </c>
      <c r="DV45" s="120"/>
      <c r="DW45" s="118">
        <f>PLĀNS_ar_grozījumiem!CM45-'plans (27122022)'!CM44</f>
        <v>0</v>
      </c>
      <c r="DX45" s="104">
        <f>PLĀNS_ar_grozījumiem!CP45-'plans (27122022)'!CP44</f>
        <v>17690.299999999988</v>
      </c>
      <c r="DY45" s="909">
        <f>DX45/'plans (27122022)'!CP44</f>
        <v>5.559036659480994E-2</v>
      </c>
      <c r="DZ45" s="86"/>
      <c r="EA45" s="84"/>
      <c r="EB45" s="79">
        <f>PLĀNS_ar_grozījumiem!CT45-'plans (27122022)'!CT44</f>
        <v>0</v>
      </c>
      <c r="EC45" s="87"/>
      <c r="ED45" s="86"/>
      <c r="EE45" s="87"/>
      <c r="EF45" s="155">
        <f>PLĀNS_ar_grozījumiem!CX45-'plans (27122022)'!CX44</f>
        <v>11.464103709579888</v>
      </c>
      <c r="EG45" s="912">
        <f>EF45/'plans (27122022)'!CX44</f>
        <v>8.1322920547050329E-2</v>
      </c>
    </row>
    <row r="46" spans="1:137" s="5" customFormat="1" ht="15.75" customHeight="1" x14ac:dyDescent="0.25">
      <c r="A46" s="1070"/>
      <c r="B46" s="178"/>
      <c r="C46" s="1024" t="s">
        <v>45</v>
      </c>
      <c r="D46" s="1005">
        <v>360.9</v>
      </c>
      <c r="E46" s="93"/>
      <c r="F46" s="93">
        <v>16.716072255673922</v>
      </c>
      <c r="G46" s="93"/>
      <c r="H46" s="158" t="s">
        <v>44</v>
      </c>
      <c r="I46" s="159" t="s">
        <v>44</v>
      </c>
      <c r="J46" s="96">
        <v>52165</v>
      </c>
      <c r="K46" s="97"/>
      <c r="L46" s="98" t="s">
        <v>44</v>
      </c>
      <c r="M46" s="99" t="s">
        <v>44</v>
      </c>
      <c r="N46" s="100">
        <v>52165</v>
      </c>
      <c r="O46" s="97"/>
      <c r="P46" s="158" t="s">
        <v>44</v>
      </c>
      <c r="Q46" s="159" t="s">
        <v>44</v>
      </c>
      <c r="R46" s="100">
        <v>0</v>
      </c>
      <c r="S46" s="97"/>
      <c r="T46" s="158" t="s">
        <v>44</v>
      </c>
      <c r="U46" s="159" t="s">
        <v>44</v>
      </c>
      <c r="V46" s="102">
        <v>145</v>
      </c>
      <c r="W46" s="102"/>
      <c r="X46" s="92">
        <v>352.7</v>
      </c>
      <c r="Y46" s="93"/>
      <c r="Z46" s="93">
        <v>16.149267399267398</v>
      </c>
      <c r="AA46" s="93"/>
      <c r="AB46" s="158" t="s">
        <v>44</v>
      </c>
      <c r="AC46" s="159" t="s">
        <v>44</v>
      </c>
      <c r="AD46" s="96">
        <v>52253</v>
      </c>
      <c r="AE46" s="97"/>
      <c r="AF46" s="98" t="s">
        <v>44</v>
      </c>
      <c r="AG46" s="99" t="s">
        <v>44</v>
      </c>
      <c r="AH46" s="100">
        <v>52253</v>
      </c>
      <c r="AI46" s="97"/>
      <c r="AJ46" s="158" t="s">
        <v>44</v>
      </c>
      <c r="AK46" s="159" t="s">
        <v>44</v>
      </c>
      <c r="AL46" s="100">
        <v>0</v>
      </c>
      <c r="AM46" s="97"/>
      <c r="AN46" s="158" t="s">
        <v>44</v>
      </c>
      <c r="AO46" s="159" t="s">
        <v>44</v>
      </c>
      <c r="AP46" s="102">
        <v>148</v>
      </c>
      <c r="AQ46" s="102"/>
      <c r="AR46" s="92">
        <v>373.4</v>
      </c>
      <c r="AS46" s="93">
        <f>PLĀNS_ar_grozījumiem!AS46-'plans (27122022)'!AS45</f>
        <v>0</v>
      </c>
      <c r="AT46" s="93">
        <f>PLĀNS_ar_grozījumiem!AT46-'plans (27122022)'!AT45</f>
        <v>-16.751494565217389</v>
      </c>
      <c r="AU46" s="93">
        <f>PLĀNS_ar_grozījumiem!AU46-'plans (27122022)'!AU45</f>
        <v>0</v>
      </c>
      <c r="AV46" s="158" t="e">
        <f>PLĀNS_ar_grozījumiem!AV46-'plans (27122022)'!AV45</f>
        <v>#VALUE!</v>
      </c>
      <c r="AW46" s="159" t="e">
        <f>PLĀNS_ar_grozījumiem!AW46-'plans (27122022)'!AW45</f>
        <v>#VALUE!</v>
      </c>
      <c r="AX46" s="96">
        <f>PLĀNS_ar_grozījumiem!AX46-'plans (27122022)'!AX45</f>
        <v>3077.0000000000073</v>
      </c>
      <c r="AY46" s="97">
        <f>PLĀNS_ar_grozījumiem!AY46-'plans (27122022)'!AY45</f>
        <v>0</v>
      </c>
      <c r="AZ46" s="98" t="e">
        <f>PLĀNS_ar_grozījumiem!AZ46-'plans (27122022)'!AZ45</f>
        <v>#VALUE!</v>
      </c>
      <c r="BA46" s="99" t="e">
        <f>PLĀNS_ar_grozījumiem!BA46-'plans (27122022)'!BA45</f>
        <v>#VALUE!</v>
      </c>
      <c r="BB46" s="100">
        <f>PLĀNS_ar_grozījumiem!BB46-'plans (27122022)'!BB45</f>
        <v>3077.0000000000073</v>
      </c>
      <c r="BC46" s="97">
        <f>PLĀNS_ar_grozījumiem!BC46-'plans (27122022)'!BC45</f>
        <v>0</v>
      </c>
      <c r="BD46" s="158" t="e">
        <f>PLĀNS_ar_grozījumiem!BD46-'plans (27122022)'!BD45</f>
        <v>#VALUE!</v>
      </c>
      <c r="BE46" s="159" t="e">
        <f>PLĀNS_ar_grozījumiem!BE46-'plans (27122022)'!BE45</f>
        <v>#VALUE!</v>
      </c>
      <c r="BF46" s="100">
        <f>PLĀNS_ar_grozījumiem!BF46-'plans (27122022)'!BF45</f>
        <v>0</v>
      </c>
      <c r="BG46" s="97">
        <f>PLĀNS_ar_grozījumiem!BG46-'plans (27122022)'!BG45</f>
        <v>0</v>
      </c>
      <c r="BH46" s="158" t="e">
        <f>PLĀNS_ar_grozījumiem!BH46-'plans (27122022)'!BH45</f>
        <v>#VALUE!</v>
      </c>
      <c r="BI46" s="159" t="e">
        <f>PLĀNS_ar_grozījumiem!BI46-'plans (27122022)'!BI45</f>
        <v>#VALUE!</v>
      </c>
      <c r="BJ46" s="102">
        <f>PLĀNS_ar_grozījumiem!BJ46-'plans (27122022)'!BJ45</f>
        <v>17.27105188545508</v>
      </c>
      <c r="BK46" s="102">
        <f>PLĀNS_ar_grozījumiem!BK46-'plans (27122022)'!BK45</f>
        <v>0</v>
      </c>
      <c r="BL46" s="92">
        <f>PLĀNS_ar_grozījumiem!BL46-'plans (27122022)'!BL45</f>
        <v>-9</v>
      </c>
      <c r="BM46" s="93">
        <f>PLĀNS_ar_grozījumiem!BM46-'plans (27122022)'!BM45</f>
        <v>0</v>
      </c>
      <c r="BN46" s="93">
        <f>PLĀNS_ar_grozījumiem!BN46-'plans (27122022)'!BN45</f>
        <v>-16.366636487098233</v>
      </c>
      <c r="BO46" s="93">
        <f>PLĀNS_ar_grozījumiem!BO46-'plans (27122022)'!BO45</f>
        <v>0</v>
      </c>
      <c r="BP46" s="158" t="e">
        <f>PLĀNS_ar_grozījumiem!BP46-'plans (27122022)'!BP45</f>
        <v>#VALUE!</v>
      </c>
      <c r="BQ46" s="159" t="e">
        <f>PLĀNS_ar_grozījumiem!BQ46-'plans (27122022)'!BQ45</f>
        <v>#VALUE!</v>
      </c>
      <c r="BR46" s="96">
        <f>PLĀNS_ar_grozījumiem!BR46-'plans (27122022)'!BR45</f>
        <v>7399.9000000000015</v>
      </c>
      <c r="BS46" s="97">
        <f>PLĀNS_ar_grozījumiem!BS46-'plans (27122022)'!BS45</f>
        <v>0</v>
      </c>
      <c r="BT46" s="98" t="e">
        <f>PLĀNS_ar_grozījumiem!BT46-'plans (27122022)'!BT45</f>
        <v>#VALUE!</v>
      </c>
      <c r="BU46" s="99" t="e">
        <f>PLĀNS_ar_grozījumiem!BU46-'plans (27122022)'!BU45</f>
        <v>#VALUE!</v>
      </c>
      <c r="BV46" s="100">
        <f>PLĀNS_ar_grozījumiem!BV46-'plans (27122022)'!BV45</f>
        <v>7399.9000000000015</v>
      </c>
      <c r="BW46" s="97">
        <f>PLĀNS_ar_grozījumiem!BW46-'plans (27122022)'!BW45</f>
        <v>0</v>
      </c>
      <c r="BX46" s="158" t="e">
        <f>PLĀNS_ar_grozījumiem!BX46-'plans (27122022)'!BX45</f>
        <v>#VALUE!</v>
      </c>
      <c r="BY46" s="159" t="e">
        <f>PLĀNS_ar_grozījumiem!BY46-'plans (27122022)'!BY45</f>
        <v>#VALUE!</v>
      </c>
      <c r="BZ46" s="100">
        <f>PLĀNS_ar_grozījumiem!BZ46-'plans (27122022)'!BZ45</f>
        <v>0</v>
      </c>
      <c r="CA46" s="97">
        <f>PLĀNS_ar_grozījumiem!CA46-'plans (27122022)'!CA45</f>
        <v>0</v>
      </c>
      <c r="CB46" s="158" t="e">
        <f>PLĀNS_ar_grozījumiem!CB46-'plans (27122022)'!CB45</f>
        <v>#VALUE!</v>
      </c>
      <c r="CC46" s="159" t="e">
        <f>PLĀNS_ar_grozījumiem!CC46-'plans (27122022)'!CC45</f>
        <v>#VALUE!</v>
      </c>
      <c r="CD46" s="102">
        <f>PLĀNS_ar_grozījumiem!CD46-'plans (27122022)'!CD45</f>
        <v>24.28306655433866</v>
      </c>
      <c r="CE46" s="102">
        <f>PLĀNS_ar_grozījumiem!CE46-'plans (27122022)'!CE45</f>
        <v>0</v>
      </c>
      <c r="CF46" s="103">
        <f>PLĀNS_ar_grozījumiem!CF46-'plans (27122022)'!CF45</f>
        <v>-29.699999999999818</v>
      </c>
      <c r="CG46" s="102">
        <f>PLĀNS_ar_grozījumiem!CG46-'plans (27122022)'!CG45</f>
        <v>0</v>
      </c>
      <c r="CH46" s="93">
        <f>PLĀNS_ar_grozījumiem!CH46-'plans (27122022)'!CH45</f>
        <v>-16.414109589041097</v>
      </c>
      <c r="CI46" s="179">
        <f>PLĀNS_ar_grozījumiem!CI46-'plans (27122022)'!CI45</f>
        <v>0</v>
      </c>
      <c r="CJ46" s="98" t="e">
        <f>PLĀNS_ar_grozījumiem!CJ46-'plans (27122022)'!CJ45</f>
        <v>#VALUE!</v>
      </c>
      <c r="CK46" s="99" t="e">
        <f>PLĀNS_ar_grozījumiem!CK46-'plans (27122022)'!CK45</f>
        <v>#VALUE!</v>
      </c>
      <c r="CL46" s="100">
        <f>PLĀNS_ar_grozījumiem!CL46-'plans (27122022)'!CL45</f>
        <v>10476.900000000023</v>
      </c>
      <c r="CM46" s="107">
        <f>PLĀNS_ar_grozījumiem!CM46-'plans (27122022)'!CM45</f>
        <v>0</v>
      </c>
      <c r="CN46" s="108" t="e">
        <f>PLĀNS_ar_grozījumiem!CN46-'plans (27122022)'!CN45</f>
        <v>#VALUE!</v>
      </c>
      <c r="CO46" s="99" t="e">
        <f>PLĀNS_ar_grozījumiem!CO46-'plans (27122022)'!CO45</f>
        <v>#VALUE!</v>
      </c>
      <c r="CP46" s="100">
        <f>PLĀNS_ar_grozījumiem!CP46-'plans (27122022)'!CP45</f>
        <v>10476.900000000023</v>
      </c>
      <c r="CQ46" s="97">
        <f>PLĀNS_ar_grozījumiem!CQ46-'plans (27122022)'!CQ45</f>
        <v>0</v>
      </c>
      <c r="CR46" s="98" t="e">
        <f>PLĀNS_ar_grozījumiem!CR46-'plans (27122022)'!CR45</f>
        <v>#VALUE!</v>
      </c>
      <c r="CS46" s="99" t="e">
        <f>PLĀNS_ar_grozījumiem!CS46-'plans (27122022)'!CS45</f>
        <v>#VALUE!</v>
      </c>
      <c r="CT46" s="100">
        <f>PLĀNS_ar_grozījumiem!CT46-'plans (27122022)'!CT45</f>
        <v>0</v>
      </c>
      <c r="CU46" s="97">
        <f>PLĀNS_ar_grozījumiem!CU46-'plans (27122022)'!CU45</f>
        <v>0</v>
      </c>
      <c r="CV46" s="98" t="e">
        <f>PLĀNS_ar_grozījumiem!CV46-'plans (27122022)'!CV45</f>
        <v>#VALUE!</v>
      </c>
      <c r="CW46" s="99" t="e">
        <f>PLĀNS_ar_grozījumiem!CW46-'plans (27122022)'!CW45</f>
        <v>#VALUE!</v>
      </c>
      <c r="CX46" s="100">
        <f>PLĀNS_ar_grozījumiem!CX46-'plans (27122022)'!CX45</f>
        <v>10.416479988952034</v>
      </c>
      <c r="CY46" s="174">
        <f>PLĀNS_ar_grozījumiem!CY46-'plans (27122022)'!CY45</f>
        <v>0</v>
      </c>
      <c r="CZ46" s="110">
        <f t="shared" si="15"/>
        <v>713.59999999999991</v>
      </c>
      <c r="DA46" s="111">
        <f t="shared" si="15"/>
        <v>0</v>
      </c>
      <c r="DB46" s="176">
        <f>(CZ46/4343)*100</f>
        <v>16.431038452682476</v>
      </c>
      <c r="DC46" s="113">
        <f>(DA46/4343)*100</f>
        <v>0</v>
      </c>
      <c r="DD46" s="100">
        <f t="shared" si="13"/>
        <v>104418</v>
      </c>
      <c r="DE46" s="102">
        <f t="shared" si="13"/>
        <v>0</v>
      </c>
      <c r="DF46" s="102" t="e">
        <f t="shared" si="13"/>
        <v>#VALUE!</v>
      </c>
      <c r="DG46" s="114" t="e">
        <f t="shared" si="10"/>
        <v>#VALUE!</v>
      </c>
      <c r="DH46" s="100">
        <f t="shared" si="10"/>
        <v>104418</v>
      </c>
      <c r="DI46" s="97">
        <f t="shared" si="10"/>
        <v>0</v>
      </c>
      <c r="DJ46" s="97" t="e">
        <f t="shared" si="10"/>
        <v>#VALUE!</v>
      </c>
      <c r="DK46" s="97" t="e">
        <f t="shared" si="10"/>
        <v>#VALUE!</v>
      </c>
      <c r="DL46" s="100">
        <f t="shared" si="10"/>
        <v>0</v>
      </c>
      <c r="DM46" s="97">
        <f t="shared" si="10"/>
        <v>0</v>
      </c>
      <c r="DN46" s="97" t="e">
        <f t="shared" si="10"/>
        <v>#VALUE!</v>
      </c>
      <c r="DO46" s="115" t="e">
        <f t="shared" si="10"/>
        <v>#VALUE!</v>
      </c>
      <c r="DP46" s="100">
        <f t="shared" si="11"/>
        <v>146</v>
      </c>
      <c r="DQ46" s="116" t="e">
        <f t="shared" si="11"/>
        <v>#DIV/0!</v>
      </c>
      <c r="DR46" s="117">
        <f>PLĀNS_ar_grozījumiem!CF46-'plans (27122022)'!CF45</f>
        <v>-29.699999999999818</v>
      </c>
      <c r="DS46" s="908">
        <f>DR46/'plans (27122022)'!CF45</f>
        <v>-2.0453136836305917E-2</v>
      </c>
      <c r="DT46" s="104">
        <f>PLĀNS_ar_grozījumiem!CL46-'plans (27122022)'!CL45</f>
        <v>10476.900000000023</v>
      </c>
      <c r="DU46" s="909">
        <f>DT46/'plans (27122022)'!CL45</f>
        <v>4.9380208136948191E-2</v>
      </c>
      <c r="DV46" s="120"/>
      <c r="DW46" s="118">
        <f>PLĀNS_ar_grozījumiem!CM46-'plans (27122022)'!CM45</f>
        <v>0</v>
      </c>
      <c r="DX46" s="104">
        <f>PLĀNS_ar_grozījumiem!CP46-'plans (27122022)'!CP45</f>
        <v>10476.900000000023</v>
      </c>
      <c r="DY46" s="909">
        <f>DX46/'plans (27122022)'!CP45</f>
        <v>4.9380208136948191E-2</v>
      </c>
      <c r="DZ46" s="120"/>
      <c r="EA46" s="118"/>
      <c r="EB46" s="104">
        <f>PLĀNS_ar_grozījumiem!CT46-'plans (27122022)'!CT45</f>
        <v>0</v>
      </c>
      <c r="EC46" s="121"/>
      <c r="ED46" s="120"/>
      <c r="EE46" s="121"/>
      <c r="EF46" s="122">
        <f>PLĀNS_ar_grozījumiem!CX46-'plans (27122022)'!CX45</f>
        <v>10.416479988952034</v>
      </c>
      <c r="EG46" s="911">
        <f>EF46/'plans (27122022)'!CX45</f>
        <v>7.1291479355780549E-2</v>
      </c>
    </row>
    <row r="47" spans="1:137" s="5" customFormat="1" ht="15.75" customHeight="1" x14ac:dyDescent="0.25">
      <c r="A47" s="1070"/>
      <c r="B47" s="178"/>
      <c r="C47" s="764" t="s">
        <v>46</v>
      </c>
      <c r="D47" s="1005">
        <v>53.1</v>
      </c>
      <c r="E47" s="93"/>
      <c r="F47" s="93">
        <v>2.4594719777674849</v>
      </c>
      <c r="G47" s="93"/>
      <c r="H47" s="158" t="s">
        <v>44</v>
      </c>
      <c r="I47" s="159" t="s">
        <v>44</v>
      </c>
      <c r="J47" s="96">
        <v>9432</v>
      </c>
      <c r="K47" s="97"/>
      <c r="L47" s="98" t="s">
        <v>44</v>
      </c>
      <c r="M47" s="99" t="s">
        <v>44</v>
      </c>
      <c r="N47" s="100">
        <v>9432</v>
      </c>
      <c r="O47" s="97"/>
      <c r="P47" s="158" t="s">
        <v>44</v>
      </c>
      <c r="Q47" s="159" t="s">
        <v>44</v>
      </c>
      <c r="R47" s="100">
        <v>0</v>
      </c>
      <c r="S47" s="97"/>
      <c r="T47" s="158" t="s">
        <v>44</v>
      </c>
      <c r="U47" s="159" t="s">
        <v>44</v>
      </c>
      <c r="V47" s="102">
        <v>178</v>
      </c>
      <c r="W47" s="102"/>
      <c r="X47" s="92">
        <v>53.7</v>
      </c>
      <c r="Y47" s="93"/>
      <c r="Z47" s="93">
        <v>2.4587912087912089</v>
      </c>
      <c r="AA47" s="93"/>
      <c r="AB47" s="158" t="s">
        <v>44</v>
      </c>
      <c r="AC47" s="159" t="s">
        <v>44</v>
      </c>
      <c r="AD47" s="96">
        <v>9369</v>
      </c>
      <c r="AE47" s="97"/>
      <c r="AF47" s="98" t="s">
        <v>44</v>
      </c>
      <c r="AG47" s="99" t="s">
        <v>44</v>
      </c>
      <c r="AH47" s="100">
        <v>9369</v>
      </c>
      <c r="AI47" s="97"/>
      <c r="AJ47" s="158" t="s">
        <v>44</v>
      </c>
      <c r="AK47" s="159" t="s">
        <v>44</v>
      </c>
      <c r="AL47" s="100">
        <v>0</v>
      </c>
      <c r="AM47" s="97"/>
      <c r="AN47" s="158" t="s">
        <v>44</v>
      </c>
      <c r="AO47" s="159" t="s">
        <v>44</v>
      </c>
      <c r="AP47" s="102">
        <v>174</v>
      </c>
      <c r="AQ47" s="102"/>
      <c r="AR47" s="92">
        <v>55</v>
      </c>
      <c r="AS47" s="93">
        <f>PLĀNS_ar_grozījumiem!AS47-'plans (27122022)'!AS46</f>
        <v>0</v>
      </c>
      <c r="AT47" s="93">
        <f>PLĀNS_ar_grozījumiem!AT47-'plans (27122022)'!AT46</f>
        <v>-2.4660326086956523</v>
      </c>
      <c r="AU47" s="93">
        <f>PLĀNS_ar_grozījumiem!AU47-'plans (27122022)'!AU46</f>
        <v>0</v>
      </c>
      <c r="AV47" s="158" t="e">
        <f>PLĀNS_ar_grozījumiem!AV47-'plans (27122022)'!AV46</f>
        <v>#VALUE!</v>
      </c>
      <c r="AW47" s="159" t="e">
        <f>PLĀNS_ar_grozījumiem!AW47-'plans (27122022)'!AW46</f>
        <v>#VALUE!</v>
      </c>
      <c r="AX47" s="96">
        <f>PLĀNS_ar_grozījumiem!AX47-'plans (27122022)'!AX46</f>
        <v>725.89999999999964</v>
      </c>
      <c r="AY47" s="97">
        <f>PLĀNS_ar_grozījumiem!AY47-'plans (27122022)'!AY46</f>
        <v>0</v>
      </c>
      <c r="AZ47" s="98" t="e">
        <f>PLĀNS_ar_grozījumiem!AZ47-'plans (27122022)'!AZ46</f>
        <v>#VALUE!</v>
      </c>
      <c r="BA47" s="99" t="e">
        <f>PLĀNS_ar_grozījumiem!BA47-'plans (27122022)'!BA46</f>
        <v>#VALUE!</v>
      </c>
      <c r="BB47" s="100">
        <f>PLĀNS_ar_grozījumiem!BB47-'plans (27122022)'!BB46</f>
        <v>725.89999999999964</v>
      </c>
      <c r="BC47" s="97">
        <f>PLĀNS_ar_grozījumiem!BC47-'plans (27122022)'!BC46</f>
        <v>0</v>
      </c>
      <c r="BD47" s="158" t="e">
        <f>PLĀNS_ar_grozījumiem!BD47-'plans (27122022)'!BD46</f>
        <v>#VALUE!</v>
      </c>
      <c r="BE47" s="159" t="e">
        <f>PLĀNS_ar_grozījumiem!BE47-'plans (27122022)'!BE46</f>
        <v>#VALUE!</v>
      </c>
      <c r="BF47" s="100">
        <f>PLĀNS_ar_grozījumiem!BF47-'plans (27122022)'!BF46</f>
        <v>0</v>
      </c>
      <c r="BG47" s="97">
        <f>PLĀNS_ar_grozījumiem!BG47-'plans (27122022)'!BG46</f>
        <v>0</v>
      </c>
      <c r="BH47" s="158" t="e">
        <f>PLĀNS_ar_grozījumiem!BH47-'plans (27122022)'!BH46</f>
        <v>#VALUE!</v>
      </c>
      <c r="BI47" s="159" t="e">
        <f>PLĀNS_ar_grozījumiem!BI47-'plans (27122022)'!BI46</f>
        <v>#VALUE!</v>
      </c>
      <c r="BJ47" s="102">
        <f>PLĀNS_ar_grozījumiem!BJ47-'plans (27122022)'!BJ46</f>
        <v>12.816363636363633</v>
      </c>
      <c r="BK47" s="102">
        <f>PLĀNS_ar_grozījumiem!BK47-'plans (27122022)'!BK46</f>
        <v>0</v>
      </c>
      <c r="BL47" s="92">
        <f>PLĀNS_ar_grozījumiem!BL47-'plans (27122022)'!BL46</f>
        <v>0</v>
      </c>
      <c r="BM47" s="93">
        <f>PLĀNS_ar_grozījumiem!BM47-'plans (27122022)'!BM46</f>
        <v>0</v>
      </c>
      <c r="BN47" s="93">
        <f>PLĀNS_ar_grozījumiem!BN47-'plans (27122022)'!BN46</f>
        <v>-2.4156179266636486</v>
      </c>
      <c r="BO47" s="93">
        <f>PLĀNS_ar_grozījumiem!BO47-'plans (27122022)'!BO46</f>
        <v>0</v>
      </c>
      <c r="BP47" s="158" t="e">
        <f>PLĀNS_ar_grozījumiem!BP47-'plans (27122022)'!BP46</f>
        <v>#VALUE!</v>
      </c>
      <c r="BQ47" s="159" t="e">
        <f>PLĀNS_ar_grozījumiem!BQ47-'plans (27122022)'!BQ46</f>
        <v>#VALUE!</v>
      </c>
      <c r="BR47" s="96">
        <f>PLĀNS_ar_grozījumiem!BR47-'plans (27122022)'!BR46</f>
        <v>509.30000000000109</v>
      </c>
      <c r="BS47" s="97">
        <f>PLĀNS_ar_grozījumiem!BS47-'plans (27122022)'!BS46</f>
        <v>0</v>
      </c>
      <c r="BT47" s="98" t="e">
        <f>PLĀNS_ar_grozījumiem!BT47-'plans (27122022)'!BT46</f>
        <v>#VALUE!</v>
      </c>
      <c r="BU47" s="99" t="e">
        <f>PLĀNS_ar_grozījumiem!BU47-'plans (27122022)'!BU46</f>
        <v>#VALUE!</v>
      </c>
      <c r="BV47" s="100">
        <f>PLĀNS_ar_grozījumiem!BV47-'plans (27122022)'!BV46</f>
        <v>509.30000000000109</v>
      </c>
      <c r="BW47" s="97">
        <f>PLĀNS_ar_grozījumiem!BW47-'plans (27122022)'!BW46</f>
        <v>0</v>
      </c>
      <c r="BX47" s="158" t="e">
        <f>PLĀNS_ar_grozījumiem!BX47-'plans (27122022)'!BX46</f>
        <v>#VALUE!</v>
      </c>
      <c r="BY47" s="159" t="e">
        <f>PLĀNS_ar_grozījumiem!BY47-'plans (27122022)'!BY46</f>
        <v>#VALUE!</v>
      </c>
      <c r="BZ47" s="100">
        <f>PLĀNS_ar_grozījumiem!BZ47-'plans (27122022)'!BZ46</f>
        <v>0</v>
      </c>
      <c r="CA47" s="97">
        <f>PLĀNS_ar_grozījumiem!CA47-'plans (27122022)'!CA46</f>
        <v>0</v>
      </c>
      <c r="CB47" s="158" t="e">
        <f>PLĀNS_ar_grozījumiem!CB47-'plans (27122022)'!CB46</f>
        <v>#VALUE!</v>
      </c>
      <c r="CC47" s="159" t="e">
        <f>PLĀNS_ar_grozījumiem!CC47-'plans (27122022)'!CC46</f>
        <v>#VALUE!</v>
      </c>
      <c r="CD47" s="102">
        <f>PLĀNS_ar_grozījumiem!CD47-'plans (27122022)'!CD46</f>
        <v>9.7922077922078188</v>
      </c>
      <c r="CE47" s="102">
        <f>PLĀNS_ar_grozījumiem!CE47-'plans (27122022)'!CE46</f>
        <v>0</v>
      </c>
      <c r="CF47" s="103">
        <f>PLĀNS_ar_grozījumiem!CF47-'plans (27122022)'!CF46</f>
        <v>0</v>
      </c>
      <c r="CG47" s="102">
        <f>PLĀNS_ar_grozījumiem!CG47-'plans (27122022)'!CG46</f>
        <v>0</v>
      </c>
      <c r="CH47" s="93">
        <f>PLĀNS_ar_grozījumiem!CH47-'plans (27122022)'!CH46</f>
        <v>-2.4377054794520552</v>
      </c>
      <c r="CI47" s="179">
        <f>PLĀNS_ar_grozījumiem!CI47-'plans (27122022)'!CI46</f>
        <v>0</v>
      </c>
      <c r="CJ47" s="98" t="e">
        <f>PLĀNS_ar_grozījumiem!CJ47-'plans (27122022)'!CJ46</f>
        <v>#VALUE!</v>
      </c>
      <c r="CK47" s="99" t="e">
        <f>PLĀNS_ar_grozījumiem!CK47-'plans (27122022)'!CK46</f>
        <v>#VALUE!</v>
      </c>
      <c r="CL47" s="100">
        <f>PLĀNS_ar_grozījumiem!CL47-'plans (27122022)'!CL46</f>
        <v>1235.1999999999971</v>
      </c>
      <c r="CM47" s="107">
        <f>PLĀNS_ar_grozījumiem!CM47-'plans (27122022)'!CM46</f>
        <v>0</v>
      </c>
      <c r="CN47" s="108" t="e">
        <f>PLĀNS_ar_grozījumiem!CN47-'plans (27122022)'!CN46</f>
        <v>#VALUE!</v>
      </c>
      <c r="CO47" s="99" t="e">
        <f>PLĀNS_ar_grozījumiem!CO47-'plans (27122022)'!CO46</f>
        <v>#VALUE!</v>
      </c>
      <c r="CP47" s="100">
        <f>PLĀNS_ar_grozījumiem!CP47-'plans (27122022)'!CP46</f>
        <v>1235.1999999999971</v>
      </c>
      <c r="CQ47" s="97">
        <f>PLĀNS_ar_grozījumiem!CQ47-'plans (27122022)'!CQ46</f>
        <v>0</v>
      </c>
      <c r="CR47" s="98" t="e">
        <f>PLĀNS_ar_grozījumiem!CR47-'plans (27122022)'!CR46</f>
        <v>#VALUE!</v>
      </c>
      <c r="CS47" s="99" t="e">
        <f>PLĀNS_ar_grozījumiem!CS47-'plans (27122022)'!CS46</f>
        <v>#VALUE!</v>
      </c>
      <c r="CT47" s="100">
        <f>PLĀNS_ar_grozījumiem!CT47-'plans (27122022)'!CT46</f>
        <v>0</v>
      </c>
      <c r="CU47" s="97">
        <f>PLĀNS_ar_grozījumiem!CU47-'plans (27122022)'!CU46</f>
        <v>0</v>
      </c>
      <c r="CV47" s="98" t="e">
        <f>PLĀNS_ar_grozījumiem!CV47-'plans (27122022)'!CV46</f>
        <v>#VALUE!</v>
      </c>
      <c r="CW47" s="99" t="e">
        <f>PLĀNS_ar_grozījumiem!CW47-'plans (27122022)'!CW46</f>
        <v>#VALUE!</v>
      </c>
      <c r="CX47" s="100">
        <f>PLĀNS_ar_grozījumiem!CX47-'plans (27122022)'!CX46</f>
        <v>5.7264719517848732</v>
      </c>
      <c r="CY47" s="181">
        <f>PLĀNS_ar_grozījumiem!CY47-'plans (27122022)'!CY46</f>
        <v>0</v>
      </c>
      <c r="CZ47" s="110">
        <f t="shared" si="15"/>
        <v>106.80000000000001</v>
      </c>
      <c r="DA47" s="111">
        <f t="shared" si="15"/>
        <v>0</v>
      </c>
      <c r="DB47" s="176">
        <f t="shared" ref="DB47:DC49" si="16">(CZ47/4343)*100</f>
        <v>2.4591296338936219</v>
      </c>
      <c r="DC47" s="113">
        <f t="shared" si="16"/>
        <v>0</v>
      </c>
      <c r="DD47" s="100">
        <f t="shared" si="13"/>
        <v>18801</v>
      </c>
      <c r="DE47" s="102">
        <f t="shared" si="13"/>
        <v>0</v>
      </c>
      <c r="DF47" s="102" t="e">
        <f t="shared" si="13"/>
        <v>#VALUE!</v>
      </c>
      <c r="DG47" s="114" t="e">
        <f t="shared" si="10"/>
        <v>#VALUE!</v>
      </c>
      <c r="DH47" s="100">
        <f t="shared" si="10"/>
        <v>18801</v>
      </c>
      <c r="DI47" s="97">
        <f t="shared" si="10"/>
        <v>0</v>
      </c>
      <c r="DJ47" s="97" t="e">
        <f t="shared" si="10"/>
        <v>#VALUE!</v>
      </c>
      <c r="DK47" s="97" t="e">
        <f t="shared" si="10"/>
        <v>#VALUE!</v>
      </c>
      <c r="DL47" s="100">
        <f t="shared" si="10"/>
        <v>0</v>
      </c>
      <c r="DM47" s="97">
        <f t="shared" si="10"/>
        <v>0</v>
      </c>
      <c r="DN47" s="97" t="e">
        <f t="shared" si="10"/>
        <v>#VALUE!</v>
      </c>
      <c r="DO47" s="115" t="e">
        <f t="shared" si="10"/>
        <v>#VALUE!</v>
      </c>
      <c r="DP47" s="100">
        <f t="shared" si="11"/>
        <v>176</v>
      </c>
      <c r="DQ47" s="116" t="e">
        <f t="shared" si="11"/>
        <v>#DIV/0!</v>
      </c>
      <c r="DR47" s="117">
        <f>PLĀNS_ar_grozījumiem!CF47-'plans (27122022)'!CF46</f>
        <v>0</v>
      </c>
      <c r="DS47" s="908">
        <f>DR47/'plans (27122022)'!CF46</f>
        <v>0</v>
      </c>
      <c r="DT47" s="104">
        <f>PLĀNS_ar_grozījumiem!CL47-'plans (27122022)'!CL46</f>
        <v>1235.1999999999971</v>
      </c>
      <c r="DU47" s="909">
        <f>DT47/'plans (27122022)'!CL46</f>
        <v>3.2628909551986399E-2</v>
      </c>
      <c r="DV47" s="120"/>
      <c r="DW47" s="118">
        <f>PLĀNS_ar_grozījumiem!CM47-'plans (27122022)'!CM46</f>
        <v>0</v>
      </c>
      <c r="DX47" s="104">
        <f>PLĀNS_ar_grozījumiem!CP47-'plans (27122022)'!CP46</f>
        <v>1235.1999999999971</v>
      </c>
      <c r="DY47" s="909">
        <f>DX47/'plans (27122022)'!CP46</f>
        <v>3.2628909551986399E-2</v>
      </c>
      <c r="DZ47" s="120"/>
      <c r="EA47" s="118"/>
      <c r="EB47" s="104">
        <f>PLĀNS_ar_grozījumiem!CT47-'plans (27122022)'!CT46</f>
        <v>0</v>
      </c>
      <c r="EC47" s="121"/>
      <c r="ED47" s="120"/>
      <c r="EE47" s="121"/>
      <c r="EF47" s="122">
        <f>PLĀNS_ar_grozījumiem!CX47-'plans (27122022)'!CX46</f>
        <v>5.7264719517848732</v>
      </c>
      <c r="EG47" s="911">
        <f>EF47/'plans (27122022)'!CX46</f>
        <v>3.2628909551986406E-2</v>
      </c>
    </row>
    <row r="48" spans="1:137" s="124" customFormat="1" ht="15.75" customHeight="1" x14ac:dyDescent="0.25">
      <c r="A48" s="1070"/>
      <c r="B48" s="90"/>
      <c r="C48" s="1024" t="s">
        <v>48</v>
      </c>
      <c r="D48" s="1007">
        <v>138.30000000000001</v>
      </c>
      <c r="E48" s="183"/>
      <c r="F48" s="93">
        <v>6.4057433997220938</v>
      </c>
      <c r="G48" s="93"/>
      <c r="H48" s="158" t="s">
        <v>44</v>
      </c>
      <c r="I48" s="159" t="s">
        <v>44</v>
      </c>
      <c r="J48" s="96">
        <v>15929</v>
      </c>
      <c r="K48" s="97"/>
      <c r="L48" s="98" t="s">
        <v>44</v>
      </c>
      <c r="M48" s="99" t="s">
        <v>44</v>
      </c>
      <c r="N48" s="184">
        <v>15929</v>
      </c>
      <c r="O48" s="101"/>
      <c r="P48" s="158" t="s">
        <v>44</v>
      </c>
      <c r="Q48" s="159" t="s">
        <v>44</v>
      </c>
      <c r="R48" s="184">
        <v>0</v>
      </c>
      <c r="S48" s="101"/>
      <c r="T48" s="158" t="s">
        <v>44</v>
      </c>
      <c r="U48" s="159" t="s">
        <v>44</v>
      </c>
      <c r="V48" s="102">
        <v>115</v>
      </c>
      <c r="W48" s="102"/>
      <c r="X48" s="182">
        <v>135.80000000000001</v>
      </c>
      <c r="Y48" s="183"/>
      <c r="Z48" s="93">
        <v>6.217948717948719</v>
      </c>
      <c r="AA48" s="93"/>
      <c r="AB48" s="158" t="s">
        <v>44</v>
      </c>
      <c r="AC48" s="159" t="s">
        <v>44</v>
      </c>
      <c r="AD48" s="96">
        <v>15549</v>
      </c>
      <c r="AE48" s="97"/>
      <c r="AF48" s="98" t="s">
        <v>44</v>
      </c>
      <c r="AG48" s="99" t="s">
        <v>44</v>
      </c>
      <c r="AH48" s="184">
        <v>15549</v>
      </c>
      <c r="AI48" s="101"/>
      <c r="AJ48" s="158" t="s">
        <v>44</v>
      </c>
      <c r="AK48" s="159" t="s">
        <v>44</v>
      </c>
      <c r="AL48" s="184">
        <v>0</v>
      </c>
      <c r="AM48" s="101"/>
      <c r="AN48" s="158" t="s">
        <v>44</v>
      </c>
      <c r="AO48" s="159" t="s">
        <v>44</v>
      </c>
      <c r="AP48" s="102">
        <v>114</v>
      </c>
      <c r="AQ48" s="102"/>
      <c r="AR48" s="182">
        <v>136.19999999999999</v>
      </c>
      <c r="AS48" s="183">
        <f>PLĀNS_ar_grozījumiem!AS48-'plans (27122022)'!AS47</f>
        <v>0</v>
      </c>
      <c r="AT48" s="93">
        <f>PLĀNS_ar_grozījumiem!AT48-'plans (27122022)'!AT47</f>
        <v>-6.1100634057971019</v>
      </c>
      <c r="AU48" s="93">
        <f>PLĀNS_ar_grozījumiem!AU48-'plans (27122022)'!AU47</f>
        <v>0</v>
      </c>
      <c r="AV48" s="158" t="e">
        <f>PLĀNS_ar_grozījumiem!AV48-'plans (27122022)'!AV47</f>
        <v>#VALUE!</v>
      </c>
      <c r="AW48" s="159" t="e">
        <f>PLĀNS_ar_grozījumiem!AW48-'plans (27122022)'!AW47</f>
        <v>#VALUE!</v>
      </c>
      <c r="AX48" s="96">
        <f>PLĀNS_ar_grozījumiem!AX48-'plans (27122022)'!AX47</f>
        <v>2490.2000000000007</v>
      </c>
      <c r="AY48" s="97">
        <f>PLĀNS_ar_grozījumiem!AY48-'plans (27122022)'!AY47</f>
        <v>0</v>
      </c>
      <c r="AZ48" s="98" t="e">
        <f>PLĀNS_ar_grozījumiem!AZ48-'plans (27122022)'!AZ47</f>
        <v>#VALUE!</v>
      </c>
      <c r="BA48" s="99" t="e">
        <f>PLĀNS_ar_grozījumiem!BA48-'plans (27122022)'!BA47</f>
        <v>#VALUE!</v>
      </c>
      <c r="BB48" s="184">
        <f>PLĀNS_ar_grozījumiem!BB48-'plans (27122022)'!BB47</f>
        <v>2490.2000000000007</v>
      </c>
      <c r="BC48" s="101">
        <f>PLĀNS_ar_grozījumiem!BC48-'plans (27122022)'!BC47</f>
        <v>0</v>
      </c>
      <c r="BD48" s="158" t="e">
        <f>PLĀNS_ar_grozījumiem!BD48-'plans (27122022)'!BD47</f>
        <v>#VALUE!</v>
      </c>
      <c r="BE48" s="159" t="e">
        <f>PLĀNS_ar_grozījumiem!BE48-'plans (27122022)'!BE47</f>
        <v>#VALUE!</v>
      </c>
      <c r="BF48" s="184">
        <f>PLĀNS_ar_grozījumiem!BF48-'plans (27122022)'!BF47</f>
        <v>0</v>
      </c>
      <c r="BG48" s="101">
        <f>PLĀNS_ar_grozījumiem!BG48-'plans (27122022)'!BG47</f>
        <v>0</v>
      </c>
      <c r="BH48" s="158" t="e">
        <f>PLĀNS_ar_grozījumiem!BH48-'plans (27122022)'!BH47</f>
        <v>#VALUE!</v>
      </c>
      <c r="BI48" s="159" t="e">
        <f>PLĀNS_ar_grozījumiem!BI48-'plans (27122022)'!BI47</f>
        <v>#VALUE!</v>
      </c>
      <c r="BJ48" s="102">
        <f>PLĀNS_ar_grozījumiem!BJ48-'plans (27122022)'!BJ47</f>
        <v>25.775003876570025</v>
      </c>
      <c r="BK48" s="102">
        <f>PLĀNS_ar_grozījumiem!BK48-'plans (27122022)'!BK47</f>
        <v>0</v>
      </c>
      <c r="BL48" s="182">
        <f>PLĀNS_ar_grozījumiem!BL48-'plans (27122022)'!BL47</f>
        <v>-0.5</v>
      </c>
      <c r="BM48" s="183">
        <f>PLĀNS_ar_grozījumiem!BM48-'plans (27122022)'!BM47</f>
        <v>0</v>
      </c>
      <c r="BN48" s="93">
        <f>PLĀNS_ar_grozījumiem!BN48-'plans (27122022)'!BN47</f>
        <v>-6.2297419646899046</v>
      </c>
      <c r="BO48" s="93">
        <f>PLĀNS_ar_grozījumiem!BO48-'plans (27122022)'!BO47</f>
        <v>0</v>
      </c>
      <c r="BP48" s="158" t="e">
        <f>PLĀNS_ar_grozījumiem!BP48-'plans (27122022)'!BP47</f>
        <v>#VALUE!</v>
      </c>
      <c r="BQ48" s="159" t="e">
        <f>PLĀNS_ar_grozījumiem!BQ48-'plans (27122022)'!BQ47</f>
        <v>#VALUE!</v>
      </c>
      <c r="BR48" s="96">
        <f>PLĀNS_ar_grozījumiem!BR48-'plans (27122022)'!BR47</f>
        <v>5807</v>
      </c>
      <c r="BS48" s="97">
        <f>PLĀNS_ar_grozījumiem!BS48-'plans (27122022)'!BS47</f>
        <v>0</v>
      </c>
      <c r="BT48" s="98" t="e">
        <f>PLĀNS_ar_grozījumiem!BT48-'plans (27122022)'!BT47</f>
        <v>#VALUE!</v>
      </c>
      <c r="BU48" s="99" t="e">
        <f>PLĀNS_ar_grozījumiem!BU48-'plans (27122022)'!BU47</f>
        <v>#VALUE!</v>
      </c>
      <c r="BV48" s="184">
        <f>PLĀNS_ar_grozījumiem!BV48-'plans (27122022)'!BV47</f>
        <v>5807</v>
      </c>
      <c r="BW48" s="101">
        <f>PLĀNS_ar_grozījumiem!BW48-'plans (27122022)'!BW47</f>
        <v>0</v>
      </c>
      <c r="BX48" s="158" t="e">
        <f>PLĀNS_ar_grozījumiem!BX48-'plans (27122022)'!BX47</f>
        <v>#VALUE!</v>
      </c>
      <c r="BY48" s="159" t="e">
        <f>PLĀNS_ar_grozījumiem!BY48-'plans (27122022)'!BY47</f>
        <v>#VALUE!</v>
      </c>
      <c r="BZ48" s="184">
        <f>PLĀNS_ar_grozījumiem!BZ48-'plans (27122022)'!BZ47</f>
        <v>0</v>
      </c>
      <c r="CA48" s="101">
        <f>PLĀNS_ar_grozījumiem!CA48-'plans (27122022)'!CA47</f>
        <v>0</v>
      </c>
      <c r="CB48" s="158" t="e">
        <f>PLĀNS_ar_grozījumiem!CB48-'plans (27122022)'!CB47</f>
        <v>#VALUE!</v>
      </c>
      <c r="CC48" s="159" t="e">
        <f>PLĀNS_ar_grozījumiem!CC48-'plans (27122022)'!CC47</f>
        <v>#VALUE!</v>
      </c>
      <c r="CD48" s="102">
        <f>PLĀNS_ar_grozījumiem!CD48-'plans (27122022)'!CD47</f>
        <v>42.223826714801447</v>
      </c>
      <c r="CE48" s="102">
        <f>PLĀNS_ar_grozījumiem!CE48-'plans (27122022)'!CE47</f>
        <v>0</v>
      </c>
      <c r="CF48" s="103">
        <f>PLĀNS_ar_grozījumiem!CF48-'plans (27122022)'!CF47</f>
        <v>-7.7199999999999136</v>
      </c>
      <c r="CG48" s="102">
        <f>PLĀNS_ar_grozījumiem!CG48-'plans (27122022)'!CG47</f>
        <v>0</v>
      </c>
      <c r="CH48" s="93">
        <f>PLĀNS_ar_grozījumiem!CH48-'plans (27122022)'!CH47</f>
        <v>-6.2087237442922367</v>
      </c>
      <c r="CI48" s="179">
        <f>PLĀNS_ar_grozījumiem!CI48-'plans (27122022)'!CI47</f>
        <v>0</v>
      </c>
      <c r="CJ48" s="98" t="e">
        <f>PLĀNS_ar_grozījumiem!CJ48-'plans (27122022)'!CJ47</f>
        <v>#VALUE!</v>
      </c>
      <c r="CK48" s="99" t="e">
        <f>PLĀNS_ar_grozījumiem!CK48-'plans (27122022)'!CK47</f>
        <v>#VALUE!</v>
      </c>
      <c r="CL48" s="100">
        <f>PLĀNS_ar_grozījumiem!CL48-'plans (27122022)'!CL47</f>
        <v>8297.1999999999971</v>
      </c>
      <c r="CM48" s="107">
        <f>PLĀNS_ar_grozījumiem!CM48-'plans (27122022)'!CM47</f>
        <v>0</v>
      </c>
      <c r="CN48" s="108" t="e">
        <f>PLĀNS_ar_grozījumiem!CN48-'plans (27122022)'!CN47</f>
        <v>#VALUE!</v>
      </c>
      <c r="CO48" s="99" t="e">
        <f>PLĀNS_ar_grozījumiem!CO48-'plans (27122022)'!CO47</f>
        <v>#VALUE!</v>
      </c>
      <c r="CP48" s="100">
        <f>PLĀNS_ar_grozījumiem!CP48-'plans (27122022)'!CP47</f>
        <v>8297.1999999999971</v>
      </c>
      <c r="CQ48" s="97">
        <f>PLĀNS_ar_grozījumiem!CQ48-'plans (27122022)'!CQ47</f>
        <v>0</v>
      </c>
      <c r="CR48" s="98" t="e">
        <f>PLĀNS_ar_grozījumiem!CR48-'plans (27122022)'!CR47</f>
        <v>#VALUE!</v>
      </c>
      <c r="CS48" s="99" t="e">
        <f>PLĀNS_ar_grozījumiem!CS48-'plans (27122022)'!CS47</f>
        <v>#VALUE!</v>
      </c>
      <c r="CT48" s="100">
        <f>PLĀNS_ar_grozījumiem!CT48-'plans (27122022)'!CT47</f>
        <v>0</v>
      </c>
      <c r="CU48" s="97">
        <f>PLĀNS_ar_grozījumiem!CU48-'plans (27122022)'!CU47</f>
        <v>0</v>
      </c>
      <c r="CV48" s="98" t="e">
        <f>PLĀNS_ar_grozījumiem!CV48-'plans (27122022)'!CV47</f>
        <v>#VALUE!</v>
      </c>
      <c r="CW48" s="99" t="e">
        <f>PLĀNS_ar_grozījumiem!CW48-'plans (27122022)'!CW47</f>
        <v>#VALUE!</v>
      </c>
      <c r="CX48" s="100">
        <f>PLĀNS_ar_grozījumiem!CX48-'plans (27122022)'!CX47</f>
        <v>16.940705757218069</v>
      </c>
      <c r="CY48" s="174">
        <f>PLĀNS_ar_grozījumiem!CY48-'plans (27122022)'!CY47</f>
        <v>0</v>
      </c>
      <c r="CZ48" s="110">
        <f t="shared" si="15"/>
        <v>274.10000000000002</v>
      </c>
      <c r="DA48" s="111">
        <f t="shared" si="15"/>
        <v>0</v>
      </c>
      <c r="DB48" s="176">
        <f t="shared" si="16"/>
        <v>6.3113055491595684</v>
      </c>
      <c r="DC48" s="113">
        <f t="shared" si="16"/>
        <v>0</v>
      </c>
      <c r="DD48" s="100">
        <f t="shared" si="13"/>
        <v>31478</v>
      </c>
      <c r="DE48" s="102">
        <f t="shared" si="13"/>
        <v>0</v>
      </c>
      <c r="DF48" s="102" t="e">
        <f t="shared" si="13"/>
        <v>#VALUE!</v>
      </c>
      <c r="DG48" s="114" t="e">
        <f t="shared" si="10"/>
        <v>#VALUE!</v>
      </c>
      <c r="DH48" s="100">
        <f t="shared" si="10"/>
        <v>31478</v>
      </c>
      <c r="DI48" s="97">
        <f t="shared" si="10"/>
        <v>0</v>
      </c>
      <c r="DJ48" s="97" t="e">
        <f t="shared" si="10"/>
        <v>#VALUE!</v>
      </c>
      <c r="DK48" s="97" t="e">
        <f t="shared" si="10"/>
        <v>#VALUE!</v>
      </c>
      <c r="DL48" s="100">
        <f t="shared" si="10"/>
        <v>0</v>
      </c>
      <c r="DM48" s="97">
        <f t="shared" si="10"/>
        <v>0</v>
      </c>
      <c r="DN48" s="97" t="e">
        <f t="shared" si="10"/>
        <v>#VALUE!</v>
      </c>
      <c r="DO48" s="115" t="e">
        <f t="shared" si="10"/>
        <v>#VALUE!</v>
      </c>
      <c r="DP48" s="100">
        <f t="shared" si="11"/>
        <v>115</v>
      </c>
      <c r="DQ48" s="116" t="e">
        <f t="shared" si="11"/>
        <v>#DIV/0!</v>
      </c>
      <c r="DR48" s="117">
        <f>PLĀNS_ar_grozījumiem!CF48-'plans (27122022)'!CF47</f>
        <v>-7.7199999999999136</v>
      </c>
      <c r="DS48" s="908">
        <f>DR48/'plans (27122022)'!CF47</f>
        <v>-1.4054250864736781E-2</v>
      </c>
      <c r="DT48" s="104">
        <f>PLĀNS_ar_grozījumiem!CL48-'plans (27122022)'!CL47</f>
        <v>8297.1999999999971</v>
      </c>
      <c r="DU48" s="909">
        <f>DT48/'plans (27122022)'!CL47</f>
        <v>0.13288276745675845</v>
      </c>
      <c r="DV48" s="120"/>
      <c r="DW48" s="118">
        <f>PLĀNS_ar_grozījumiem!CM48-'plans (27122022)'!CM47</f>
        <v>0</v>
      </c>
      <c r="DX48" s="104">
        <f>PLĀNS_ar_grozījumiem!CP48-'plans (27122022)'!CP47</f>
        <v>8297.1999999999971</v>
      </c>
      <c r="DY48" s="909">
        <f>DX48/'plans (27122022)'!CP47</f>
        <v>0.13288276745675845</v>
      </c>
      <c r="DZ48" s="120"/>
      <c r="EA48" s="118"/>
      <c r="EB48" s="104">
        <f>PLĀNS_ar_grozījumiem!CT48-'plans (27122022)'!CT47</f>
        <v>0</v>
      </c>
      <c r="EC48" s="121"/>
      <c r="ED48" s="120"/>
      <c r="EE48" s="121"/>
      <c r="EF48" s="122">
        <f>PLĀNS_ar_grozījumiem!CX48-'plans (27122022)'!CX47</f>
        <v>16.940705757218069</v>
      </c>
      <c r="EG48" s="911">
        <f>EF48/'plans (27122022)'!CX47</f>
        <v>0.14903154504227875</v>
      </c>
    </row>
    <row r="49" spans="1:137" s="124" customFormat="1" ht="15.75" customHeight="1" x14ac:dyDescent="0.25">
      <c r="A49" s="1070"/>
      <c r="B49" s="90"/>
      <c r="C49" s="1028" t="s">
        <v>49</v>
      </c>
      <c r="D49" s="1005">
        <v>10.8</v>
      </c>
      <c r="E49" s="183"/>
      <c r="F49" s="93">
        <v>0.50023158869847151</v>
      </c>
      <c r="G49" s="93"/>
      <c r="H49" s="158" t="s">
        <v>44</v>
      </c>
      <c r="I49" s="159" t="s">
        <v>44</v>
      </c>
      <c r="J49" s="96">
        <v>1547</v>
      </c>
      <c r="K49" s="97"/>
      <c r="L49" s="98" t="s">
        <v>44</v>
      </c>
      <c r="M49" s="99" t="s">
        <v>44</v>
      </c>
      <c r="N49" s="184">
        <v>1547</v>
      </c>
      <c r="O49" s="101"/>
      <c r="P49" s="158" t="s">
        <v>44</v>
      </c>
      <c r="Q49" s="159" t="s">
        <v>44</v>
      </c>
      <c r="R49" s="184">
        <v>0</v>
      </c>
      <c r="S49" s="101"/>
      <c r="T49" s="158" t="s">
        <v>44</v>
      </c>
      <c r="U49" s="159" t="s">
        <v>44</v>
      </c>
      <c r="V49" s="102">
        <v>143</v>
      </c>
      <c r="W49" s="102"/>
      <c r="X49" s="92">
        <v>10.199999999999999</v>
      </c>
      <c r="Y49" s="183"/>
      <c r="Z49" s="93">
        <v>0.46703296703296704</v>
      </c>
      <c r="AA49" s="93"/>
      <c r="AB49" s="158" t="s">
        <v>44</v>
      </c>
      <c r="AC49" s="159" t="s">
        <v>44</v>
      </c>
      <c r="AD49" s="96">
        <v>1438</v>
      </c>
      <c r="AE49" s="97"/>
      <c r="AF49" s="98" t="s">
        <v>44</v>
      </c>
      <c r="AG49" s="99" t="s">
        <v>44</v>
      </c>
      <c r="AH49" s="184">
        <v>1438</v>
      </c>
      <c r="AI49" s="101"/>
      <c r="AJ49" s="158" t="s">
        <v>44</v>
      </c>
      <c r="AK49" s="159" t="s">
        <v>44</v>
      </c>
      <c r="AL49" s="184">
        <v>0</v>
      </c>
      <c r="AM49" s="101"/>
      <c r="AN49" s="158" t="s">
        <v>44</v>
      </c>
      <c r="AO49" s="159" t="s">
        <v>44</v>
      </c>
      <c r="AP49" s="102">
        <v>141</v>
      </c>
      <c r="AQ49" s="102"/>
      <c r="AR49" s="92">
        <v>10.5</v>
      </c>
      <c r="AS49" s="183">
        <f>PLĀNS_ar_grozījumiem!AS49-'plans (27122022)'!AS48</f>
        <v>0</v>
      </c>
      <c r="AT49" s="93">
        <f>PLĀNS_ar_grozījumiem!AT49-'plans (27122022)'!AT48</f>
        <v>-0.47418478260869573</v>
      </c>
      <c r="AU49" s="93">
        <f>PLĀNS_ar_grozījumiem!AU49-'plans (27122022)'!AU48</f>
        <v>0</v>
      </c>
      <c r="AV49" s="158" t="e">
        <f>PLĀNS_ar_grozījumiem!AV49-'plans (27122022)'!AV48</f>
        <v>#VALUE!</v>
      </c>
      <c r="AW49" s="159" t="e">
        <f>PLĀNS_ar_grozījumiem!AW49-'plans (27122022)'!AW48</f>
        <v>#VALUE!</v>
      </c>
      <c r="AX49" s="96">
        <f>PLĀNS_ar_grozījumiem!AX49-'plans (27122022)'!AX48</f>
        <v>-1016</v>
      </c>
      <c r="AY49" s="97">
        <f>PLĀNS_ar_grozījumiem!AY49-'plans (27122022)'!AY48</f>
        <v>0</v>
      </c>
      <c r="AZ49" s="98" t="e">
        <f>PLĀNS_ar_grozījumiem!AZ49-'plans (27122022)'!AZ48</f>
        <v>#VALUE!</v>
      </c>
      <c r="BA49" s="99" t="e">
        <f>PLĀNS_ar_grozījumiem!BA49-'plans (27122022)'!BA48</f>
        <v>#VALUE!</v>
      </c>
      <c r="BB49" s="184">
        <f>PLĀNS_ar_grozījumiem!BB49-'plans (27122022)'!BB48</f>
        <v>-1016</v>
      </c>
      <c r="BC49" s="101">
        <f>PLĀNS_ar_grozījumiem!BC49-'plans (27122022)'!BC48</f>
        <v>0</v>
      </c>
      <c r="BD49" s="158" t="e">
        <f>PLĀNS_ar_grozījumiem!BD49-'plans (27122022)'!BD48</f>
        <v>#VALUE!</v>
      </c>
      <c r="BE49" s="159" t="e">
        <f>PLĀNS_ar_grozījumiem!BE49-'plans (27122022)'!BE48</f>
        <v>#VALUE!</v>
      </c>
      <c r="BF49" s="184">
        <f>PLĀNS_ar_grozījumiem!BF49-'plans (27122022)'!BF48</f>
        <v>0</v>
      </c>
      <c r="BG49" s="101">
        <f>PLĀNS_ar_grozījumiem!BG49-'plans (27122022)'!BG48</f>
        <v>0</v>
      </c>
      <c r="BH49" s="158" t="e">
        <f>PLĀNS_ar_grozījumiem!BH49-'plans (27122022)'!BH48</f>
        <v>#VALUE!</v>
      </c>
      <c r="BI49" s="159" t="e">
        <f>PLĀNS_ar_grozījumiem!BI49-'plans (27122022)'!BI48</f>
        <v>#VALUE!</v>
      </c>
      <c r="BJ49" s="102">
        <f>PLĀNS_ar_grozījumiem!BJ49-'plans (27122022)'!BJ48</f>
        <v>12.666666666666657</v>
      </c>
      <c r="BK49" s="102">
        <f>PLĀNS_ar_grozījumiem!BK49-'plans (27122022)'!BK48</f>
        <v>0</v>
      </c>
      <c r="BL49" s="92">
        <f>PLĀNS_ar_grozījumiem!BL49-'plans (27122022)'!BL48</f>
        <v>-8.8000000000000007</v>
      </c>
      <c r="BM49" s="183">
        <f>PLĀNS_ar_grozījumiem!BM49-'plans (27122022)'!BM48</f>
        <v>0</v>
      </c>
      <c r="BN49" s="93">
        <f>PLĀNS_ar_grozījumiem!BN49-'plans (27122022)'!BN48</f>
        <v>-0.39837030330466278</v>
      </c>
      <c r="BO49" s="93">
        <f>PLĀNS_ar_grozījumiem!BO49-'plans (27122022)'!BO48</f>
        <v>0</v>
      </c>
      <c r="BP49" s="158" t="e">
        <f>PLĀNS_ar_grozījumiem!BP49-'plans (27122022)'!BP48</f>
        <v>#VALUE!</v>
      </c>
      <c r="BQ49" s="159" t="e">
        <f>PLĀNS_ar_grozījumiem!BQ49-'plans (27122022)'!BQ48</f>
        <v>#VALUE!</v>
      </c>
      <c r="BR49" s="96">
        <f>PLĀNS_ar_grozījumiem!BR49-'plans (27122022)'!BR48</f>
        <v>-1303</v>
      </c>
      <c r="BS49" s="97">
        <f>PLĀNS_ar_grozījumiem!BS49-'plans (27122022)'!BS48</f>
        <v>0</v>
      </c>
      <c r="BT49" s="98" t="e">
        <f>PLĀNS_ar_grozījumiem!BT49-'plans (27122022)'!BT48</f>
        <v>#VALUE!</v>
      </c>
      <c r="BU49" s="99" t="e">
        <f>PLĀNS_ar_grozījumiem!BU49-'plans (27122022)'!BU48</f>
        <v>#VALUE!</v>
      </c>
      <c r="BV49" s="184">
        <f>PLĀNS_ar_grozījumiem!BV49-'plans (27122022)'!BV48</f>
        <v>-1303</v>
      </c>
      <c r="BW49" s="101">
        <f>PLĀNS_ar_grozījumiem!BW49-'plans (27122022)'!BW48</f>
        <v>0</v>
      </c>
      <c r="BX49" s="158" t="e">
        <f>PLĀNS_ar_grozījumiem!BX49-'plans (27122022)'!BX48</f>
        <v>#VALUE!</v>
      </c>
      <c r="BY49" s="159" t="e">
        <f>PLĀNS_ar_grozījumiem!BY49-'plans (27122022)'!BY48</f>
        <v>#VALUE!</v>
      </c>
      <c r="BZ49" s="184">
        <f>PLĀNS_ar_grozījumiem!BZ49-'plans (27122022)'!BZ48</f>
        <v>0</v>
      </c>
      <c r="CA49" s="101">
        <f>PLĀNS_ar_grozījumiem!CA49-'plans (27122022)'!CA48</f>
        <v>0</v>
      </c>
      <c r="CB49" s="158" t="e">
        <f>PLĀNS_ar_grozījumiem!CB49-'plans (27122022)'!CB48</f>
        <v>#VALUE!</v>
      </c>
      <c r="CC49" s="159" t="e">
        <f>PLĀNS_ar_grozījumiem!CC49-'plans (27122022)'!CC48</f>
        <v>#VALUE!</v>
      </c>
      <c r="CD49" s="102">
        <f>PLĀNS_ar_grozījumiem!CD49-'plans (27122022)'!CD48</f>
        <v>-148</v>
      </c>
      <c r="CE49" s="102">
        <f>PLĀNS_ar_grozījumiem!CE49-'plans (27122022)'!CE48</f>
        <v>0</v>
      </c>
      <c r="CF49" s="103">
        <f>PLĀNS_ar_grozījumiem!CF49-'plans (27122022)'!CF48</f>
        <v>-16.299999999999997</v>
      </c>
      <c r="CG49" s="102">
        <f>PLĀNS_ar_grozījumiem!CG49-'plans (27122022)'!CG48</f>
        <v>0</v>
      </c>
      <c r="CH49" s="93">
        <f>PLĀNS_ar_grozījumiem!CH49-'plans (27122022)'!CH48</f>
        <v>-0.4573059360730593</v>
      </c>
      <c r="CI49" s="179">
        <f>PLĀNS_ar_grozījumiem!CI49-'plans (27122022)'!CI48</f>
        <v>0</v>
      </c>
      <c r="CJ49" s="98" t="e">
        <f>PLĀNS_ar_grozījumiem!CJ49-'plans (27122022)'!CJ48</f>
        <v>#VALUE!</v>
      </c>
      <c r="CK49" s="99" t="e">
        <f>PLĀNS_ar_grozījumiem!CK49-'plans (27122022)'!CK48</f>
        <v>#VALUE!</v>
      </c>
      <c r="CL49" s="100">
        <f>PLĀNS_ar_grozījumiem!CL49-'plans (27122022)'!CL48</f>
        <v>-2319</v>
      </c>
      <c r="CM49" s="107">
        <f>PLĀNS_ar_grozījumiem!CM49-'plans (27122022)'!CM48</f>
        <v>0</v>
      </c>
      <c r="CN49" s="108" t="e">
        <f>PLĀNS_ar_grozījumiem!CN49-'plans (27122022)'!CN48</f>
        <v>#VALUE!</v>
      </c>
      <c r="CO49" s="99" t="e">
        <f>PLĀNS_ar_grozījumiem!CO49-'plans (27122022)'!CO48</f>
        <v>#VALUE!</v>
      </c>
      <c r="CP49" s="100">
        <f>PLĀNS_ar_grozījumiem!CP49-'plans (27122022)'!CP48</f>
        <v>-2319</v>
      </c>
      <c r="CQ49" s="97">
        <f>PLĀNS_ar_grozījumiem!CQ49-'plans (27122022)'!CQ48</f>
        <v>0</v>
      </c>
      <c r="CR49" s="98" t="e">
        <f>PLĀNS_ar_grozījumiem!CR49-'plans (27122022)'!CR48</f>
        <v>#VALUE!</v>
      </c>
      <c r="CS49" s="99" t="e">
        <f>PLĀNS_ar_grozījumiem!CS49-'plans (27122022)'!CS48</f>
        <v>#VALUE!</v>
      </c>
      <c r="CT49" s="100">
        <f>PLĀNS_ar_grozījumiem!CT49-'plans (27122022)'!CT48</f>
        <v>0</v>
      </c>
      <c r="CU49" s="97">
        <f>PLĀNS_ar_grozījumiem!CU49-'plans (27122022)'!CU48</f>
        <v>0</v>
      </c>
      <c r="CV49" s="98" t="e">
        <f>PLĀNS_ar_grozījumiem!CV49-'plans (27122022)'!CV48</f>
        <v>#VALUE!</v>
      </c>
      <c r="CW49" s="99" t="e">
        <f>PLĀNS_ar_grozījumiem!CW49-'plans (27122022)'!CW48</f>
        <v>#VALUE!</v>
      </c>
      <c r="CX49" s="100">
        <f>PLĀNS_ar_grozījumiem!CX49-'plans (27122022)'!CX48</f>
        <v>0.48066583953681175</v>
      </c>
      <c r="CY49" s="174">
        <f>PLĀNS_ar_grozījumiem!CY49-'plans (27122022)'!CY48</f>
        <v>0</v>
      </c>
      <c r="CZ49" s="110">
        <f t="shared" si="15"/>
        <v>21</v>
      </c>
      <c r="DA49" s="111">
        <f t="shared" si="15"/>
        <v>0</v>
      </c>
      <c r="DB49" s="176">
        <f t="shared" si="16"/>
        <v>0.48353672576559981</v>
      </c>
      <c r="DC49" s="113">
        <f t="shared" si="16"/>
        <v>0</v>
      </c>
      <c r="DD49" s="100">
        <f t="shared" si="13"/>
        <v>2985</v>
      </c>
      <c r="DE49" s="102">
        <f t="shared" si="13"/>
        <v>0</v>
      </c>
      <c r="DF49" s="102" t="e">
        <f t="shared" si="13"/>
        <v>#VALUE!</v>
      </c>
      <c r="DG49" s="114" t="e">
        <f t="shared" si="10"/>
        <v>#VALUE!</v>
      </c>
      <c r="DH49" s="100">
        <f t="shared" si="10"/>
        <v>2985</v>
      </c>
      <c r="DI49" s="97">
        <f t="shared" si="10"/>
        <v>0</v>
      </c>
      <c r="DJ49" s="97" t="e">
        <f t="shared" si="10"/>
        <v>#VALUE!</v>
      </c>
      <c r="DK49" s="97" t="e">
        <f t="shared" si="10"/>
        <v>#VALUE!</v>
      </c>
      <c r="DL49" s="100">
        <f t="shared" si="10"/>
        <v>0</v>
      </c>
      <c r="DM49" s="97">
        <f t="shared" si="10"/>
        <v>0</v>
      </c>
      <c r="DN49" s="97" t="e">
        <f t="shared" si="10"/>
        <v>#VALUE!</v>
      </c>
      <c r="DO49" s="115" t="e">
        <f t="shared" si="10"/>
        <v>#VALUE!</v>
      </c>
      <c r="DP49" s="100">
        <f t="shared" si="11"/>
        <v>142</v>
      </c>
      <c r="DQ49" s="116" t="e">
        <f t="shared" si="11"/>
        <v>#DIV/0!</v>
      </c>
      <c r="DR49" s="117">
        <f>PLĀNS_ar_grozījumiem!CF49-'plans (27122022)'!CF48</f>
        <v>-16.299999999999997</v>
      </c>
      <c r="DS49" s="908">
        <f>DR49/'plans (27122022)'!CF48</f>
        <v>-0.40446650124069472</v>
      </c>
      <c r="DT49" s="104">
        <f>PLĀNS_ar_grozījumiem!CL49-'plans (27122022)'!CL48</f>
        <v>-2319</v>
      </c>
      <c r="DU49" s="909">
        <f>DT49/'plans (27122022)'!CL48</f>
        <v>-0.40246442207566818</v>
      </c>
      <c r="DV49" s="120"/>
      <c r="DW49" s="118">
        <f>PLĀNS_ar_grozījumiem!CM49-'plans (27122022)'!CM48</f>
        <v>0</v>
      </c>
      <c r="DX49" s="104">
        <f>PLĀNS_ar_grozījumiem!CP49-'plans (27122022)'!CP48</f>
        <v>-2319</v>
      </c>
      <c r="DY49" s="909">
        <f>DX49/'plans (27122022)'!CP48</f>
        <v>-0.40246442207566818</v>
      </c>
      <c r="DZ49" s="120"/>
      <c r="EA49" s="118"/>
      <c r="EB49" s="104">
        <f>PLĀNS_ar_grozījumiem!CT49-'plans (27122022)'!CT48</f>
        <v>0</v>
      </c>
      <c r="EC49" s="121"/>
      <c r="ED49" s="120"/>
      <c r="EE49" s="121"/>
      <c r="EF49" s="122">
        <f>PLĀNS_ar_grozījumiem!CX49-'plans (27122022)'!CX48</f>
        <v>0.48066583953681175</v>
      </c>
      <c r="EG49" s="911">
        <f>EF49/'plans (27122022)'!CX48</f>
        <v>3.361824597940561E-3</v>
      </c>
    </row>
    <row r="50" spans="1:137" s="157" customFormat="1" ht="15.75" customHeight="1" x14ac:dyDescent="0.25">
      <c r="A50" s="1070"/>
      <c r="B50" s="164" t="s">
        <v>57</v>
      </c>
      <c r="C50" s="1027"/>
      <c r="D50" s="1006">
        <v>1565.6000000000001</v>
      </c>
      <c r="E50" s="133"/>
      <c r="F50" s="133">
        <v>14.393807058996591</v>
      </c>
      <c r="G50" s="133"/>
      <c r="H50" s="134" t="s">
        <v>44</v>
      </c>
      <c r="I50" s="135" t="s">
        <v>44</v>
      </c>
      <c r="J50" s="136">
        <v>107830</v>
      </c>
      <c r="K50" s="86"/>
      <c r="L50" s="137" t="s">
        <v>44</v>
      </c>
      <c r="M50" s="138" t="s">
        <v>44</v>
      </c>
      <c r="N50" s="139">
        <v>107830</v>
      </c>
      <c r="O50" s="140"/>
      <c r="P50" s="134" t="s">
        <v>44</v>
      </c>
      <c r="Q50" s="135" t="s">
        <v>44</v>
      </c>
      <c r="R50" s="139">
        <v>0</v>
      </c>
      <c r="S50" s="140"/>
      <c r="T50" s="134" t="s">
        <v>44</v>
      </c>
      <c r="U50" s="135" t="s">
        <v>44</v>
      </c>
      <c r="V50" s="141">
        <v>69</v>
      </c>
      <c r="W50" s="141"/>
      <c r="X50" s="132">
        <v>1518.7</v>
      </c>
      <c r="Y50" s="133"/>
      <c r="Z50" s="133">
        <v>13.83541801419344</v>
      </c>
      <c r="AA50" s="133"/>
      <c r="AB50" s="134" t="s">
        <v>44</v>
      </c>
      <c r="AC50" s="135" t="s">
        <v>44</v>
      </c>
      <c r="AD50" s="136">
        <v>104819</v>
      </c>
      <c r="AE50" s="86"/>
      <c r="AF50" s="137" t="s">
        <v>44</v>
      </c>
      <c r="AG50" s="138" t="s">
        <v>44</v>
      </c>
      <c r="AH50" s="139">
        <v>104819</v>
      </c>
      <c r="AI50" s="140"/>
      <c r="AJ50" s="134" t="s">
        <v>44</v>
      </c>
      <c r="AK50" s="135" t="s">
        <v>44</v>
      </c>
      <c r="AL50" s="139">
        <v>0</v>
      </c>
      <c r="AM50" s="140"/>
      <c r="AN50" s="134" t="s">
        <v>44</v>
      </c>
      <c r="AO50" s="135" t="s">
        <v>44</v>
      </c>
      <c r="AP50" s="141">
        <v>69</v>
      </c>
      <c r="AQ50" s="141"/>
      <c r="AR50" s="132">
        <v>1568</v>
      </c>
      <c r="AS50" s="133">
        <f>PLĀNS_ar_grozījumiem!AS50-'plans (27122022)'!AS49</f>
        <v>0</v>
      </c>
      <c r="AT50" s="133">
        <f>PLĀNS_ar_grozījumiem!AT50-'plans (27122022)'!AT49</f>
        <v>-13.994195531247442</v>
      </c>
      <c r="AU50" s="133">
        <f>PLĀNS_ar_grozījumiem!AU50-'plans (27122022)'!AU49</f>
        <v>0</v>
      </c>
      <c r="AV50" s="134" t="e">
        <f>PLĀNS_ar_grozījumiem!AV50-'plans (27122022)'!AV49</f>
        <v>#VALUE!</v>
      </c>
      <c r="AW50" s="135" t="e">
        <f>PLĀNS_ar_grozījumiem!AW50-'plans (27122022)'!AW49</f>
        <v>#VALUE!</v>
      </c>
      <c r="AX50" s="136">
        <f>PLĀNS_ar_grozījumiem!AX50-'plans (27122022)'!AX49</f>
        <v>11347.5</v>
      </c>
      <c r="AY50" s="86">
        <f>PLĀNS_ar_grozījumiem!AY50-'plans (27122022)'!AY49</f>
        <v>0</v>
      </c>
      <c r="AZ50" s="137" t="e">
        <f>PLĀNS_ar_grozījumiem!AZ50-'plans (27122022)'!AZ49</f>
        <v>#VALUE!</v>
      </c>
      <c r="BA50" s="138" t="e">
        <f>PLĀNS_ar_grozījumiem!BA50-'plans (27122022)'!BA49</f>
        <v>#VALUE!</v>
      </c>
      <c r="BB50" s="139">
        <f>PLĀNS_ar_grozījumiem!BB50-'plans (27122022)'!BB49</f>
        <v>11347.5</v>
      </c>
      <c r="BC50" s="140">
        <f>PLĀNS_ar_grozījumiem!BC50-'plans (27122022)'!BC49</f>
        <v>0</v>
      </c>
      <c r="BD50" s="134" t="e">
        <f>PLĀNS_ar_grozījumiem!BD50-'plans (27122022)'!BD49</f>
        <v>#VALUE!</v>
      </c>
      <c r="BE50" s="135" t="e">
        <f>PLĀNS_ar_grozījumiem!BE50-'plans (27122022)'!BE49</f>
        <v>#VALUE!</v>
      </c>
      <c r="BF50" s="139">
        <f>PLĀNS_ar_grozījumiem!BF50-'plans (27122022)'!BF49</f>
        <v>0</v>
      </c>
      <c r="BG50" s="140">
        <f>PLĀNS_ar_grozījumiem!BG50-'plans (27122022)'!BG49</f>
        <v>0</v>
      </c>
      <c r="BH50" s="134" t="e">
        <f>PLĀNS_ar_grozījumiem!BH50-'plans (27122022)'!BH49</f>
        <v>#VALUE!</v>
      </c>
      <c r="BI50" s="135" t="e">
        <f>PLĀNS_ar_grozījumiem!BI50-'plans (27122022)'!BI49</f>
        <v>#VALUE!</v>
      </c>
      <c r="BJ50" s="141">
        <f>PLĀNS_ar_grozījumiem!BJ50-'plans (27122022)'!BJ49</f>
        <v>7.3295338767193101</v>
      </c>
      <c r="BK50" s="141">
        <f>PLĀNS_ar_grozījumiem!BK50-'plans (27122022)'!BK49</f>
        <v>0</v>
      </c>
      <c r="BL50" s="132">
        <f>PLĀNS_ar_grozījumiem!BL50-'plans (27122022)'!BL49</f>
        <v>81.300000000000182</v>
      </c>
      <c r="BM50" s="133">
        <f>PLĀNS_ar_grozījumiem!BM50-'plans (27122022)'!BM49</f>
        <v>0</v>
      </c>
      <c r="BN50" s="133">
        <f>PLĀNS_ar_grozījumiem!BN50-'plans (27122022)'!BN49</f>
        <v>-13.490091333614178</v>
      </c>
      <c r="BO50" s="133">
        <f>PLĀNS_ar_grozījumiem!BO50-'plans (27122022)'!BO49</f>
        <v>0</v>
      </c>
      <c r="BP50" s="134" t="e">
        <f>PLĀNS_ar_grozījumiem!BP50-'plans (27122022)'!BP49</f>
        <v>#VALUE!</v>
      </c>
      <c r="BQ50" s="135" t="e">
        <f>PLĀNS_ar_grozījumiem!BQ50-'plans (27122022)'!BQ49</f>
        <v>#VALUE!</v>
      </c>
      <c r="BR50" s="136">
        <f>PLĀNS_ar_grozījumiem!BR50-'plans (27122022)'!BR49</f>
        <v>13481</v>
      </c>
      <c r="BS50" s="86">
        <f>PLĀNS_ar_grozījumiem!BS50-'plans (27122022)'!BS49</f>
        <v>0</v>
      </c>
      <c r="BT50" s="137" t="e">
        <f>PLĀNS_ar_grozījumiem!BT50-'plans (27122022)'!BT49</f>
        <v>#VALUE!</v>
      </c>
      <c r="BU50" s="138" t="e">
        <f>PLĀNS_ar_grozījumiem!BU50-'plans (27122022)'!BU49</f>
        <v>#VALUE!</v>
      </c>
      <c r="BV50" s="139">
        <f>PLĀNS_ar_grozījumiem!BV50-'plans (27122022)'!BV49</f>
        <v>13481</v>
      </c>
      <c r="BW50" s="140">
        <f>PLĀNS_ar_grozījumiem!BW50-'plans (27122022)'!BW49</f>
        <v>0</v>
      </c>
      <c r="BX50" s="134" t="e">
        <f>PLĀNS_ar_grozījumiem!BX50-'plans (27122022)'!BX49</f>
        <v>#VALUE!</v>
      </c>
      <c r="BY50" s="135" t="e">
        <f>PLĀNS_ar_grozījumiem!BY50-'plans (27122022)'!BY49</f>
        <v>#VALUE!</v>
      </c>
      <c r="BZ50" s="139">
        <f>PLĀNS_ar_grozījumiem!BZ50-'plans (27122022)'!BZ49</f>
        <v>0</v>
      </c>
      <c r="CA50" s="140">
        <f>PLĀNS_ar_grozījumiem!CA50-'plans (27122022)'!CA49</f>
        <v>0</v>
      </c>
      <c r="CB50" s="134" t="e">
        <f>PLĀNS_ar_grozījumiem!CB50-'plans (27122022)'!CB49</f>
        <v>#VALUE!</v>
      </c>
      <c r="CC50" s="135" t="e">
        <f>PLĀNS_ar_grozījumiem!CC50-'plans (27122022)'!CC49</f>
        <v>#VALUE!</v>
      </c>
      <c r="CD50" s="141">
        <f>PLĀNS_ar_grozījumiem!CD50-'plans (27122022)'!CD49</f>
        <v>5.2247878182725884</v>
      </c>
      <c r="CE50" s="141">
        <f>PLĀNS_ar_grozījumiem!CE50-'plans (27122022)'!CE49</f>
        <v>0</v>
      </c>
      <c r="CF50" s="142">
        <f>PLĀNS_ar_grozījumiem!CF50-'plans (27122022)'!CF49</f>
        <v>83.700000000000728</v>
      </c>
      <c r="CG50" s="141">
        <f>PLĀNS_ar_grozījumiem!CG50-'plans (27122022)'!CG49</f>
        <v>0</v>
      </c>
      <c r="CH50" s="133">
        <f>PLĀNS_ar_grozījumiem!CH50-'plans (27122022)'!CH49</f>
        <v>-13.85593819865495</v>
      </c>
      <c r="CI50" s="143">
        <f>PLĀNS_ar_grozījumiem!CI50-'plans (27122022)'!CI49</f>
        <v>0</v>
      </c>
      <c r="CJ50" s="137" t="e">
        <f>PLĀNS_ar_grozījumiem!CJ50-'plans (27122022)'!CJ49</f>
        <v>#VALUE!</v>
      </c>
      <c r="CK50" s="138" t="e">
        <f>PLĀNS_ar_grozījumiem!CK50-'plans (27122022)'!CK49</f>
        <v>#VALUE!</v>
      </c>
      <c r="CL50" s="139">
        <f>PLĀNS_ar_grozījumiem!CL50-'plans (27122022)'!CL49</f>
        <v>24828.5</v>
      </c>
      <c r="CM50" s="144">
        <f>PLĀNS_ar_grozījumiem!CM50-'plans (27122022)'!CM49</f>
        <v>0</v>
      </c>
      <c r="CN50" s="145" t="e">
        <f>PLĀNS_ar_grozījumiem!CN50-'plans (27122022)'!CN49</f>
        <v>#VALUE!</v>
      </c>
      <c r="CO50" s="138" t="e">
        <f>PLĀNS_ar_grozījumiem!CO50-'plans (27122022)'!CO49</f>
        <v>#VALUE!</v>
      </c>
      <c r="CP50" s="139">
        <f>PLĀNS_ar_grozījumiem!CP50-'plans (27122022)'!CP49</f>
        <v>24828.5</v>
      </c>
      <c r="CQ50" s="140">
        <f>PLĀNS_ar_grozījumiem!CQ50-'plans (27122022)'!CQ49</f>
        <v>0</v>
      </c>
      <c r="CR50" s="137" t="e">
        <f>PLĀNS_ar_grozījumiem!CR50-'plans (27122022)'!CR49</f>
        <v>#VALUE!</v>
      </c>
      <c r="CS50" s="138" t="e">
        <f>PLĀNS_ar_grozījumiem!CS50-'plans (27122022)'!CS49</f>
        <v>#VALUE!</v>
      </c>
      <c r="CT50" s="139">
        <f>PLĀNS_ar_grozījumiem!CT50-'plans (27122022)'!CT49</f>
        <v>0</v>
      </c>
      <c r="CU50" s="140">
        <f>PLĀNS_ar_grozījumiem!CU50-'plans (27122022)'!CU49</f>
        <v>0</v>
      </c>
      <c r="CV50" s="137" t="e">
        <f>PLĀNS_ar_grozījumiem!CV50-'plans (27122022)'!CV49</f>
        <v>#VALUE!</v>
      </c>
      <c r="CW50" s="138" t="e">
        <f>PLĀNS_ar_grozījumiem!CW50-'plans (27122022)'!CW49</f>
        <v>#VALUE!</v>
      </c>
      <c r="CX50" s="139">
        <f>PLĀNS_ar_grozījumiem!CX50-'plans (27122022)'!CX49</f>
        <v>3.0536196603274988</v>
      </c>
      <c r="CY50" s="175">
        <f>PLĀNS_ar_grozījumiem!CY50-'plans (27122022)'!CY49</f>
        <v>0</v>
      </c>
      <c r="CZ50" s="147">
        <f t="shared" si="15"/>
        <v>3084.3</v>
      </c>
      <c r="DA50" s="148">
        <f t="shared" si="15"/>
        <v>0</v>
      </c>
      <c r="DB50" s="177" t="e">
        <f>(CZ50/#REF!)*100</f>
        <v>#REF!</v>
      </c>
      <c r="DC50" s="150" t="e">
        <f>(DA50/#REF!)*100</f>
        <v>#REF!</v>
      </c>
      <c r="DD50" s="139">
        <f t="shared" si="13"/>
        <v>212649</v>
      </c>
      <c r="DE50" s="141">
        <f t="shared" si="13"/>
        <v>0</v>
      </c>
      <c r="DF50" s="141" t="e">
        <f t="shared" si="13"/>
        <v>#VALUE!</v>
      </c>
      <c r="DG50" s="151" t="e">
        <f t="shared" si="10"/>
        <v>#VALUE!</v>
      </c>
      <c r="DH50" s="139">
        <f t="shared" si="10"/>
        <v>212649</v>
      </c>
      <c r="DI50" s="140">
        <f t="shared" si="10"/>
        <v>0</v>
      </c>
      <c r="DJ50" s="140" t="e">
        <f t="shared" si="10"/>
        <v>#VALUE!</v>
      </c>
      <c r="DK50" s="140" t="e">
        <f t="shared" si="10"/>
        <v>#VALUE!</v>
      </c>
      <c r="DL50" s="139">
        <f t="shared" si="10"/>
        <v>0</v>
      </c>
      <c r="DM50" s="140">
        <f t="shared" si="10"/>
        <v>0</v>
      </c>
      <c r="DN50" s="140" t="e">
        <f t="shared" si="10"/>
        <v>#VALUE!</v>
      </c>
      <c r="DO50" s="152" t="e">
        <f t="shared" si="10"/>
        <v>#VALUE!</v>
      </c>
      <c r="DP50" s="139">
        <f t="shared" si="11"/>
        <v>69</v>
      </c>
      <c r="DQ50" s="153" t="e">
        <f t="shared" si="11"/>
        <v>#DIV/0!</v>
      </c>
      <c r="DR50" s="154">
        <f>PLĀNS_ar_grozījumiem!CF50-'plans (27122022)'!CF49</f>
        <v>83.700000000000728</v>
      </c>
      <c r="DS50" s="908">
        <f>DR50/'plans (27122022)'!CF49</f>
        <v>1.355816891826234E-2</v>
      </c>
      <c r="DT50" s="104">
        <f>PLĀNS_ar_grozījumiem!CL50-'plans (27122022)'!CL49</f>
        <v>24828.5</v>
      </c>
      <c r="DU50" s="909">
        <f>DT50/'plans (27122022)'!CL49</f>
        <v>5.8833774475072924E-2</v>
      </c>
      <c r="DV50" s="120"/>
      <c r="DW50" s="118">
        <f>PLĀNS_ar_grozījumiem!CM50-'plans (27122022)'!CM49</f>
        <v>0</v>
      </c>
      <c r="DX50" s="104">
        <f>PLĀNS_ar_grozījumiem!CP50-'plans (27122022)'!CP49</f>
        <v>24828.5</v>
      </c>
      <c r="DY50" s="909">
        <f>DX50/'plans (27122022)'!CP49</f>
        <v>5.8833774475072924E-2</v>
      </c>
      <c r="DZ50" s="86"/>
      <c r="EA50" s="84"/>
      <c r="EB50" s="79">
        <f>PLĀNS_ar_grozījumiem!CT50-'plans (27122022)'!CT49</f>
        <v>0</v>
      </c>
      <c r="EC50" s="87"/>
      <c r="ED50" s="86"/>
      <c r="EE50" s="87"/>
      <c r="EF50" s="155">
        <f>PLĀNS_ar_grozījumiem!CX50-'plans (27122022)'!CX49</f>
        <v>3.0536196603274988</v>
      </c>
      <c r="EG50" s="912">
        <f>EF50/'plans (27122022)'!CX49</f>
        <v>4.466996265752736E-2</v>
      </c>
    </row>
    <row r="51" spans="1:137" s="124" customFormat="1" ht="15.75" customHeight="1" x14ac:dyDescent="0.25">
      <c r="A51" s="1070"/>
      <c r="B51" s="90"/>
      <c r="C51" s="1024" t="s">
        <v>45</v>
      </c>
      <c r="D51" s="1005">
        <v>171.1</v>
      </c>
      <c r="E51" s="93"/>
      <c r="F51" s="93">
        <v>7.9249652616952284</v>
      </c>
      <c r="G51" s="93"/>
      <c r="H51" s="158" t="s">
        <v>44</v>
      </c>
      <c r="I51" s="159" t="s">
        <v>44</v>
      </c>
      <c r="J51" s="96">
        <v>19131</v>
      </c>
      <c r="K51" s="97"/>
      <c r="L51" s="98" t="s">
        <v>44</v>
      </c>
      <c r="M51" s="99" t="s">
        <v>44</v>
      </c>
      <c r="N51" s="100">
        <v>19131</v>
      </c>
      <c r="O51" s="101"/>
      <c r="P51" s="158" t="s">
        <v>44</v>
      </c>
      <c r="Q51" s="159" t="s">
        <v>44</v>
      </c>
      <c r="R51" s="100">
        <v>0</v>
      </c>
      <c r="S51" s="97"/>
      <c r="T51" s="158" t="s">
        <v>44</v>
      </c>
      <c r="U51" s="159" t="s">
        <v>44</v>
      </c>
      <c r="V51" s="102">
        <v>112</v>
      </c>
      <c r="W51" s="102"/>
      <c r="X51" s="92">
        <v>178.9</v>
      </c>
      <c r="Y51" s="93"/>
      <c r="Z51" s="93">
        <v>8.1913919413919416</v>
      </c>
      <c r="AA51" s="93"/>
      <c r="AB51" s="158" t="s">
        <v>44</v>
      </c>
      <c r="AC51" s="159" t="s">
        <v>44</v>
      </c>
      <c r="AD51" s="96">
        <v>19564</v>
      </c>
      <c r="AE51" s="97"/>
      <c r="AF51" s="98" t="s">
        <v>44</v>
      </c>
      <c r="AG51" s="99" t="s">
        <v>44</v>
      </c>
      <c r="AH51" s="100">
        <v>19564</v>
      </c>
      <c r="AI51" s="101"/>
      <c r="AJ51" s="158" t="s">
        <v>44</v>
      </c>
      <c r="AK51" s="159" t="s">
        <v>44</v>
      </c>
      <c r="AL51" s="100">
        <v>0</v>
      </c>
      <c r="AM51" s="97"/>
      <c r="AN51" s="158" t="s">
        <v>44</v>
      </c>
      <c r="AO51" s="159" t="s">
        <v>44</v>
      </c>
      <c r="AP51" s="102">
        <v>109</v>
      </c>
      <c r="AQ51" s="102"/>
      <c r="AR51" s="92">
        <v>210.8</v>
      </c>
      <c r="AS51" s="93">
        <f>PLĀNS_ar_grozījumiem!AS51-'plans (27122022)'!AS50</f>
        <v>0</v>
      </c>
      <c r="AT51" s="93">
        <f>PLĀNS_ar_grozījumiem!AT51-'plans (27122022)'!AT50</f>
        <v>-9.4504528985507239</v>
      </c>
      <c r="AU51" s="93">
        <f>PLĀNS_ar_grozījumiem!AU51-'plans (27122022)'!AU50</f>
        <v>0</v>
      </c>
      <c r="AV51" s="158" t="e">
        <f>PLĀNS_ar_grozījumiem!AV51-'plans (27122022)'!AV50</f>
        <v>#VALUE!</v>
      </c>
      <c r="AW51" s="159" t="e">
        <f>PLĀNS_ar_grozījumiem!AW51-'plans (27122022)'!AW50</f>
        <v>#VALUE!</v>
      </c>
      <c r="AX51" s="96">
        <f>PLĀNS_ar_grozījumiem!AX51-'plans (27122022)'!AX50</f>
        <v>729.40000000000146</v>
      </c>
      <c r="AY51" s="97">
        <f>PLĀNS_ar_grozījumiem!AY51-'plans (27122022)'!AY50</f>
        <v>0</v>
      </c>
      <c r="AZ51" s="98" t="e">
        <f>PLĀNS_ar_grozījumiem!AZ51-'plans (27122022)'!AZ50</f>
        <v>#VALUE!</v>
      </c>
      <c r="BA51" s="99" t="e">
        <f>PLĀNS_ar_grozījumiem!BA51-'plans (27122022)'!BA50</f>
        <v>#VALUE!</v>
      </c>
      <c r="BB51" s="100">
        <f>PLĀNS_ar_grozījumiem!BB51-'plans (27122022)'!BB50</f>
        <v>729.40000000000146</v>
      </c>
      <c r="BC51" s="101">
        <f>PLĀNS_ar_grozījumiem!BC51-'plans (27122022)'!BC50</f>
        <v>0</v>
      </c>
      <c r="BD51" s="158" t="e">
        <f>PLĀNS_ar_grozījumiem!BD51-'plans (27122022)'!BD50</f>
        <v>#VALUE!</v>
      </c>
      <c r="BE51" s="159" t="e">
        <f>PLĀNS_ar_grozījumiem!BE51-'plans (27122022)'!BE50</f>
        <v>#VALUE!</v>
      </c>
      <c r="BF51" s="100">
        <f>PLĀNS_ar_grozījumiem!BF51-'plans (27122022)'!BF50</f>
        <v>0</v>
      </c>
      <c r="BG51" s="97">
        <f>PLĀNS_ar_grozījumiem!BG51-'plans (27122022)'!BG50</f>
        <v>0</v>
      </c>
      <c r="BH51" s="158" t="e">
        <f>PLĀNS_ar_grozījumiem!BH51-'plans (27122022)'!BH50</f>
        <v>#VALUE!</v>
      </c>
      <c r="BI51" s="159" t="e">
        <f>PLĀNS_ar_grozījumiem!BI51-'plans (27122022)'!BI50</f>
        <v>#VALUE!</v>
      </c>
      <c r="BJ51" s="102">
        <f>PLĀNS_ar_grozījumiem!BJ51-'plans (27122022)'!BJ50</f>
        <v>2.5463917525773212</v>
      </c>
      <c r="BK51" s="102">
        <f>PLĀNS_ar_grozījumiem!BK51-'plans (27122022)'!BK50</f>
        <v>0</v>
      </c>
      <c r="BL51" s="92">
        <f>PLĀNS_ar_grozījumiem!BL51-'plans (27122022)'!BL50</f>
        <v>8.3000000000000114</v>
      </c>
      <c r="BM51" s="93">
        <f>PLĀNS_ar_grozījumiem!BM51-'plans (27122022)'!BM50</f>
        <v>0</v>
      </c>
      <c r="BN51" s="93">
        <f>PLĀNS_ar_grozījumiem!BN51-'plans (27122022)'!BN50</f>
        <v>-7.8167496604798554</v>
      </c>
      <c r="BO51" s="93">
        <f>PLĀNS_ar_grozījumiem!BO51-'plans (27122022)'!BO50</f>
        <v>0</v>
      </c>
      <c r="BP51" s="158" t="e">
        <f>PLĀNS_ar_grozījumiem!BP51-'plans (27122022)'!BP50</f>
        <v>#VALUE!</v>
      </c>
      <c r="BQ51" s="159" t="e">
        <f>PLĀNS_ar_grozījumiem!BQ51-'plans (27122022)'!BQ50</f>
        <v>#VALUE!</v>
      </c>
      <c r="BR51" s="96">
        <f>PLĀNS_ar_grozījumiem!BR51-'plans (27122022)'!BR50</f>
        <v>4167.2000000000007</v>
      </c>
      <c r="BS51" s="97">
        <f>PLĀNS_ar_grozījumiem!BS51-'plans (27122022)'!BS50</f>
        <v>0</v>
      </c>
      <c r="BT51" s="98" t="e">
        <f>PLĀNS_ar_grozījumiem!BT51-'plans (27122022)'!BT50</f>
        <v>#VALUE!</v>
      </c>
      <c r="BU51" s="99" t="e">
        <f>PLĀNS_ar_grozījumiem!BU51-'plans (27122022)'!BU50</f>
        <v>#VALUE!</v>
      </c>
      <c r="BV51" s="100">
        <f>PLĀNS_ar_grozījumiem!BV51-'plans (27122022)'!BV50</f>
        <v>4167.2000000000007</v>
      </c>
      <c r="BW51" s="101">
        <f>PLĀNS_ar_grozījumiem!BW51-'plans (27122022)'!BW50</f>
        <v>0</v>
      </c>
      <c r="BX51" s="158" t="e">
        <f>PLĀNS_ar_grozījumiem!BX51-'plans (27122022)'!BX50</f>
        <v>#VALUE!</v>
      </c>
      <c r="BY51" s="159" t="e">
        <f>PLĀNS_ar_grozījumiem!BY51-'plans (27122022)'!BY50</f>
        <v>#VALUE!</v>
      </c>
      <c r="BZ51" s="100">
        <f>PLĀNS_ar_grozījumiem!BZ51-'plans (27122022)'!BZ50</f>
        <v>0</v>
      </c>
      <c r="CA51" s="97">
        <f>PLĀNS_ar_grozījumiem!CA51-'plans (27122022)'!CA50</f>
        <v>0</v>
      </c>
      <c r="CB51" s="158" t="e">
        <f>PLĀNS_ar_grozījumiem!CB51-'plans (27122022)'!CB50</f>
        <v>#VALUE!</v>
      </c>
      <c r="CC51" s="159" t="e">
        <f>PLĀNS_ar_grozījumiem!CC51-'plans (27122022)'!CC50</f>
        <v>#VALUE!</v>
      </c>
      <c r="CD51" s="102">
        <f>PLĀNS_ar_grozījumiem!CD51-'plans (27122022)'!CD50</f>
        <v>17.809628008752725</v>
      </c>
      <c r="CE51" s="102">
        <f>PLĀNS_ar_grozījumiem!CE51-'plans (27122022)'!CE50</f>
        <v>0</v>
      </c>
      <c r="CF51" s="103">
        <f>PLĀNS_ar_grozījumiem!CF51-'plans (27122022)'!CF50</f>
        <v>10.900000000000091</v>
      </c>
      <c r="CG51" s="102">
        <f>PLĀNS_ar_grozījumiem!CG51-'plans (27122022)'!CG50</f>
        <v>0</v>
      </c>
      <c r="CH51" s="93">
        <f>PLĀNS_ar_grozījumiem!CH51-'plans (27122022)'!CH50</f>
        <v>-8.3086529680365295</v>
      </c>
      <c r="CI51" s="179">
        <f>PLĀNS_ar_grozījumiem!CI51-'plans (27122022)'!CI50</f>
        <v>0</v>
      </c>
      <c r="CJ51" s="98" t="e">
        <f>PLĀNS_ar_grozījumiem!CJ51-'plans (27122022)'!CJ50</f>
        <v>#VALUE!</v>
      </c>
      <c r="CK51" s="99" t="e">
        <f>PLĀNS_ar_grozījumiem!CK51-'plans (27122022)'!CK50</f>
        <v>#VALUE!</v>
      </c>
      <c r="CL51" s="100">
        <f>PLĀNS_ar_grozījumiem!CL51-'plans (27122022)'!CL50</f>
        <v>4896.6000000000058</v>
      </c>
      <c r="CM51" s="107">
        <f>PLĀNS_ar_grozījumiem!CM51-'plans (27122022)'!CM50</f>
        <v>0</v>
      </c>
      <c r="CN51" s="108" t="e">
        <f>PLĀNS_ar_grozījumiem!CN51-'plans (27122022)'!CN50</f>
        <v>#VALUE!</v>
      </c>
      <c r="CO51" s="99" t="e">
        <f>PLĀNS_ar_grozījumiem!CO51-'plans (27122022)'!CO50</f>
        <v>#VALUE!</v>
      </c>
      <c r="CP51" s="100">
        <f>PLĀNS_ar_grozījumiem!CP51-'plans (27122022)'!CP50</f>
        <v>4896.6000000000058</v>
      </c>
      <c r="CQ51" s="97">
        <f>PLĀNS_ar_grozījumiem!CQ51-'plans (27122022)'!CQ50</f>
        <v>0</v>
      </c>
      <c r="CR51" s="98" t="e">
        <f>PLĀNS_ar_grozījumiem!CR51-'plans (27122022)'!CR50</f>
        <v>#VALUE!</v>
      </c>
      <c r="CS51" s="99" t="e">
        <f>PLĀNS_ar_grozījumiem!CS51-'plans (27122022)'!CS50</f>
        <v>#VALUE!</v>
      </c>
      <c r="CT51" s="100">
        <f>PLĀNS_ar_grozījumiem!CT51-'plans (27122022)'!CT50</f>
        <v>0</v>
      </c>
      <c r="CU51" s="97">
        <f>PLĀNS_ar_grozījumiem!CU51-'plans (27122022)'!CU50</f>
        <v>0</v>
      </c>
      <c r="CV51" s="98" t="e">
        <f>PLĀNS_ar_grozījumiem!CV51-'plans (27122022)'!CV50</f>
        <v>#VALUE!</v>
      </c>
      <c r="CW51" s="99" t="e">
        <f>PLĀNS_ar_grozījumiem!CW51-'plans (27122022)'!CW50</f>
        <v>#VALUE!</v>
      </c>
      <c r="CX51" s="100">
        <f>PLĀNS_ar_grozījumiem!CX51-'plans (27122022)'!CX50</f>
        <v>5.0056792212507588</v>
      </c>
      <c r="CY51" s="174">
        <f>PLĀNS_ar_grozījumiem!CY51-'plans (27122022)'!CY50</f>
        <v>0</v>
      </c>
      <c r="CZ51" s="110">
        <f t="shared" si="15"/>
        <v>350</v>
      </c>
      <c r="DA51" s="111">
        <f t="shared" si="15"/>
        <v>0</v>
      </c>
      <c r="DB51" s="176">
        <f>(CZ51/4343)*100</f>
        <v>8.0589454294266627</v>
      </c>
      <c r="DC51" s="113">
        <f>(DA51/4343)*100</f>
        <v>0</v>
      </c>
      <c r="DD51" s="100">
        <f t="shared" si="13"/>
        <v>38695</v>
      </c>
      <c r="DE51" s="102">
        <f t="shared" si="13"/>
        <v>0</v>
      </c>
      <c r="DF51" s="102" t="e">
        <f t="shared" si="13"/>
        <v>#VALUE!</v>
      </c>
      <c r="DG51" s="114" t="e">
        <f t="shared" si="10"/>
        <v>#VALUE!</v>
      </c>
      <c r="DH51" s="100">
        <f t="shared" si="10"/>
        <v>38695</v>
      </c>
      <c r="DI51" s="97">
        <f t="shared" si="10"/>
        <v>0</v>
      </c>
      <c r="DJ51" s="97" t="e">
        <f t="shared" si="10"/>
        <v>#VALUE!</v>
      </c>
      <c r="DK51" s="97" t="e">
        <f t="shared" si="10"/>
        <v>#VALUE!</v>
      </c>
      <c r="DL51" s="100">
        <f t="shared" si="10"/>
        <v>0</v>
      </c>
      <c r="DM51" s="97">
        <f t="shared" si="10"/>
        <v>0</v>
      </c>
      <c r="DN51" s="97" t="e">
        <f t="shared" si="10"/>
        <v>#VALUE!</v>
      </c>
      <c r="DO51" s="115" t="e">
        <f t="shared" si="10"/>
        <v>#VALUE!</v>
      </c>
      <c r="DP51" s="100">
        <f t="shared" si="11"/>
        <v>111</v>
      </c>
      <c r="DQ51" s="116" t="e">
        <f t="shared" si="11"/>
        <v>#DIV/0!</v>
      </c>
      <c r="DR51" s="117">
        <f>PLĀNS_ar_grozījumiem!CF51-'plans (27122022)'!CF50</f>
        <v>10.900000000000091</v>
      </c>
      <c r="DS51" s="908">
        <f>DR51/'plans (27122022)'!CF50</f>
        <v>1.4823881408948853E-2</v>
      </c>
      <c r="DT51" s="104">
        <f>PLĀNS_ar_grozījumiem!CL51-'plans (27122022)'!CL50</f>
        <v>4896.6000000000058</v>
      </c>
      <c r="DU51" s="909">
        <f>DT51/'plans (27122022)'!CL50</f>
        <v>6.2501276421934107E-2</v>
      </c>
      <c r="DV51" s="120"/>
      <c r="DW51" s="118">
        <f>PLĀNS_ar_grozījumiem!CM51-'plans (27122022)'!CM50</f>
        <v>0</v>
      </c>
      <c r="DX51" s="104">
        <f>PLĀNS_ar_grozījumiem!CP51-'plans (27122022)'!CP50</f>
        <v>4896.6000000000058</v>
      </c>
      <c r="DY51" s="909">
        <f>DX51/'plans (27122022)'!CP50</f>
        <v>6.2501276421934107E-2</v>
      </c>
      <c r="DZ51" s="120"/>
      <c r="EA51" s="118"/>
      <c r="EB51" s="104">
        <f>PLĀNS_ar_grozījumiem!CT51-'plans (27122022)'!CT50</f>
        <v>0</v>
      </c>
      <c r="EC51" s="121"/>
      <c r="ED51" s="120"/>
      <c r="EE51" s="121"/>
      <c r="EF51" s="122">
        <f>PLĀNS_ar_grozījumiem!CX51-'plans (27122022)'!CX50</f>
        <v>5.0056792212507588</v>
      </c>
      <c r="EG51" s="911">
        <f>EF51/'plans (27122022)'!CX50</f>
        <v>4.6980954908936008E-2</v>
      </c>
    </row>
    <row r="52" spans="1:137" ht="15.75" customHeight="1" x14ac:dyDescent="0.25">
      <c r="A52" s="1070"/>
      <c r="B52" s="160"/>
      <c r="C52" s="1024" t="s">
        <v>46</v>
      </c>
      <c r="D52" s="1005">
        <v>595.6</v>
      </c>
      <c r="E52" s="93"/>
      <c r="F52" s="93">
        <v>27.586845761926821</v>
      </c>
      <c r="G52" s="93"/>
      <c r="H52" s="158" t="s">
        <v>44</v>
      </c>
      <c r="I52" s="159" t="s">
        <v>44</v>
      </c>
      <c r="J52" s="96">
        <v>38051</v>
      </c>
      <c r="K52" s="97"/>
      <c r="L52" s="98" t="s">
        <v>44</v>
      </c>
      <c r="M52" s="99" t="s">
        <v>44</v>
      </c>
      <c r="N52" s="100">
        <v>38051</v>
      </c>
      <c r="O52" s="126"/>
      <c r="P52" s="158" t="s">
        <v>44</v>
      </c>
      <c r="Q52" s="159" t="s">
        <v>44</v>
      </c>
      <c r="R52" s="100">
        <v>0</v>
      </c>
      <c r="S52" s="97"/>
      <c r="T52" s="158" t="s">
        <v>44</v>
      </c>
      <c r="U52" s="159" t="s">
        <v>44</v>
      </c>
      <c r="V52" s="102">
        <v>64</v>
      </c>
      <c r="W52" s="102"/>
      <c r="X52" s="92">
        <v>601.6</v>
      </c>
      <c r="Y52" s="93"/>
      <c r="Z52" s="93">
        <v>27.545787545787547</v>
      </c>
      <c r="AA52" s="93"/>
      <c r="AB52" s="158" t="s">
        <v>44</v>
      </c>
      <c r="AC52" s="159" t="s">
        <v>44</v>
      </c>
      <c r="AD52" s="96">
        <v>39199</v>
      </c>
      <c r="AE52" s="97"/>
      <c r="AF52" s="98" t="s">
        <v>44</v>
      </c>
      <c r="AG52" s="99" t="s">
        <v>44</v>
      </c>
      <c r="AH52" s="100">
        <v>39199</v>
      </c>
      <c r="AI52" s="126"/>
      <c r="AJ52" s="158" t="s">
        <v>44</v>
      </c>
      <c r="AK52" s="159" t="s">
        <v>44</v>
      </c>
      <c r="AL52" s="100">
        <v>0</v>
      </c>
      <c r="AM52" s="97"/>
      <c r="AN52" s="158" t="s">
        <v>44</v>
      </c>
      <c r="AO52" s="159" t="s">
        <v>44</v>
      </c>
      <c r="AP52" s="102">
        <v>65</v>
      </c>
      <c r="AQ52" s="102"/>
      <c r="AR52" s="92">
        <v>613.1</v>
      </c>
      <c r="AS52" s="93">
        <f>PLĀNS_ar_grozījumiem!AS52-'plans (27122022)'!AS51</f>
        <v>0</v>
      </c>
      <c r="AT52" s="93">
        <f>PLĀNS_ar_grozījumiem!AT52-'plans (27122022)'!AT51</f>
        <v>-27.491304347826091</v>
      </c>
      <c r="AU52" s="93">
        <f>PLĀNS_ar_grozījumiem!AU52-'plans (27122022)'!AU51</f>
        <v>0</v>
      </c>
      <c r="AV52" s="158" t="e">
        <f>PLĀNS_ar_grozījumiem!AV52-'plans (27122022)'!AV51</f>
        <v>#VALUE!</v>
      </c>
      <c r="AW52" s="159" t="e">
        <f>PLĀNS_ar_grozījumiem!AW52-'plans (27122022)'!AW51</f>
        <v>#VALUE!</v>
      </c>
      <c r="AX52" s="96">
        <f>PLĀNS_ar_grozījumiem!AX52-'plans (27122022)'!AX51</f>
        <v>5515.6000000000058</v>
      </c>
      <c r="AY52" s="97">
        <f>PLĀNS_ar_grozījumiem!AY52-'plans (27122022)'!AY51</f>
        <v>0</v>
      </c>
      <c r="AZ52" s="98" t="e">
        <f>PLĀNS_ar_grozījumiem!AZ52-'plans (27122022)'!AZ51</f>
        <v>#VALUE!</v>
      </c>
      <c r="BA52" s="99" t="e">
        <f>PLĀNS_ar_grozījumiem!BA52-'plans (27122022)'!BA51</f>
        <v>#VALUE!</v>
      </c>
      <c r="BB52" s="100">
        <f>PLĀNS_ar_grozījumiem!BB52-'plans (27122022)'!BB51</f>
        <v>5515.6000000000058</v>
      </c>
      <c r="BC52" s="126">
        <f>PLĀNS_ar_grozījumiem!BC52-'plans (27122022)'!BC51</f>
        <v>0</v>
      </c>
      <c r="BD52" s="158" t="e">
        <f>PLĀNS_ar_grozījumiem!BD52-'plans (27122022)'!BD51</f>
        <v>#VALUE!</v>
      </c>
      <c r="BE52" s="159" t="e">
        <f>PLĀNS_ar_grozījumiem!BE52-'plans (27122022)'!BE51</f>
        <v>#VALUE!</v>
      </c>
      <c r="BF52" s="100">
        <f>PLĀNS_ar_grozījumiem!BF52-'plans (27122022)'!BF51</f>
        <v>0</v>
      </c>
      <c r="BG52" s="97">
        <f>PLĀNS_ar_grozījumiem!BG52-'plans (27122022)'!BG51</f>
        <v>0</v>
      </c>
      <c r="BH52" s="158" t="e">
        <f>PLĀNS_ar_grozījumiem!BH52-'plans (27122022)'!BH51</f>
        <v>#VALUE!</v>
      </c>
      <c r="BI52" s="159" t="e">
        <f>PLĀNS_ar_grozījumiem!BI52-'plans (27122022)'!BI51</f>
        <v>#VALUE!</v>
      </c>
      <c r="BJ52" s="102">
        <f>PLĀNS_ar_grozījumiem!BJ52-'plans (27122022)'!BJ51</f>
        <v>9.3785292186474152</v>
      </c>
      <c r="BK52" s="102">
        <f>PLĀNS_ar_grozījumiem!BK52-'plans (27122022)'!BK51</f>
        <v>0</v>
      </c>
      <c r="BL52" s="92">
        <f>PLĀNS_ar_grozījumiem!BL52-'plans (27122022)'!BL51</f>
        <v>0</v>
      </c>
      <c r="BM52" s="93">
        <f>PLĀNS_ar_grozījumiem!BM52-'plans (27122022)'!BM51</f>
        <v>0</v>
      </c>
      <c r="BN52" s="93">
        <f>PLĀNS_ar_grozījumiem!BN52-'plans (27122022)'!BN51</f>
        <v>-27.50846536894522</v>
      </c>
      <c r="BO52" s="93">
        <f>PLĀNS_ar_grozījumiem!BO52-'plans (27122022)'!BO51</f>
        <v>0</v>
      </c>
      <c r="BP52" s="158" t="e">
        <f>PLĀNS_ar_grozījumiem!BP52-'plans (27122022)'!BP51</f>
        <v>#VALUE!</v>
      </c>
      <c r="BQ52" s="159" t="e">
        <f>PLĀNS_ar_grozījumiem!BQ52-'plans (27122022)'!BQ51</f>
        <v>#VALUE!</v>
      </c>
      <c r="BR52" s="96">
        <f>PLĀNS_ar_grozījumiem!BR52-'plans (27122022)'!BR51</f>
        <v>4483.5</v>
      </c>
      <c r="BS52" s="97">
        <f>PLĀNS_ar_grozījumiem!BS52-'plans (27122022)'!BS51</f>
        <v>0</v>
      </c>
      <c r="BT52" s="98" t="e">
        <f>PLĀNS_ar_grozījumiem!BT52-'plans (27122022)'!BT51</f>
        <v>#VALUE!</v>
      </c>
      <c r="BU52" s="99" t="e">
        <f>PLĀNS_ar_grozījumiem!BU52-'plans (27122022)'!BU51</f>
        <v>#VALUE!</v>
      </c>
      <c r="BV52" s="100">
        <f>PLĀNS_ar_grozījumiem!BV52-'plans (27122022)'!BV51</f>
        <v>4483.5</v>
      </c>
      <c r="BW52" s="126">
        <f>PLĀNS_ar_grozījumiem!BW52-'plans (27122022)'!BW51</f>
        <v>0</v>
      </c>
      <c r="BX52" s="158" t="e">
        <f>PLĀNS_ar_grozījumiem!BX52-'plans (27122022)'!BX51</f>
        <v>#VALUE!</v>
      </c>
      <c r="BY52" s="159" t="e">
        <f>PLĀNS_ar_grozījumiem!BY52-'plans (27122022)'!BY51</f>
        <v>#VALUE!</v>
      </c>
      <c r="BZ52" s="100">
        <f>PLĀNS_ar_grozījumiem!BZ52-'plans (27122022)'!BZ51</f>
        <v>0</v>
      </c>
      <c r="CA52" s="97">
        <f>PLĀNS_ar_grozījumiem!CA52-'plans (27122022)'!CA51</f>
        <v>0</v>
      </c>
      <c r="CB52" s="158" t="e">
        <f>PLĀNS_ar_grozījumiem!CB52-'plans (27122022)'!CB51</f>
        <v>#VALUE!</v>
      </c>
      <c r="CC52" s="159" t="e">
        <f>PLĀNS_ar_grozījumiem!CC52-'plans (27122022)'!CC51</f>
        <v>#VALUE!</v>
      </c>
      <c r="CD52" s="102">
        <f>PLĀNS_ar_grozījumiem!CD52-'plans (27122022)'!CD51</f>
        <v>6.9587813620071728</v>
      </c>
      <c r="CE52" s="102">
        <f>PLĀNS_ar_grozījumiem!CE52-'plans (27122022)'!CE51</f>
        <v>0</v>
      </c>
      <c r="CF52" s="103">
        <f>PLĀNS_ar_grozījumiem!CF52-'plans (27122022)'!CF51</f>
        <v>-3.9000000000005457</v>
      </c>
      <c r="CG52" s="102">
        <f>PLĀNS_ar_grozījumiem!CG52-'plans (27122022)'!CG51</f>
        <v>0</v>
      </c>
      <c r="CH52" s="93">
        <f>PLĀNS_ar_grozījumiem!CH52-'plans (27122022)'!CH51</f>
        <v>-27.396095890410965</v>
      </c>
      <c r="CI52" s="179">
        <f>PLĀNS_ar_grozījumiem!CI52-'plans (27122022)'!CI51</f>
        <v>0</v>
      </c>
      <c r="CJ52" s="98" t="e">
        <f>PLĀNS_ar_grozījumiem!CJ52-'plans (27122022)'!CJ51</f>
        <v>#VALUE!</v>
      </c>
      <c r="CK52" s="99" t="e">
        <f>PLĀNS_ar_grozījumiem!CK52-'plans (27122022)'!CK51</f>
        <v>#VALUE!</v>
      </c>
      <c r="CL52" s="100">
        <f>PLĀNS_ar_grozījumiem!CL52-'plans (27122022)'!CL51</f>
        <v>9999.1000000000058</v>
      </c>
      <c r="CM52" s="107">
        <f>PLĀNS_ar_grozījumiem!CM52-'plans (27122022)'!CM51</f>
        <v>0</v>
      </c>
      <c r="CN52" s="108" t="e">
        <f>PLĀNS_ar_grozījumiem!CN52-'plans (27122022)'!CN51</f>
        <v>#VALUE!</v>
      </c>
      <c r="CO52" s="99" t="e">
        <f>PLĀNS_ar_grozījumiem!CO52-'plans (27122022)'!CO51</f>
        <v>#VALUE!</v>
      </c>
      <c r="CP52" s="100">
        <f>PLĀNS_ar_grozījumiem!CP52-'plans (27122022)'!CP51</f>
        <v>9999.1000000000058</v>
      </c>
      <c r="CQ52" s="97">
        <f>PLĀNS_ar_grozījumiem!CQ52-'plans (27122022)'!CQ51</f>
        <v>0</v>
      </c>
      <c r="CR52" s="98" t="e">
        <f>PLĀNS_ar_grozījumiem!CR52-'plans (27122022)'!CR51</f>
        <v>#VALUE!</v>
      </c>
      <c r="CS52" s="99" t="e">
        <f>PLĀNS_ar_grozījumiem!CS52-'plans (27122022)'!CS51</f>
        <v>#VALUE!</v>
      </c>
      <c r="CT52" s="100">
        <f>PLĀNS_ar_grozījumiem!CT52-'plans (27122022)'!CT51</f>
        <v>0</v>
      </c>
      <c r="CU52" s="97">
        <f>PLĀNS_ar_grozījumiem!CU52-'plans (27122022)'!CU51</f>
        <v>0</v>
      </c>
      <c r="CV52" s="98" t="e">
        <f>PLĀNS_ar_grozījumiem!CV52-'plans (27122022)'!CV51</f>
        <v>#VALUE!</v>
      </c>
      <c r="CW52" s="99" t="e">
        <f>PLĀNS_ar_grozījumiem!CW52-'plans (27122022)'!CW51</f>
        <v>#VALUE!</v>
      </c>
      <c r="CX52" s="100">
        <f>PLĀNS_ar_grozījumiem!CX52-'plans (27122022)'!CX51</f>
        <v>4.2357027378651821</v>
      </c>
      <c r="CY52" s="174">
        <f>PLĀNS_ar_grozījumiem!CY52-'plans (27122022)'!CY51</f>
        <v>0</v>
      </c>
      <c r="CZ52" s="110">
        <f t="shared" si="15"/>
        <v>1197.2</v>
      </c>
      <c r="DA52" s="111">
        <f t="shared" si="15"/>
        <v>0</v>
      </c>
      <c r="DB52" s="176">
        <f t="shared" ref="DB52:DC55" si="17">(CZ52/4343)*100</f>
        <v>27.566198480313147</v>
      </c>
      <c r="DC52" s="113">
        <f t="shared" si="17"/>
        <v>0</v>
      </c>
      <c r="DD52" s="100">
        <f t="shared" si="13"/>
        <v>77250</v>
      </c>
      <c r="DE52" s="102">
        <f t="shared" si="13"/>
        <v>0</v>
      </c>
      <c r="DF52" s="102" t="e">
        <f t="shared" si="13"/>
        <v>#VALUE!</v>
      </c>
      <c r="DG52" s="114" t="e">
        <f t="shared" si="10"/>
        <v>#VALUE!</v>
      </c>
      <c r="DH52" s="100">
        <f t="shared" si="10"/>
        <v>77250</v>
      </c>
      <c r="DI52" s="97">
        <f t="shared" si="10"/>
        <v>0</v>
      </c>
      <c r="DJ52" s="97" t="e">
        <f t="shared" si="10"/>
        <v>#VALUE!</v>
      </c>
      <c r="DK52" s="97" t="e">
        <f t="shared" si="10"/>
        <v>#VALUE!</v>
      </c>
      <c r="DL52" s="100">
        <f t="shared" si="10"/>
        <v>0</v>
      </c>
      <c r="DM52" s="97">
        <f t="shared" si="10"/>
        <v>0</v>
      </c>
      <c r="DN52" s="97" t="e">
        <f t="shared" si="10"/>
        <v>#VALUE!</v>
      </c>
      <c r="DO52" s="115" t="e">
        <f t="shared" si="10"/>
        <v>#VALUE!</v>
      </c>
      <c r="DP52" s="100">
        <f t="shared" si="11"/>
        <v>65</v>
      </c>
      <c r="DQ52" s="116" t="e">
        <f t="shared" si="11"/>
        <v>#DIV/0!</v>
      </c>
      <c r="DR52" s="117">
        <f>PLĀNS_ar_grozījumiem!CF52-'plans (27122022)'!CF51</f>
        <v>-3.9000000000005457</v>
      </c>
      <c r="DS52" s="908">
        <f>DR52/'plans (27122022)'!CF51</f>
        <v>-1.6088445196157522E-3</v>
      </c>
      <c r="DT52" s="104">
        <f>PLĀNS_ar_grozījumiem!CL52-'plans (27122022)'!CL51</f>
        <v>9999.1000000000058</v>
      </c>
      <c r="DU52" s="909">
        <f>DT52/'plans (27122022)'!CL51</f>
        <v>6.3799880045429636E-2</v>
      </c>
      <c r="DV52" s="120"/>
      <c r="DW52" s="118">
        <f>PLĀNS_ar_grozījumiem!CM52-'plans (27122022)'!CM51</f>
        <v>0</v>
      </c>
      <c r="DX52" s="104">
        <f>PLĀNS_ar_grozījumiem!CP52-'plans (27122022)'!CP51</f>
        <v>9999.1000000000058</v>
      </c>
      <c r="DY52" s="909">
        <f>DX52/'plans (27122022)'!CP51</f>
        <v>6.3799880045429636E-2</v>
      </c>
      <c r="DZ52" s="120"/>
      <c r="EA52" s="118"/>
      <c r="EB52" s="104">
        <f>PLĀNS_ar_grozījumiem!CT52-'plans (27122022)'!CT51</f>
        <v>0</v>
      </c>
      <c r="EC52" s="121"/>
      <c r="ED52" s="120"/>
      <c r="EE52" s="121"/>
      <c r="EF52" s="122">
        <f>PLĀNS_ar_grozījumiem!CX52-'plans (27122022)'!CX51</f>
        <v>4.2357027378651821</v>
      </c>
      <c r="EG52" s="911">
        <f>EF52/'plans (27122022)'!CX51</f>
        <v>6.5514126608597109E-2</v>
      </c>
    </row>
    <row r="53" spans="1:137" s="5" customFormat="1" ht="15.75" customHeight="1" x14ac:dyDescent="0.25">
      <c r="A53" s="1070"/>
      <c r="B53" s="178"/>
      <c r="C53" s="764" t="s">
        <v>47</v>
      </c>
      <c r="D53" s="1005">
        <v>216</v>
      </c>
      <c r="E53" s="93"/>
      <c r="F53" s="93">
        <v>10.004631773969431</v>
      </c>
      <c r="G53" s="93"/>
      <c r="H53" s="158" t="s">
        <v>44</v>
      </c>
      <c r="I53" s="159" t="s">
        <v>44</v>
      </c>
      <c r="J53" s="96">
        <v>32562</v>
      </c>
      <c r="K53" s="97"/>
      <c r="L53" s="98" t="s">
        <v>44</v>
      </c>
      <c r="M53" s="99" t="s">
        <v>44</v>
      </c>
      <c r="N53" s="100">
        <v>32562</v>
      </c>
      <c r="O53" s="97"/>
      <c r="P53" s="158" t="s">
        <v>44</v>
      </c>
      <c r="Q53" s="159" t="s">
        <v>44</v>
      </c>
      <c r="R53" s="100">
        <v>0</v>
      </c>
      <c r="S53" s="97"/>
      <c r="T53" s="158" t="s">
        <v>44</v>
      </c>
      <c r="U53" s="159" t="s">
        <v>44</v>
      </c>
      <c r="V53" s="102">
        <v>151</v>
      </c>
      <c r="W53" s="102"/>
      <c r="X53" s="92">
        <v>190.1</v>
      </c>
      <c r="Y53" s="93"/>
      <c r="Z53" s="93">
        <v>8.7042124542124544</v>
      </c>
      <c r="AA53" s="93"/>
      <c r="AB53" s="158" t="s">
        <v>44</v>
      </c>
      <c r="AC53" s="159" t="s">
        <v>44</v>
      </c>
      <c r="AD53" s="96">
        <v>28187</v>
      </c>
      <c r="AE53" s="97"/>
      <c r="AF53" s="98" t="s">
        <v>44</v>
      </c>
      <c r="AG53" s="99" t="s">
        <v>44</v>
      </c>
      <c r="AH53" s="100">
        <v>28187</v>
      </c>
      <c r="AI53" s="97"/>
      <c r="AJ53" s="158" t="s">
        <v>44</v>
      </c>
      <c r="AK53" s="159" t="s">
        <v>44</v>
      </c>
      <c r="AL53" s="100">
        <v>0</v>
      </c>
      <c r="AM53" s="97"/>
      <c r="AN53" s="158" t="s">
        <v>44</v>
      </c>
      <c r="AO53" s="159" t="s">
        <v>44</v>
      </c>
      <c r="AP53" s="102">
        <v>148</v>
      </c>
      <c r="AQ53" s="102"/>
      <c r="AR53" s="92">
        <v>167.3</v>
      </c>
      <c r="AS53" s="93">
        <f>PLĀNS_ar_grozījumiem!AS53-'plans (27122022)'!AS52</f>
        <v>0</v>
      </c>
      <c r="AT53" s="93">
        <f>PLĀNS_ar_grozījumiem!AT53-'plans (27122022)'!AT52</f>
        <v>-7.5204710144927542</v>
      </c>
      <c r="AU53" s="93">
        <f>PLĀNS_ar_grozījumiem!AU53-'plans (27122022)'!AU52</f>
        <v>0</v>
      </c>
      <c r="AV53" s="158" t="e">
        <f>PLĀNS_ar_grozījumiem!AV53-'plans (27122022)'!AV52</f>
        <v>#VALUE!</v>
      </c>
      <c r="AW53" s="159" t="e">
        <f>PLĀNS_ar_grozījumiem!AW53-'plans (27122022)'!AW52</f>
        <v>#VALUE!</v>
      </c>
      <c r="AX53" s="96">
        <f>PLĀNS_ar_grozījumiem!AX53-'plans (27122022)'!AX52</f>
        <v>3535</v>
      </c>
      <c r="AY53" s="97">
        <f>PLĀNS_ar_grozījumiem!AY53-'plans (27122022)'!AY52</f>
        <v>0</v>
      </c>
      <c r="AZ53" s="98" t="e">
        <f>PLĀNS_ar_grozījumiem!AZ53-'plans (27122022)'!AZ52</f>
        <v>#VALUE!</v>
      </c>
      <c r="BA53" s="99" t="e">
        <f>PLĀNS_ar_grozījumiem!BA53-'plans (27122022)'!BA52</f>
        <v>#VALUE!</v>
      </c>
      <c r="BB53" s="100">
        <f>PLĀNS_ar_grozījumiem!BB53-'plans (27122022)'!BB52</f>
        <v>3535</v>
      </c>
      <c r="BC53" s="97">
        <f>PLĀNS_ar_grozījumiem!BC53-'plans (27122022)'!BC52</f>
        <v>0</v>
      </c>
      <c r="BD53" s="158" t="e">
        <f>PLĀNS_ar_grozījumiem!BD53-'plans (27122022)'!BD52</f>
        <v>#VALUE!</v>
      </c>
      <c r="BE53" s="159" t="e">
        <f>PLĀNS_ar_grozījumiem!BE53-'plans (27122022)'!BE52</f>
        <v>#VALUE!</v>
      </c>
      <c r="BF53" s="100">
        <f>PLĀNS_ar_grozījumiem!BF53-'plans (27122022)'!BF52</f>
        <v>0</v>
      </c>
      <c r="BG53" s="97">
        <f>PLĀNS_ar_grozījumiem!BG53-'plans (27122022)'!BG52</f>
        <v>0</v>
      </c>
      <c r="BH53" s="158" t="e">
        <f>PLĀNS_ar_grozījumiem!BH53-'plans (27122022)'!BH52</f>
        <v>#VALUE!</v>
      </c>
      <c r="BI53" s="159" t="e">
        <f>PLĀNS_ar_grozījumiem!BI53-'plans (27122022)'!BI52</f>
        <v>#VALUE!</v>
      </c>
      <c r="BJ53" s="102">
        <f>PLĀNS_ar_grozījumiem!BJ53-'plans (27122022)'!BJ52</f>
        <v>70.519230769230774</v>
      </c>
      <c r="BK53" s="102">
        <f>PLĀNS_ar_grozījumiem!BK53-'plans (27122022)'!BK52</f>
        <v>0</v>
      </c>
      <c r="BL53" s="92">
        <f>PLĀNS_ar_grozījumiem!BL53-'plans (27122022)'!BL52</f>
        <v>-40.5</v>
      </c>
      <c r="BM53" s="93">
        <f>PLĀNS_ar_grozījumiem!BM53-'plans (27122022)'!BM52</f>
        <v>0</v>
      </c>
      <c r="BN53" s="93">
        <f>PLĀNS_ar_grozījumiem!BN53-'plans (27122022)'!BN52</f>
        <v>-9.5105024898143959</v>
      </c>
      <c r="BO53" s="93">
        <f>PLĀNS_ar_grozījumiem!BO53-'plans (27122022)'!BO52</f>
        <v>0</v>
      </c>
      <c r="BP53" s="158" t="e">
        <f>PLĀNS_ar_grozījumiem!BP53-'plans (27122022)'!BP52</f>
        <v>#VALUE!</v>
      </c>
      <c r="BQ53" s="159" t="e">
        <f>PLĀNS_ar_grozījumiem!BQ53-'plans (27122022)'!BQ52</f>
        <v>#VALUE!</v>
      </c>
      <c r="BR53" s="96">
        <f>PLĀNS_ar_grozījumiem!BR53-'plans (27122022)'!BR52</f>
        <v>-1259</v>
      </c>
      <c r="BS53" s="97">
        <f>PLĀNS_ar_grozījumiem!BS53-'plans (27122022)'!BS52</f>
        <v>0</v>
      </c>
      <c r="BT53" s="98" t="e">
        <f>PLĀNS_ar_grozījumiem!BT53-'plans (27122022)'!BT52</f>
        <v>#VALUE!</v>
      </c>
      <c r="BU53" s="99" t="e">
        <f>PLĀNS_ar_grozījumiem!BU53-'plans (27122022)'!BU52</f>
        <v>#VALUE!</v>
      </c>
      <c r="BV53" s="100">
        <f>PLĀNS_ar_grozījumiem!BV53-'plans (27122022)'!BV52</f>
        <v>-1259</v>
      </c>
      <c r="BW53" s="97">
        <f>PLĀNS_ar_grozījumiem!BW53-'plans (27122022)'!BW52</f>
        <v>0</v>
      </c>
      <c r="BX53" s="158" t="e">
        <f>PLĀNS_ar_grozījumiem!BX53-'plans (27122022)'!BX52</f>
        <v>#VALUE!</v>
      </c>
      <c r="BY53" s="159" t="e">
        <f>PLĀNS_ar_grozījumiem!BY53-'plans (27122022)'!BY52</f>
        <v>#VALUE!</v>
      </c>
      <c r="BZ53" s="100">
        <f>PLĀNS_ar_grozījumiem!BZ53-'plans (27122022)'!BZ52</f>
        <v>0</v>
      </c>
      <c r="CA53" s="97">
        <f>PLĀNS_ar_grozījumiem!CA53-'plans (27122022)'!CA52</f>
        <v>0</v>
      </c>
      <c r="CB53" s="158" t="e">
        <f>PLĀNS_ar_grozījumiem!CB53-'plans (27122022)'!CB52</f>
        <v>#VALUE!</v>
      </c>
      <c r="CC53" s="159" t="e">
        <f>PLĀNS_ar_grozījumiem!CC53-'plans (27122022)'!CC52</f>
        <v>#VALUE!</v>
      </c>
      <c r="CD53" s="102">
        <f>PLĀNS_ar_grozījumiem!CD53-'plans (27122022)'!CD52</f>
        <v>30.122008172796257</v>
      </c>
      <c r="CE53" s="102">
        <f>PLĀNS_ar_grozījumiem!CE53-'plans (27122022)'!CE52</f>
        <v>0</v>
      </c>
      <c r="CF53" s="103">
        <f>PLĀNS_ar_grozījumiem!CF53-'plans (27122022)'!CF52</f>
        <v>-83</v>
      </c>
      <c r="CG53" s="102">
        <f>PLĀNS_ar_grozījumiem!CG53-'plans (27122022)'!CG52</f>
        <v>0</v>
      </c>
      <c r="CH53" s="93">
        <f>PLĀNS_ar_grozījumiem!CH53-'plans (27122022)'!CH52</f>
        <v>-8.8833105022831056</v>
      </c>
      <c r="CI53" s="179">
        <f>PLĀNS_ar_grozījumiem!CI53-'plans (27122022)'!CI52</f>
        <v>0</v>
      </c>
      <c r="CJ53" s="98" t="e">
        <f>PLĀNS_ar_grozījumiem!CJ53-'plans (27122022)'!CJ52</f>
        <v>#VALUE!</v>
      </c>
      <c r="CK53" s="99" t="e">
        <f>PLĀNS_ar_grozījumiem!CK53-'plans (27122022)'!CK52</f>
        <v>#VALUE!</v>
      </c>
      <c r="CL53" s="100">
        <f>PLĀNS_ar_grozījumiem!CL53-'plans (27122022)'!CL52</f>
        <v>2276</v>
      </c>
      <c r="CM53" s="107">
        <f>PLĀNS_ar_grozījumiem!CM53-'plans (27122022)'!CM52</f>
        <v>0</v>
      </c>
      <c r="CN53" s="108" t="e">
        <f>PLĀNS_ar_grozījumiem!CN53-'plans (27122022)'!CN52</f>
        <v>#VALUE!</v>
      </c>
      <c r="CO53" s="99" t="e">
        <f>PLĀNS_ar_grozījumiem!CO53-'plans (27122022)'!CO52</f>
        <v>#VALUE!</v>
      </c>
      <c r="CP53" s="100">
        <f>PLĀNS_ar_grozījumiem!CP53-'plans (27122022)'!CP52</f>
        <v>2276</v>
      </c>
      <c r="CQ53" s="97">
        <f>PLĀNS_ar_grozījumiem!CQ53-'plans (27122022)'!CQ52</f>
        <v>0</v>
      </c>
      <c r="CR53" s="98" t="e">
        <f>PLĀNS_ar_grozījumiem!CR53-'plans (27122022)'!CR52</f>
        <v>#VALUE!</v>
      </c>
      <c r="CS53" s="99" t="e">
        <f>PLĀNS_ar_grozījumiem!CS53-'plans (27122022)'!CS52</f>
        <v>#VALUE!</v>
      </c>
      <c r="CT53" s="100">
        <f>PLĀNS_ar_grozījumiem!CT53-'plans (27122022)'!CT52</f>
        <v>0</v>
      </c>
      <c r="CU53" s="97">
        <f>PLĀNS_ar_grozījumiem!CU53-'plans (27122022)'!CU52</f>
        <v>0</v>
      </c>
      <c r="CV53" s="98" t="e">
        <f>PLĀNS_ar_grozījumiem!CV53-'plans (27122022)'!CV52</f>
        <v>#VALUE!</v>
      </c>
      <c r="CW53" s="99" t="e">
        <f>PLĀNS_ar_grozījumiem!CW53-'plans (27122022)'!CW52</f>
        <v>#VALUE!</v>
      </c>
      <c r="CX53" s="100">
        <f>PLĀNS_ar_grozījumiem!CX53-'plans (27122022)'!CX52</f>
        <v>20.523091098741702</v>
      </c>
      <c r="CY53" s="174">
        <f>PLĀNS_ar_grozījumiem!CY53-'plans (27122022)'!CY52</f>
        <v>0</v>
      </c>
      <c r="CZ53" s="110">
        <f t="shared" si="15"/>
        <v>406.1</v>
      </c>
      <c r="DA53" s="111">
        <f t="shared" si="15"/>
        <v>0</v>
      </c>
      <c r="DB53" s="176">
        <f t="shared" si="17"/>
        <v>9.3506792539719097</v>
      </c>
      <c r="DC53" s="113">
        <f t="shared" si="17"/>
        <v>0</v>
      </c>
      <c r="DD53" s="100">
        <f t="shared" si="13"/>
        <v>60749</v>
      </c>
      <c r="DE53" s="102">
        <f t="shared" si="13"/>
        <v>0</v>
      </c>
      <c r="DF53" s="102" t="e">
        <f t="shared" si="13"/>
        <v>#VALUE!</v>
      </c>
      <c r="DG53" s="114" t="e">
        <f t="shared" si="10"/>
        <v>#VALUE!</v>
      </c>
      <c r="DH53" s="100">
        <f t="shared" si="10"/>
        <v>60749</v>
      </c>
      <c r="DI53" s="97">
        <f t="shared" si="10"/>
        <v>0</v>
      </c>
      <c r="DJ53" s="97" t="e">
        <f t="shared" si="10"/>
        <v>#VALUE!</v>
      </c>
      <c r="DK53" s="97" t="e">
        <f t="shared" si="10"/>
        <v>#VALUE!</v>
      </c>
      <c r="DL53" s="100">
        <f t="shared" si="10"/>
        <v>0</v>
      </c>
      <c r="DM53" s="97">
        <f t="shared" si="10"/>
        <v>0</v>
      </c>
      <c r="DN53" s="97" t="e">
        <f t="shared" si="10"/>
        <v>#VALUE!</v>
      </c>
      <c r="DO53" s="115" t="e">
        <f t="shared" si="10"/>
        <v>#VALUE!</v>
      </c>
      <c r="DP53" s="100">
        <f t="shared" si="11"/>
        <v>150</v>
      </c>
      <c r="DQ53" s="116" t="e">
        <f t="shared" si="11"/>
        <v>#DIV/0!</v>
      </c>
      <c r="DR53" s="117">
        <f>PLĀNS_ar_grozījumiem!CF53-'plans (27122022)'!CF52</f>
        <v>-83</v>
      </c>
      <c r="DS53" s="908">
        <f>DR53/'plans (27122022)'!CF52</f>
        <v>-0.10570555272542027</v>
      </c>
      <c r="DT53" s="104">
        <f>PLĀNS_ar_grozījumiem!CL53-'plans (27122022)'!CL52</f>
        <v>2276</v>
      </c>
      <c r="DU53" s="909">
        <f>DT53/'plans (27122022)'!CL52</f>
        <v>1.982526589026419E-2</v>
      </c>
      <c r="DV53" s="120"/>
      <c r="DW53" s="118">
        <f>PLĀNS_ar_grozījumiem!CM53-'plans (27122022)'!CM52</f>
        <v>0</v>
      </c>
      <c r="DX53" s="104">
        <f>PLĀNS_ar_grozījumiem!CP53-'plans (27122022)'!CP52</f>
        <v>2276</v>
      </c>
      <c r="DY53" s="909">
        <f>DX53/'plans (27122022)'!CP52</f>
        <v>1.982526589026419E-2</v>
      </c>
      <c r="DZ53" s="120"/>
      <c r="EA53" s="118"/>
      <c r="EB53" s="104">
        <f>PLĀNS_ar_grozījumiem!CT53-'plans (27122022)'!CT52</f>
        <v>0</v>
      </c>
      <c r="EC53" s="121"/>
      <c r="ED53" s="120"/>
      <c r="EE53" s="121"/>
      <c r="EF53" s="122">
        <f>PLĀNS_ar_grozījumiem!CX53-'plans (27122022)'!CX52</f>
        <v>20.523091098741702</v>
      </c>
      <c r="EG53" s="911">
        <f>EF53/'plans (27122022)'!CX52</f>
        <v>0.14036855422534242</v>
      </c>
    </row>
    <row r="54" spans="1:137" s="5" customFormat="1" ht="15.75" customHeight="1" x14ac:dyDescent="0.25">
      <c r="A54" s="1070"/>
      <c r="B54" s="178"/>
      <c r="C54" s="764" t="s">
        <v>48</v>
      </c>
      <c r="D54" s="1005">
        <v>134.4</v>
      </c>
      <c r="E54" s="93"/>
      <c r="F54" s="93">
        <v>6.225104214914313</v>
      </c>
      <c r="G54" s="93"/>
      <c r="H54" s="158" t="s">
        <v>44</v>
      </c>
      <c r="I54" s="159" t="s">
        <v>44</v>
      </c>
      <c r="J54" s="96">
        <v>5896</v>
      </c>
      <c r="K54" s="97"/>
      <c r="L54" s="98" t="s">
        <v>44</v>
      </c>
      <c r="M54" s="99" t="s">
        <v>44</v>
      </c>
      <c r="N54" s="100">
        <v>5896</v>
      </c>
      <c r="O54" s="97"/>
      <c r="P54" s="158" t="s">
        <v>44</v>
      </c>
      <c r="Q54" s="159" t="s">
        <v>44</v>
      </c>
      <c r="R54" s="100">
        <v>0</v>
      </c>
      <c r="S54" s="97"/>
      <c r="T54" s="158" t="s">
        <v>44</v>
      </c>
      <c r="U54" s="159" t="s">
        <v>44</v>
      </c>
      <c r="V54" s="102">
        <v>44</v>
      </c>
      <c r="W54" s="102"/>
      <c r="X54" s="92">
        <v>133.80000000000001</v>
      </c>
      <c r="Y54" s="93"/>
      <c r="Z54" s="93">
        <v>6.1263736263736268</v>
      </c>
      <c r="AA54" s="93"/>
      <c r="AB54" s="158" t="s">
        <v>44</v>
      </c>
      <c r="AC54" s="159" t="s">
        <v>44</v>
      </c>
      <c r="AD54" s="96">
        <v>5840</v>
      </c>
      <c r="AE54" s="97"/>
      <c r="AF54" s="98" t="s">
        <v>44</v>
      </c>
      <c r="AG54" s="99" t="s">
        <v>44</v>
      </c>
      <c r="AH54" s="100">
        <v>5840</v>
      </c>
      <c r="AI54" s="97"/>
      <c r="AJ54" s="158" t="s">
        <v>44</v>
      </c>
      <c r="AK54" s="159" t="s">
        <v>44</v>
      </c>
      <c r="AL54" s="100">
        <v>0</v>
      </c>
      <c r="AM54" s="97"/>
      <c r="AN54" s="158" t="s">
        <v>44</v>
      </c>
      <c r="AO54" s="159" t="s">
        <v>44</v>
      </c>
      <c r="AP54" s="102">
        <v>44</v>
      </c>
      <c r="AQ54" s="102"/>
      <c r="AR54" s="92">
        <v>135.30000000000001</v>
      </c>
      <c r="AS54" s="93">
        <f>PLĀNS_ar_grozījumiem!AS54-'plans (27122022)'!AS53</f>
        <v>0</v>
      </c>
      <c r="AT54" s="93">
        <f>PLĀNS_ar_grozījumiem!AT54-'plans (27122022)'!AT53</f>
        <v>-6.066440217391305</v>
      </c>
      <c r="AU54" s="93">
        <f>PLĀNS_ar_grozījumiem!AU54-'plans (27122022)'!AU53</f>
        <v>0</v>
      </c>
      <c r="AV54" s="158" t="e">
        <f>PLĀNS_ar_grozījumiem!AV54-'plans (27122022)'!AV53</f>
        <v>#VALUE!</v>
      </c>
      <c r="AW54" s="159" t="e">
        <f>PLĀNS_ar_grozījumiem!AW54-'plans (27122022)'!AW53</f>
        <v>#VALUE!</v>
      </c>
      <c r="AX54" s="96">
        <f>PLĀNS_ar_grozījumiem!AX54-'plans (27122022)'!AX53</f>
        <v>454.80000000000018</v>
      </c>
      <c r="AY54" s="97">
        <f>PLĀNS_ar_grozījumiem!AY54-'plans (27122022)'!AY53</f>
        <v>0</v>
      </c>
      <c r="AZ54" s="98" t="e">
        <f>PLĀNS_ar_grozījumiem!AZ54-'plans (27122022)'!AZ53</f>
        <v>#VALUE!</v>
      </c>
      <c r="BA54" s="99" t="e">
        <f>PLĀNS_ar_grozījumiem!BA54-'plans (27122022)'!BA53</f>
        <v>#VALUE!</v>
      </c>
      <c r="BB54" s="100">
        <f>PLĀNS_ar_grozījumiem!BB54-'plans (27122022)'!BB53</f>
        <v>454.80000000000018</v>
      </c>
      <c r="BC54" s="97">
        <f>PLĀNS_ar_grozījumiem!BC54-'plans (27122022)'!BC53</f>
        <v>0</v>
      </c>
      <c r="BD54" s="158" t="e">
        <f>PLĀNS_ar_grozījumiem!BD54-'plans (27122022)'!BD53</f>
        <v>#VALUE!</v>
      </c>
      <c r="BE54" s="159" t="e">
        <f>PLĀNS_ar_grozījumiem!BE54-'plans (27122022)'!BE53</f>
        <v>#VALUE!</v>
      </c>
      <c r="BF54" s="100">
        <f>PLĀNS_ar_grozījumiem!BF54-'plans (27122022)'!BF53</f>
        <v>0</v>
      </c>
      <c r="BG54" s="97">
        <f>PLĀNS_ar_grozījumiem!BG54-'plans (27122022)'!BG53</f>
        <v>0</v>
      </c>
      <c r="BH54" s="158" t="e">
        <f>PLĀNS_ar_grozījumiem!BH54-'plans (27122022)'!BH53</f>
        <v>#VALUE!</v>
      </c>
      <c r="BI54" s="159" t="e">
        <f>PLĀNS_ar_grozījumiem!BI54-'plans (27122022)'!BI53</f>
        <v>#VALUE!</v>
      </c>
      <c r="BJ54" s="102">
        <f>PLĀNS_ar_grozījumiem!BJ54-'plans (27122022)'!BJ53</f>
        <v>2.9756097560975618</v>
      </c>
      <c r="BK54" s="102">
        <f>PLĀNS_ar_grozījumiem!BK54-'plans (27122022)'!BK53</f>
        <v>0</v>
      </c>
      <c r="BL54" s="92">
        <f>PLĀNS_ar_grozījumiem!BL54-'plans (27122022)'!BL53</f>
        <v>0</v>
      </c>
      <c r="BM54" s="93">
        <f>PLĀNS_ar_grozījumiem!BM54-'plans (27122022)'!BM53</f>
        <v>0</v>
      </c>
      <c r="BN54" s="93">
        <f>PLĀNS_ar_grozījumiem!BN54-'plans (27122022)'!BN53</f>
        <v>-6.0233589859665013</v>
      </c>
      <c r="BO54" s="93">
        <f>PLĀNS_ar_grozījumiem!BO54-'plans (27122022)'!BO53</f>
        <v>0</v>
      </c>
      <c r="BP54" s="158" t="e">
        <f>PLĀNS_ar_grozījumiem!BP54-'plans (27122022)'!BP53</f>
        <v>#VALUE!</v>
      </c>
      <c r="BQ54" s="159" t="e">
        <f>PLĀNS_ar_grozījumiem!BQ54-'plans (27122022)'!BQ53</f>
        <v>#VALUE!</v>
      </c>
      <c r="BR54" s="96">
        <f>PLĀNS_ar_grozījumiem!BR54-'plans (27122022)'!BR53</f>
        <v>77.300000000000182</v>
      </c>
      <c r="BS54" s="97">
        <f>PLĀNS_ar_grozījumiem!BS54-'plans (27122022)'!BS53</f>
        <v>0</v>
      </c>
      <c r="BT54" s="98" t="e">
        <f>PLĀNS_ar_grozījumiem!BT54-'plans (27122022)'!BT53</f>
        <v>#VALUE!</v>
      </c>
      <c r="BU54" s="99" t="e">
        <f>PLĀNS_ar_grozījumiem!BU54-'plans (27122022)'!BU53</f>
        <v>#VALUE!</v>
      </c>
      <c r="BV54" s="100">
        <f>PLĀNS_ar_grozījumiem!BV54-'plans (27122022)'!BV53</f>
        <v>77.300000000000182</v>
      </c>
      <c r="BW54" s="97">
        <f>PLĀNS_ar_grozījumiem!BW54-'plans (27122022)'!BW53</f>
        <v>0</v>
      </c>
      <c r="BX54" s="158" t="e">
        <f>PLĀNS_ar_grozījumiem!BX54-'plans (27122022)'!BX53</f>
        <v>#VALUE!</v>
      </c>
      <c r="BY54" s="159" t="e">
        <f>PLĀNS_ar_grozījumiem!BY54-'plans (27122022)'!BY53</f>
        <v>#VALUE!</v>
      </c>
      <c r="BZ54" s="100">
        <f>PLĀNS_ar_grozījumiem!BZ54-'plans (27122022)'!BZ53</f>
        <v>0</v>
      </c>
      <c r="CA54" s="97">
        <f>PLĀNS_ar_grozījumiem!CA54-'plans (27122022)'!CA53</f>
        <v>0</v>
      </c>
      <c r="CB54" s="158" t="e">
        <f>PLĀNS_ar_grozījumiem!CB54-'plans (27122022)'!CB53</f>
        <v>#VALUE!</v>
      </c>
      <c r="CC54" s="159" t="e">
        <f>PLĀNS_ar_grozījumiem!CC54-'plans (27122022)'!CC53</f>
        <v>#VALUE!</v>
      </c>
      <c r="CD54" s="102">
        <f>PLĀNS_ar_grozījumiem!CD54-'plans (27122022)'!CD53</f>
        <v>1.0394345238095255</v>
      </c>
      <c r="CE54" s="102">
        <f>PLĀNS_ar_grozījumiem!CE54-'plans (27122022)'!CE53</f>
        <v>0</v>
      </c>
      <c r="CF54" s="103">
        <f>PLĀNS_ar_grozījumiem!CF54-'plans (27122022)'!CF53</f>
        <v>0</v>
      </c>
      <c r="CG54" s="102">
        <f>PLĀNS_ar_grozījumiem!CG54-'plans (27122022)'!CG53</f>
        <v>0</v>
      </c>
      <c r="CH54" s="93">
        <f>PLĀNS_ar_grozījumiem!CH54-'plans (27122022)'!CH53</f>
        <v>-6.0790068493150695</v>
      </c>
      <c r="CI54" s="179">
        <f>PLĀNS_ar_grozījumiem!CI54-'plans (27122022)'!CI53</f>
        <v>0</v>
      </c>
      <c r="CJ54" s="98" t="e">
        <f>PLĀNS_ar_grozījumiem!CJ54-'plans (27122022)'!CJ53</f>
        <v>#VALUE!</v>
      </c>
      <c r="CK54" s="99" t="e">
        <f>PLĀNS_ar_grozījumiem!CK54-'plans (27122022)'!CK53</f>
        <v>#VALUE!</v>
      </c>
      <c r="CL54" s="100">
        <f>PLĀNS_ar_grozījumiem!CL54-'plans (27122022)'!CL53</f>
        <v>532.09999999999854</v>
      </c>
      <c r="CM54" s="107">
        <f>PLĀNS_ar_grozījumiem!CM54-'plans (27122022)'!CM53</f>
        <v>0</v>
      </c>
      <c r="CN54" s="108" t="e">
        <f>PLĀNS_ar_grozījumiem!CN54-'plans (27122022)'!CN53</f>
        <v>#VALUE!</v>
      </c>
      <c r="CO54" s="99" t="e">
        <f>PLĀNS_ar_grozījumiem!CO54-'plans (27122022)'!CO53</f>
        <v>#VALUE!</v>
      </c>
      <c r="CP54" s="100">
        <f>PLĀNS_ar_grozījumiem!CP54-'plans (27122022)'!CP53</f>
        <v>532.09999999999854</v>
      </c>
      <c r="CQ54" s="97">
        <f>PLĀNS_ar_grozījumiem!CQ54-'plans (27122022)'!CQ53</f>
        <v>0</v>
      </c>
      <c r="CR54" s="98" t="e">
        <f>PLĀNS_ar_grozījumiem!CR54-'plans (27122022)'!CR53</f>
        <v>#VALUE!</v>
      </c>
      <c r="CS54" s="99" t="e">
        <f>PLĀNS_ar_grozījumiem!CS54-'plans (27122022)'!CS53</f>
        <v>#VALUE!</v>
      </c>
      <c r="CT54" s="100">
        <f>PLĀNS_ar_grozījumiem!CT54-'plans (27122022)'!CT53</f>
        <v>0</v>
      </c>
      <c r="CU54" s="97">
        <f>PLĀNS_ar_grozījumiem!CU54-'plans (27122022)'!CU53</f>
        <v>0</v>
      </c>
      <c r="CV54" s="98" t="e">
        <f>PLĀNS_ar_grozījumiem!CV54-'plans (27122022)'!CV53</f>
        <v>#VALUE!</v>
      </c>
      <c r="CW54" s="99" t="e">
        <f>PLĀNS_ar_grozījumiem!CW54-'plans (27122022)'!CW53</f>
        <v>#VALUE!</v>
      </c>
      <c r="CX54" s="100">
        <f>PLĀNS_ar_grozījumiem!CX54-'plans (27122022)'!CX53</f>
        <v>0.98921732664063455</v>
      </c>
      <c r="CY54" s="174">
        <f>PLĀNS_ar_grozījumiem!CY54-'plans (27122022)'!CY53</f>
        <v>0</v>
      </c>
      <c r="CZ54" s="110">
        <f t="shared" si="15"/>
        <v>268.20000000000005</v>
      </c>
      <c r="DA54" s="111">
        <f t="shared" si="15"/>
        <v>0</v>
      </c>
      <c r="DB54" s="176">
        <f t="shared" si="17"/>
        <v>6.1754547547778049</v>
      </c>
      <c r="DC54" s="113">
        <f t="shared" si="17"/>
        <v>0</v>
      </c>
      <c r="DD54" s="100">
        <f t="shared" si="13"/>
        <v>11736</v>
      </c>
      <c r="DE54" s="102">
        <f t="shared" si="13"/>
        <v>0</v>
      </c>
      <c r="DF54" s="102" t="e">
        <f t="shared" si="13"/>
        <v>#VALUE!</v>
      </c>
      <c r="DG54" s="114" t="e">
        <f t="shared" si="10"/>
        <v>#VALUE!</v>
      </c>
      <c r="DH54" s="100">
        <f t="shared" si="10"/>
        <v>11736</v>
      </c>
      <c r="DI54" s="97">
        <f t="shared" si="10"/>
        <v>0</v>
      </c>
      <c r="DJ54" s="97" t="e">
        <f t="shared" si="10"/>
        <v>#VALUE!</v>
      </c>
      <c r="DK54" s="97" t="e">
        <f t="shared" si="10"/>
        <v>#VALUE!</v>
      </c>
      <c r="DL54" s="100">
        <f t="shared" si="10"/>
        <v>0</v>
      </c>
      <c r="DM54" s="97">
        <f t="shared" si="10"/>
        <v>0</v>
      </c>
      <c r="DN54" s="97" t="e">
        <f t="shared" si="10"/>
        <v>#VALUE!</v>
      </c>
      <c r="DO54" s="115" t="e">
        <f t="shared" si="10"/>
        <v>#VALUE!</v>
      </c>
      <c r="DP54" s="100">
        <f t="shared" si="11"/>
        <v>44</v>
      </c>
      <c r="DQ54" s="116" t="e">
        <f t="shared" si="11"/>
        <v>#DIV/0!</v>
      </c>
      <c r="DR54" s="117">
        <f>PLĀNS_ar_grozījumiem!CF54-'plans (27122022)'!CF53</f>
        <v>0</v>
      </c>
      <c r="DS54" s="908">
        <f>DR54/'plans (27122022)'!CF53</f>
        <v>0</v>
      </c>
      <c r="DT54" s="104">
        <f>PLĀNS_ar_grozījumiem!CL54-'plans (27122022)'!CL53</f>
        <v>532.09999999999854</v>
      </c>
      <c r="DU54" s="909">
        <f>DT54/'plans (27122022)'!CL53</f>
        <v>2.2534197264218802E-2</v>
      </c>
      <c r="DV54" s="120"/>
      <c r="DW54" s="118">
        <f>PLĀNS_ar_grozījumiem!CM54-'plans (27122022)'!CM53</f>
        <v>0</v>
      </c>
      <c r="DX54" s="104">
        <f>PLĀNS_ar_grozījumiem!CP54-'plans (27122022)'!CP53</f>
        <v>532.09999999999854</v>
      </c>
      <c r="DY54" s="909">
        <f>DX54/'plans (27122022)'!CP53</f>
        <v>2.2534197264218802E-2</v>
      </c>
      <c r="DZ54" s="120"/>
      <c r="EA54" s="118"/>
      <c r="EB54" s="104">
        <f>PLĀNS_ar_grozījumiem!CT54-'plans (27122022)'!CT53</f>
        <v>0</v>
      </c>
      <c r="EC54" s="121"/>
      <c r="ED54" s="120"/>
      <c r="EE54" s="121"/>
      <c r="EF54" s="122">
        <f>PLĀNS_ar_grozījumiem!CX54-'plans (27122022)'!CX53</f>
        <v>0.98921732664063455</v>
      </c>
      <c r="EG54" s="911">
        <f>EF54/'plans (27122022)'!CX53</f>
        <v>2.2534197264218753E-2</v>
      </c>
    </row>
    <row r="55" spans="1:137" ht="15.75" customHeight="1" x14ac:dyDescent="0.25">
      <c r="A55" s="1070"/>
      <c r="B55" s="169"/>
      <c r="C55" s="1024" t="s">
        <v>49</v>
      </c>
      <c r="D55" s="1005">
        <v>448.5</v>
      </c>
      <c r="E55" s="93"/>
      <c r="F55" s="93">
        <v>20.773506252894858</v>
      </c>
      <c r="G55" s="93"/>
      <c r="H55" s="158" t="s">
        <v>44</v>
      </c>
      <c r="I55" s="159" t="s">
        <v>44</v>
      </c>
      <c r="J55" s="96">
        <v>12190</v>
      </c>
      <c r="K55" s="97"/>
      <c r="L55" s="98" t="s">
        <v>44</v>
      </c>
      <c r="M55" s="99" t="s">
        <v>44</v>
      </c>
      <c r="N55" s="100">
        <v>12190</v>
      </c>
      <c r="O55" s="126"/>
      <c r="P55" s="158" t="s">
        <v>44</v>
      </c>
      <c r="Q55" s="159" t="s">
        <v>44</v>
      </c>
      <c r="R55" s="100">
        <v>0</v>
      </c>
      <c r="S55" s="97"/>
      <c r="T55" s="158" t="s">
        <v>44</v>
      </c>
      <c r="U55" s="159" t="s">
        <v>44</v>
      </c>
      <c r="V55" s="102">
        <v>27</v>
      </c>
      <c r="W55" s="102"/>
      <c r="X55" s="92">
        <v>414.3</v>
      </c>
      <c r="Y55" s="93"/>
      <c r="Z55" s="93">
        <v>18.969780219780219</v>
      </c>
      <c r="AA55" s="93"/>
      <c r="AB55" s="158" t="s">
        <v>44</v>
      </c>
      <c r="AC55" s="159" t="s">
        <v>44</v>
      </c>
      <c r="AD55" s="96">
        <v>12029</v>
      </c>
      <c r="AE55" s="97"/>
      <c r="AF55" s="98" t="s">
        <v>44</v>
      </c>
      <c r="AG55" s="99" t="s">
        <v>44</v>
      </c>
      <c r="AH55" s="100">
        <v>12029</v>
      </c>
      <c r="AI55" s="126"/>
      <c r="AJ55" s="158" t="s">
        <v>44</v>
      </c>
      <c r="AK55" s="159" t="s">
        <v>44</v>
      </c>
      <c r="AL55" s="100">
        <v>0</v>
      </c>
      <c r="AM55" s="97"/>
      <c r="AN55" s="158" t="s">
        <v>44</v>
      </c>
      <c r="AO55" s="159" t="s">
        <v>44</v>
      </c>
      <c r="AP55" s="102">
        <v>29</v>
      </c>
      <c r="AQ55" s="102"/>
      <c r="AR55" s="92">
        <v>441.5</v>
      </c>
      <c r="AS55" s="93">
        <f>PLĀNS_ar_grozījumiem!AS55-'plans (27122022)'!AS54</f>
        <v>0</v>
      </c>
      <c r="AT55" s="93">
        <f>PLĀNS_ar_grozījumiem!AT55-'plans (27122022)'!AT54</f>
        <v>-19.774592391304349</v>
      </c>
      <c r="AU55" s="93">
        <f>PLĀNS_ar_grozījumiem!AU55-'plans (27122022)'!AU54</f>
        <v>0</v>
      </c>
      <c r="AV55" s="158" t="e">
        <f>PLĀNS_ar_grozījumiem!AV55-'plans (27122022)'!AV54</f>
        <v>#VALUE!</v>
      </c>
      <c r="AW55" s="159" t="e">
        <f>PLĀNS_ar_grozījumiem!AW55-'plans (27122022)'!AW54</f>
        <v>#VALUE!</v>
      </c>
      <c r="AX55" s="96">
        <f>PLĀNS_ar_grozījumiem!AX55-'plans (27122022)'!AX54</f>
        <v>1112.7000000000007</v>
      </c>
      <c r="AY55" s="97">
        <f>PLĀNS_ar_grozījumiem!AY55-'plans (27122022)'!AY54</f>
        <v>0</v>
      </c>
      <c r="AZ55" s="98" t="e">
        <f>PLĀNS_ar_grozījumiem!AZ55-'plans (27122022)'!AZ54</f>
        <v>#VALUE!</v>
      </c>
      <c r="BA55" s="99" t="e">
        <f>PLĀNS_ar_grozījumiem!BA55-'plans (27122022)'!BA54</f>
        <v>#VALUE!</v>
      </c>
      <c r="BB55" s="100">
        <f>PLĀNS_ar_grozījumiem!BB55-'plans (27122022)'!BB54</f>
        <v>1112.7000000000007</v>
      </c>
      <c r="BC55" s="126">
        <f>PLĀNS_ar_grozījumiem!BC55-'plans (27122022)'!BC54</f>
        <v>0</v>
      </c>
      <c r="BD55" s="158" t="e">
        <f>PLĀNS_ar_grozījumiem!BD55-'plans (27122022)'!BD54</f>
        <v>#VALUE!</v>
      </c>
      <c r="BE55" s="159" t="e">
        <f>PLĀNS_ar_grozījumiem!BE55-'plans (27122022)'!BE54</f>
        <v>#VALUE!</v>
      </c>
      <c r="BF55" s="100">
        <f>PLĀNS_ar_grozījumiem!BF55-'plans (27122022)'!BF54</f>
        <v>0</v>
      </c>
      <c r="BG55" s="97">
        <f>PLĀNS_ar_grozījumiem!BG55-'plans (27122022)'!BG54</f>
        <v>0</v>
      </c>
      <c r="BH55" s="158" t="e">
        <f>PLĀNS_ar_grozījumiem!BH55-'plans (27122022)'!BH54</f>
        <v>#VALUE!</v>
      </c>
      <c r="BI55" s="159" t="e">
        <f>PLĀNS_ar_grozījumiem!BI55-'plans (27122022)'!BI54</f>
        <v>#VALUE!</v>
      </c>
      <c r="BJ55" s="102">
        <f>PLĀNS_ar_grozījumiem!BJ55-'plans (27122022)'!BJ54</f>
        <v>-0.18700020504408243</v>
      </c>
      <c r="BK55" s="102">
        <f>PLĀNS_ar_grozījumiem!BK55-'plans (27122022)'!BK54</f>
        <v>0</v>
      </c>
      <c r="BL55" s="92">
        <f>PLĀNS_ar_grozījumiem!BL55-'plans (27122022)'!BL54</f>
        <v>113.5</v>
      </c>
      <c r="BM55" s="93">
        <f>PLĀNS_ar_grozījumiem!BM55-'plans (27122022)'!BM54</f>
        <v>0</v>
      </c>
      <c r="BN55" s="93">
        <f>PLĀNS_ar_grozījumiem!BN55-'plans (27122022)'!BN54</f>
        <v>-17.274739701222273</v>
      </c>
      <c r="BO55" s="93">
        <f>PLĀNS_ar_grozījumiem!BO55-'plans (27122022)'!BO54</f>
        <v>0</v>
      </c>
      <c r="BP55" s="158" t="e">
        <f>PLĀNS_ar_grozījumiem!BP55-'plans (27122022)'!BP54</f>
        <v>#VALUE!</v>
      </c>
      <c r="BQ55" s="159" t="e">
        <f>PLĀNS_ar_grozījumiem!BQ55-'plans (27122022)'!BQ54</f>
        <v>#VALUE!</v>
      </c>
      <c r="BR55" s="96">
        <f>PLĀNS_ar_grozījumiem!BR55-'plans (27122022)'!BR54</f>
        <v>6012</v>
      </c>
      <c r="BS55" s="97">
        <f>PLĀNS_ar_grozījumiem!BS55-'plans (27122022)'!BS54</f>
        <v>0</v>
      </c>
      <c r="BT55" s="98" t="e">
        <f>PLĀNS_ar_grozījumiem!BT55-'plans (27122022)'!BT54</f>
        <v>#VALUE!</v>
      </c>
      <c r="BU55" s="99" t="e">
        <f>PLĀNS_ar_grozījumiem!BU55-'plans (27122022)'!BU54</f>
        <v>#VALUE!</v>
      </c>
      <c r="BV55" s="100">
        <f>PLĀNS_ar_grozījumiem!BV55-'plans (27122022)'!BV54</f>
        <v>6012</v>
      </c>
      <c r="BW55" s="126">
        <f>PLĀNS_ar_grozījumiem!BW55-'plans (27122022)'!BW54</f>
        <v>0</v>
      </c>
      <c r="BX55" s="158" t="e">
        <f>PLĀNS_ar_grozījumiem!BX55-'plans (27122022)'!BX54</f>
        <v>#VALUE!</v>
      </c>
      <c r="BY55" s="159" t="e">
        <f>PLĀNS_ar_grozījumiem!BY55-'plans (27122022)'!BY54</f>
        <v>#VALUE!</v>
      </c>
      <c r="BZ55" s="100">
        <f>PLĀNS_ar_grozījumiem!BZ55-'plans (27122022)'!BZ54</f>
        <v>0</v>
      </c>
      <c r="CA55" s="97">
        <f>PLĀNS_ar_grozījumiem!CA55-'plans (27122022)'!CA54</f>
        <v>0</v>
      </c>
      <c r="CB55" s="158" t="e">
        <f>PLĀNS_ar_grozījumiem!CB55-'plans (27122022)'!CB54</f>
        <v>#VALUE!</v>
      </c>
      <c r="CC55" s="159" t="e">
        <f>PLĀNS_ar_grozījumiem!CC55-'plans (27122022)'!CC54</f>
        <v>#VALUE!</v>
      </c>
      <c r="CD55" s="102">
        <f>PLĀNS_ar_grozījumiem!CD55-'plans (27122022)'!CD54</f>
        <v>4.700659868026392</v>
      </c>
      <c r="CE55" s="102">
        <f>PLĀNS_ar_grozījumiem!CE55-'plans (27122022)'!CE54</f>
        <v>0</v>
      </c>
      <c r="CF55" s="103">
        <f>PLĀNS_ar_grozījumiem!CF55-'plans (27122022)'!CF54</f>
        <v>159.69999999999982</v>
      </c>
      <c r="CG55" s="102">
        <f>PLĀNS_ar_grozījumiem!CG55-'plans (27122022)'!CG54</f>
        <v>0</v>
      </c>
      <c r="CH55" s="93">
        <f>PLĀNS_ar_grozījumiem!CH55-'plans (27122022)'!CH54</f>
        <v>-19.091255707762556</v>
      </c>
      <c r="CI55" s="179">
        <f>PLĀNS_ar_grozījumiem!CI55-'plans (27122022)'!CI54</f>
        <v>0</v>
      </c>
      <c r="CJ55" s="98" t="e">
        <f>PLĀNS_ar_grozījumiem!CJ55-'plans (27122022)'!CJ54</f>
        <v>#VALUE!</v>
      </c>
      <c r="CK55" s="99" t="e">
        <f>PLĀNS_ar_grozījumiem!CK55-'plans (27122022)'!CK54</f>
        <v>#VALUE!</v>
      </c>
      <c r="CL55" s="100">
        <f>PLĀNS_ar_grozījumiem!CL55-'plans (27122022)'!CL54</f>
        <v>7124.6999999999971</v>
      </c>
      <c r="CM55" s="107">
        <f>PLĀNS_ar_grozījumiem!CM55-'plans (27122022)'!CM54</f>
        <v>0</v>
      </c>
      <c r="CN55" s="108" t="e">
        <f>PLĀNS_ar_grozījumiem!CN55-'plans (27122022)'!CN54</f>
        <v>#VALUE!</v>
      </c>
      <c r="CO55" s="99" t="e">
        <f>PLĀNS_ar_grozījumiem!CO55-'plans (27122022)'!CO54</f>
        <v>#VALUE!</v>
      </c>
      <c r="CP55" s="100">
        <f>PLĀNS_ar_grozījumiem!CP55-'plans (27122022)'!CP54</f>
        <v>7124.6999999999971</v>
      </c>
      <c r="CQ55" s="97">
        <f>PLĀNS_ar_grozījumiem!CQ55-'plans (27122022)'!CQ54</f>
        <v>0</v>
      </c>
      <c r="CR55" s="98" t="e">
        <f>PLĀNS_ar_grozījumiem!CR55-'plans (27122022)'!CR54</f>
        <v>#VALUE!</v>
      </c>
      <c r="CS55" s="99" t="e">
        <f>PLĀNS_ar_grozījumiem!CS55-'plans (27122022)'!CS54</f>
        <v>#VALUE!</v>
      </c>
      <c r="CT55" s="100">
        <f>PLĀNS_ar_grozījumiem!CT55-'plans (27122022)'!CT54</f>
        <v>0</v>
      </c>
      <c r="CU55" s="97">
        <f>PLĀNS_ar_grozījumiem!CU55-'plans (27122022)'!CU54</f>
        <v>0</v>
      </c>
      <c r="CV55" s="98" t="e">
        <f>PLĀNS_ar_grozījumiem!CV55-'plans (27122022)'!CV54</f>
        <v>#VALUE!</v>
      </c>
      <c r="CW55" s="99" t="e">
        <f>PLĀNS_ar_grozījumiem!CW55-'plans (27122022)'!CW54</f>
        <v>#VALUE!</v>
      </c>
      <c r="CX55" s="100">
        <f>PLĀNS_ar_grozījumiem!CX55-'plans (27122022)'!CX54</f>
        <v>1.3734311742304222</v>
      </c>
      <c r="CY55" s="174">
        <f>PLĀNS_ar_grozījumiem!CY55-'plans (27122022)'!CY54</f>
        <v>0</v>
      </c>
      <c r="CZ55" s="110">
        <f t="shared" si="15"/>
        <v>862.8</v>
      </c>
      <c r="DA55" s="111">
        <f t="shared" si="15"/>
        <v>0</v>
      </c>
      <c r="DB55" s="176">
        <f t="shared" si="17"/>
        <v>19.866451761455213</v>
      </c>
      <c r="DC55" s="113">
        <f t="shared" si="17"/>
        <v>0</v>
      </c>
      <c r="DD55" s="100">
        <f t="shared" si="13"/>
        <v>24219</v>
      </c>
      <c r="DE55" s="102">
        <f t="shared" si="13"/>
        <v>0</v>
      </c>
      <c r="DF55" s="102" t="e">
        <f t="shared" si="13"/>
        <v>#VALUE!</v>
      </c>
      <c r="DG55" s="114" t="e">
        <f t="shared" si="10"/>
        <v>#VALUE!</v>
      </c>
      <c r="DH55" s="100">
        <f t="shared" si="10"/>
        <v>24219</v>
      </c>
      <c r="DI55" s="97">
        <f t="shared" si="10"/>
        <v>0</v>
      </c>
      <c r="DJ55" s="97" t="e">
        <f t="shared" si="10"/>
        <v>#VALUE!</v>
      </c>
      <c r="DK55" s="97" t="e">
        <f t="shared" si="10"/>
        <v>#VALUE!</v>
      </c>
      <c r="DL55" s="100">
        <f t="shared" si="10"/>
        <v>0</v>
      </c>
      <c r="DM55" s="97">
        <f t="shared" si="10"/>
        <v>0</v>
      </c>
      <c r="DN55" s="97" t="e">
        <f t="shared" si="10"/>
        <v>#VALUE!</v>
      </c>
      <c r="DO55" s="115" t="e">
        <f t="shared" si="10"/>
        <v>#VALUE!</v>
      </c>
      <c r="DP55" s="100">
        <f t="shared" si="11"/>
        <v>28</v>
      </c>
      <c r="DQ55" s="116" t="e">
        <f t="shared" si="11"/>
        <v>#DIV/0!</v>
      </c>
      <c r="DR55" s="117">
        <f>PLĀNS_ar_grozījumiem!CF55-'plans (27122022)'!CF54</f>
        <v>159.69999999999982</v>
      </c>
      <c r="DS55" s="908">
        <f>DR55/'plans (27122022)'!CF54</f>
        <v>9.4446744337335034E-2</v>
      </c>
      <c r="DT55" s="104">
        <f>PLĀNS_ar_grozījumiem!CL55-'plans (27122022)'!CL54</f>
        <v>7124.6999999999971</v>
      </c>
      <c r="DU55" s="909">
        <f>DT55/'plans (27122022)'!CL54</f>
        <v>0.14682534775888711</v>
      </c>
      <c r="DV55" s="120"/>
      <c r="DW55" s="118">
        <f>PLĀNS_ar_grozījumiem!CM55-'plans (27122022)'!CM54</f>
        <v>0</v>
      </c>
      <c r="DX55" s="104">
        <f>PLĀNS_ar_grozījumiem!CP55-'plans (27122022)'!CP54</f>
        <v>7124.6999999999971</v>
      </c>
      <c r="DY55" s="909">
        <f>DX55/'plans (27122022)'!CP54</f>
        <v>0.14682534775888711</v>
      </c>
      <c r="DZ55" s="120"/>
      <c r="EA55" s="118"/>
      <c r="EB55" s="104">
        <f>PLĀNS_ar_grozījumiem!CT55-'plans (27122022)'!CT54</f>
        <v>0</v>
      </c>
      <c r="EC55" s="121"/>
      <c r="ED55" s="120"/>
      <c r="EE55" s="121"/>
      <c r="EF55" s="122">
        <f>PLĀNS_ar_grozījumiem!CX55-'plans (27122022)'!CX54</f>
        <v>1.3734311742304222</v>
      </c>
      <c r="EG55" s="911">
        <f>EF55/'plans (27122022)'!CX54</f>
        <v>4.7858521844538301E-2</v>
      </c>
    </row>
    <row r="56" spans="1:137" s="157" customFormat="1" ht="15.75" customHeight="1" x14ac:dyDescent="0.25">
      <c r="A56" s="1070"/>
      <c r="B56" s="164" t="s">
        <v>58</v>
      </c>
      <c r="C56" s="1027"/>
      <c r="D56" s="1006">
        <v>4305.8999999999996</v>
      </c>
      <c r="E56" s="133"/>
      <c r="F56" s="133">
        <v>39.587566310253841</v>
      </c>
      <c r="G56" s="133"/>
      <c r="H56" s="134" t="s">
        <v>44</v>
      </c>
      <c r="I56" s="135" t="s">
        <v>44</v>
      </c>
      <c r="J56" s="136">
        <v>74982</v>
      </c>
      <c r="K56" s="86"/>
      <c r="L56" s="137" t="s">
        <v>44</v>
      </c>
      <c r="M56" s="138" t="s">
        <v>44</v>
      </c>
      <c r="N56" s="139">
        <v>74982</v>
      </c>
      <c r="O56" s="140"/>
      <c r="P56" s="134" t="s">
        <v>44</v>
      </c>
      <c r="Q56" s="135" t="s">
        <v>44</v>
      </c>
      <c r="R56" s="139">
        <v>0</v>
      </c>
      <c r="S56" s="140"/>
      <c r="T56" s="134" t="s">
        <v>44</v>
      </c>
      <c r="U56" s="135" t="s">
        <v>44</v>
      </c>
      <c r="V56" s="141">
        <v>17</v>
      </c>
      <c r="W56" s="141"/>
      <c r="X56" s="132">
        <v>4330</v>
      </c>
      <c r="Y56" s="133"/>
      <c r="Z56" s="133">
        <v>39.446473958950151</v>
      </c>
      <c r="AA56" s="133"/>
      <c r="AB56" s="134" t="s">
        <v>44</v>
      </c>
      <c r="AC56" s="135" t="s">
        <v>44</v>
      </c>
      <c r="AD56" s="136">
        <v>77017</v>
      </c>
      <c r="AE56" s="86"/>
      <c r="AF56" s="137" t="s">
        <v>44</v>
      </c>
      <c r="AG56" s="138" t="s">
        <v>44</v>
      </c>
      <c r="AH56" s="139">
        <v>77017</v>
      </c>
      <c r="AI56" s="140"/>
      <c r="AJ56" s="134" t="s">
        <v>44</v>
      </c>
      <c r="AK56" s="135" t="s">
        <v>44</v>
      </c>
      <c r="AL56" s="139">
        <v>0</v>
      </c>
      <c r="AM56" s="140"/>
      <c r="AN56" s="134" t="s">
        <v>44</v>
      </c>
      <c r="AO56" s="135" t="s">
        <v>44</v>
      </c>
      <c r="AP56" s="141">
        <v>18</v>
      </c>
      <c r="AQ56" s="141"/>
      <c r="AR56" s="132">
        <v>4069</v>
      </c>
      <c r="AS56" s="133">
        <f>PLĀNS_ar_grozījumiem!AS56-'plans (27122022)'!AS55</f>
        <v>0</v>
      </c>
      <c r="AT56" s="133">
        <f>PLĀNS_ar_grozījumiem!AT56-'plans (27122022)'!AT55</f>
        <v>-36.29829965753995</v>
      </c>
      <c r="AU56" s="133">
        <f>PLĀNS_ar_grozījumiem!AU56-'plans (27122022)'!AU55</f>
        <v>0</v>
      </c>
      <c r="AV56" s="134" t="e">
        <f>PLĀNS_ar_grozījumiem!AV56-'plans (27122022)'!AV55</f>
        <v>#VALUE!</v>
      </c>
      <c r="AW56" s="135" t="e">
        <f>PLĀNS_ar_grozījumiem!AW56-'plans (27122022)'!AW55</f>
        <v>#VALUE!</v>
      </c>
      <c r="AX56" s="136">
        <f>PLĀNS_ar_grozījumiem!AX56-'plans (27122022)'!AX55</f>
        <v>10935.050000000003</v>
      </c>
      <c r="AY56" s="86">
        <f>PLĀNS_ar_grozījumiem!AY56-'plans (27122022)'!AY55</f>
        <v>0</v>
      </c>
      <c r="AZ56" s="137" t="e">
        <f>PLĀNS_ar_grozījumiem!AZ56-'plans (27122022)'!AZ55</f>
        <v>#VALUE!</v>
      </c>
      <c r="BA56" s="138" t="e">
        <f>PLĀNS_ar_grozījumiem!BA56-'plans (27122022)'!BA55</f>
        <v>#VALUE!</v>
      </c>
      <c r="BB56" s="139">
        <f>PLĀNS_ar_grozījumiem!BB56-'plans (27122022)'!BB55</f>
        <v>10935.050000000003</v>
      </c>
      <c r="BC56" s="140">
        <f>PLĀNS_ar_grozījumiem!BC56-'plans (27122022)'!BC55</f>
        <v>0</v>
      </c>
      <c r="BD56" s="134" t="e">
        <f>PLĀNS_ar_grozījumiem!BD56-'plans (27122022)'!BD55</f>
        <v>#VALUE!</v>
      </c>
      <c r="BE56" s="135" t="e">
        <f>PLĀNS_ar_grozījumiem!BE56-'plans (27122022)'!BE55</f>
        <v>#VALUE!</v>
      </c>
      <c r="BF56" s="139">
        <f>PLĀNS_ar_grozījumiem!BF56-'plans (27122022)'!BF55</f>
        <v>0</v>
      </c>
      <c r="BG56" s="140">
        <f>PLĀNS_ar_grozījumiem!BG56-'plans (27122022)'!BG55</f>
        <v>0</v>
      </c>
      <c r="BH56" s="134" t="e">
        <f>PLĀNS_ar_grozījumiem!BH56-'plans (27122022)'!BH55</f>
        <v>#VALUE!</v>
      </c>
      <c r="BI56" s="135" t="e">
        <f>PLĀNS_ar_grozījumiem!BI56-'plans (27122022)'!BI55</f>
        <v>#VALUE!</v>
      </c>
      <c r="BJ56" s="141">
        <f>PLĀNS_ar_grozījumiem!BJ56-'plans (27122022)'!BJ55</f>
        <v>1.2906271625790247</v>
      </c>
      <c r="BK56" s="141">
        <f>PLĀNS_ar_grozījumiem!BK56-'plans (27122022)'!BK55</f>
        <v>0</v>
      </c>
      <c r="BL56" s="132">
        <f>PLĀNS_ar_grozījumiem!BL56-'plans (27122022)'!BL55</f>
        <v>10.999999999999091</v>
      </c>
      <c r="BM56" s="133">
        <f>PLĀNS_ar_grozījumiem!BM56-'plans (27122022)'!BM55</f>
        <v>0</v>
      </c>
      <c r="BN56" s="133">
        <f>PLĀNS_ar_grozījumiem!BN56-'plans (27122022)'!BN55</f>
        <v>-38.972017316638137</v>
      </c>
      <c r="BO56" s="133">
        <f>PLĀNS_ar_grozījumiem!BO56-'plans (27122022)'!BO55</f>
        <v>0</v>
      </c>
      <c r="BP56" s="134" t="e">
        <f>PLĀNS_ar_grozījumiem!BP56-'plans (27122022)'!BP55</f>
        <v>#VALUE!</v>
      </c>
      <c r="BQ56" s="135" t="e">
        <f>PLĀNS_ar_grozījumiem!BQ56-'plans (27122022)'!BQ55</f>
        <v>#VALUE!</v>
      </c>
      <c r="BR56" s="136">
        <f>PLĀNS_ar_grozījumiem!BR56-'plans (27122022)'!BR55</f>
        <v>4756.3999999999942</v>
      </c>
      <c r="BS56" s="86">
        <f>PLĀNS_ar_grozījumiem!BS56-'plans (27122022)'!BS55</f>
        <v>0</v>
      </c>
      <c r="BT56" s="137" t="e">
        <f>PLĀNS_ar_grozījumiem!BT56-'plans (27122022)'!BT55</f>
        <v>#VALUE!</v>
      </c>
      <c r="BU56" s="138" t="e">
        <f>PLĀNS_ar_grozījumiem!BU56-'plans (27122022)'!BU55</f>
        <v>#VALUE!</v>
      </c>
      <c r="BV56" s="139">
        <f>PLĀNS_ar_grozījumiem!BV56-'plans (27122022)'!BV55</f>
        <v>4756.3999999999942</v>
      </c>
      <c r="BW56" s="140">
        <f>PLĀNS_ar_grozījumiem!BW56-'plans (27122022)'!BW55</f>
        <v>0</v>
      </c>
      <c r="BX56" s="134" t="e">
        <f>PLĀNS_ar_grozījumiem!BX56-'plans (27122022)'!BX55</f>
        <v>#VALUE!</v>
      </c>
      <c r="BY56" s="135" t="e">
        <f>PLĀNS_ar_grozījumiem!BY56-'plans (27122022)'!BY55</f>
        <v>#VALUE!</v>
      </c>
      <c r="BZ56" s="139">
        <f>PLĀNS_ar_grozījumiem!BZ56-'plans (27122022)'!BZ55</f>
        <v>0</v>
      </c>
      <c r="CA56" s="140">
        <f>PLĀNS_ar_grozījumiem!CA56-'plans (27122022)'!CA55</f>
        <v>0</v>
      </c>
      <c r="CB56" s="134" t="e">
        <f>PLĀNS_ar_grozījumiem!CB56-'plans (27122022)'!CB55</f>
        <v>#VALUE!</v>
      </c>
      <c r="CC56" s="135" t="e">
        <f>PLĀNS_ar_grozījumiem!CC56-'plans (27122022)'!CC55</f>
        <v>#VALUE!</v>
      </c>
      <c r="CD56" s="141">
        <f>PLĀNS_ar_grozījumiem!CD56-'plans (27122022)'!CD55</f>
        <v>1.2036065499307327</v>
      </c>
      <c r="CE56" s="141">
        <f>PLĀNS_ar_grozījumiem!CE56-'plans (27122022)'!CE55</f>
        <v>0</v>
      </c>
      <c r="CF56" s="142">
        <f>PLĀNS_ar_grozījumiem!CF56-'plans (27122022)'!CF55</f>
        <v>204.84999999999854</v>
      </c>
      <c r="CG56" s="141">
        <f>PLĀNS_ar_grozījumiem!CG56-'plans (27122022)'!CG55</f>
        <v>0</v>
      </c>
      <c r="CH56" s="133">
        <f>PLĀNS_ar_grozījumiem!CH56-'plans (27122022)'!CH55</f>
        <v>-38.374112864094172</v>
      </c>
      <c r="CI56" s="143">
        <f>PLĀNS_ar_grozījumiem!CI56-'plans (27122022)'!CI55</f>
        <v>0</v>
      </c>
      <c r="CJ56" s="137" t="e">
        <f>PLĀNS_ar_grozījumiem!CJ56-'plans (27122022)'!CJ55</f>
        <v>#VALUE!</v>
      </c>
      <c r="CK56" s="138" t="e">
        <f>PLĀNS_ar_grozījumiem!CK56-'plans (27122022)'!CK55</f>
        <v>#VALUE!</v>
      </c>
      <c r="CL56" s="139">
        <f>PLĀNS_ar_grozījumiem!CL56-'plans (27122022)'!CL55</f>
        <v>15691.450000000012</v>
      </c>
      <c r="CM56" s="144">
        <f>PLĀNS_ar_grozījumiem!CM56-'plans (27122022)'!CM55</f>
        <v>0</v>
      </c>
      <c r="CN56" s="145" t="e">
        <f>PLĀNS_ar_grozījumiem!CN56-'plans (27122022)'!CN55</f>
        <v>#VALUE!</v>
      </c>
      <c r="CO56" s="138" t="e">
        <f>PLĀNS_ar_grozījumiem!CO56-'plans (27122022)'!CO55</f>
        <v>#VALUE!</v>
      </c>
      <c r="CP56" s="139">
        <f>PLĀNS_ar_grozījumiem!CP56-'plans (27122022)'!CP55</f>
        <v>15691.450000000012</v>
      </c>
      <c r="CQ56" s="140">
        <f>PLĀNS_ar_grozījumiem!CQ56-'plans (27122022)'!CQ55</f>
        <v>0</v>
      </c>
      <c r="CR56" s="137" t="e">
        <f>PLĀNS_ar_grozījumiem!CR56-'plans (27122022)'!CR55</f>
        <v>#VALUE!</v>
      </c>
      <c r="CS56" s="138" t="e">
        <f>PLĀNS_ar_grozījumiem!CS56-'plans (27122022)'!CS55</f>
        <v>#VALUE!</v>
      </c>
      <c r="CT56" s="139">
        <f>PLĀNS_ar_grozījumiem!CT56-'plans (27122022)'!CT55</f>
        <v>0</v>
      </c>
      <c r="CU56" s="140">
        <f>PLĀNS_ar_grozījumiem!CU56-'plans (27122022)'!CU55</f>
        <v>0</v>
      </c>
      <c r="CV56" s="137" t="e">
        <f>PLĀNS_ar_grozījumiem!CV56-'plans (27122022)'!CV55</f>
        <v>#VALUE!</v>
      </c>
      <c r="CW56" s="138" t="e">
        <f>PLĀNS_ar_grozījumiem!CW56-'plans (27122022)'!CW55</f>
        <v>#VALUE!</v>
      </c>
      <c r="CX56" s="139">
        <f>PLĀNS_ar_grozījumiem!CX56-'plans (27122022)'!CX55</f>
        <v>0.69702746232642809</v>
      </c>
      <c r="CY56" s="175">
        <f>PLĀNS_ar_grozījumiem!CY56-'plans (27122022)'!CY55</f>
        <v>0</v>
      </c>
      <c r="CZ56" s="147">
        <f t="shared" si="15"/>
        <v>8635.9</v>
      </c>
      <c r="DA56" s="148">
        <f t="shared" si="15"/>
        <v>0</v>
      </c>
      <c r="DB56" s="177" t="e">
        <f>(CZ56/#REF!)*100</f>
        <v>#REF!</v>
      </c>
      <c r="DC56" s="150" t="e">
        <f>(DA56/#REF!)*100</f>
        <v>#REF!</v>
      </c>
      <c r="DD56" s="139">
        <f t="shared" si="13"/>
        <v>151999</v>
      </c>
      <c r="DE56" s="141">
        <f t="shared" si="13"/>
        <v>0</v>
      </c>
      <c r="DF56" s="141" t="e">
        <f t="shared" si="13"/>
        <v>#VALUE!</v>
      </c>
      <c r="DG56" s="151" t="e">
        <f t="shared" si="10"/>
        <v>#VALUE!</v>
      </c>
      <c r="DH56" s="139">
        <f t="shared" si="10"/>
        <v>151999</v>
      </c>
      <c r="DI56" s="140">
        <f t="shared" si="10"/>
        <v>0</v>
      </c>
      <c r="DJ56" s="140" t="e">
        <f t="shared" si="10"/>
        <v>#VALUE!</v>
      </c>
      <c r="DK56" s="140" t="e">
        <f t="shared" si="10"/>
        <v>#VALUE!</v>
      </c>
      <c r="DL56" s="139">
        <f t="shared" si="10"/>
        <v>0</v>
      </c>
      <c r="DM56" s="140">
        <f t="shared" si="10"/>
        <v>0</v>
      </c>
      <c r="DN56" s="140" t="e">
        <f t="shared" si="10"/>
        <v>#VALUE!</v>
      </c>
      <c r="DO56" s="152" t="e">
        <f t="shared" si="10"/>
        <v>#VALUE!</v>
      </c>
      <c r="DP56" s="139">
        <f t="shared" si="11"/>
        <v>18</v>
      </c>
      <c r="DQ56" s="153" t="e">
        <f t="shared" si="11"/>
        <v>#DIV/0!</v>
      </c>
      <c r="DR56" s="154">
        <f>PLĀNS_ar_grozījumiem!CF56-'plans (27122022)'!CF55</f>
        <v>204.84999999999854</v>
      </c>
      <c r="DS56" s="904">
        <f>DR56/'plans (27122022)'!CF55</f>
        <v>1.1981634204831173E-2</v>
      </c>
      <c r="DT56" s="79">
        <f>PLĀNS_ar_grozījumiem!CL56-'plans (27122022)'!CL55</f>
        <v>15691.450000000012</v>
      </c>
      <c r="DU56" s="905">
        <f>DT56/'plans (27122022)'!CL55</f>
        <v>5.1770561142344379E-2</v>
      </c>
      <c r="DV56" s="86"/>
      <c r="DW56" s="84">
        <f>PLĀNS_ar_grozījumiem!CM56-'plans (27122022)'!CM55</f>
        <v>0</v>
      </c>
      <c r="DX56" s="79">
        <f>PLĀNS_ar_grozījumiem!CP56-'plans (27122022)'!CP55</f>
        <v>15691.450000000012</v>
      </c>
      <c r="DY56" s="905">
        <f>DX56/'plans (27122022)'!CP55</f>
        <v>5.1770561142344379E-2</v>
      </c>
      <c r="DZ56" s="86"/>
      <c r="EA56" s="84"/>
      <c r="EB56" s="79">
        <f>PLĀNS_ar_grozījumiem!CT56-'plans (27122022)'!CT55</f>
        <v>0</v>
      </c>
      <c r="EC56" s="87"/>
      <c r="ED56" s="86"/>
      <c r="EE56" s="87"/>
      <c r="EF56" s="155">
        <f>PLĀNS_ar_grozījumiem!CX56-'plans (27122022)'!CX55</f>
        <v>0.69702746232642809</v>
      </c>
      <c r="EG56" s="912">
        <f>EF56/'plans (27122022)'!CX55</f>
        <v>3.9317835020570846E-2</v>
      </c>
    </row>
    <row r="57" spans="1:137" s="124" customFormat="1" ht="15.75" customHeight="1" x14ac:dyDescent="0.25">
      <c r="A57" s="1070"/>
      <c r="B57" s="90"/>
      <c r="C57" s="1024" t="s">
        <v>45</v>
      </c>
      <c r="D57" s="1005">
        <v>226.9</v>
      </c>
      <c r="E57" s="93"/>
      <c r="F57" s="93">
        <v>10.509495136637332</v>
      </c>
      <c r="G57" s="93"/>
      <c r="H57" s="186" t="s">
        <v>44</v>
      </c>
      <c r="I57" s="187" t="s">
        <v>44</v>
      </c>
      <c r="J57" s="122">
        <v>5217</v>
      </c>
      <c r="K57" s="101"/>
      <c r="L57" s="188" t="s">
        <v>44</v>
      </c>
      <c r="M57" s="189" t="s">
        <v>44</v>
      </c>
      <c r="N57" s="184">
        <v>5217</v>
      </c>
      <c r="O57" s="101"/>
      <c r="P57" s="186" t="s">
        <v>44</v>
      </c>
      <c r="Q57" s="187" t="s">
        <v>44</v>
      </c>
      <c r="R57" s="184">
        <v>0</v>
      </c>
      <c r="S57" s="101"/>
      <c r="T57" s="186" t="s">
        <v>44</v>
      </c>
      <c r="U57" s="187" t="s">
        <v>44</v>
      </c>
      <c r="V57" s="102">
        <v>23</v>
      </c>
      <c r="W57" s="102"/>
      <c r="X57" s="92">
        <v>239.8</v>
      </c>
      <c r="Y57" s="93"/>
      <c r="Z57" s="93">
        <v>10.97985347985348</v>
      </c>
      <c r="AA57" s="93"/>
      <c r="AB57" s="186" t="s">
        <v>44</v>
      </c>
      <c r="AC57" s="187" t="s">
        <v>44</v>
      </c>
      <c r="AD57" s="122">
        <v>5665</v>
      </c>
      <c r="AE57" s="101"/>
      <c r="AF57" s="188" t="s">
        <v>44</v>
      </c>
      <c r="AG57" s="189" t="s">
        <v>44</v>
      </c>
      <c r="AH57" s="184">
        <v>5665</v>
      </c>
      <c r="AI57" s="101"/>
      <c r="AJ57" s="186" t="s">
        <v>44</v>
      </c>
      <c r="AK57" s="187" t="s">
        <v>44</v>
      </c>
      <c r="AL57" s="184">
        <v>0</v>
      </c>
      <c r="AM57" s="101"/>
      <c r="AN57" s="186" t="s">
        <v>44</v>
      </c>
      <c r="AO57" s="187" t="s">
        <v>44</v>
      </c>
      <c r="AP57" s="102">
        <v>24</v>
      </c>
      <c r="AQ57" s="102"/>
      <c r="AR57" s="92">
        <v>230.3</v>
      </c>
      <c r="AS57" s="93">
        <f>PLĀNS_ar_grozījumiem!AS57-'plans (27122022)'!AS56</f>
        <v>0</v>
      </c>
      <c r="AT57" s="93">
        <f>PLĀNS_ar_grozījumiem!AT57-'plans (27122022)'!AT56</f>
        <v>-10.323913043478262</v>
      </c>
      <c r="AU57" s="93">
        <f>PLĀNS_ar_grozījumiem!AU57-'plans (27122022)'!AU56</f>
        <v>0</v>
      </c>
      <c r="AV57" s="186" t="e">
        <f>PLĀNS_ar_grozījumiem!AV57-'plans (27122022)'!AV56</f>
        <v>#VALUE!</v>
      </c>
      <c r="AW57" s="187" t="e">
        <f>PLĀNS_ar_grozījumiem!AW57-'plans (27122022)'!AW56</f>
        <v>#VALUE!</v>
      </c>
      <c r="AX57" s="122">
        <f>PLĀNS_ar_grozījumiem!AX57-'plans (27122022)'!AX56</f>
        <v>486.60000000000036</v>
      </c>
      <c r="AY57" s="101">
        <f>PLĀNS_ar_grozījumiem!AY57-'plans (27122022)'!AY56</f>
        <v>0</v>
      </c>
      <c r="AZ57" s="188" t="e">
        <f>PLĀNS_ar_grozījumiem!AZ57-'plans (27122022)'!AZ56</f>
        <v>#VALUE!</v>
      </c>
      <c r="BA57" s="189" t="e">
        <f>PLĀNS_ar_grozījumiem!BA57-'plans (27122022)'!BA56</f>
        <v>#VALUE!</v>
      </c>
      <c r="BB57" s="184">
        <f>PLĀNS_ar_grozījumiem!BB57-'plans (27122022)'!BB56</f>
        <v>486.60000000000036</v>
      </c>
      <c r="BC57" s="101">
        <f>PLĀNS_ar_grozījumiem!BC57-'plans (27122022)'!BC56</f>
        <v>0</v>
      </c>
      <c r="BD57" s="186" t="e">
        <f>PLĀNS_ar_grozījumiem!BD57-'plans (27122022)'!BD56</f>
        <v>#VALUE!</v>
      </c>
      <c r="BE57" s="187" t="e">
        <f>PLĀNS_ar_grozījumiem!BE57-'plans (27122022)'!BE56</f>
        <v>#VALUE!</v>
      </c>
      <c r="BF57" s="184">
        <f>PLĀNS_ar_grozījumiem!BF57-'plans (27122022)'!BF56</f>
        <v>0</v>
      </c>
      <c r="BG57" s="101">
        <f>PLĀNS_ar_grozījumiem!BG57-'plans (27122022)'!BG56</f>
        <v>0</v>
      </c>
      <c r="BH57" s="186" t="e">
        <f>PLĀNS_ar_grozījumiem!BH57-'plans (27122022)'!BH56</f>
        <v>#VALUE!</v>
      </c>
      <c r="BI57" s="187" t="e">
        <f>PLĀNS_ar_grozījumiem!BI57-'plans (27122022)'!BI56</f>
        <v>#VALUE!</v>
      </c>
      <c r="BJ57" s="102">
        <f>PLĀNS_ar_grozījumiem!BJ57-'plans (27122022)'!BJ56</f>
        <v>1.6541737649063037</v>
      </c>
      <c r="BK57" s="102">
        <f>PLĀNS_ar_grozījumiem!BK57-'plans (27122022)'!BK56</f>
        <v>0</v>
      </c>
      <c r="BL57" s="92">
        <f>PLĀNS_ar_grozījumiem!BL57-'plans (27122022)'!BL56</f>
        <v>-1.7000000000000171</v>
      </c>
      <c r="BM57" s="93">
        <f>PLĀNS_ar_grozījumiem!BM57-'plans (27122022)'!BM56</f>
        <v>0</v>
      </c>
      <c r="BN57" s="93">
        <f>PLĀNS_ar_grozījumiem!BN57-'plans (27122022)'!BN56</f>
        <v>-10.214486192847442</v>
      </c>
      <c r="BO57" s="93">
        <f>PLĀNS_ar_grozījumiem!BO57-'plans (27122022)'!BO56</f>
        <v>0</v>
      </c>
      <c r="BP57" s="186" t="e">
        <f>PLĀNS_ar_grozījumiem!BP57-'plans (27122022)'!BP56</f>
        <v>#VALUE!</v>
      </c>
      <c r="BQ57" s="187" t="e">
        <f>PLĀNS_ar_grozījumiem!BQ57-'plans (27122022)'!BQ56</f>
        <v>#VALUE!</v>
      </c>
      <c r="BR57" s="122">
        <f>PLĀNS_ar_grozījumiem!BR57-'plans (27122022)'!BR56</f>
        <v>-75.399999999999636</v>
      </c>
      <c r="BS57" s="101">
        <f>PLĀNS_ar_grozījumiem!BS57-'plans (27122022)'!BS56</f>
        <v>0</v>
      </c>
      <c r="BT57" s="188" t="e">
        <f>PLĀNS_ar_grozījumiem!BT57-'plans (27122022)'!BT56</f>
        <v>#VALUE!</v>
      </c>
      <c r="BU57" s="189" t="e">
        <f>PLĀNS_ar_grozījumiem!BU57-'plans (27122022)'!BU56</f>
        <v>#VALUE!</v>
      </c>
      <c r="BV57" s="184">
        <f>PLĀNS_ar_grozījumiem!BV57-'plans (27122022)'!BV56</f>
        <v>-75.399999999999636</v>
      </c>
      <c r="BW57" s="101">
        <f>PLĀNS_ar_grozījumiem!BW57-'plans (27122022)'!BW56</f>
        <v>0</v>
      </c>
      <c r="BX57" s="186" t="e">
        <f>PLĀNS_ar_grozījumiem!BX57-'plans (27122022)'!BX56</f>
        <v>#VALUE!</v>
      </c>
      <c r="BY57" s="187" t="e">
        <f>PLĀNS_ar_grozījumiem!BY57-'plans (27122022)'!BY56</f>
        <v>#VALUE!</v>
      </c>
      <c r="BZ57" s="184">
        <f>PLĀNS_ar_grozījumiem!BZ57-'plans (27122022)'!BZ56</f>
        <v>0</v>
      </c>
      <c r="CA57" s="101">
        <f>PLĀNS_ar_grozījumiem!CA57-'plans (27122022)'!CA56</f>
        <v>0</v>
      </c>
      <c r="CB57" s="186" t="e">
        <f>PLĀNS_ar_grozījumiem!CB57-'plans (27122022)'!CB56</f>
        <v>#VALUE!</v>
      </c>
      <c r="CC57" s="187" t="e">
        <f>PLĀNS_ar_grozījumiem!CC57-'plans (27122022)'!CC56</f>
        <v>#VALUE!</v>
      </c>
      <c r="CD57" s="102">
        <f>PLĀNS_ar_grozījumiem!CD57-'plans (27122022)'!CD56</f>
        <v>-4.5092838196282514E-2</v>
      </c>
      <c r="CE57" s="102">
        <f>PLĀNS_ar_grozījumiem!CE57-'plans (27122022)'!CE56</f>
        <v>0</v>
      </c>
      <c r="CF57" s="103">
        <f>PLĀNS_ar_grozījumiem!CF57-'plans (27122022)'!CF56</f>
        <v>2.7999999999999545</v>
      </c>
      <c r="CG57" s="102">
        <f>PLĀNS_ar_grozījumiem!CG57-'plans (27122022)'!CG56</f>
        <v>0</v>
      </c>
      <c r="CH57" s="93">
        <f>PLĀNS_ar_grozījumiem!CH57-'plans (27122022)'!CH56</f>
        <v>-10.452317351598174</v>
      </c>
      <c r="CI57" s="179">
        <f>PLĀNS_ar_grozījumiem!CI57-'plans (27122022)'!CI56</f>
        <v>0</v>
      </c>
      <c r="CJ57" s="188" t="e">
        <f>PLĀNS_ar_grozījumiem!CJ57-'plans (27122022)'!CJ56</f>
        <v>#VALUE!</v>
      </c>
      <c r="CK57" s="189" t="e">
        <f>PLĀNS_ar_grozījumiem!CK57-'plans (27122022)'!CK56</f>
        <v>#VALUE!</v>
      </c>
      <c r="CL57" s="100">
        <f>PLĀNS_ar_grozījumiem!CL57-'plans (27122022)'!CL56</f>
        <v>411.20000000000073</v>
      </c>
      <c r="CM57" s="107">
        <f>PLĀNS_ar_grozījumiem!CM57-'plans (27122022)'!CM56</f>
        <v>0</v>
      </c>
      <c r="CN57" s="190" t="e">
        <f>PLĀNS_ar_grozījumiem!CN57-'plans (27122022)'!CN56</f>
        <v>#VALUE!</v>
      </c>
      <c r="CO57" s="189" t="e">
        <f>PLĀNS_ar_grozījumiem!CO57-'plans (27122022)'!CO56</f>
        <v>#VALUE!</v>
      </c>
      <c r="CP57" s="100">
        <f>PLĀNS_ar_grozījumiem!CP57-'plans (27122022)'!CP56</f>
        <v>411.20000000000073</v>
      </c>
      <c r="CQ57" s="97">
        <f>PLĀNS_ar_grozījumiem!CQ57-'plans (27122022)'!CQ56</f>
        <v>0</v>
      </c>
      <c r="CR57" s="188" t="e">
        <f>PLĀNS_ar_grozījumiem!CR57-'plans (27122022)'!CR56</f>
        <v>#VALUE!</v>
      </c>
      <c r="CS57" s="189" t="e">
        <f>PLĀNS_ar_grozījumiem!CS57-'plans (27122022)'!CS56</f>
        <v>#VALUE!</v>
      </c>
      <c r="CT57" s="100">
        <f>PLĀNS_ar_grozījumiem!CT57-'plans (27122022)'!CT56</f>
        <v>0</v>
      </c>
      <c r="CU57" s="97">
        <f>PLĀNS_ar_grozījumiem!CU57-'plans (27122022)'!CU56</f>
        <v>0</v>
      </c>
      <c r="CV57" s="188" t="e">
        <f>PLĀNS_ar_grozījumiem!CV57-'plans (27122022)'!CV56</f>
        <v>#VALUE!</v>
      </c>
      <c r="CW57" s="189" t="e">
        <f>PLĀNS_ar_grozījumiem!CW57-'plans (27122022)'!CW56</f>
        <v>#VALUE!</v>
      </c>
      <c r="CX57" s="100">
        <f>PLĀNS_ar_grozījumiem!CX57-'plans (27122022)'!CX56</f>
        <v>0.37173826133041032</v>
      </c>
      <c r="CY57" s="174">
        <f>PLĀNS_ar_grozījumiem!CY57-'plans (27122022)'!CY56</f>
        <v>0</v>
      </c>
      <c r="CZ57" s="110">
        <f t="shared" si="15"/>
        <v>466.70000000000005</v>
      </c>
      <c r="DA57" s="111">
        <f t="shared" si="15"/>
        <v>0</v>
      </c>
      <c r="DB57" s="176">
        <f>(CZ57/4343)*100</f>
        <v>10.746028091181211</v>
      </c>
      <c r="DC57" s="113">
        <f>(DA57/4343)*100</f>
        <v>0</v>
      </c>
      <c r="DD57" s="100">
        <f t="shared" si="13"/>
        <v>10882</v>
      </c>
      <c r="DE57" s="102">
        <f t="shared" si="13"/>
        <v>0</v>
      </c>
      <c r="DF57" s="102" t="e">
        <f t="shared" si="13"/>
        <v>#VALUE!</v>
      </c>
      <c r="DG57" s="114" t="e">
        <f t="shared" si="10"/>
        <v>#VALUE!</v>
      </c>
      <c r="DH57" s="100">
        <f t="shared" si="10"/>
        <v>10882</v>
      </c>
      <c r="DI57" s="97">
        <f t="shared" si="10"/>
        <v>0</v>
      </c>
      <c r="DJ57" s="97" t="e">
        <f t="shared" si="10"/>
        <v>#VALUE!</v>
      </c>
      <c r="DK57" s="97" t="e">
        <f t="shared" si="10"/>
        <v>#VALUE!</v>
      </c>
      <c r="DL57" s="100">
        <f t="shared" si="10"/>
        <v>0</v>
      </c>
      <c r="DM57" s="97">
        <f t="shared" si="10"/>
        <v>0</v>
      </c>
      <c r="DN57" s="97" t="e">
        <f t="shared" si="10"/>
        <v>#VALUE!</v>
      </c>
      <c r="DO57" s="115" t="e">
        <f t="shared" si="10"/>
        <v>#VALUE!</v>
      </c>
      <c r="DP57" s="100">
        <f t="shared" si="11"/>
        <v>23</v>
      </c>
      <c r="DQ57" s="116" t="e">
        <f t="shared" si="11"/>
        <v>#DIV/0!</v>
      </c>
      <c r="DR57" s="117">
        <f>PLĀNS_ar_grozījumiem!CF57-'plans (27122022)'!CF56</f>
        <v>2.7999999999999545</v>
      </c>
      <c r="DS57" s="908">
        <f>DR57/'plans (27122022)'!CF56</f>
        <v>3.0273543085738508E-3</v>
      </c>
      <c r="DT57" s="104">
        <f>PLĀNS_ar_grozījumiem!CL57-'plans (27122022)'!CL56</f>
        <v>411.20000000000073</v>
      </c>
      <c r="DU57" s="909">
        <f>DT57/'plans (27122022)'!CL56</f>
        <v>1.8765116597453599E-2</v>
      </c>
      <c r="DV57" s="120"/>
      <c r="DW57" s="118">
        <f>PLĀNS_ar_grozījumiem!CM57-'plans (27122022)'!CM56</f>
        <v>0</v>
      </c>
      <c r="DX57" s="104">
        <f>PLĀNS_ar_grozījumiem!CP57-'plans (27122022)'!CP56</f>
        <v>411.20000000000073</v>
      </c>
      <c r="DY57" s="909">
        <f>DX57/'plans (27122022)'!CP56</f>
        <v>1.8765116597453599E-2</v>
      </c>
      <c r="DZ57" s="120"/>
      <c r="EA57" s="118"/>
      <c r="EB57" s="104">
        <f>PLĀNS_ar_grozījumiem!CT57-'plans (27122022)'!CT56</f>
        <v>0</v>
      </c>
      <c r="EC57" s="121"/>
      <c r="ED57" s="120"/>
      <c r="EE57" s="121"/>
      <c r="EF57" s="122">
        <f>PLĀNS_ar_grozījumiem!CX57-'plans (27122022)'!CX56</f>
        <v>0.37173826133041032</v>
      </c>
      <c r="EG57" s="911">
        <f>EF57/'plans (27122022)'!CX56</f>
        <v>1.5690262305685963E-2</v>
      </c>
    </row>
    <row r="58" spans="1:137" s="5" customFormat="1" ht="15.75" customHeight="1" x14ac:dyDescent="0.25">
      <c r="A58" s="1070"/>
      <c r="B58" s="178"/>
      <c r="C58" s="764" t="s">
        <v>46</v>
      </c>
      <c r="D58" s="1005">
        <v>1204.8</v>
      </c>
      <c r="E58" s="93"/>
      <c r="F58" s="93">
        <v>55.803612783696153</v>
      </c>
      <c r="G58" s="93"/>
      <c r="H58" s="186" t="s">
        <v>44</v>
      </c>
      <c r="I58" s="187" t="s">
        <v>44</v>
      </c>
      <c r="J58" s="122">
        <v>19048</v>
      </c>
      <c r="K58" s="101"/>
      <c r="L58" s="188" t="s">
        <v>44</v>
      </c>
      <c r="M58" s="189" t="s">
        <v>44</v>
      </c>
      <c r="N58" s="100">
        <v>19048</v>
      </c>
      <c r="O58" s="97"/>
      <c r="P58" s="186" t="s">
        <v>44</v>
      </c>
      <c r="Q58" s="187" t="s">
        <v>44</v>
      </c>
      <c r="R58" s="100">
        <v>0</v>
      </c>
      <c r="S58" s="97"/>
      <c r="T58" s="186" t="s">
        <v>44</v>
      </c>
      <c r="U58" s="187" t="s">
        <v>44</v>
      </c>
      <c r="V58" s="102">
        <v>16</v>
      </c>
      <c r="W58" s="102"/>
      <c r="X58" s="92">
        <v>1212.2</v>
      </c>
      <c r="Y58" s="93"/>
      <c r="Z58" s="93">
        <v>55.503663003663007</v>
      </c>
      <c r="AA58" s="93"/>
      <c r="AB58" s="186" t="s">
        <v>44</v>
      </c>
      <c r="AC58" s="187" t="s">
        <v>44</v>
      </c>
      <c r="AD58" s="122">
        <v>19896</v>
      </c>
      <c r="AE58" s="101"/>
      <c r="AF58" s="188" t="s">
        <v>44</v>
      </c>
      <c r="AG58" s="189" t="s">
        <v>44</v>
      </c>
      <c r="AH58" s="100">
        <v>19896</v>
      </c>
      <c r="AI58" s="97"/>
      <c r="AJ58" s="186" t="s">
        <v>44</v>
      </c>
      <c r="AK58" s="187" t="s">
        <v>44</v>
      </c>
      <c r="AL58" s="100">
        <v>0</v>
      </c>
      <c r="AM58" s="97"/>
      <c r="AN58" s="186" t="s">
        <v>44</v>
      </c>
      <c r="AO58" s="187" t="s">
        <v>44</v>
      </c>
      <c r="AP58" s="102">
        <v>16</v>
      </c>
      <c r="AQ58" s="102"/>
      <c r="AR58" s="92">
        <v>1231.3</v>
      </c>
      <c r="AS58" s="93">
        <f>PLĀNS_ar_grozījumiem!AS58-'plans (27122022)'!AS57</f>
        <v>0</v>
      </c>
      <c r="AT58" s="93">
        <f>PLĀNS_ar_grozījumiem!AT58-'plans (27122022)'!AT57</f>
        <v>-55.200135869565216</v>
      </c>
      <c r="AU58" s="93">
        <f>PLĀNS_ar_grozījumiem!AU58-'plans (27122022)'!AU57</f>
        <v>0</v>
      </c>
      <c r="AV58" s="186" t="e">
        <f>PLĀNS_ar_grozījumiem!AV58-'plans (27122022)'!AV57</f>
        <v>#VALUE!</v>
      </c>
      <c r="AW58" s="187" t="e">
        <f>PLĀNS_ar_grozījumiem!AW58-'plans (27122022)'!AW57</f>
        <v>#VALUE!</v>
      </c>
      <c r="AX58" s="122">
        <f>PLĀNS_ar_grozījumiem!AX58-'plans (27122022)'!AX57</f>
        <v>2164.7000000000007</v>
      </c>
      <c r="AY58" s="101">
        <f>PLĀNS_ar_grozījumiem!AY58-'plans (27122022)'!AY57</f>
        <v>0</v>
      </c>
      <c r="AZ58" s="188" t="e">
        <f>PLĀNS_ar_grozījumiem!AZ58-'plans (27122022)'!AZ57</f>
        <v>#VALUE!</v>
      </c>
      <c r="BA58" s="189" t="e">
        <f>PLĀNS_ar_grozījumiem!BA58-'plans (27122022)'!BA57</f>
        <v>#VALUE!</v>
      </c>
      <c r="BB58" s="100">
        <f>PLĀNS_ar_grozījumiem!BB58-'plans (27122022)'!BB57</f>
        <v>2164.7000000000007</v>
      </c>
      <c r="BC58" s="97">
        <f>PLĀNS_ar_grozījumiem!BC58-'plans (27122022)'!BC57</f>
        <v>0</v>
      </c>
      <c r="BD58" s="186" t="e">
        <f>PLĀNS_ar_grozījumiem!BD58-'plans (27122022)'!BD57</f>
        <v>#VALUE!</v>
      </c>
      <c r="BE58" s="187" t="e">
        <f>PLĀNS_ar_grozījumiem!BE58-'plans (27122022)'!BE57</f>
        <v>#VALUE!</v>
      </c>
      <c r="BF58" s="100">
        <f>PLĀNS_ar_grozījumiem!BF58-'plans (27122022)'!BF57</f>
        <v>0</v>
      </c>
      <c r="BG58" s="97">
        <f>PLĀNS_ar_grozījumiem!BG58-'plans (27122022)'!BG57</f>
        <v>0</v>
      </c>
      <c r="BH58" s="186" t="e">
        <f>PLĀNS_ar_grozījumiem!BH58-'plans (27122022)'!BH57</f>
        <v>#VALUE!</v>
      </c>
      <c r="BI58" s="187" t="e">
        <f>PLĀNS_ar_grozījumiem!BI58-'plans (27122022)'!BI57</f>
        <v>#VALUE!</v>
      </c>
      <c r="BJ58" s="102">
        <f>PLĀNS_ar_grozījumiem!BJ58-'plans (27122022)'!BJ57</f>
        <v>1.7299094623828246</v>
      </c>
      <c r="BK58" s="102">
        <f>PLĀNS_ar_grozījumiem!BK58-'plans (27122022)'!BK57</f>
        <v>0</v>
      </c>
      <c r="BL58" s="92">
        <f>PLĀNS_ar_grozījumiem!BL58-'plans (27122022)'!BL57</f>
        <v>0</v>
      </c>
      <c r="BM58" s="93">
        <f>PLĀNS_ar_grozījumiem!BM58-'plans (27122022)'!BM57</f>
        <v>0</v>
      </c>
      <c r="BN58" s="93">
        <f>PLĀNS_ar_grozījumiem!BN58-'plans (27122022)'!BN57</f>
        <v>-55.236532367587145</v>
      </c>
      <c r="BO58" s="93">
        <f>PLĀNS_ar_grozījumiem!BO58-'plans (27122022)'!BO57</f>
        <v>0</v>
      </c>
      <c r="BP58" s="186" t="e">
        <f>PLĀNS_ar_grozījumiem!BP58-'plans (27122022)'!BP57</f>
        <v>#VALUE!</v>
      </c>
      <c r="BQ58" s="187" t="e">
        <f>PLĀNS_ar_grozījumiem!BQ58-'plans (27122022)'!BQ57</f>
        <v>#VALUE!</v>
      </c>
      <c r="BR58" s="122">
        <f>PLĀNS_ar_grozījumiem!BR58-'plans (27122022)'!BR57</f>
        <v>2406.5</v>
      </c>
      <c r="BS58" s="101">
        <f>PLĀNS_ar_grozījumiem!BS58-'plans (27122022)'!BS57</f>
        <v>0</v>
      </c>
      <c r="BT58" s="188" t="e">
        <f>PLĀNS_ar_grozījumiem!BT58-'plans (27122022)'!BT57</f>
        <v>#VALUE!</v>
      </c>
      <c r="BU58" s="189" t="e">
        <f>PLĀNS_ar_grozījumiem!BU58-'plans (27122022)'!BU57</f>
        <v>#VALUE!</v>
      </c>
      <c r="BV58" s="100">
        <f>PLĀNS_ar_grozījumiem!BV58-'plans (27122022)'!BV57</f>
        <v>2406.5</v>
      </c>
      <c r="BW58" s="97">
        <f>PLĀNS_ar_grozījumiem!BW58-'plans (27122022)'!BW57</f>
        <v>0</v>
      </c>
      <c r="BX58" s="186" t="e">
        <f>PLĀNS_ar_grozījumiem!BX58-'plans (27122022)'!BX57</f>
        <v>#VALUE!</v>
      </c>
      <c r="BY58" s="187" t="e">
        <f>PLĀNS_ar_grozījumiem!BY58-'plans (27122022)'!BY57</f>
        <v>#VALUE!</v>
      </c>
      <c r="BZ58" s="100">
        <f>PLĀNS_ar_grozījumiem!BZ58-'plans (27122022)'!BZ57</f>
        <v>0</v>
      </c>
      <c r="CA58" s="97">
        <f>PLĀNS_ar_grozījumiem!CA58-'plans (27122022)'!CA57</f>
        <v>0</v>
      </c>
      <c r="CB58" s="186" t="e">
        <f>PLĀNS_ar_grozījumiem!CB58-'plans (27122022)'!CB57</f>
        <v>#VALUE!</v>
      </c>
      <c r="CC58" s="187" t="e">
        <f>PLĀNS_ar_grozījumiem!CC58-'plans (27122022)'!CC57</f>
        <v>#VALUE!</v>
      </c>
      <c r="CD58" s="102">
        <f>PLĀNS_ar_grozījumiem!CD58-'plans (27122022)'!CD57</f>
        <v>2.2421906693711975</v>
      </c>
      <c r="CE58" s="102">
        <f>PLĀNS_ar_grozījumiem!CE58-'plans (27122022)'!CE57</f>
        <v>0</v>
      </c>
      <c r="CF58" s="103">
        <f>PLĀNS_ar_grozījumiem!CF58-'plans (27122022)'!CF57</f>
        <v>16.800000000000182</v>
      </c>
      <c r="CG58" s="102">
        <f>PLĀNS_ar_grozījumiem!CG58-'plans (27122022)'!CG57</f>
        <v>0</v>
      </c>
      <c r="CH58" s="93">
        <f>PLĀNS_ar_grozījumiem!CH58-'plans (27122022)'!CH57</f>
        <v>-55.157808219178079</v>
      </c>
      <c r="CI58" s="179">
        <f>PLĀNS_ar_grozījumiem!CI58-'plans (27122022)'!CI57</f>
        <v>0</v>
      </c>
      <c r="CJ58" s="188" t="e">
        <f>PLĀNS_ar_grozījumiem!CJ58-'plans (27122022)'!CJ57</f>
        <v>#VALUE!</v>
      </c>
      <c r="CK58" s="189" t="e">
        <f>PLĀNS_ar_grozījumiem!CK58-'plans (27122022)'!CK57</f>
        <v>#VALUE!</v>
      </c>
      <c r="CL58" s="100">
        <f>PLĀNS_ar_grozījumiem!CL58-'plans (27122022)'!CL57</f>
        <v>4571.1999999999971</v>
      </c>
      <c r="CM58" s="107">
        <f>PLĀNS_ar_grozījumiem!CM58-'plans (27122022)'!CM57</f>
        <v>0</v>
      </c>
      <c r="CN58" s="190" t="e">
        <f>PLĀNS_ar_grozījumiem!CN58-'plans (27122022)'!CN57</f>
        <v>#VALUE!</v>
      </c>
      <c r="CO58" s="189" t="e">
        <f>PLĀNS_ar_grozījumiem!CO58-'plans (27122022)'!CO57</f>
        <v>#VALUE!</v>
      </c>
      <c r="CP58" s="100">
        <f>PLĀNS_ar_grozījumiem!CP58-'plans (27122022)'!CP57</f>
        <v>4571.1999999999971</v>
      </c>
      <c r="CQ58" s="97">
        <f>PLĀNS_ar_grozījumiem!CQ58-'plans (27122022)'!CQ57</f>
        <v>0</v>
      </c>
      <c r="CR58" s="188" t="e">
        <f>PLĀNS_ar_grozījumiem!CR58-'plans (27122022)'!CR57</f>
        <v>#VALUE!</v>
      </c>
      <c r="CS58" s="189" t="e">
        <f>PLĀNS_ar_grozījumiem!CS58-'plans (27122022)'!CS57</f>
        <v>#VALUE!</v>
      </c>
      <c r="CT58" s="100">
        <f>PLĀNS_ar_grozījumiem!CT58-'plans (27122022)'!CT57</f>
        <v>0</v>
      </c>
      <c r="CU58" s="97">
        <f>PLĀNS_ar_grozījumiem!CU58-'plans (27122022)'!CU57</f>
        <v>0</v>
      </c>
      <c r="CV58" s="188" t="e">
        <f>PLĀNS_ar_grozījumiem!CV58-'plans (27122022)'!CV57</f>
        <v>#VALUE!</v>
      </c>
      <c r="CW58" s="189" t="e">
        <f>PLĀNS_ar_grozījumiem!CW58-'plans (27122022)'!CW57</f>
        <v>#VALUE!</v>
      </c>
      <c r="CX58" s="100">
        <f>PLĀNS_ar_grozījumiem!CX58-'plans (27122022)'!CX57</f>
        <v>0.87784404509283576</v>
      </c>
      <c r="CY58" s="174">
        <f>PLĀNS_ar_grozījumiem!CY58-'plans (27122022)'!CY57</f>
        <v>0</v>
      </c>
      <c r="CZ58" s="110">
        <f t="shared" si="15"/>
        <v>2417</v>
      </c>
      <c r="DA58" s="111">
        <f t="shared" si="15"/>
        <v>0</v>
      </c>
      <c r="DB58" s="176">
        <f t="shared" ref="DB58:DC61" si="18">(CZ58/4343)*100</f>
        <v>55.652774579783561</v>
      </c>
      <c r="DC58" s="113">
        <f t="shared" si="18"/>
        <v>0</v>
      </c>
      <c r="DD58" s="100">
        <f t="shared" si="13"/>
        <v>38944</v>
      </c>
      <c r="DE58" s="102">
        <f t="shared" si="13"/>
        <v>0</v>
      </c>
      <c r="DF58" s="102" t="e">
        <f t="shared" si="13"/>
        <v>#VALUE!</v>
      </c>
      <c r="DG58" s="114" t="e">
        <f t="shared" si="10"/>
        <v>#VALUE!</v>
      </c>
      <c r="DH58" s="100">
        <f t="shared" si="10"/>
        <v>38944</v>
      </c>
      <c r="DI58" s="97">
        <f t="shared" si="10"/>
        <v>0</v>
      </c>
      <c r="DJ58" s="97" t="e">
        <f t="shared" si="10"/>
        <v>#VALUE!</v>
      </c>
      <c r="DK58" s="97" t="e">
        <f t="shared" si="10"/>
        <v>#VALUE!</v>
      </c>
      <c r="DL58" s="100">
        <f t="shared" si="10"/>
        <v>0</v>
      </c>
      <c r="DM58" s="97">
        <f t="shared" si="10"/>
        <v>0</v>
      </c>
      <c r="DN58" s="97" t="e">
        <f t="shared" si="10"/>
        <v>#VALUE!</v>
      </c>
      <c r="DO58" s="115" t="e">
        <f t="shared" si="10"/>
        <v>#VALUE!</v>
      </c>
      <c r="DP58" s="100">
        <f t="shared" si="11"/>
        <v>16</v>
      </c>
      <c r="DQ58" s="116" t="e">
        <f t="shared" si="11"/>
        <v>#DIV/0!</v>
      </c>
      <c r="DR58" s="117">
        <f>PLĀNS_ar_grozījumiem!CF58-'plans (27122022)'!CF57</f>
        <v>16.800000000000182</v>
      </c>
      <c r="DS58" s="908">
        <f>DR58/'plans (27122022)'!CF57</f>
        <v>3.4420586789051348E-3</v>
      </c>
      <c r="DT58" s="104">
        <f>PLĀNS_ar_grozījumiem!CL58-'plans (27122022)'!CL57</f>
        <v>4571.1999999999971</v>
      </c>
      <c r="DU58" s="909">
        <f>DT58/'plans (27122022)'!CL57</f>
        <v>5.7874279926568302E-2</v>
      </c>
      <c r="DV58" s="120"/>
      <c r="DW58" s="118">
        <f>PLĀNS_ar_grozījumiem!CM58-'plans (27122022)'!CM57</f>
        <v>0</v>
      </c>
      <c r="DX58" s="104">
        <f>PLĀNS_ar_grozījumiem!CP58-'plans (27122022)'!CP57</f>
        <v>4571.1999999999971</v>
      </c>
      <c r="DY58" s="909">
        <f>DX58/'plans (27122022)'!CP57</f>
        <v>5.7874279926568302E-2</v>
      </c>
      <c r="DZ58" s="120"/>
      <c r="EA58" s="118"/>
      <c r="EB58" s="104">
        <f>PLĀNS_ar_grozījumiem!CT58-'plans (27122022)'!CT57</f>
        <v>0</v>
      </c>
      <c r="EC58" s="121"/>
      <c r="ED58" s="120"/>
      <c r="EE58" s="121"/>
      <c r="EF58" s="122">
        <f>PLĀNS_ar_grozījumiem!CX58-'plans (27122022)'!CX57</f>
        <v>0.87784404509283576</v>
      </c>
      <c r="EG58" s="911">
        <f>EF58/'plans (27122022)'!CX57</f>
        <v>5.4245505036261479E-2</v>
      </c>
    </row>
    <row r="59" spans="1:137" ht="15.75" customHeight="1" x14ac:dyDescent="0.25">
      <c r="A59" s="1070"/>
      <c r="B59" s="169"/>
      <c r="C59" s="1024" t="s">
        <v>47</v>
      </c>
      <c r="D59" s="1005">
        <v>988.2</v>
      </c>
      <c r="E59" s="93"/>
      <c r="F59" s="93">
        <v>45.771190365910144</v>
      </c>
      <c r="G59" s="93"/>
      <c r="H59" s="186" t="s">
        <v>44</v>
      </c>
      <c r="I59" s="187" t="s">
        <v>44</v>
      </c>
      <c r="J59" s="122">
        <v>24791</v>
      </c>
      <c r="K59" s="101"/>
      <c r="L59" s="188" t="s">
        <v>44</v>
      </c>
      <c r="M59" s="189" t="s">
        <v>44</v>
      </c>
      <c r="N59" s="100">
        <v>24791</v>
      </c>
      <c r="O59" s="126"/>
      <c r="P59" s="186" t="s">
        <v>44</v>
      </c>
      <c r="Q59" s="187" t="s">
        <v>44</v>
      </c>
      <c r="R59" s="100">
        <v>0</v>
      </c>
      <c r="S59" s="97"/>
      <c r="T59" s="186" t="s">
        <v>44</v>
      </c>
      <c r="U59" s="187" t="s">
        <v>44</v>
      </c>
      <c r="V59" s="102">
        <v>25</v>
      </c>
      <c r="W59" s="102"/>
      <c r="X59" s="92">
        <v>890.6</v>
      </c>
      <c r="Y59" s="93"/>
      <c r="Z59" s="93">
        <v>40.778388278388277</v>
      </c>
      <c r="AA59" s="93"/>
      <c r="AB59" s="186" t="s">
        <v>44</v>
      </c>
      <c r="AC59" s="187" t="s">
        <v>44</v>
      </c>
      <c r="AD59" s="122">
        <v>24697</v>
      </c>
      <c r="AE59" s="101"/>
      <c r="AF59" s="188" t="s">
        <v>44</v>
      </c>
      <c r="AG59" s="189" t="s">
        <v>44</v>
      </c>
      <c r="AH59" s="100">
        <v>24697</v>
      </c>
      <c r="AI59" s="126"/>
      <c r="AJ59" s="186" t="s">
        <v>44</v>
      </c>
      <c r="AK59" s="187" t="s">
        <v>44</v>
      </c>
      <c r="AL59" s="100">
        <v>0</v>
      </c>
      <c r="AM59" s="97"/>
      <c r="AN59" s="186" t="s">
        <v>44</v>
      </c>
      <c r="AO59" s="187" t="s">
        <v>44</v>
      </c>
      <c r="AP59" s="102">
        <v>28</v>
      </c>
      <c r="AQ59" s="102"/>
      <c r="AR59" s="92">
        <v>650.20000000000005</v>
      </c>
      <c r="AS59" s="93">
        <f>PLĀNS_ar_grozījumiem!AS59-'plans (27122022)'!AS58</f>
        <v>0</v>
      </c>
      <c r="AT59" s="93">
        <f>PLĀNS_ar_grozījumiem!AT59-'plans (27122022)'!AT58</f>
        <v>-29.1408740942029</v>
      </c>
      <c r="AU59" s="93">
        <f>PLĀNS_ar_grozījumiem!AU59-'plans (27122022)'!AU58</f>
        <v>0</v>
      </c>
      <c r="AV59" s="186" t="e">
        <f>PLĀNS_ar_grozījumiem!AV59-'plans (27122022)'!AV58</f>
        <v>#VALUE!</v>
      </c>
      <c r="AW59" s="187" t="e">
        <f>PLĀNS_ar_grozījumiem!AW59-'plans (27122022)'!AW58</f>
        <v>#VALUE!</v>
      </c>
      <c r="AX59" s="122">
        <f>PLĀNS_ar_grozījumiem!AX59-'plans (27122022)'!AX58</f>
        <v>6725.4000000000015</v>
      </c>
      <c r="AY59" s="101">
        <f>PLĀNS_ar_grozījumiem!AY59-'plans (27122022)'!AY58</f>
        <v>0</v>
      </c>
      <c r="AZ59" s="188" t="e">
        <f>PLĀNS_ar_grozījumiem!AZ59-'plans (27122022)'!AZ58</f>
        <v>#VALUE!</v>
      </c>
      <c r="BA59" s="189" t="e">
        <f>PLĀNS_ar_grozījumiem!BA59-'plans (27122022)'!BA58</f>
        <v>#VALUE!</v>
      </c>
      <c r="BB59" s="100">
        <f>PLĀNS_ar_grozījumiem!BB59-'plans (27122022)'!BB58</f>
        <v>6725.4000000000015</v>
      </c>
      <c r="BC59" s="126">
        <f>PLĀNS_ar_grozījumiem!BC59-'plans (27122022)'!BC58</f>
        <v>0</v>
      </c>
      <c r="BD59" s="186" t="e">
        <f>PLĀNS_ar_grozījumiem!BD59-'plans (27122022)'!BD58</f>
        <v>#VALUE!</v>
      </c>
      <c r="BE59" s="187" t="e">
        <f>PLĀNS_ar_grozījumiem!BE59-'plans (27122022)'!BE58</f>
        <v>#VALUE!</v>
      </c>
      <c r="BF59" s="100">
        <f>PLĀNS_ar_grozījumiem!BF59-'plans (27122022)'!BF58</f>
        <v>0</v>
      </c>
      <c r="BG59" s="97">
        <f>PLĀNS_ar_grozījumiem!BG59-'plans (27122022)'!BG58</f>
        <v>0</v>
      </c>
      <c r="BH59" s="186" t="e">
        <f>PLĀNS_ar_grozījumiem!BH59-'plans (27122022)'!BH58</f>
        <v>#VALUE!</v>
      </c>
      <c r="BI59" s="187" t="e">
        <f>PLĀNS_ar_grozījumiem!BI59-'plans (27122022)'!BI58</f>
        <v>#VALUE!</v>
      </c>
      <c r="BJ59" s="102">
        <f>PLĀNS_ar_grozījumiem!BJ59-'plans (27122022)'!BJ58</f>
        <v>8.3874732254967128</v>
      </c>
      <c r="BK59" s="102">
        <f>PLĀNS_ar_grozījumiem!BK59-'plans (27122022)'!BK58</f>
        <v>0</v>
      </c>
      <c r="BL59" s="92">
        <f>PLĀNS_ar_grozījumiem!BL59-'plans (27122022)'!BL58</f>
        <v>23.200000000000045</v>
      </c>
      <c r="BM59" s="93">
        <f>PLĀNS_ar_grozījumiem!BM59-'plans (27122022)'!BM58</f>
        <v>0</v>
      </c>
      <c r="BN59" s="93">
        <f>PLĀNS_ar_grozījumiem!BN59-'plans (27122022)'!BN58</f>
        <v>-46.141693073789035</v>
      </c>
      <c r="BO59" s="93">
        <f>PLĀNS_ar_grozījumiem!BO59-'plans (27122022)'!BO58</f>
        <v>0</v>
      </c>
      <c r="BP59" s="186" t="e">
        <f>PLĀNS_ar_grozījumiem!BP59-'plans (27122022)'!BP58</f>
        <v>#VALUE!</v>
      </c>
      <c r="BQ59" s="187" t="e">
        <f>PLĀNS_ar_grozījumiem!BQ59-'plans (27122022)'!BQ58</f>
        <v>#VALUE!</v>
      </c>
      <c r="BR59" s="122">
        <f>PLĀNS_ar_grozījumiem!BR59-'plans (27122022)'!BR58</f>
        <v>5726.3000000000029</v>
      </c>
      <c r="BS59" s="101">
        <f>PLĀNS_ar_grozījumiem!BS59-'plans (27122022)'!BS58</f>
        <v>0</v>
      </c>
      <c r="BT59" s="188" t="e">
        <f>PLĀNS_ar_grozījumiem!BT59-'plans (27122022)'!BT58</f>
        <v>#VALUE!</v>
      </c>
      <c r="BU59" s="189" t="e">
        <f>PLĀNS_ar_grozījumiem!BU59-'plans (27122022)'!BU58</f>
        <v>#VALUE!</v>
      </c>
      <c r="BV59" s="100">
        <f>PLĀNS_ar_grozījumiem!BV59-'plans (27122022)'!BV58</f>
        <v>5726.3000000000029</v>
      </c>
      <c r="BW59" s="126">
        <f>PLĀNS_ar_grozījumiem!BW59-'plans (27122022)'!BW58</f>
        <v>0</v>
      </c>
      <c r="BX59" s="186" t="e">
        <f>PLĀNS_ar_grozījumiem!BX59-'plans (27122022)'!BX58</f>
        <v>#VALUE!</v>
      </c>
      <c r="BY59" s="187" t="e">
        <f>PLĀNS_ar_grozījumiem!BY59-'plans (27122022)'!BY58</f>
        <v>#VALUE!</v>
      </c>
      <c r="BZ59" s="100">
        <f>PLĀNS_ar_grozījumiem!BZ59-'plans (27122022)'!BZ58</f>
        <v>0</v>
      </c>
      <c r="CA59" s="97">
        <f>PLĀNS_ar_grozījumiem!CA59-'plans (27122022)'!CA58</f>
        <v>0</v>
      </c>
      <c r="CB59" s="186" t="e">
        <f>PLĀNS_ar_grozījumiem!CB59-'plans (27122022)'!CB58</f>
        <v>#VALUE!</v>
      </c>
      <c r="CC59" s="187" t="e">
        <f>PLĀNS_ar_grozījumiem!CC59-'plans (27122022)'!CC58</f>
        <v>#VALUE!</v>
      </c>
      <c r="CD59" s="102">
        <f>PLĀNS_ar_grozījumiem!CD59-'plans (27122022)'!CD58</f>
        <v>4.9888888888888907</v>
      </c>
      <c r="CE59" s="102">
        <f>PLĀNS_ar_grozījumiem!CE59-'plans (27122022)'!CE58</f>
        <v>0</v>
      </c>
      <c r="CF59" s="103">
        <f>PLĀNS_ar_grozījumiem!CF59-'plans (27122022)'!CF58</f>
        <v>49.949999999999818</v>
      </c>
      <c r="CG59" s="102">
        <f>PLĀNS_ar_grozījumiem!CG59-'plans (27122022)'!CG58</f>
        <v>0</v>
      </c>
      <c r="CH59" s="93">
        <f>PLĀNS_ar_grozījumiem!CH59-'plans (27122022)'!CH58</f>
        <v>-40.213613013698627</v>
      </c>
      <c r="CI59" s="127">
        <f>PLĀNS_ar_grozījumiem!CI59-'plans (27122022)'!CI58</f>
        <v>0</v>
      </c>
      <c r="CJ59" s="188" t="e">
        <f>PLĀNS_ar_grozījumiem!CJ59-'plans (27122022)'!CJ58</f>
        <v>#VALUE!</v>
      </c>
      <c r="CK59" s="189" t="e">
        <f>PLĀNS_ar_grozījumiem!CK59-'plans (27122022)'!CK58</f>
        <v>#VALUE!</v>
      </c>
      <c r="CL59" s="100">
        <f>PLĀNS_ar_grozījumiem!CL59-'plans (27122022)'!CL58</f>
        <v>12451.700000000012</v>
      </c>
      <c r="CM59" s="107">
        <f>PLĀNS_ar_grozījumiem!CM59-'plans (27122022)'!CM58</f>
        <v>0</v>
      </c>
      <c r="CN59" s="190" t="e">
        <f>PLĀNS_ar_grozījumiem!CN59-'plans (27122022)'!CN58</f>
        <v>#VALUE!</v>
      </c>
      <c r="CO59" s="189" t="e">
        <f>PLĀNS_ar_grozījumiem!CO59-'plans (27122022)'!CO58</f>
        <v>#VALUE!</v>
      </c>
      <c r="CP59" s="100">
        <f>PLĀNS_ar_grozījumiem!CP59-'plans (27122022)'!CP58</f>
        <v>12451.700000000012</v>
      </c>
      <c r="CQ59" s="97">
        <f>PLĀNS_ar_grozījumiem!CQ59-'plans (27122022)'!CQ58</f>
        <v>0</v>
      </c>
      <c r="CR59" s="188" t="e">
        <f>PLĀNS_ar_grozījumiem!CR59-'plans (27122022)'!CR58</f>
        <v>#VALUE!</v>
      </c>
      <c r="CS59" s="189" t="e">
        <f>PLĀNS_ar_grozījumiem!CS59-'plans (27122022)'!CS58</f>
        <v>#VALUE!</v>
      </c>
      <c r="CT59" s="100">
        <f>PLĀNS_ar_grozījumiem!CT59-'plans (27122022)'!CT58</f>
        <v>0</v>
      </c>
      <c r="CU59" s="97">
        <f>PLĀNS_ar_grozījumiem!CU59-'plans (27122022)'!CU58</f>
        <v>0</v>
      </c>
      <c r="CV59" s="188" t="e">
        <f>PLĀNS_ar_grozījumiem!CV59-'plans (27122022)'!CV58</f>
        <v>#VALUE!</v>
      </c>
      <c r="CW59" s="189" t="e">
        <f>PLĀNS_ar_grozījumiem!CW59-'plans (27122022)'!CW58</f>
        <v>#VALUE!</v>
      </c>
      <c r="CX59" s="100">
        <f>PLĀNS_ar_grozījumiem!CX59-'plans (27122022)'!CX58</f>
        <v>3.0783888740319085</v>
      </c>
      <c r="CY59" s="174">
        <f>PLĀNS_ar_grozījumiem!CY59-'plans (27122022)'!CY58</f>
        <v>0</v>
      </c>
      <c r="CZ59" s="110">
        <f t="shared" si="15"/>
        <v>1878.8000000000002</v>
      </c>
      <c r="DA59" s="111">
        <f t="shared" si="15"/>
        <v>0</v>
      </c>
      <c r="DB59" s="176">
        <f t="shared" si="18"/>
        <v>43.260419065162338</v>
      </c>
      <c r="DC59" s="113">
        <f t="shared" si="18"/>
        <v>0</v>
      </c>
      <c r="DD59" s="100">
        <f t="shared" si="13"/>
        <v>49488</v>
      </c>
      <c r="DE59" s="102">
        <f t="shared" si="13"/>
        <v>0</v>
      </c>
      <c r="DF59" s="102" t="e">
        <f t="shared" si="13"/>
        <v>#VALUE!</v>
      </c>
      <c r="DG59" s="114" t="e">
        <f t="shared" si="10"/>
        <v>#VALUE!</v>
      </c>
      <c r="DH59" s="100">
        <f t="shared" si="10"/>
        <v>49488</v>
      </c>
      <c r="DI59" s="97">
        <f t="shared" si="10"/>
        <v>0</v>
      </c>
      <c r="DJ59" s="97" t="e">
        <f t="shared" si="10"/>
        <v>#VALUE!</v>
      </c>
      <c r="DK59" s="97" t="e">
        <f t="shared" si="10"/>
        <v>#VALUE!</v>
      </c>
      <c r="DL59" s="100">
        <f t="shared" si="10"/>
        <v>0</v>
      </c>
      <c r="DM59" s="97">
        <f t="shared" si="10"/>
        <v>0</v>
      </c>
      <c r="DN59" s="97" t="e">
        <f t="shared" si="10"/>
        <v>#VALUE!</v>
      </c>
      <c r="DO59" s="115" t="e">
        <f t="shared" si="10"/>
        <v>#VALUE!</v>
      </c>
      <c r="DP59" s="100">
        <f t="shared" si="11"/>
        <v>26</v>
      </c>
      <c r="DQ59" s="116" t="e">
        <f t="shared" si="11"/>
        <v>#DIV/0!</v>
      </c>
      <c r="DR59" s="117">
        <f>PLĀNS_ar_grozījumiem!CF59-'plans (27122022)'!CF58</f>
        <v>49.949999999999818</v>
      </c>
      <c r="DS59" s="908">
        <f>DR59/'plans (27122022)'!CF58</f>
        <v>1.4035629987636231E-2</v>
      </c>
      <c r="DT59" s="104">
        <f>PLĀNS_ar_grozījumiem!CL59-'plans (27122022)'!CL58</f>
        <v>12451.700000000012</v>
      </c>
      <c r="DU59" s="909">
        <f>DT59/'plans (27122022)'!CL58</f>
        <v>0.13017437848913804</v>
      </c>
      <c r="DV59" s="120"/>
      <c r="DW59" s="118">
        <f>PLĀNS_ar_grozījumiem!CM59-'plans (27122022)'!CM58</f>
        <v>0</v>
      </c>
      <c r="DX59" s="104">
        <f>PLĀNS_ar_grozījumiem!CP59-'plans (27122022)'!CP58</f>
        <v>12451.700000000012</v>
      </c>
      <c r="DY59" s="909">
        <f>DX59/'plans (27122022)'!CP58</f>
        <v>0.13017437848913804</v>
      </c>
      <c r="DZ59" s="120"/>
      <c r="EA59" s="118"/>
      <c r="EB59" s="104">
        <f>PLĀNS_ar_grozījumiem!CT59-'plans (27122022)'!CT58</f>
        <v>0</v>
      </c>
      <c r="EC59" s="121"/>
      <c r="ED59" s="120"/>
      <c r="EE59" s="121"/>
      <c r="EF59" s="122">
        <f>PLĀNS_ar_grozījumiem!CX59-'plans (27122022)'!CX58</f>
        <v>3.0783888740319085</v>
      </c>
      <c r="EG59" s="911">
        <f>EF59/'plans (27122022)'!CX58</f>
        <v>0.11453123052778511</v>
      </c>
    </row>
    <row r="60" spans="1:137" ht="15.75" customHeight="1" x14ac:dyDescent="0.25">
      <c r="A60" s="1070"/>
      <c r="B60" s="169"/>
      <c r="C60" s="1024" t="s">
        <v>48</v>
      </c>
      <c r="D60" s="1005">
        <v>805</v>
      </c>
      <c r="E60" s="93"/>
      <c r="F60" s="93">
        <v>37.285780453913844</v>
      </c>
      <c r="G60" s="93"/>
      <c r="H60" s="186" t="s">
        <v>44</v>
      </c>
      <c r="I60" s="187" t="s">
        <v>44</v>
      </c>
      <c r="J60" s="122">
        <v>16659</v>
      </c>
      <c r="K60" s="101"/>
      <c r="L60" s="188" t="s">
        <v>44</v>
      </c>
      <c r="M60" s="189" t="s">
        <v>44</v>
      </c>
      <c r="N60" s="100">
        <v>16659</v>
      </c>
      <c r="O60" s="126"/>
      <c r="P60" s="186" t="s">
        <v>44</v>
      </c>
      <c r="Q60" s="187" t="s">
        <v>44</v>
      </c>
      <c r="R60" s="100">
        <v>0</v>
      </c>
      <c r="S60" s="97"/>
      <c r="T60" s="186" t="s">
        <v>44</v>
      </c>
      <c r="U60" s="187" t="s">
        <v>44</v>
      </c>
      <c r="V60" s="102">
        <v>21</v>
      </c>
      <c r="W60" s="102"/>
      <c r="X60" s="92">
        <v>816.8</v>
      </c>
      <c r="Y60" s="93"/>
      <c r="Z60" s="93">
        <v>37.399267399267401</v>
      </c>
      <c r="AA60" s="93"/>
      <c r="AB60" s="186" t="s">
        <v>44</v>
      </c>
      <c r="AC60" s="187" t="s">
        <v>44</v>
      </c>
      <c r="AD60" s="122">
        <v>17516</v>
      </c>
      <c r="AE60" s="101"/>
      <c r="AF60" s="188" t="s">
        <v>44</v>
      </c>
      <c r="AG60" s="189" t="s">
        <v>44</v>
      </c>
      <c r="AH60" s="100">
        <v>17516</v>
      </c>
      <c r="AI60" s="126"/>
      <c r="AJ60" s="186" t="s">
        <v>44</v>
      </c>
      <c r="AK60" s="187" t="s">
        <v>44</v>
      </c>
      <c r="AL60" s="100">
        <v>0</v>
      </c>
      <c r="AM60" s="97"/>
      <c r="AN60" s="186" t="s">
        <v>44</v>
      </c>
      <c r="AO60" s="187" t="s">
        <v>44</v>
      </c>
      <c r="AP60" s="102">
        <v>21</v>
      </c>
      <c r="AQ60" s="102"/>
      <c r="AR60" s="92">
        <v>824.5</v>
      </c>
      <c r="AS60" s="93">
        <f>PLĀNS_ar_grozījumiem!AS60-'plans (27122022)'!AS59</f>
        <v>0</v>
      </c>
      <c r="AT60" s="93">
        <f>PLĀNS_ar_grozījumiem!AT60-'plans (27122022)'!AT59</f>
        <v>-36.968931159420286</v>
      </c>
      <c r="AU60" s="93">
        <f>PLĀNS_ar_grozījumiem!AU60-'plans (27122022)'!AU59</f>
        <v>0</v>
      </c>
      <c r="AV60" s="186" t="e">
        <f>PLĀNS_ar_grozījumiem!AV60-'plans (27122022)'!AV59</f>
        <v>#VALUE!</v>
      </c>
      <c r="AW60" s="187" t="e">
        <f>PLĀNS_ar_grozījumiem!AW60-'plans (27122022)'!AW59</f>
        <v>#VALUE!</v>
      </c>
      <c r="AX60" s="122">
        <f>PLĀNS_ar_grozījumiem!AX60-'plans (27122022)'!AX59</f>
        <v>1029.8000000000029</v>
      </c>
      <c r="AY60" s="101">
        <f>PLĀNS_ar_grozījumiem!AY60-'plans (27122022)'!AY59</f>
        <v>0</v>
      </c>
      <c r="AZ60" s="188" t="e">
        <f>PLĀNS_ar_grozījumiem!AZ60-'plans (27122022)'!AZ59</f>
        <v>#VALUE!</v>
      </c>
      <c r="BA60" s="189" t="e">
        <f>PLĀNS_ar_grozījumiem!BA60-'plans (27122022)'!BA59</f>
        <v>#VALUE!</v>
      </c>
      <c r="BB60" s="100">
        <f>PLĀNS_ar_grozījumiem!BB60-'plans (27122022)'!BB59</f>
        <v>1029.8000000000029</v>
      </c>
      <c r="BC60" s="126">
        <f>PLĀNS_ar_grozījumiem!BC60-'plans (27122022)'!BC59</f>
        <v>0</v>
      </c>
      <c r="BD60" s="186" t="e">
        <f>PLĀNS_ar_grozījumiem!BD60-'plans (27122022)'!BD59</f>
        <v>#VALUE!</v>
      </c>
      <c r="BE60" s="187" t="e">
        <f>PLĀNS_ar_grozījumiem!BE60-'plans (27122022)'!BE59</f>
        <v>#VALUE!</v>
      </c>
      <c r="BF60" s="100">
        <f>PLĀNS_ar_grozījumiem!BF60-'plans (27122022)'!BF59</f>
        <v>0</v>
      </c>
      <c r="BG60" s="97">
        <f>PLĀNS_ar_grozījumiem!BG60-'plans (27122022)'!BG59</f>
        <v>0</v>
      </c>
      <c r="BH60" s="186" t="e">
        <f>PLĀNS_ar_grozījumiem!BH60-'plans (27122022)'!BH59</f>
        <v>#VALUE!</v>
      </c>
      <c r="BI60" s="187" t="e">
        <f>PLĀNS_ar_grozījumiem!BI60-'plans (27122022)'!BI59</f>
        <v>#VALUE!</v>
      </c>
      <c r="BJ60" s="102">
        <f>PLĀNS_ar_grozījumiem!BJ60-'plans (27122022)'!BJ59</f>
        <v>1.3958181376124514</v>
      </c>
      <c r="BK60" s="102">
        <f>PLĀNS_ar_grozījumiem!BK60-'plans (27122022)'!BK59</f>
        <v>0</v>
      </c>
      <c r="BL60" s="92">
        <f>PLĀNS_ar_grozījumiem!BL60-'plans (27122022)'!BL59</f>
        <v>-0.19999999999993179</v>
      </c>
      <c r="BM60" s="93">
        <f>PLĀNS_ar_grozījumiem!BM60-'plans (27122022)'!BM59</f>
        <v>0</v>
      </c>
      <c r="BN60" s="93">
        <f>PLĀNS_ar_grozījumiem!BN60-'plans (27122022)'!BN59</f>
        <v>-37.233770937075597</v>
      </c>
      <c r="BO60" s="93">
        <f>PLĀNS_ar_grozījumiem!BO60-'plans (27122022)'!BO59</f>
        <v>0</v>
      </c>
      <c r="BP60" s="186" t="e">
        <f>PLĀNS_ar_grozījumiem!BP60-'plans (27122022)'!BP59</f>
        <v>#VALUE!</v>
      </c>
      <c r="BQ60" s="187" t="e">
        <f>PLĀNS_ar_grozījumiem!BQ60-'plans (27122022)'!BQ59</f>
        <v>#VALUE!</v>
      </c>
      <c r="BR60" s="122">
        <f>PLĀNS_ar_grozījumiem!BR60-'plans (27122022)'!BR59</f>
        <v>-1084.5</v>
      </c>
      <c r="BS60" s="101">
        <f>PLĀNS_ar_grozījumiem!BS60-'plans (27122022)'!BS59</f>
        <v>0</v>
      </c>
      <c r="BT60" s="188" t="e">
        <f>PLĀNS_ar_grozījumiem!BT60-'plans (27122022)'!BT59</f>
        <v>#VALUE!</v>
      </c>
      <c r="BU60" s="189" t="e">
        <f>PLĀNS_ar_grozījumiem!BU60-'plans (27122022)'!BU59</f>
        <v>#VALUE!</v>
      </c>
      <c r="BV60" s="100">
        <f>PLĀNS_ar_grozījumiem!BV60-'plans (27122022)'!BV59</f>
        <v>-1084.5</v>
      </c>
      <c r="BW60" s="126">
        <f>PLĀNS_ar_grozījumiem!BW60-'plans (27122022)'!BW59</f>
        <v>0</v>
      </c>
      <c r="BX60" s="186" t="e">
        <f>PLĀNS_ar_grozījumiem!BX60-'plans (27122022)'!BX59</f>
        <v>#VALUE!</v>
      </c>
      <c r="BY60" s="187" t="e">
        <f>PLĀNS_ar_grozījumiem!BY60-'plans (27122022)'!BY59</f>
        <v>#VALUE!</v>
      </c>
      <c r="BZ60" s="100">
        <f>PLĀNS_ar_grozījumiem!BZ60-'plans (27122022)'!BZ59</f>
        <v>0</v>
      </c>
      <c r="CA60" s="97">
        <f>PLĀNS_ar_grozījumiem!CA60-'plans (27122022)'!CA59</f>
        <v>0</v>
      </c>
      <c r="CB60" s="186" t="e">
        <f>PLĀNS_ar_grozījumiem!CB60-'plans (27122022)'!CB59</f>
        <v>#VALUE!</v>
      </c>
      <c r="CC60" s="187" t="e">
        <f>PLĀNS_ar_grozījumiem!CC60-'plans (27122022)'!CC59</f>
        <v>#VALUE!</v>
      </c>
      <c r="CD60" s="102">
        <f>PLĀNS_ar_grozījumiem!CD60-'plans (27122022)'!CD59</f>
        <v>-0.8898386708403585</v>
      </c>
      <c r="CE60" s="102">
        <f>PLĀNS_ar_grozījumiem!CE60-'plans (27122022)'!CE59</f>
        <v>0</v>
      </c>
      <c r="CF60" s="103">
        <f>PLĀNS_ar_grozījumiem!CF60-'plans (27122022)'!CF59</f>
        <v>-2.1000000000003638</v>
      </c>
      <c r="CG60" s="102">
        <f>PLĀNS_ar_grozījumiem!CG60-'plans (27122022)'!CG59</f>
        <v>0</v>
      </c>
      <c r="CH60" s="93">
        <f>PLĀNS_ar_grozījumiem!CH60-'plans (27122022)'!CH59</f>
        <v>-37.035958904109592</v>
      </c>
      <c r="CI60" s="179">
        <f>PLĀNS_ar_grozījumiem!CI60-'plans (27122022)'!CI59</f>
        <v>0</v>
      </c>
      <c r="CJ60" s="188" t="e">
        <f>PLĀNS_ar_grozījumiem!CJ60-'plans (27122022)'!CJ59</f>
        <v>#VALUE!</v>
      </c>
      <c r="CK60" s="189" t="e">
        <f>PLĀNS_ar_grozījumiem!CK60-'plans (27122022)'!CK59</f>
        <v>#VALUE!</v>
      </c>
      <c r="CL60" s="100">
        <f>PLĀNS_ar_grozījumiem!CL60-'plans (27122022)'!CL59</f>
        <v>-54.69999999999709</v>
      </c>
      <c r="CM60" s="107">
        <f>PLĀNS_ar_grozījumiem!CM60-'plans (27122022)'!CM59</f>
        <v>0</v>
      </c>
      <c r="CN60" s="190" t="e">
        <f>PLĀNS_ar_grozījumiem!CN60-'plans (27122022)'!CN59</f>
        <v>#VALUE!</v>
      </c>
      <c r="CO60" s="189" t="e">
        <f>PLĀNS_ar_grozījumiem!CO60-'plans (27122022)'!CO59</f>
        <v>#VALUE!</v>
      </c>
      <c r="CP60" s="100">
        <f>PLĀNS_ar_grozījumiem!CP60-'plans (27122022)'!CP59</f>
        <v>-54.69999999999709</v>
      </c>
      <c r="CQ60" s="97">
        <f>PLĀNS_ar_grozījumiem!CQ60-'plans (27122022)'!CQ59</f>
        <v>0</v>
      </c>
      <c r="CR60" s="188" t="e">
        <f>PLĀNS_ar_grozījumiem!CR60-'plans (27122022)'!CR59</f>
        <v>#VALUE!</v>
      </c>
      <c r="CS60" s="189" t="e">
        <f>PLĀNS_ar_grozījumiem!CS60-'plans (27122022)'!CS59</f>
        <v>#VALUE!</v>
      </c>
      <c r="CT60" s="100">
        <f>PLĀNS_ar_grozījumiem!CT60-'plans (27122022)'!CT59</f>
        <v>0</v>
      </c>
      <c r="CU60" s="97">
        <f>PLĀNS_ar_grozījumiem!CU60-'plans (27122022)'!CU59</f>
        <v>0</v>
      </c>
      <c r="CV60" s="188" t="e">
        <f>PLĀNS_ar_grozījumiem!CV60-'plans (27122022)'!CV59</f>
        <v>#VALUE!</v>
      </c>
      <c r="CW60" s="189" t="e">
        <f>PLĀNS_ar_grozījumiem!CW60-'plans (27122022)'!CW59</f>
        <v>#VALUE!</v>
      </c>
      <c r="CX60" s="100">
        <f>PLĀNS_ar_grozījumiem!CX60-'plans (27122022)'!CX59</f>
        <v>-3.131587437316341E-3</v>
      </c>
      <c r="CY60" s="174">
        <f>PLĀNS_ar_grozījumiem!CY60-'plans (27122022)'!CY59</f>
        <v>0</v>
      </c>
      <c r="CZ60" s="110">
        <f t="shared" si="15"/>
        <v>1621.8</v>
      </c>
      <c r="DA60" s="111">
        <f t="shared" si="15"/>
        <v>0</v>
      </c>
      <c r="DB60" s="176">
        <f t="shared" si="18"/>
        <v>37.342850564126181</v>
      </c>
      <c r="DC60" s="113">
        <f t="shared" si="18"/>
        <v>0</v>
      </c>
      <c r="DD60" s="100">
        <f t="shared" si="13"/>
        <v>34175</v>
      </c>
      <c r="DE60" s="102">
        <f t="shared" si="13"/>
        <v>0</v>
      </c>
      <c r="DF60" s="102" t="e">
        <f t="shared" si="13"/>
        <v>#VALUE!</v>
      </c>
      <c r="DG60" s="114" t="e">
        <f t="shared" si="10"/>
        <v>#VALUE!</v>
      </c>
      <c r="DH60" s="100">
        <f t="shared" si="10"/>
        <v>34175</v>
      </c>
      <c r="DI60" s="97">
        <f t="shared" si="10"/>
        <v>0</v>
      </c>
      <c r="DJ60" s="97" t="e">
        <f t="shared" si="10"/>
        <v>#VALUE!</v>
      </c>
      <c r="DK60" s="97" t="e">
        <f t="shared" si="10"/>
        <v>#VALUE!</v>
      </c>
      <c r="DL60" s="100">
        <f t="shared" si="10"/>
        <v>0</v>
      </c>
      <c r="DM60" s="97">
        <f t="shared" si="10"/>
        <v>0</v>
      </c>
      <c r="DN60" s="97" t="e">
        <f t="shared" si="10"/>
        <v>#VALUE!</v>
      </c>
      <c r="DO60" s="115" t="e">
        <f t="shared" si="10"/>
        <v>#VALUE!</v>
      </c>
      <c r="DP60" s="100">
        <f t="shared" si="11"/>
        <v>21</v>
      </c>
      <c r="DQ60" s="116" t="e">
        <f t="shared" si="11"/>
        <v>#DIV/0!</v>
      </c>
      <c r="DR60" s="117">
        <f>PLĀNS_ar_grozījumiem!CF60-'plans (27122022)'!CF59</f>
        <v>-2.1000000000003638</v>
      </c>
      <c r="DS60" s="908">
        <f>DR60/'plans (27122022)'!CF59</f>
        <v>-6.4081047267412154E-4</v>
      </c>
      <c r="DT60" s="104">
        <f>PLĀNS_ar_grozījumiem!CL60-'plans (27122022)'!CL59</f>
        <v>-54.69999999999709</v>
      </c>
      <c r="DU60" s="909">
        <f>DT60/'plans (27122022)'!CL59</f>
        <v>-7.8868446853908947E-4</v>
      </c>
      <c r="DV60" s="120"/>
      <c r="DW60" s="118">
        <f>PLĀNS_ar_grozījumiem!CM60-'plans (27122022)'!CM59</f>
        <v>0</v>
      </c>
      <c r="DX60" s="104">
        <f>PLĀNS_ar_grozījumiem!CP60-'plans (27122022)'!CP59</f>
        <v>-54.69999999999709</v>
      </c>
      <c r="DY60" s="909">
        <f>DX60/'plans (27122022)'!CP59</f>
        <v>-7.8868446853908947E-4</v>
      </c>
      <c r="DZ60" s="120"/>
      <c r="EA60" s="118"/>
      <c r="EB60" s="104">
        <f>PLĀNS_ar_grozījumiem!CT60-'plans (27122022)'!CT59</f>
        <v>0</v>
      </c>
      <c r="EC60" s="121"/>
      <c r="ED60" s="120"/>
      <c r="EE60" s="121"/>
      <c r="EF60" s="122">
        <f>PLĀNS_ar_grozījumiem!CX60-'plans (27122022)'!CX59</f>
        <v>-3.131587437316341E-3</v>
      </c>
      <c r="EG60" s="911">
        <f>EF60/'plans (27122022)'!CX59</f>
        <v>-1.4796881583178646E-4</v>
      </c>
    </row>
    <row r="61" spans="1:137" ht="15.75" customHeight="1" x14ac:dyDescent="0.25">
      <c r="A61" s="1070"/>
      <c r="B61" s="173"/>
      <c r="C61" s="1024" t="s">
        <v>49</v>
      </c>
      <c r="D61" s="1005">
        <v>1081</v>
      </c>
      <c r="E61" s="93"/>
      <c r="F61" s="93">
        <v>50.069476609541454</v>
      </c>
      <c r="G61" s="93"/>
      <c r="H61" s="186" t="s">
        <v>44</v>
      </c>
      <c r="I61" s="187" t="s">
        <v>44</v>
      </c>
      <c r="J61" s="122">
        <v>9267</v>
      </c>
      <c r="K61" s="101"/>
      <c r="L61" s="188" t="s">
        <v>44</v>
      </c>
      <c r="M61" s="189" t="s">
        <v>44</v>
      </c>
      <c r="N61" s="100">
        <v>9267</v>
      </c>
      <c r="O61" s="126"/>
      <c r="P61" s="186" t="s">
        <v>44</v>
      </c>
      <c r="Q61" s="187" t="s">
        <v>44</v>
      </c>
      <c r="R61" s="100">
        <v>0</v>
      </c>
      <c r="S61" s="97"/>
      <c r="T61" s="186" t="s">
        <v>44</v>
      </c>
      <c r="U61" s="187" t="s">
        <v>44</v>
      </c>
      <c r="V61" s="102">
        <v>9</v>
      </c>
      <c r="W61" s="102"/>
      <c r="X61" s="92">
        <v>1170.5999999999999</v>
      </c>
      <c r="Y61" s="93"/>
      <c r="Z61" s="93">
        <v>53.598901098901095</v>
      </c>
      <c r="AA61" s="93"/>
      <c r="AB61" s="186" t="s">
        <v>44</v>
      </c>
      <c r="AC61" s="187" t="s">
        <v>44</v>
      </c>
      <c r="AD61" s="122">
        <v>9243</v>
      </c>
      <c r="AE61" s="101"/>
      <c r="AF61" s="188" t="s">
        <v>44</v>
      </c>
      <c r="AG61" s="189" t="s">
        <v>44</v>
      </c>
      <c r="AH61" s="100">
        <v>9243</v>
      </c>
      <c r="AI61" s="126"/>
      <c r="AJ61" s="186" t="s">
        <v>44</v>
      </c>
      <c r="AK61" s="187" t="s">
        <v>44</v>
      </c>
      <c r="AL61" s="100">
        <v>0</v>
      </c>
      <c r="AM61" s="97"/>
      <c r="AN61" s="186" t="s">
        <v>44</v>
      </c>
      <c r="AO61" s="187" t="s">
        <v>44</v>
      </c>
      <c r="AP61" s="102">
        <v>8</v>
      </c>
      <c r="AQ61" s="102"/>
      <c r="AR61" s="92">
        <v>1132.7</v>
      </c>
      <c r="AS61" s="93">
        <f>PLĀNS_ar_grozījumiem!AS61-'plans (27122022)'!AS60</f>
        <v>0</v>
      </c>
      <c r="AT61" s="93">
        <f>PLĀNS_ar_grozījumiem!AT61-'plans (27122022)'!AT60</f>
        <v>-50.719927536231886</v>
      </c>
      <c r="AU61" s="93">
        <f>PLĀNS_ar_grozījumiem!AU61-'plans (27122022)'!AU60</f>
        <v>0</v>
      </c>
      <c r="AV61" s="186" t="e">
        <f>PLĀNS_ar_grozījumiem!AV61-'plans (27122022)'!AV60</f>
        <v>#VALUE!</v>
      </c>
      <c r="AW61" s="187" t="e">
        <f>PLĀNS_ar_grozījumiem!AW61-'plans (27122022)'!AW60</f>
        <v>#VALUE!</v>
      </c>
      <c r="AX61" s="122">
        <f>PLĀNS_ar_grozījumiem!AX61-'plans (27122022)'!AX60</f>
        <v>528.55000000000109</v>
      </c>
      <c r="AY61" s="101">
        <f>PLĀNS_ar_grozījumiem!AY61-'plans (27122022)'!AY60</f>
        <v>0</v>
      </c>
      <c r="AZ61" s="188" t="e">
        <f>PLĀNS_ar_grozījumiem!AZ61-'plans (27122022)'!AZ60</f>
        <v>#VALUE!</v>
      </c>
      <c r="BA61" s="189" t="e">
        <f>PLĀNS_ar_grozījumiem!BA61-'plans (27122022)'!BA60</f>
        <v>#VALUE!</v>
      </c>
      <c r="BB61" s="100">
        <f>PLĀNS_ar_grozījumiem!BB61-'plans (27122022)'!BB60</f>
        <v>528.55000000000109</v>
      </c>
      <c r="BC61" s="126">
        <f>PLĀNS_ar_grozījumiem!BC61-'plans (27122022)'!BC60</f>
        <v>0</v>
      </c>
      <c r="BD61" s="186" t="e">
        <f>PLĀNS_ar_grozījumiem!BD61-'plans (27122022)'!BD60</f>
        <v>#VALUE!</v>
      </c>
      <c r="BE61" s="187" t="e">
        <f>PLĀNS_ar_grozījumiem!BE61-'plans (27122022)'!BE60</f>
        <v>#VALUE!</v>
      </c>
      <c r="BF61" s="100">
        <f>PLĀNS_ar_grozījumiem!BF61-'plans (27122022)'!BF60</f>
        <v>0</v>
      </c>
      <c r="BG61" s="97">
        <f>PLĀNS_ar_grozījumiem!BG61-'plans (27122022)'!BG60</f>
        <v>0</v>
      </c>
      <c r="BH61" s="186" t="e">
        <f>PLĀNS_ar_grozījumiem!BH61-'plans (27122022)'!BH60</f>
        <v>#VALUE!</v>
      </c>
      <c r="BI61" s="187" t="e">
        <f>PLĀNS_ar_grozījumiem!BI61-'plans (27122022)'!BI60</f>
        <v>#VALUE!</v>
      </c>
      <c r="BJ61" s="102">
        <f>PLĀNS_ar_grozījumiem!BJ61-'plans (27122022)'!BJ60</f>
        <v>-0.44646204311152715</v>
      </c>
      <c r="BK61" s="102">
        <f>PLĀNS_ar_grozījumiem!BK61-'plans (27122022)'!BK60</f>
        <v>0</v>
      </c>
      <c r="BL61" s="92">
        <f>PLĀNS_ar_grozījumiem!BL61-'plans (27122022)'!BL60</f>
        <v>-10.299999999999955</v>
      </c>
      <c r="BM61" s="93">
        <f>PLĀNS_ar_grozījumiem!BM61-'plans (27122022)'!BM60</f>
        <v>0</v>
      </c>
      <c r="BN61" s="93">
        <f>PLĀNS_ar_grozījumiem!BN61-'plans (27122022)'!BN60</f>
        <v>-48.007786328655499</v>
      </c>
      <c r="BO61" s="93">
        <f>PLĀNS_ar_grozījumiem!BO61-'plans (27122022)'!BO60</f>
        <v>0</v>
      </c>
      <c r="BP61" s="186" t="e">
        <f>PLĀNS_ar_grozījumiem!BP61-'plans (27122022)'!BP60</f>
        <v>#VALUE!</v>
      </c>
      <c r="BQ61" s="187" t="e">
        <f>PLĀNS_ar_grozījumiem!BQ61-'plans (27122022)'!BQ60</f>
        <v>#VALUE!</v>
      </c>
      <c r="BR61" s="122">
        <f>PLĀNS_ar_grozījumiem!BR61-'plans (27122022)'!BR60</f>
        <v>-2216.5</v>
      </c>
      <c r="BS61" s="101">
        <f>PLĀNS_ar_grozījumiem!BS61-'plans (27122022)'!BS60</f>
        <v>0</v>
      </c>
      <c r="BT61" s="188" t="e">
        <f>PLĀNS_ar_grozījumiem!BT61-'plans (27122022)'!BT60</f>
        <v>#VALUE!</v>
      </c>
      <c r="BU61" s="189" t="e">
        <f>PLĀNS_ar_grozījumiem!BU61-'plans (27122022)'!BU60</f>
        <v>#VALUE!</v>
      </c>
      <c r="BV61" s="100">
        <f>PLĀNS_ar_grozījumiem!BV61-'plans (27122022)'!BV60</f>
        <v>-2216.5</v>
      </c>
      <c r="BW61" s="126">
        <f>PLĀNS_ar_grozījumiem!BW61-'plans (27122022)'!BW60</f>
        <v>0</v>
      </c>
      <c r="BX61" s="186" t="e">
        <f>PLĀNS_ar_grozījumiem!BX61-'plans (27122022)'!BX60</f>
        <v>#VALUE!</v>
      </c>
      <c r="BY61" s="187" t="e">
        <f>PLĀNS_ar_grozījumiem!BY61-'plans (27122022)'!BY60</f>
        <v>#VALUE!</v>
      </c>
      <c r="BZ61" s="100">
        <f>PLĀNS_ar_grozījumiem!BZ61-'plans (27122022)'!BZ60</f>
        <v>0</v>
      </c>
      <c r="CA61" s="97">
        <f>PLĀNS_ar_grozījumiem!CA61-'plans (27122022)'!CA60</f>
        <v>0</v>
      </c>
      <c r="CB61" s="186" t="e">
        <f>PLĀNS_ar_grozījumiem!CB61-'plans (27122022)'!CB60</f>
        <v>#VALUE!</v>
      </c>
      <c r="CC61" s="187" t="e">
        <f>PLĀNS_ar_grozījumiem!CC61-'plans (27122022)'!CC60</f>
        <v>#VALUE!</v>
      </c>
      <c r="CD61" s="102">
        <f>PLĀNS_ar_grozījumiem!CD61-'plans (27122022)'!CD60</f>
        <v>-2.1009615384615383</v>
      </c>
      <c r="CE61" s="102">
        <f>PLĀNS_ar_grozījumiem!CE61-'plans (27122022)'!CE60</f>
        <v>0</v>
      </c>
      <c r="CF61" s="103">
        <f>PLĀNS_ar_grozījumiem!CF61-'plans (27122022)'!CF60</f>
        <v>137.39999999999964</v>
      </c>
      <c r="CG61" s="102">
        <f>PLĀNS_ar_grozījumiem!CG61-'plans (27122022)'!CG60</f>
        <v>0</v>
      </c>
      <c r="CH61" s="93">
        <f>PLĀNS_ar_grozījumiem!CH61-'plans (27122022)'!CH60</f>
        <v>-50.336438356164386</v>
      </c>
      <c r="CI61" s="127">
        <f>PLĀNS_ar_grozījumiem!CI61-'plans (27122022)'!CI60</f>
        <v>0</v>
      </c>
      <c r="CJ61" s="188" t="e">
        <f>PLĀNS_ar_grozījumiem!CJ61-'plans (27122022)'!CJ60</f>
        <v>#VALUE!</v>
      </c>
      <c r="CK61" s="189" t="e">
        <f>PLĀNS_ar_grozījumiem!CK61-'plans (27122022)'!CK60</f>
        <v>#VALUE!</v>
      </c>
      <c r="CL61" s="100">
        <f>PLĀNS_ar_grozījumiem!CL61-'plans (27122022)'!CL60</f>
        <v>-1687.9499999999971</v>
      </c>
      <c r="CM61" s="107">
        <f>PLĀNS_ar_grozījumiem!CM61-'plans (27122022)'!CM60</f>
        <v>0</v>
      </c>
      <c r="CN61" s="190" t="e">
        <f>PLĀNS_ar_grozījumiem!CN61-'plans (27122022)'!CN60</f>
        <v>#VALUE!</v>
      </c>
      <c r="CO61" s="189" t="e">
        <f>PLĀNS_ar_grozījumiem!CO61-'plans (27122022)'!CO60</f>
        <v>#VALUE!</v>
      </c>
      <c r="CP61" s="100">
        <f>PLĀNS_ar_grozījumiem!CP61-'plans (27122022)'!CP60</f>
        <v>-1687.9499999999971</v>
      </c>
      <c r="CQ61" s="97">
        <f>PLĀNS_ar_grozījumiem!CQ61-'plans (27122022)'!CQ60</f>
        <v>0</v>
      </c>
      <c r="CR61" s="188" t="e">
        <f>PLĀNS_ar_grozījumiem!CR61-'plans (27122022)'!CR60</f>
        <v>#VALUE!</v>
      </c>
      <c r="CS61" s="189" t="e">
        <f>PLĀNS_ar_grozījumiem!CS61-'plans (27122022)'!CS60</f>
        <v>#VALUE!</v>
      </c>
      <c r="CT61" s="100">
        <f>PLĀNS_ar_grozījumiem!CT61-'plans (27122022)'!CT60</f>
        <v>0</v>
      </c>
      <c r="CU61" s="97">
        <f>PLĀNS_ar_grozījumiem!CU61-'plans (27122022)'!CU60</f>
        <v>0</v>
      </c>
      <c r="CV61" s="188" t="e">
        <f>PLĀNS_ar_grozījumiem!CV61-'plans (27122022)'!CV60</f>
        <v>#VALUE!</v>
      </c>
      <c r="CW61" s="189" t="e">
        <f>PLĀNS_ar_grozījumiem!CW61-'plans (27122022)'!CW60</f>
        <v>#VALUE!</v>
      </c>
      <c r="CX61" s="100">
        <f>PLĀNS_ar_grozījumiem!CX61-'plans (27122022)'!CX60</f>
        <v>-0.6172247995240232</v>
      </c>
      <c r="CY61" s="174">
        <f>PLĀNS_ar_grozījumiem!CY61-'plans (27122022)'!CY60</f>
        <v>0</v>
      </c>
      <c r="CZ61" s="110">
        <f t="shared" si="15"/>
        <v>2251.6</v>
      </c>
      <c r="DA61" s="111">
        <f t="shared" si="15"/>
        <v>0</v>
      </c>
      <c r="DB61" s="176">
        <f t="shared" si="18"/>
        <v>51.844347225420215</v>
      </c>
      <c r="DC61" s="113">
        <f t="shared" si="18"/>
        <v>0</v>
      </c>
      <c r="DD61" s="100">
        <f t="shared" si="13"/>
        <v>18510</v>
      </c>
      <c r="DE61" s="102">
        <f t="shared" si="13"/>
        <v>0</v>
      </c>
      <c r="DF61" s="102" t="e">
        <f t="shared" si="13"/>
        <v>#VALUE!</v>
      </c>
      <c r="DG61" s="114" t="e">
        <f t="shared" si="10"/>
        <v>#VALUE!</v>
      </c>
      <c r="DH61" s="100">
        <f t="shared" si="10"/>
        <v>18510</v>
      </c>
      <c r="DI61" s="97">
        <f t="shared" si="10"/>
        <v>0</v>
      </c>
      <c r="DJ61" s="97" t="e">
        <f t="shared" si="10"/>
        <v>#VALUE!</v>
      </c>
      <c r="DK61" s="97" t="e">
        <f t="shared" si="10"/>
        <v>#VALUE!</v>
      </c>
      <c r="DL61" s="100">
        <f t="shared" si="10"/>
        <v>0</v>
      </c>
      <c r="DM61" s="97">
        <f t="shared" si="10"/>
        <v>0</v>
      </c>
      <c r="DN61" s="97" t="e">
        <f t="shared" si="10"/>
        <v>#VALUE!</v>
      </c>
      <c r="DO61" s="115" t="e">
        <f t="shared" si="10"/>
        <v>#VALUE!</v>
      </c>
      <c r="DP61" s="100">
        <f t="shared" si="11"/>
        <v>8</v>
      </c>
      <c r="DQ61" s="116" t="e">
        <f t="shared" si="11"/>
        <v>#DIV/0!</v>
      </c>
      <c r="DR61" s="117">
        <f>PLĀNS_ar_grozījumiem!CF61-'plans (27122022)'!CF60</f>
        <v>137.39999999999964</v>
      </c>
      <c r="DS61" s="908">
        <f>DR61/'plans (27122022)'!CF60</f>
        <v>3.0838981909592774E-2</v>
      </c>
      <c r="DT61" s="104">
        <f>PLĀNS_ar_grozījumiem!CL61-'plans (27122022)'!CL60</f>
        <v>-1687.9499999999971</v>
      </c>
      <c r="DU61" s="909">
        <f>DT61/'plans (27122022)'!CL60</f>
        <v>-4.5389641819941838E-2</v>
      </c>
      <c r="DV61" s="120"/>
      <c r="DW61" s="118">
        <f>PLĀNS_ar_grozījumiem!CM61-'plans (27122022)'!CM60</f>
        <v>0</v>
      </c>
      <c r="DX61" s="104">
        <f>PLĀNS_ar_grozījumiem!CP61-'plans (27122022)'!CP60</f>
        <v>-1687.9499999999971</v>
      </c>
      <c r="DY61" s="909">
        <f>DX61/'plans (27122022)'!CP60</f>
        <v>-4.5389641819941838E-2</v>
      </c>
      <c r="DZ61" s="120"/>
      <c r="EA61" s="118"/>
      <c r="EB61" s="104">
        <f>PLĀNS_ar_grozījumiem!CT61-'plans (27122022)'!CT60</f>
        <v>0</v>
      </c>
      <c r="EC61" s="121"/>
      <c r="ED61" s="120"/>
      <c r="EE61" s="121"/>
      <c r="EF61" s="122">
        <f>PLĀNS_ar_grozījumiem!CX61-'plans (27122022)'!CX60</f>
        <v>-0.6172247995240232</v>
      </c>
      <c r="EG61" s="911">
        <f>EF61/'plans (27122022)'!CX60</f>
        <v>-7.3948138426356155E-2</v>
      </c>
    </row>
    <row r="62" spans="1:137" s="227" customFormat="1" ht="15.75" customHeight="1" thickBot="1" x14ac:dyDescent="0.35">
      <c r="A62" s="1073"/>
      <c r="B62" s="861" t="s">
        <v>59</v>
      </c>
      <c r="C62" s="1029"/>
      <c r="D62" s="1008">
        <v>10108.400000000001</v>
      </c>
      <c r="E62" s="863"/>
      <c r="F62" s="863">
        <v>92.934567753679829</v>
      </c>
      <c r="G62" s="864"/>
      <c r="H62" s="865" t="s">
        <v>44</v>
      </c>
      <c r="I62" s="866" t="s">
        <v>44</v>
      </c>
      <c r="J62" s="867">
        <v>1123223</v>
      </c>
      <c r="K62" s="868"/>
      <c r="L62" s="869" t="s">
        <v>44</v>
      </c>
      <c r="M62" s="870" t="s">
        <v>44</v>
      </c>
      <c r="N62" s="871">
        <v>1104592</v>
      </c>
      <c r="O62" s="872"/>
      <c r="P62" s="865" t="s">
        <v>44</v>
      </c>
      <c r="Q62" s="866" t="s">
        <v>44</v>
      </c>
      <c r="R62" s="871">
        <v>18631</v>
      </c>
      <c r="S62" s="872"/>
      <c r="T62" s="865" t="s">
        <v>44</v>
      </c>
      <c r="U62" s="873" t="s">
        <v>44</v>
      </c>
      <c r="V62" s="871">
        <v>111</v>
      </c>
      <c r="W62" s="874"/>
      <c r="X62" s="862">
        <v>10014.100000000002</v>
      </c>
      <c r="Y62" s="863"/>
      <c r="Z62" s="863">
        <v>91.228853319243143</v>
      </c>
      <c r="AA62" s="864"/>
      <c r="AB62" s="865" t="s">
        <v>44</v>
      </c>
      <c r="AC62" s="866" t="s">
        <v>44</v>
      </c>
      <c r="AD62" s="867">
        <v>1105625</v>
      </c>
      <c r="AE62" s="868"/>
      <c r="AF62" s="869" t="s">
        <v>44</v>
      </c>
      <c r="AG62" s="870" t="s">
        <v>44</v>
      </c>
      <c r="AH62" s="871">
        <v>1090542</v>
      </c>
      <c r="AI62" s="872"/>
      <c r="AJ62" s="865" t="s">
        <v>44</v>
      </c>
      <c r="AK62" s="866" t="s">
        <v>44</v>
      </c>
      <c r="AL62" s="871">
        <v>15083</v>
      </c>
      <c r="AM62" s="872"/>
      <c r="AN62" s="865" t="s">
        <v>44</v>
      </c>
      <c r="AO62" s="873" t="s">
        <v>44</v>
      </c>
      <c r="AP62" s="871">
        <v>110</v>
      </c>
      <c r="AQ62" s="874"/>
      <c r="AR62" s="862">
        <v>9756.7000000000007</v>
      </c>
      <c r="AS62" s="863">
        <f>PLĀNS_ar_grozījumiem!AS62-'plans (27122022)'!AS61</f>
        <v>0</v>
      </c>
      <c r="AT62" s="863">
        <f>PLĀNS_ar_grozījumiem!AT62-'plans (27122022)'!AT61</f>
        <v>-87.087433162718241</v>
      </c>
      <c r="AU62" s="864">
        <f>PLĀNS_ar_grozījumiem!AU62-'plans (27122022)'!AU61</f>
        <v>0</v>
      </c>
      <c r="AV62" s="865" t="e">
        <f>PLĀNS_ar_grozījumiem!AV62-'plans (27122022)'!AV61</f>
        <v>#VALUE!</v>
      </c>
      <c r="AW62" s="866" t="e">
        <f>PLĀNS_ar_grozījumiem!AW62-'plans (27122022)'!AW61</f>
        <v>#VALUE!</v>
      </c>
      <c r="AX62" s="867">
        <f>PLĀNS_ar_grozījumiem!AX62-'plans (27122022)'!AX61</f>
        <v>50280.660000000149</v>
      </c>
      <c r="AY62" s="868">
        <f>PLĀNS_ar_grozījumiem!AY62-'plans (27122022)'!AY61</f>
        <v>0</v>
      </c>
      <c r="AZ62" s="869" t="e">
        <f>PLĀNS_ar_grozījumiem!AZ62-'plans (27122022)'!AZ61</f>
        <v>#VALUE!</v>
      </c>
      <c r="BA62" s="870" t="e">
        <f>PLĀNS_ar_grozījumiem!BA62-'plans (27122022)'!BA61</f>
        <v>#VALUE!</v>
      </c>
      <c r="BB62" s="871">
        <f>PLĀNS_ar_grozījumiem!BB62-'plans (27122022)'!BB61</f>
        <v>48112.660000000149</v>
      </c>
      <c r="BC62" s="872">
        <f>PLĀNS_ar_grozījumiem!BC62-'plans (27122022)'!BC61</f>
        <v>0</v>
      </c>
      <c r="BD62" s="865" t="e">
        <f>PLĀNS_ar_grozījumiem!BD62-'plans (27122022)'!BD61</f>
        <v>#VALUE!</v>
      </c>
      <c r="BE62" s="866" t="e">
        <f>PLĀNS_ar_grozījumiem!BE62-'plans (27122022)'!BE61</f>
        <v>#VALUE!</v>
      </c>
      <c r="BF62" s="871">
        <f>PLĀNS_ar_grozījumiem!BF62-'plans (27122022)'!BF61</f>
        <v>2168</v>
      </c>
      <c r="BG62" s="872">
        <f>PLĀNS_ar_grozījumiem!BG62-'plans (27122022)'!BG61</f>
        <v>0</v>
      </c>
      <c r="BH62" s="865" t="e">
        <f>PLĀNS_ar_grozījumiem!BH62-'plans (27122022)'!BH61</f>
        <v>#VALUE!</v>
      </c>
      <c r="BI62" s="873" t="e">
        <f>PLĀNS_ar_grozījumiem!BI62-'plans (27122022)'!BI61</f>
        <v>#VALUE!</v>
      </c>
      <c r="BJ62" s="871">
        <f>PLĀNS_ar_grozījumiem!BJ62-'plans (27122022)'!BJ61</f>
        <v>6.4423401235469129</v>
      </c>
      <c r="BK62" s="874">
        <f>PLĀNS_ar_grozījumiem!BK62-'plans (27122022)'!BK61</f>
        <v>0</v>
      </c>
      <c r="BL62" s="862">
        <f>PLĀNS_ar_grozījumiem!BL62-'plans (27122022)'!BL61</f>
        <v>14.399999999999636</v>
      </c>
      <c r="BM62" s="863">
        <f>PLĀNS_ar_grozījumiem!BM62-'plans (27122022)'!BM61</f>
        <v>0</v>
      </c>
      <c r="BN62" s="863">
        <f>PLĀNS_ar_grozījumiem!BN62-'plans (27122022)'!BN61</f>
        <v>-91.673690720540662</v>
      </c>
      <c r="BO62" s="864">
        <f>PLĀNS_ar_grozījumiem!BO62-'plans (27122022)'!BO61</f>
        <v>0</v>
      </c>
      <c r="BP62" s="865" t="e">
        <f>PLĀNS_ar_grozījumiem!BP62-'plans (27122022)'!BP61</f>
        <v>#VALUE!</v>
      </c>
      <c r="BQ62" s="866" t="e">
        <f>PLĀNS_ar_grozījumiem!BQ62-'plans (27122022)'!BQ61</f>
        <v>#VALUE!</v>
      </c>
      <c r="BR62" s="867">
        <f>PLĀNS_ar_grozījumiem!BR62-'plans (27122022)'!BR61</f>
        <v>84627.719999999972</v>
      </c>
      <c r="BS62" s="868">
        <f>PLĀNS_ar_grozījumiem!BS62-'plans (27122022)'!BS61</f>
        <v>0</v>
      </c>
      <c r="BT62" s="869" t="e">
        <f>PLĀNS_ar_grozījumiem!BT62-'plans (27122022)'!BT61</f>
        <v>#VALUE!</v>
      </c>
      <c r="BU62" s="870" t="e">
        <f>PLĀNS_ar_grozījumiem!BU62-'plans (27122022)'!BU61</f>
        <v>#VALUE!</v>
      </c>
      <c r="BV62" s="871">
        <f>PLĀNS_ar_grozījumiem!BV62-'plans (27122022)'!BV61</f>
        <v>82130.720000000205</v>
      </c>
      <c r="BW62" s="872">
        <f>PLĀNS_ar_grozījumiem!BW62-'plans (27122022)'!BW61</f>
        <v>0</v>
      </c>
      <c r="BX62" s="865" t="e">
        <f>PLĀNS_ar_grozījumiem!BX62-'plans (27122022)'!BX61</f>
        <v>#VALUE!</v>
      </c>
      <c r="BY62" s="866" t="e">
        <f>PLĀNS_ar_grozījumiem!BY62-'plans (27122022)'!BY61</f>
        <v>#VALUE!</v>
      </c>
      <c r="BZ62" s="871">
        <f>PLĀNS_ar_grozījumiem!BZ62-'plans (27122022)'!BZ61</f>
        <v>2497</v>
      </c>
      <c r="CA62" s="872">
        <f>PLĀNS_ar_grozījumiem!CA62-'plans (27122022)'!CA61</f>
        <v>0</v>
      </c>
      <c r="CB62" s="865" t="e">
        <f>PLĀNS_ar_grozījumiem!CB62-'plans (27122022)'!CB61</f>
        <v>#VALUE!</v>
      </c>
      <c r="CC62" s="873" t="e">
        <f>PLĀNS_ar_grozījumiem!CC62-'plans (27122022)'!CC61</f>
        <v>#VALUE!</v>
      </c>
      <c r="CD62" s="871">
        <f>PLĀNS_ar_grozījumiem!CD62-'plans (27122022)'!CD61</f>
        <v>8.3772854684992808</v>
      </c>
      <c r="CE62" s="874">
        <f>PLĀNS_ar_grozījumiem!CE62-'plans (27122022)'!CE61</f>
        <v>0</v>
      </c>
      <c r="CF62" s="875">
        <f>PLĀNS_ar_grozījumiem!CF62-'plans (27122022)'!CF61</f>
        <v>-82.809999999990396</v>
      </c>
      <c r="CG62" s="868">
        <f>PLĀNS_ar_grozījumiem!CG62-'plans (27122022)'!CG61</f>
        <v>0</v>
      </c>
      <c r="CH62" s="863">
        <f>PLĀNS_ar_grozījumiem!CH62-'plans (27122022)'!CH61</f>
        <v>-90.265249894564036</v>
      </c>
      <c r="CI62" s="876">
        <f>PLĀNS_ar_grozījumiem!CI62-'plans (27122022)'!CI61</f>
        <v>0</v>
      </c>
      <c r="CJ62" s="869" t="e">
        <f>PLĀNS_ar_grozījumiem!CJ62-'plans (27122022)'!CJ61</f>
        <v>#VALUE!</v>
      </c>
      <c r="CK62" s="870" t="e">
        <f>PLĀNS_ar_grozījumiem!CK62-'plans (27122022)'!CK61</f>
        <v>#VALUE!</v>
      </c>
      <c r="CL62" s="877">
        <f>PLĀNS_ar_grozījumiem!CL62-'plans (27122022)'!CL61</f>
        <v>134908.37999999989</v>
      </c>
      <c r="CM62" s="878">
        <f>PLĀNS_ar_grozījumiem!CM62-'plans (27122022)'!CM61</f>
        <v>0</v>
      </c>
      <c r="CN62" s="879" t="e">
        <f>PLĀNS_ar_grozījumiem!CN62-'plans (27122022)'!CN61</f>
        <v>#VALUE!</v>
      </c>
      <c r="CO62" s="870" t="e">
        <f>PLĀNS_ar_grozījumiem!CO62-'plans (27122022)'!CO61</f>
        <v>#VALUE!</v>
      </c>
      <c r="CP62" s="877">
        <f>PLĀNS_ar_grozījumiem!CP62-'plans (27122022)'!CP61</f>
        <v>130243.38000000082</v>
      </c>
      <c r="CQ62" s="868">
        <f>PLĀNS_ar_grozījumiem!CQ62-'plans (27122022)'!CQ61</f>
        <v>0</v>
      </c>
      <c r="CR62" s="869" t="e">
        <f>PLĀNS_ar_grozījumiem!CR62-'plans (27122022)'!CR61</f>
        <v>#VALUE!</v>
      </c>
      <c r="CS62" s="870" t="e">
        <f>PLĀNS_ar_grozījumiem!CS62-'plans (27122022)'!CS61</f>
        <v>#VALUE!</v>
      </c>
      <c r="CT62" s="877">
        <f>PLĀNS_ar_grozījumiem!CT62-'plans (27122022)'!CT61</f>
        <v>4665</v>
      </c>
      <c r="CU62" s="868">
        <f>PLĀNS_ar_grozījumiem!CU62-'plans (27122022)'!CU61</f>
        <v>0</v>
      </c>
      <c r="CV62" s="869" t="e">
        <f>PLĀNS_ar_grozījumiem!CV62-'plans (27122022)'!CV61</f>
        <v>#VALUE!</v>
      </c>
      <c r="CW62" s="870" t="e">
        <f>PLĀNS_ar_grozījumiem!CW62-'plans (27122022)'!CW61</f>
        <v>#VALUE!</v>
      </c>
      <c r="CX62" s="877">
        <f>PLĀNS_ar_grozījumiem!CX62-'plans (27122022)'!CX61</f>
        <v>3.5880276964431772</v>
      </c>
      <c r="CY62" s="880">
        <f>PLĀNS_ar_grozījumiem!CY62-'plans (27122022)'!CY61</f>
        <v>0</v>
      </c>
      <c r="CZ62" s="881">
        <f t="shared" si="15"/>
        <v>20122.500000000004</v>
      </c>
      <c r="DA62" s="882">
        <f t="shared" si="15"/>
        <v>0</v>
      </c>
      <c r="DB62" s="883" t="e">
        <f>(CZ62/#REF!)*100</f>
        <v>#REF!</v>
      </c>
      <c r="DC62" s="884" t="e">
        <f>(DA62/#REF!)*100</f>
        <v>#REF!</v>
      </c>
      <c r="DD62" s="871">
        <f t="shared" si="13"/>
        <v>2228848</v>
      </c>
      <c r="DE62" s="874">
        <f t="shared" si="13"/>
        <v>0</v>
      </c>
      <c r="DF62" s="874" t="e">
        <f t="shared" si="13"/>
        <v>#VALUE!</v>
      </c>
      <c r="DG62" s="885" t="e">
        <f t="shared" si="10"/>
        <v>#VALUE!</v>
      </c>
      <c r="DH62" s="871">
        <f t="shared" si="10"/>
        <v>2195134</v>
      </c>
      <c r="DI62" s="872">
        <f t="shared" si="10"/>
        <v>0</v>
      </c>
      <c r="DJ62" s="872" t="e">
        <f t="shared" ref="DJ62:DO62" si="19">P62+AJ62</f>
        <v>#VALUE!</v>
      </c>
      <c r="DK62" s="872" t="e">
        <f t="shared" si="19"/>
        <v>#VALUE!</v>
      </c>
      <c r="DL62" s="871">
        <f t="shared" si="19"/>
        <v>33714</v>
      </c>
      <c r="DM62" s="872">
        <f t="shared" si="19"/>
        <v>0</v>
      </c>
      <c r="DN62" s="872" t="e">
        <f t="shared" si="19"/>
        <v>#VALUE!</v>
      </c>
      <c r="DO62" s="886" t="e">
        <f t="shared" si="19"/>
        <v>#VALUE!</v>
      </c>
      <c r="DP62" s="871">
        <f t="shared" si="11"/>
        <v>111</v>
      </c>
      <c r="DQ62" s="887" t="e">
        <f t="shared" si="11"/>
        <v>#DIV/0!</v>
      </c>
      <c r="DR62" s="913">
        <f>PLĀNS_ar_grozījumiem!CF62-'plans (27122022)'!CF61</f>
        <v>-82.809999999990396</v>
      </c>
      <c r="DS62" s="914">
        <f>DR62/'plans (27122022)'!CF61</f>
        <v>-2.0594072209812937E-3</v>
      </c>
      <c r="DT62" s="874">
        <f>PLĀNS_ar_grozījumiem!CL62-'plans (27122022)'!CL61</f>
        <v>134908.37999999989</v>
      </c>
      <c r="DU62" s="990">
        <f>DT62/'plans (27122022)'!CL61</f>
        <v>3.0627701750574294E-2</v>
      </c>
      <c r="DV62" s="872"/>
      <c r="DW62" s="991">
        <f>PLĀNS_ar_grozījumiem!CM62-'plans (27122022)'!CM61</f>
        <v>0</v>
      </c>
      <c r="DX62" s="874">
        <f>PLĀNS_ar_grozījumiem!CP62-'plans (27122022)'!CP61</f>
        <v>130243.38000000082</v>
      </c>
      <c r="DY62" s="990">
        <f>DX62/'plans (27122022)'!CP61</f>
        <v>3.0012381168549301E-2</v>
      </c>
      <c r="DZ62" s="872"/>
      <c r="EA62" s="991"/>
      <c r="EB62" s="874">
        <f>PLĀNS_ar_grozījumiem!CT62-'plans (27122022)'!CT61</f>
        <v>4665</v>
      </c>
      <c r="EC62" s="884">
        <f>EB62/'plans (27122022)'!CT61</f>
        <v>7.1628178356467259E-2</v>
      </c>
      <c r="ED62" s="872"/>
      <c r="EE62" s="991"/>
      <c r="EF62" s="992">
        <f>PLĀNS_ar_grozījumiem!CX62-'plans (27122022)'!CX61</f>
        <v>3.5880276964431772</v>
      </c>
      <c r="EG62" s="993">
        <f>EF62/'plans (27122022)'!CX61</f>
        <v>3.2754563957088922E-2</v>
      </c>
    </row>
    <row r="63" spans="1:137" s="251" customFormat="1" ht="17.25" customHeight="1" x14ac:dyDescent="0.3">
      <c r="A63" s="1070" t="s">
        <v>60</v>
      </c>
      <c r="B63" s="495" t="s">
        <v>61</v>
      </c>
      <c r="C63" s="845"/>
      <c r="D63" s="1009" t="s">
        <v>44</v>
      </c>
      <c r="E63" s="247"/>
      <c r="F63" s="247" t="s">
        <v>44</v>
      </c>
      <c r="G63" s="247"/>
      <c r="H63" s="245" t="s">
        <v>44</v>
      </c>
      <c r="I63" s="846" t="s">
        <v>44</v>
      </c>
      <c r="J63" s="245" t="s">
        <v>44</v>
      </c>
      <c r="K63" s="243"/>
      <c r="L63" s="847" t="s">
        <v>44</v>
      </c>
      <c r="M63" s="500" t="s">
        <v>44</v>
      </c>
      <c r="N63" s="848" t="s">
        <v>44</v>
      </c>
      <c r="O63" s="847"/>
      <c r="P63" s="245" t="s">
        <v>44</v>
      </c>
      <c r="Q63" s="846" t="s">
        <v>44</v>
      </c>
      <c r="R63" s="847" t="s">
        <v>44</v>
      </c>
      <c r="S63" s="847"/>
      <c r="T63" s="245" t="s">
        <v>44</v>
      </c>
      <c r="U63" s="846" t="s">
        <v>44</v>
      </c>
      <c r="V63" s="848" t="s">
        <v>44</v>
      </c>
      <c r="W63" s="849"/>
      <c r="X63" s="497" t="s">
        <v>44</v>
      </c>
      <c r="Y63" s="247"/>
      <c r="Z63" s="247" t="s">
        <v>44</v>
      </c>
      <c r="AA63" s="247"/>
      <c r="AB63" s="245" t="s">
        <v>44</v>
      </c>
      <c r="AC63" s="846" t="s">
        <v>44</v>
      </c>
      <c r="AD63" s="245" t="s">
        <v>44</v>
      </c>
      <c r="AE63" s="243"/>
      <c r="AF63" s="847" t="s">
        <v>44</v>
      </c>
      <c r="AG63" s="500" t="s">
        <v>44</v>
      </c>
      <c r="AH63" s="848" t="s">
        <v>44</v>
      </c>
      <c r="AI63" s="847"/>
      <c r="AJ63" s="245" t="s">
        <v>44</v>
      </c>
      <c r="AK63" s="846" t="s">
        <v>44</v>
      </c>
      <c r="AL63" s="847" t="s">
        <v>44</v>
      </c>
      <c r="AM63" s="847"/>
      <c r="AN63" s="245" t="s">
        <v>44</v>
      </c>
      <c r="AO63" s="846" t="s">
        <v>44</v>
      </c>
      <c r="AP63" s="848" t="s">
        <v>44</v>
      </c>
      <c r="AQ63" s="849"/>
      <c r="AR63" s="497" t="s">
        <v>44</v>
      </c>
      <c r="AS63" s="247">
        <f>PLĀNS_ar_grozījumiem!AS63-'plans (27122022)'!AS62</f>
        <v>0</v>
      </c>
      <c r="AT63" s="247" t="e">
        <f>PLĀNS_ar_grozījumiem!AT63-'plans (27122022)'!AT62</f>
        <v>#VALUE!</v>
      </c>
      <c r="AU63" s="247">
        <f>PLĀNS_ar_grozījumiem!AU63-'plans (27122022)'!AU62</f>
        <v>0</v>
      </c>
      <c r="AV63" s="245" t="e">
        <f>PLĀNS_ar_grozījumiem!AV63-'plans (27122022)'!AV62</f>
        <v>#VALUE!</v>
      </c>
      <c r="AW63" s="846" t="e">
        <f>PLĀNS_ar_grozījumiem!AW63-'plans (27122022)'!AW62</f>
        <v>#VALUE!</v>
      </c>
      <c r="AX63" s="245" t="e">
        <f>PLĀNS_ar_grozījumiem!AX63-'plans (27122022)'!AX62</f>
        <v>#VALUE!</v>
      </c>
      <c r="AY63" s="243">
        <f>PLĀNS_ar_grozījumiem!AY63-'plans (27122022)'!AY62</f>
        <v>0</v>
      </c>
      <c r="AZ63" s="847" t="e">
        <f>PLĀNS_ar_grozījumiem!AZ63-'plans (27122022)'!AZ62</f>
        <v>#VALUE!</v>
      </c>
      <c r="BA63" s="500" t="e">
        <f>PLĀNS_ar_grozījumiem!BA63-'plans (27122022)'!BA62</f>
        <v>#VALUE!</v>
      </c>
      <c r="BB63" s="848" t="e">
        <f>PLĀNS_ar_grozījumiem!BB63-'plans (27122022)'!BB62</f>
        <v>#VALUE!</v>
      </c>
      <c r="BC63" s="847">
        <f>PLĀNS_ar_grozījumiem!BC63-'plans (27122022)'!BC62</f>
        <v>0</v>
      </c>
      <c r="BD63" s="245" t="e">
        <f>PLĀNS_ar_grozījumiem!BD63-'plans (27122022)'!BD62</f>
        <v>#VALUE!</v>
      </c>
      <c r="BE63" s="846" t="e">
        <f>PLĀNS_ar_grozījumiem!BE63-'plans (27122022)'!BE62</f>
        <v>#VALUE!</v>
      </c>
      <c r="BF63" s="847" t="e">
        <f>PLĀNS_ar_grozījumiem!BF63-'plans (27122022)'!BF62</f>
        <v>#VALUE!</v>
      </c>
      <c r="BG63" s="847">
        <f>PLĀNS_ar_grozījumiem!BG63-'plans (27122022)'!BG62</f>
        <v>0</v>
      </c>
      <c r="BH63" s="245" t="e">
        <f>PLĀNS_ar_grozījumiem!BH63-'plans (27122022)'!BH62</f>
        <v>#VALUE!</v>
      </c>
      <c r="BI63" s="846" t="e">
        <f>PLĀNS_ar_grozījumiem!BI63-'plans (27122022)'!BI62</f>
        <v>#VALUE!</v>
      </c>
      <c r="BJ63" s="848" t="e">
        <f>PLĀNS_ar_grozījumiem!BJ63-'plans (27122022)'!BJ62</f>
        <v>#VALUE!</v>
      </c>
      <c r="BK63" s="849">
        <f>PLĀNS_ar_grozījumiem!BK63-'plans (27122022)'!BK62</f>
        <v>0</v>
      </c>
      <c r="BL63" s="497" t="e">
        <f>PLĀNS_ar_grozījumiem!BL63-'plans (27122022)'!BL62</f>
        <v>#VALUE!</v>
      </c>
      <c r="BM63" s="247">
        <f>PLĀNS_ar_grozījumiem!BM63-'plans (27122022)'!BM62</f>
        <v>0</v>
      </c>
      <c r="BN63" s="247" t="e">
        <f>PLĀNS_ar_grozījumiem!BN63-'plans (27122022)'!BN62</f>
        <v>#VALUE!</v>
      </c>
      <c r="BO63" s="247">
        <f>PLĀNS_ar_grozījumiem!BO63-'plans (27122022)'!BO62</f>
        <v>0</v>
      </c>
      <c r="BP63" s="245" t="e">
        <f>PLĀNS_ar_grozījumiem!BP63-'plans (27122022)'!BP62</f>
        <v>#VALUE!</v>
      </c>
      <c r="BQ63" s="846" t="e">
        <f>PLĀNS_ar_grozījumiem!BQ63-'plans (27122022)'!BQ62</f>
        <v>#VALUE!</v>
      </c>
      <c r="BR63" s="245" t="e">
        <f>PLĀNS_ar_grozījumiem!BR63-'plans (27122022)'!BR62</f>
        <v>#VALUE!</v>
      </c>
      <c r="BS63" s="243">
        <f>PLĀNS_ar_grozījumiem!BS63-'plans (27122022)'!BS62</f>
        <v>0</v>
      </c>
      <c r="BT63" s="847" t="e">
        <f>PLĀNS_ar_grozījumiem!BT63-'plans (27122022)'!BT62</f>
        <v>#VALUE!</v>
      </c>
      <c r="BU63" s="500" t="e">
        <f>PLĀNS_ar_grozījumiem!BU63-'plans (27122022)'!BU62</f>
        <v>#VALUE!</v>
      </c>
      <c r="BV63" s="848" t="e">
        <f>PLĀNS_ar_grozījumiem!BV63-'plans (27122022)'!BV62</f>
        <v>#VALUE!</v>
      </c>
      <c r="BW63" s="847">
        <f>PLĀNS_ar_grozījumiem!BW63-'plans (27122022)'!BW62</f>
        <v>0</v>
      </c>
      <c r="BX63" s="245" t="e">
        <f>PLĀNS_ar_grozījumiem!BX63-'plans (27122022)'!BX62</f>
        <v>#VALUE!</v>
      </c>
      <c r="BY63" s="846" t="e">
        <f>PLĀNS_ar_grozījumiem!BY63-'plans (27122022)'!BY62</f>
        <v>#VALUE!</v>
      </c>
      <c r="BZ63" s="847" t="e">
        <f>PLĀNS_ar_grozījumiem!BZ63-'plans (27122022)'!BZ62</f>
        <v>#VALUE!</v>
      </c>
      <c r="CA63" s="847">
        <f>PLĀNS_ar_grozījumiem!CA63-'plans (27122022)'!CA62</f>
        <v>0</v>
      </c>
      <c r="CB63" s="245" t="e">
        <f>PLĀNS_ar_grozījumiem!CB63-'plans (27122022)'!CB62</f>
        <v>#VALUE!</v>
      </c>
      <c r="CC63" s="846" t="e">
        <f>PLĀNS_ar_grozījumiem!CC63-'plans (27122022)'!CC62</f>
        <v>#VALUE!</v>
      </c>
      <c r="CD63" s="848" t="e">
        <f>PLĀNS_ar_grozījumiem!CD63-'plans (27122022)'!CD62</f>
        <v>#VALUE!</v>
      </c>
      <c r="CE63" s="849">
        <f>PLĀNS_ar_grozījumiem!CE63-'plans (27122022)'!CE62</f>
        <v>0</v>
      </c>
      <c r="CF63" s="497" t="e">
        <f>PLĀNS_ar_grozījumiem!CF63-'plans (27122022)'!CF62</f>
        <v>#VALUE!</v>
      </c>
      <c r="CG63" s="850">
        <f>PLĀNS_ar_grozījumiem!CG63-'plans (27122022)'!CG62</f>
        <v>0</v>
      </c>
      <c r="CH63" s="247" t="e">
        <f>PLĀNS_ar_grozījumiem!CH63-'plans (27122022)'!CH62</f>
        <v>#VALUE!</v>
      </c>
      <c r="CI63" s="247">
        <f>PLĀNS_ar_grozījumiem!CI63-'plans (27122022)'!CI62</f>
        <v>0</v>
      </c>
      <c r="CJ63" s="847" t="e">
        <f>PLĀNS_ar_grozījumiem!CJ63-'plans (27122022)'!CJ62</f>
        <v>#VALUE!</v>
      </c>
      <c r="CK63" s="500" t="e">
        <f>PLĀNS_ar_grozījumiem!CK63-'plans (27122022)'!CK62</f>
        <v>#VALUE!</v>
      </c>
      <c r="CL63" s="245" t="e">
        <f>PLĀNS_ar_grozījumiem!CL63-'plans (27122022)'!CL62</f>
        <v>#VALUE!</v>
      </c>
      <c r="CM63" s="244">
        <f>PLĀNS_ar_grozījumiem!CM63-'plans (27122022)'!CM62</f>
        <v>0</v>
      </c>
      <c r="CN63" s="243" t="e">
        <f>PLĀNS_ar_grozījumiem!CN63-'plans (27122022)'!CN62</f>
        <v>#VALUE!</v>
      </c>
      <c r="CO63" s="500" t="e">
        <f>PLĀNS_ar_grozījumiem!CO63-'plans (27122022)'!CO62</f>
        <v>#VALUE!</v>
      </c>
      <c r="CP63" s="848" t="e">
        <f>PLĀNS_ar_grozījumiem!CP63-'plans (27122022)'!CP62</f>
        <v>#VALUE!</v>
      </c>
      <c r="CQ63" s="847">
        <f>PLĀNS_ar_grozījumiem!CQ63-'plans (27122022)'!CQ62</f>
        <v>0</v>
      </c>
      <c r="CR63" s="847" t="e">
        <f>PLĀNS_ar_grozījumiem!CR63-'plans (27122022)'!CR62</f>
        <v>#VALUE!</v>
      </c>
      <c r="CS63" s="500" t="e">
        <f>PLĀNS_ar_grozījumiem!CS63-'plans (27122022)'!CS62</f>
        <v>#VALUE!</v>
      </c>
      <c r="CT63" s="847" t="e">
        <f>PLĀNS_ar_grozījumiem!CT63-'plans (27122022)'!CT62</f>
        <v>#VALUE!</v>
      </c>
      <c r="CU63" s="847">
        <f>PLĀNS_ar_grozījumiem!CU63-'plans (27122022)'!CU62</f>
        <v>0</v>
      </c>
      <c r="CV63" s="847" t="e">
        <f>PLĀNS_ar_grozījumiem!CV63-'plans (27122022)'!CV62</f>
        <v>#VALUE!</v>
      </c>
      <c r="CW63" s="500" t="e">
        <f>PLĀNS_ar_grozījumiem!CW63-'plans (27122022)'!CW62</f>
        <v>#VALUE!</v>
      </c>
      <c r="CX63" s="245" t="e">
        <f>PLĀNS_ar_grozījumiem!CX63-'plans (27122022)'!CX62</f>
        <v>#VALUE!</v>
      </c>
      <c r="CY63" s="246">
        <f>PLĀNS_ar_grozījumiem!CY63-'plans (27122022)'!CY62</f>
        <v>0</v>
      </c>
      <c r="CZ63" s="851" t="s">
        <v>44</v>
      </c>
      <c r="DA63" s="244" t="s">
        <v>44</v>
      </c>
      <c r="DB63" s="243" t="s">
        <v>44</v>
      </c>
      <c r="DC63" s="244" t="s">
        <v>44</v>
      </c>
      <c r="DD63" s="848" t="s">
        <v>44</v>
      </c>
      <c r="DE63" s="243" t="s">
        <v>44</v>
      </c>
      <c r="DF63" s="243" t="s">
        <v>44</v>
      </c>
      <c r="DG63" s="243" t="s">
        <v>44</v>
      </c>
      <c r="DH63" s="243" t="s">
        <v>44</v>
      </c>
      <c r="DI63" s="243" t="s">
        <v>44</v>
      </c>
      <c r="DJ63" s="243" t="s">
        <v>44</v>
      </c>
      <c r="DK63" s="243" t="s">
        <v>44</v>
      </c>
      <c r="DL63" s="243" t="s">
        <v>44</v>
      </c>
      <c r="DM63" s="243" t="s">
        <v>44</v>
      </c>
      <c r="DN63" s="243" t="s">
        <v>44</v>
      </c>
      <c r="DO63" s="244" t="s">
        <v>44</v>
      </c>
      <c r="DP63" s="245" t="s">
        <v>44</v>
      </c>
      <c r="DQ63" s="246" t="s">
        <v>44</v>
      </c>
      <c r="DR63" s="255"/>
      <c r="DS63" s="915"/>
      <c r="DT63" s="255"/>
      <c r="DU63" s="915"/>
      <c r="DV63" s="255"/>
      <c r="DW63" s="255"/>
      <c r="DX63" s="255"/>
      <c r="DY63" s="915"/>
      <c r="DZ63" s="255"/>
      <c r="EA63" s="255"/>
      <c r="EB63" s="255"/>
      <c r="EC63" s="988"/>
      <c r="ED63" s="255"/>
      <c r="EE63" s="989"/>
      <c r="EF63" s="989"/>
      <c r="EG63" s="924"/>
    </row>
    <row r="64" spans="1:137" s="283" customFormat="1" ht="15.75" customHeight="1" thickBot="1" x14ac:dyDescent="0.35">
      <c r="A64" s="1070"/>
      <c r="B64" s="252" t="s">
        <v>62</v>
      </c>
      <c r="C64" s="1030" t="s">
        <v>63</v>
      </c>
      <c r="D64" s="1010">
        <v>70</v>
      </c>
      <c r="E64" s="255"/>
      <c r="F64" s="255">
        <v>3.2422417786012043</v>
      </c>
      <c r="G64" s="255"/>
      <c r="H64" s="256" t="s">
        <v>44</v>
      </c>
      <c r="I64" s="257" t="s">
        <v>44</v>
      </c>
      <c r="J64" s="258">
        <v>87.540528022232522</v>
      </c>
      <c r="K64" s="259"/>
      <c r="L64" s="260" t="s">
        <v>44</v>
      </c>
      <c r="M64" s="261" t="s">
        <v>44</v>
      </c>
      <c r="N64" s="262">
        <v>87.540528022232522</v>
      </c>
      <c r="O64" s="263"/>
      <c r="P64" s="256" t="s">
        <v>44</v>
      </c>
      <c r="Q64" s="257" t="s">
        <v>44</v>
      </c>
      <c r="R64" s="264">
        <v>0</v>
      </c>
      <c r="S64" s="265"/>
      <c r="T64" s="256" t="s">
        <v>44</v>
      </c>
      <c r="U64" s="257" t="s">
        <v>44</v>
      </c>
      <c r="V64" s="266">
        <v>1</v>
      </c>
      <c r="W64" s="266"/>
      <c r="X64" s="254">
        <v>45</v>
      </c>
      <c r="Y64" s="255"/>
      <c r="Z64" s="255">
        <v>2.0604395604395602</v>
      </c>
      <c r="AA64" s="255"/>
      <c r="AB64" s="256" t="s">
        <v>44</v>
      </c>
      <c r="AC64" s="257" t="s">
        <v>44</v>
      </c>
      <c r="AD64" s="258">
        <v>56.276053728578049</v>
      </c>
      <c r="AE64" s="259"/>
      <c r="AF64" s="260" t="s">
        <v>44</v>
      </c>
      <c r="AG64" s="261" t="s">
        <v>44</v>
      </c>
      <c r="AH64" s="262">
        <v>56.276053728578049</v>
      </c>
      <c r="AI64" s="263"/>
      <c r="AJ64" s="256" t="s">
        <v>44</v>
      </c>
      <c r="AK64" s="257" t="s">
        <v>44</v>
      </c>
      <c r="AL64" s="264">
        <v>0</v>
      </c>
      <c r="AM64" s="265"/>
      <c r="AN64" s="256" t="s">
        <v>44</v>
      </c>
      <c r="AO64" s="257" t="s">
        <v>44</v>
      </c>
      <c r="AP64" s="266">
        <v>1</v>
      </c>
      <c r="AQ64" s="266"/>
      <c r="AR64" s="254">
        <v>40</v>
      </c>
      <c r="AS64" s="255">
        <f>PLĀNS_ar_grozījumiem!AS64-'plans (27122022)'!AS63</f>
        <v>0</v>
      </c>
      <c r="AT64" s="255">
        <f>PLĀNS_ar_grozījumiem!AT64-'plans (27122022)'!AT63</f>
        <v>-0.81159420289855078</v>
      </c>
      <c r="AU64" s="255">
        <f>PLĀNS_ar_grozījumiem!AU64-'plans (27122022)'!AU63</f>
        <v>0</v>
      </c>
      <c r="AV64" s="256" t="e">
        <f>PLĀNS_ar_grozījumiem!AV64-'plans (27122022)'!AV63</f>
        <v>#VALUE!</v>
      </c>
      <c r="AW64" s="257" t="e">
        <f>PLĀNS_ar_grozījumiem!AW64-'plans (27122022)'!AW63</f>
        <v>#VALUE!</v>
      </c>
      <c r="AX64" s="258">
        <f>PLĀNS_ar_grozījumiem!AX64-'plans (27122022)'!AX63</f>
        <v>0</v>
      </c>
      <c r="AY64" s="259">
        <f>PLĀNS_ar_grozījumiem!AY64-'plans (27122022)'!AY63</f>
        <v>0</v>
      </c>
      <c r="AZ64" s="260" t="e">
        <f>PLĀNS_ar_grozījumiem!AZ64-'plans (27122022)'!AZ63</f>
        <v>#VALUE!</v>
      </c>
      <c r="BA64" s="261" t="e">
        <f>PLĀNS_ar_grozījumiem!BA64-'plans (27122022)'!BA63</f>
        <v>#VALUE!</v>
      </c>
      <c r="BB64" s="262">
        <f>PLĀNS_ar_grozījumiem!BB64-'plans (27122022)'!BB63</f>
        <v>0</v>
      </c>
      <c r="BC64" s="263">
        <f>PLĀNS_ar_grozījumiem!BC64-'plans (27122022)'!BC63</f>
        <v>0</v>
      </c>
      <c r="BD64" s="256" t="e">
        <f>PLĀNS_ar_grozījumiem!BD64-'plans (27122022)'!BD63</f>
        <v>#VALUE!</v>
      </c>
      <c r="BE64" s="257" t="e">
        <f>PLĀNS_ar_grozījumiem!BE64-'plans (27122022)'!BE63</f>
        <v>#VALUE!</v>
      </c>
      <c r="BF64" s="264">
        <f>PLĀNS_ar_grozījumiem!BF64-'plans (27122022)'!BF63</f>
        <v>0</v>
      </c>
      <c r="BG64" s="265">
        <f>PLĀNS_ar_grozījumiem!BG64-'plans (27122022)'!BG63</f>
        <v>0</v>
      </c>
      <c r="BH64" s="256" t="e">
        <f>PLĀNS_ar_grozījumiem!BH64-'plans (27122022)'!BH63</f>
        <v>#VALUE!</v>
      </c>
      <c r="BI64" s="257" t="e">
        <f>PLĀNS_ar_grozījumiem!BI64-'plans (27122022)'!BI63</f>
        <v>#VALUE!</v>
      </c>
      <c r="BJ64" s="266">
        <f>PLĀNS_ar_grozījumiem!BJ64-'plans (27122022)'!BJ63</f>
        <v>0.25057897174617882</v>
      </c>
      <c r="BK64" s="266">
        <f>PLĀNS_ar_grozījumiem!BK64-'plans (27122022)'!BK63</f>
        <v>0</v>
      </c>
      <c r="BL64" s="254">
        <f>PLĀNS_ar_grozījumiem!BL64-'plans (27122022)'!BL63</f>
        <v>0</v>
      </c>
      <c r="BM64" s="255">
        <f>PLĀNS_ar_grozījumiem!BM64-'plans (27122022)'!BM63</f>
        <v>0</v>
      </c>
      <c r="BN64" s="255">
        <f>PLĀNS_ar_grozījumiem!BN64-'plans (27122022)'!BN63</f>
        <v>-3.5269352648257124</v>
      </c>
      <c r="BO64" s="255">
        <f>PLĀNS_ar_grozījumiem!BO64-'plans (27122022)'!BO63</f>
        <v>0</v>
      </c>
      <c r="BP64" s="256" t="e">
        <f>PLĀNS_ar_grozījumiem!BP64-'plans (27122022)'!BP63</f>
        <v>#VALUE!</v>
      </c>
      <c r="BQ64" s="257" t="e">
        <f>PLĀNS_ar_grozījumiem!BQ64-'plans (27122022)'!BQ63</f>
        <v>#VALUE!</v>
      </c>
      <c r="BR64" s="258">
        <f>PLĀNS_ar_grozījumiem!BR64-'plans (27122022)'!BR63</f>
        <v>-5.7897174617878022E-2</v>
      </c>
      <c r="BS64" s="259">
        <f>PLĀNS_ar_grozījumiem!BS64-'plans (27122022)'!BS63</f>
        <v>0</v>
      </c>
      <c r="BT64" s="260" t="e">
        <f>PLĀNS_ar_grozījumiem!BT64-'plans (27122022)'!BT63</f>
        <v>#VALUE!</v>
      </c>
      <c r="BU64" s="261" t="e">
        <f>PLĀNS_ar_grozījumiem!BU64-'plans (27122022)'!BU63</f>
        <v>#VALUE!</v>
      </c>
      <c r="BV64" s="262">
        <f>PLĀNS_ar_grozījumiem!BV64-'plans (27122022)'!BV63</f>
        <v>-5.7897174617878022E-2</v>
      </c>
      <c r="BW64" s="263">
        <f>PLĀNS_ar_grozījumiem!BW64-'plans (27122022)'!BW63</f>
        <v>0</v>
      </c>
      <c r="BX64" s="256" t="e">
        <f>PLĀNS_ar_grozījumiem!BX64-'plans (27122022)'!BX63</f>
        <v>#VALUE!</v>
      </c>
      <c r="BY64" s="257" t="e">
        <f>PLĀNS_ar_grozījumiem!BY64-'plans (27122022)'!BY63</f>
        <v>#VALUE!</v>
      </c>
      <c r="BZ64" s="264">
        <f>PLĀNS_ar_grozījumiem!BZ64-'plans (27122022)'!BZ63</f>
        <v>0</v>
      </c>
      <c r="CA64" s="265">
        <f>PLĀNS_ar_grozījumiem!CA64-'plans (27122022)'!CA63</f>
        <v>0</v>
      </c>
      <c r="CB64" s="256" t="e">
        <f>PLĀNS_ar_grozījumiem!CB64-'plans (27122022)'!CB63</f>
        <v>#VALUE!</v>
      </c>
      <c r="CC64" s="257" t="e">
        <f>PLĀNS_ar_grozījumiem!CC64-'plans (27122022)'!CC63</f>
        <v>#VALUE!</v>
      </c>
      <c r="CD64" s="266">
        <f>PLĀNS_ar_grozījumiem!CD64-'plans (27122022)'!CD63</f>
        <v>0.25</v>
      </c>
      <c r="CE64" s="266">
        <f>PLĀNS_ar_grozījumiem!CE64-'plans (27122022)'!CE63</f>
        <v>0</v>
      </c>
      <c r="CF64" s="267">
        <f>PLĀNS_ar_grozījumiem!CF64-'plans (27122022)'!CF63</f>
        <v>0</v>
      </c>
      <c r="CG64" s="266">
        <f>PLĀNS_ar_grozījumiem!CG64-'plans (27122022)'!CG63</f>
        <v>0</v>
      </c>
      <c r="CH64" s="255">
        <f>PLĀNS_ar_grozījumiem!CH64-'plans (27122022)'!CH63</f>
        <v>-1.9109589041095889</v>
      </c>
      <c r="CI64" s="268">
        <f>PLĀNS_ar_grozījumiem!CI64-'plans (27122022)'!CI63</f>
        <v>0</v>
      </c>
      <c r="CJ64" s="260" t="e">
        <f>PLĀNS_ar_grozījumiem!CJ64-'plans (27122022)'!CJ63</f>
        <v>#VALUE!</v>
      </c>
      <c r="CK64" s="261" t="e">
        <f>PLĀNS_ar_grozījumiem!CK64-'plans (27122022)'!CK63</f>
        <v>#VALUE!</v>
      </c>
      <c r="CL64" s="269">
        <f>PLĀNS_ar_grozījumiem!CL64-'plans (27122022)'!CL63</f>
        <v>-5.7897174617892233E-2</v>
      </c>
      <c r="CM64" s="270">
        <f>PLĀNS_ar_grozījumiem!CM64-'plans (27122022)'!CM63</f>
        <v>0</v>
      </c>
      <c r="CN64" s="260" t="e">
        <f>PLĀNS_ar_grozījumiem!CN64-'plans (27122022)'!CN63</f>
        <v>#VALUE!</v>
      </c>
      <c r="CO64" s="261" t="e">
        <f>PLĀNS_ar_grozījumiem!CO64-'plans (27122022)'!CO63</f>
        <v>#VALUE!</v>
      </c>
      <c r="CP64" s="269">
        <f>PLĀNS_ar_grozījumiem!CP64-'plans (27122022)'!CP63</f>
        <v>-5.7897174617892233E-2</v>
      </c>
      <c r="CQ64" s="271">
        <f>PLĀNS_ar_grozījumiem!CQ64-'plans (27122022)'!CQ63</f>
        <v>0</v>
      </c>
      <c r="CR64" s="260" t="e">
        <f>PLĀNS_ar_grozījumiem!CR64-'plans (27122022)'!CR63</f>
        <v>#VALUE!</v>
      </c>
      <c r="CS64" s="261" t="e">
        <f>PLĀNS_ar_grozījumiem!CS64-'plans (27122022)'!CS63</f>
        <v>#VALUE!</v>
      </c>
      <c r="CT64" s="269">
        <f>PLĀNS_ar_grozījumiem!CT64-'plans (27122022)'!CT63</f>
        <v>0</v>
      </c>
      <c r="CU64" s="271">
        <f>PLĀNS_ar_grozījumiem!CU64-'plans (27122022)'!CU63</f>
        <v>0</v>
      </c>
      <c r="CV64" s="260" t="e">
        <f>PLĀNS_ar_grozījumiem!CV64-'plans (27122022)'!CV63</f>
        <v>#VALUE!</v>
      </c>
      <c r="CW64" s="261" t="e">
        <f>PLĀNS_ar_grozījumiem!CW64-'plans (27122022)'!CW63</f>
        <v>#VALUE!</v>
      </c>
      <c r="CX64" s="269">
        <f>PLĀNS_ar_grozījumiem!CX64-'plans (27122022)'!CX63</f>
        <v>-2.2704774359949553E-4</v>
      </c>
      <c r="CY64" s="272">
        <f>PLĀNS_ar_grozījumiem!CY64-'plans (27122022)'!CY63</f>
        <v>0</v>
      </c>
      <c r="CZ64" s="273">
        <f>D64+X64</f>
        <v>115</v>
      </c>
      <c r="DA64" s="274">
        <f>E64+Y64</f>
        <v>0</v>
      </c>
      <c r="DB64" s="275">
        <f>(CZ64/4343)*100</f>
        <v>2.6479392125259036</v>
      </c>
      <c r="DC64" s="276">
        <f>(DA64/4343)*100</f>
        <v>0</v>
      </c>
      <c r="DD64" s="269">
        <f t="shared" ref="DD64:DO65" si="20">J64+AD64</f>
        <v>143.81658175081057</v>
      </c>
      <c r="DE64" s="277">
        <f t="shared" si="20"/>
        <v>0</v>
      </c>
      <c r="DF64" s="277" t="e">
        <f t="shared" si="20"/>
        <v>#VALUE!</v>
      </c>
      <c r="DG64" s="278" t="e">
        <f t="shared" si="20"/>
        <v>#VALUE!</v>
      </c>
      <c r="DH64" s="269">
        <f t="shared" si="20"/>
        <v>143.81658175081057</v>
      </c>
      <c r="DI64" s="271">
        <f t="shared" si="20"/>
        <v>0</v>
      </c>
      <c r="DJ64" s="271" t="e">
        <f t="shared" si="20"/>
        <v>#VALUE!</v>
      </c>
      <c r="DK64" s="271" t="e">
        <f t="shared" si="20"/>
        <v>#VALUE!</v>
      </c>
      <c r="DL64" s="269">
        <f t="shared" si="20"/>
        <v>0</v>
      </c>
      <c r="DM64" s="271">
        <f t="shared" si="20"/>
        <v>0</v>
      </c>
      <c r="DN64" s="271" t="e">
        <f t="shared" si="20"/>
        <v>#VALUE!</v>
      </c>
      <c r="DO64" s="270" t="e">
        <f t="shared" si="20"/>
        <v>#VALUE!</v>
      </c>
      <c r="DP64" s="100">
        <f t="shared" si="5"/>
        <v>1.2505789717461788</v>
      </c>
      <c r="DQ64" s="116" t="e">
        <f t="shared" si="5"/>
        <v>#DIV/0!</v>
      </c>
      <c r="DR64" s="279">
        <f>PLĀNS_ar_grozījumiem!CF64-'plans (27122022)'!CF63</f>
        <v>0</v>
      </c>
      <c r="DS64" s="918">
        <f>DR64/'plans (27122022)'!CF63</f>
        <v>0</v>
      </c>
      <c r="DT64" s="277">
        <f>PLĀNS_ar_grozījumiem!CL64-'plans (27122022)'!CL63</f>
        <v>-5.7897174617892233E-2</v>
      </c>
      <c r="DU64" s="919">
        <f>DT64/'plans (27122022)'!CL63</f>
        <v>-1.8155410312277316E-4</v>
      </c>
      <c r="DV64" s="271"/>
      <c r="DW64" s="280">
        <f>PLĀNS_ar_grozījumiem!CM64-'plans (27122022)'!CM63</f>
        <v>0</v>
      </c>
      <c r="DX64" s="277">
        <f>PLĀNS_ar_grozījumiem!CP64-'plans (27122022)'!CP63</f>
        <v>-5.7897174617892233E-2</v>
      </c>
      <c r="DY64" s="919">
        <f>DX64/'plans (27122022)'!CP63</f>
        <v>-1.8155410312277316E-4</v>
      </c>
      <c r="DZ64" s="271"/>
      <c r="EA64" s="280"/>
      <c r="EB64" s="277">
        <f>PLĀNS_ar_grozījumiem!CT64-'plans (27122022)'!CT63</f>
        <v>0</v>
      </c>
      <c r="EC64" s="276"/>
      <c r="ED64" s="271"/>
      <c r="EE64" s="280"/>
      <c r="EF64" s="281">
        <f>PLĀNS_ar_grozījumiem!CX64-'plans (27122022)'!CX63</f>
        <v>-2.2704774359949553E-4</v>
      </c>
      <c r="EG64" s="920">
        <f>EF64/'plans (27122022)'!CX63</f>
        <v>-1.8155410312270772E-4</v>
      </c>
    </row>
    <row r="65" spans="1:138" s="317" customFormat="1" ht="15.75" customHeight="1" thickBot="1" x14ac:dyDescent="0.35">
      <c r="A65" s="1071"/>
      <c r="B65" s="284" t="s">
        <v>64</v>
      </c>
      <c r="C65" s="285"/>
      <c r="D65" s="1011">
        <v>10178.400000000001</v>
      </c>
      <c r="E65" s="287"/>
      <c r="F65" s="288">
        <v>93.578133475530734</v>
      </c>
      <c r="G65" s="288"/>
      <c r="H65" s="289" t="s">
        <v>44</v>
      </c>
      <c r="I65" s="290" t="s">
        <v>44</v>
      </c>
      <c r="J65" s="291">
        <v>1123310.5405280222</v>
      </c>
      <c r="K65" s="292"/>
      <c r="L65" s="293" t="s">
        <v>44</v>
      </c>
      <c r="M65" s="290" t="s">
        <v>44</v>
      </c>
      <c r="N65" s="291">
        <v>1104679.5405280222</v>
      </c>
      <c r="O65" s="294"/>
      <c r="P65" s="289" t="s">
        <v>44</v>
      </c>
      <c r="Q65" s="290" t="s">
        <v>44</v>
      </c>
      <c r="R65" s="291">
        <v>18631</v>
      </c>
      <c r="S65" s="294"/>
      <c r="T65" s="289" t="s">
        <v>44</v>
      </c>
      <c r="U65" s="290" t="s">
        <v>44</v>
      </c>
      <c r="V65" s="295">
        <v>110</v>
      </c>
      <c r="W65" s="296"/>
      <c r="X65" s="286">
        <v>10059.100000000002</v>
      </c>
      <c r="Y65" s="287"/>
      <c r="Z65" s="288">
        <v>91.638805127130624</v>
      </c>
      <c r="AA65" s="288"/>
      <c r="AB65" s="289" t="s">
        <v>44</v>
      </c>
      <c r="AC65" s="290" t="s">
        <v>44</v>
      </c>
      <c r="AD65" s="291">
        <v>1105681.2760537285</v>
      </c>
      <c r="AE65" s="292"/>
      <c r="AF65" s="293" t="s">
        <v>44</v>
      </c>
      <c r="AG65" s="290" t="s">
        <v>44</v>
      </c>
      <c r="AH65" s="291">
        <v>1090598.2760537285</v>
      </c>
      <c r="AI65" s="294"/>
      <c r="AJ65" s="289" t="s">
        <v>44</v>
      </c>
      <c r="AK65" s="290" t="s">
        <v>44</v>
      </c>
      <c r="AL65" s="291">
        <v>15083</v>
      </c>
      <c r="AM65" s="294"/>
      <c r="AN65" s="289" t="s">
        <v>44</v>
      </c>
      <c r="AO65" s="290" t="s">
        <v>44</v>
      </c>
      <c r="AP65" s="295">
        <v>110</v>
      </c>
      <c r="AQ65" s="296"/>
      <c r="AR65" s="286">
        <v>9796.7000000000007</v>
      </c>
      <c r="AS65" s="287">
        <f>PLĀNS_ar_grozījumiem!AS65-'plans (27122022)'!AS64</f>
        <v>0</v>
      </c>
      <c r="AT65" s="288">
        <f>PLĀNS_ar_grozījumiem!AT65-'plans (27122022)'!AT64</f>
        <v>-87.444433492375168</v>
      </c>
      <c r="AU65" s="288">
        <f>PLĀNS_ar_grozījumiem!AU65-'plans (27122022)'!AU64</f>
        <v>0</v>
      </c>
      <c r="AV65" s="289" t="e">
        <f>PLĀNS_ar_grozījumiem!AV65-'plans (27122022)'!AV64</f>
        <v>#VALUE!</v>
      </c>
      <c r="AW65" s="290" t="e">
        <f>PLĀNS_ar_grozījumiem!AW65-'plans (27122022)'!AW64</f>
        <v>#VALUE!</v>
      </c>
      <c r="AX65" s="291">
        <f>PLĀNS_ar_grozījumiem!AX65-'plans (27122022)'!AX64</f>
        <v>50280.660000000265</v>
      </c>
      <c r="AY65" s="292">
        <f>PLĀNS_ar_grozījumiem!AY65-'plans (27122022)'!AY64</f>
        <v>0</v>
      </c>
      <c r="AZ65" s="293" t="e">
        <f>PLĀNS_ar_grozījumiem!AZ65-'plans (27122022)'!AZ64</f>
        <v>#VALUE!</v>
      </c>
      <c r="BA65" s="290" t="e">
        <f>PLĀNS_ar_grozījumiem!BA65-'plans (27122022)'!BA64</f>
        <v>#VALUE!</v>
      </c>
      <c r="BB65" s="291">
        <f>PLĀNS_ar_grozījumiem!BB65-'plans (27122022)'!BB64</f>
        <v>48112.660000000265</v>
      </c>
      <c r="BC65" s="294">
        <f>PLĀNS_ar_grozījumiem!BC65-'plans (27122022)'!BC64</f>
        <v>0</v>
      </c>
      <c r="BD65" s="289" t="e">
        <f>PLĀNS_ar_grozījumiem!BD65-'plans (27122022)'!BD64</f>
        <v>#VALUE!</v>
      </c>
      <c r="BE65" s="290" t="e">
        <f>PLĀNS_ar_grozījumiem!BE65-'plans (27122022)'!BE64</f>
        <v>#VALUE!</v>
      </c>
      <c r="BF65" s="291">
        <f>PLĀNS_ar_grozījumiem!BF65-'plans (27122022)'!BF64</f>
        <v>2168</v>
      </c>
      <c r="BG65" s="294">
        <f>PLĀNS_ar_grozījumiem!BG65-'plans (27122022)'!BG64</f>
        <v>0</v>
      </c>
      <c r="BH65" s="289" t="e">
        <f>PLĀNS_ar_grozījumiem!BH65-'plans (27122022)'!BH64</f>
        <v>#VALUE!</v>
      </c>
      <c r="BI65" s="290" t="e">
        <f>PLĀNS_ar_grozījumiem!BI65-'plans (27122022)'!BI64</f>
        <v>#VALUE!</v>
      </c>
      <c r="BJ65" s="295">
        <f>PLĀNS_ar_grozījumiem!BJ65-'plans (27122022)'!BJ64</f>
        <v>7.6929190952930924</v>
      </c>
      <c r="BK65" s="296">
        <f>PLĀNS_ar_grozījumiem!BK65-'plans (27122022)'!BK64</f>
        <v>0</v>
      </c>
      <c r="BL65" s="286">
        <f>PLĀNS_ar_grozījumiem!BL65-'plans (27122022)'!BL64</f>
        <v>14.399999999999636</v>
      </c>
      <c r="BM65" s="287">
        <f>PLĀNS_ar_grozījumiem!BM65-'plans (27122022)'!BM64</f>
        <v>0</v>
      </c>
      <c r="BN65" s="288">
        <f>PLĀNS_ar_grozījumiem!BN65-'plans (27122022)'!BN64</f>
        <v>-92.561033978972674</v>
      </c>
      <c r="BO65" s="288">
        <f>PLĀNS_ar_grozījumiem!BO65-'plans (27122022)'!BO64</f>
        <v>0</v>
      </c>
      <c r="BP65" s="289" t="e">
        <f>PLĀNS_ar_grozījumiem!BP65-'plans (27122022)'!BP64</f>
        <v>#VALUE!</v>
      </c>
      <c r="BQ65" s="290" t="e">
        <f>PLĀNS_ar_grozījumiem!BQ65-'plans (27122022)'!BQ64</f>
        <v>#VALUE!</v>
      </c>
      <c r="BR65" s="291">
        <f>PLĀNS_ar_grozījumiem!BR65-'plans (27122022)'!BR64</f>
        <v>84627.662102825474</v>
      </c>
      <c r="BS65" s="292">
        <f>PLĀNS_ar_grozījumiem!BS65-'plans (27122022)'!BS64</f>
        <v>0</v>
      </c>
      <c r="BT65" s="293" t="e">
        <f>PLĀNS_ar_grozījumiem!BT65-'plans (27122022)'!BT64</f>
        <v>#VALUE!</v>
      </c>
      <c r="BU65" s="290" t="e">
        <f>PLĀNS_ar_grozījumiem!BU65-'plans (27122022)'!BU64</f>
        <v>#VALUE!</v>
      </c>
      <c r="BV65" s="291">
        <f>PLĀNS_ar_grozījumiem!BV65-'plans (27122022)'!BV64</f>
        <v>82130.662102825474</v>
      </c>
      <c r="BW65" s="294">
        <f>PLĀNS_ar_grozījumiem!BW65-'plans (27122022)'!BW64</f>
        <v>0</v>
      </c>
      <c r="BX65" s="289" t="e">
        <f>PLĀNS_ar_grozījumiem!BX65-'plans (27122022)'!BX64</f>
        <v>#VALUE!</v>
      </c>
      <c r="BY65" s="290" t="e">
        <f>PLĀNS_ar_grozījumiem!BY65-'plans (27122022)'!BY64</f>
        <v>#VALUE!</v>
      </c>
      <c r="BZ65" s="291">
        <f>PLĀNS_ar_grozījumiem!BZ65-'plans (27122022)'!BZ64</f>
        <v>2497</v>
      </c>
      <c r="CA65" s="294">
        <f>PLĀNS_ar_grozījumiem!CA65-'plans (27122022)'!CA64</f>
        <v>0</v>
      </c>
      <c r="CB65" s="289" t="e">
        <f>PLĀNS_ar_grozījumiem!CB65-'plans (27122022)'!CB64</f>
        <v>#VALUE!</v>
      </c>
      <c r="CC65" s="290" t="e">
        <f>PLĀNS_ar_grozījumiem!CC65-'plans (27122022)'!CC64</f>
        <v>#VALUE!</v>
      </c>
      <c r="CD65" s="295">
        <f>PLĀNS_ar_grozījumiem!CD65-'plans (27122022)'!CD64</f>
        <v>10.627285468499281</v>
      </c>
      <c r="CE65" s="296">
        <f>PLĀNS_ar_grozījumiem!CE65-'plans (27122022)'!CE64</f>
        <v>0</v>
      </c>
      <c r="CF65" s="297">
        <f>PLĀNS_ar_grozījumiem!CF65-'plans (27122022)'!CF64</f>
        <v>-82.809999999990396</v>
      </c>
      <c r="CG65" s="292">
        <f>PLĀNS_ar_grozījumiem!CG65-'plans (27122022)'!CG64</f>
        <v>0</v>
      </c>
      <c r="CH65" s="287">
        <f>PLĀNS_ar_grozījumiem!CH65-'plans (27122022)'!CH64</f>
        <v>-90.837665126319067</v>
      </c>
      <c r="CI65" s="298">
        <f>PLĀNS_ar_grozījumiem!CI65-'plans (27122022)'!CI64</f>
        <v>0</v>
      </c>
      <c r="CJ65" s="293" t="e">
        <f>PLĀNS_ar_grozījumiem!CJ65-'plans (27122022)'!CJ64</f>
        <v>#VALUE!</v>
      </c>
      <c r="CK65" s="290" t="e">
        <f>PLĀNS_ar_grozījumiem!CK65-'plans (27122022)'!CK64</f>
        <v>#VALUE!</v>
      </c>
      <c r="CL65" s="299">
        <f>PLĀNS_ar_grozījumiem!CL65-'plans (27122022)'!CL64</f>
        <v>134908.32210282609</v>
      </c>
      <c r="CM65" s="294">
        <f>PLĀNS_ar_grozījumiem!CM65-'plans (27122022)'!CM64</f>
        <v>0</v>
      </c>
      <c r="CN65" s="293" t="e">
        <f>PLĀNS_ar_grozījumiem!CN65-'plans (27122022)'!CN64</f>
        <v>#VALUE!</v>
      </c>
      <c r="CO65" s="290" t="e">
        <f>PLĀNS_ar_grozījumiem!CO65-'plans (27122022)'!CO64</f>
        <v>#VALUE!</v>
      </c>
      <c r="CP65" s="291">
        <f>PLĀNS_ar_grozījumiem!CP65-'plans (27122022)'!CP64</f>
        <v>130243.32210282609</v>
      </c>
      <c r="CQ65" s="292">
        <f>PLĀNS_ar_grozījumiem!CQ65-'plans (27122022)'!CQ64</f>
        <v>0</v>
      </c>
      <c r="CR65" s="293" t="e">
        <f>PLĀNS_ar_grozījumiem!CR65-'plans (27122022)'!CR64</f>
        <v>#VALUE!</v>
      </c>
      <c r="CS65" s="290" t="e">
        <f>PLĀNS_ar_grozījumiem!CS65-'plans (27122022)'!CS64</f>
        <v>#VALUE!</v>
      </c>
      <c r="CT65" s="299">
        <f>PLĀNS_ar_grozījumiem!CT65-'plans (27122022)'!CT64</f>
        <v>4665</v>
      </c>
      <c r="CU65" s="292">
        <f>PLĀNS_ar_grozījumiem!CU65-'plans (27122022)'!CU64</f>
        <v>0</v>
      </c>
      <c r="CV65" s="293" t="e">
        <f>PLĀNS_ar_grozījumiem!CV65-'plans (27122022)'!CV64</f>
        <v>#VALUE!</v>
      </c>
      <c r="CW65" s="290" t="e">
        <f>PLĀNS_ar_grozījumiem!CW65-'plans (27122022)'!CW64</f>
        <v>#VALUE!</v>
      </c>
      <c r="CX65" s="299">
        <f>PLĀNS_ar_grozījumiem!CX65-'plans (27122022)'!CX64</f>
        <v>3.5639700189269092</v>
      </c>
      <c r="CY65" s="300">
        <f>PLĀNS_ar_grozījumiem!CY65-'plans (27122022)'!CY64</f>
        <v>0</v>
      </c>
      <c r="CZ65" s="301">
        <f>D65+X65</f>
        <v>20237.500000000004</v>
      </c>
      <c r="DA65" s="302">
        <f>E65+Y65</f>
        <v>0</v>
      </c>
      <c r="DB65" s="288" t="e">
        <f>(CZ65/#REF!)*100</f>
        <v>#REF!</v>
      </c>
      <c r="DC65" s="303" t="e">
        <f>(DA65/#REF!)*100</f>
        <v>#REF!</v>
      </c>
      <c r="DD65" s="304">
        <f t="shared" si="20"/>
        <v>2228991.8165817508</v>
      </c>
      <c r="DE65" s="305">
        <f t="shared" si="20"/>
        <v>0</v>
      </c>
      <c r="DF65" s="305" t="e">
        <f t="shared" si="20"/>
        <v>#VALUE!</v>
      </c>
      <c r="DG65" s="306" t="e">
        <f t="shared" si="20"/>
        <v>#VALUE!</v>
      </c>
      <c r="DH65" s="291">
        <f t="shared" si="20"/>
        <v>2195277.8165817508</v>
      </c>
      <c r="DI65" s="307">
        <f t="shared" si="20"/>
        <v>0</v>
      </c>
      <c r="DJ65" s="307" t="e">
        <f t="shared" si="20"/>
        <v>#VALUE!</v>
      </c>
      <c r="DK65" s="307" t="e">
        <f t="shared" si="20"/>
        <v>#VALUE!</v>
      </c>
      <c r="DL65" s="291">
        <f t="shared" si="20"/>
        <v>33714</v>
      </c>
      <c r="DM65" s="307">
        <f t="shared" si="20"/>
        <v>0</v>
      </c>
      <c r="DN65" s="307" t="e">
        <f t="shared" si="20"/>
        <v>#VALUE!</v>
      </c>
      <c r="DO65" s="308" t="e">
        <f t="shared" si="20"/>
        <v>#VALUE!</v>
      </c>
      <c r="DP65" s="291">
        <f>DD65/CZ65</f>
        <v>110.14165863282275</v>
      </c>
      <c r="DQ65" s="309" t="e">
        <f>DE65/DA65</f>
        <v>#DIV/0!</v>
      </c>
      <c r="DR65" s="310">
        <f>PLĀNS_ar_grozījumiem!CF65-'plans (27122022)'!CF64</f>
        <v>-82.809999999990396</v>
      </c>
      <c r="DS65" s="921">
        <f>DR65/'plans (27122022)'!CF64</f>
        <v>-2.046429559922265E-3</v>
      </c>
      <c r="DT65" s="312">
        <f>PLĀNS_ar_grozījumiem!CL65-'plans (27122022)'!CL64</f>
        <v>134908.32210282609</v>
      </c>
      <c r="DU65" s="922">
        <f>DT65/'plans (27122022)'!CL64</f>
        <v>3.0625471382437194E-2</v>
      </c>
      <c r="DV65" s="307"/>
      <c r="DW65" s="311">
        <f>PLĀNS_ar_grozījumiem!CM65-'plans (27122022)'!CM64</f>
        <v>0</v>
      </c>
      <c r="DX65" s="312">
        <f>PLĀNS_ar_grozījumiem!CP65-'plans (27122022)'!CP64</f>
        <v>130243.32210282609</v>
      </c>
      <c r="DY65" s="922">
        <f>DX65/'plans (27122022)'!CP64</f>
        <v>3.0010162543538849E-2</v>
      </c>
      <c r="DZ65" s="307"/>
      <c r="EA65" s="311"/>
      <c r="EB65" s="312">
        <f>PLĀNS_ar_grozījumiem!CT65-'plans (27122022)'!CT64</f>
        <v>4665</v>
      </c>
      <c r="EC65" s="314">
        <f>EB65/'plans (27122022)'!CT64</f>
        <v>7.1628178356467259E-2</v>
      </c>
      <c r="ED65" s="307"/>
      <c r="EE65" s="311"/>
      <c r="EF65" s="315">
        <f>PLĀNS_ar_grozījumiem!CX65-'plans (27122022)'!CX64</f>
        <v>3.5639700189269092</v>
      </c>
      <c r="EG65" s="923">
        <f>EF65/'plans (27122022)'!CX64</f>
        <v>3.2738898792607884E-2</v>
      </c>
    </row>
    <row r="66" spans="1:138" s="345" customFormat="1" ht="15.75" customHeight="1" x14ac:dyDescent="0.3">
      <c r="A66" s="318" t="s">
        <v>65</v>
      </c>
      <c r="B66" s="319" t="s">
        <v>66</v>
      </c>
      <c r="C66" s="1031"/>
      <c r="D66" s="1012">
        <v>547.70000000000005</v>
      </c>
      <c r="E66" s="322"/>
      <c r="F66" s="322">
        <v>5.0354420836819322</v>
      </c>
      <c r="G66" s="323"/>
      <c r="H66" s="324" t="s">
        <v>44</v>
      </c>
      <c r="I66" s="325" t="s">
        <v>44</v>
      </c>
      <c r="J66" s="326">
        <v>43962</v>
      </c>
      <c r="K66" s="327"/>
      <c r="L66" s="328" t="s">
        <v>44</v>
      </c>
      <c r="M66" s="329" t="s">
        <v>44</v>
      </c>
      <c r="N66" s="330">
        <v>43781</v>
      </c>
      <c r="O66" s="328"/>
      <c r="P66" s="324" t="s">
        <v>44</v>
      </c>
      <c r="Q66" s="325" t="s">
        <v>44</v>
      </c>
      <c r="R66" s="331">
        <v>181</v>
      </c>
      <c r="S66" s="328"/>
      <c r="T66" s="324" t="s">
        <v>44</v>
      </c>
      <c r="U66" s="325" t="s">
        <v>44</v>
      </c>
      <c r="V66" s="331">
        <v>80</v>
      </c>
      <c r="W66" s="328"/>
      <c r="X66" s="332">
        <v>765.09999999999991</v>
      </c>
      <c r="Y66" s="333"/>
      <c r="Z66" s="333">
        <v>6.9700917381045624</v>
      </c>
      <c r="AA66" s="323"/>
      <c r="AB66" s="324" t="s">
        <v>44</v>
      </c>
      <c r="AC66" s="325" t="s">
        <v>44</v>
      </c>
      <c r="AD66" s="326">
        <v>53605</v>
      </c>
      <c r="AE66" s="327"/>
      <c r="AF66" s="328" t="s">
        <v>44</v>
      </c>
      <c r="AG66" s="329" t="s">
        <v>44</v>
      </c>
      <c r="AH66" s="330">
        <v>53515</v>
      </c>
      <c r="AI66" s="328"/>
      <c r="AJ66" s="324" t="s">
        <v>44</v>
      </c>
      <c r="AK66" s="325" t="s">
        <v>44</v>
      </c>
      <c r="AL66" s="331">
        <v>90</v>
      </c>
      <c r="AM66" s="328"/>
      <c r="AN66" s="324" t="s">
        <v>44</v>
      </c>
      <c r="AO66" s="325" t="s">
        <v>44</v>
      </c>
      <c r="AP66" s="331">
        <v>70</v>
      </c>
      <c r="AQ66" s="328"/>
      <c r="AR66" s="321">
        <v>1142.1000000000001</v>
      </c>
      <c r="AS66" s="322">
        <f>PLĀNS_ar_grozījumiem!AS66-'plans (27122022)'!AS65</f>
        <v>0</v>
      </c>
      <c r="AT66" s="322">
        <f>PLĀNS_ar_grozījumiem!AT66-'plans (27122022)'!AT65</f>
        <v>-10.184340825286922</v>
      </c>
      <c r="AU66" s="323">
        <f>PLĀNS_ar_grozījumiem!AU66-'plans (27122022)'!AU65</f>
        <v>0</v>
      </c>
      <c r="AV66" s="324" t="e">
        <f>PLĀNS_ar_grozījumiem!AV66-'plans (27122022)'!AV65</f>
        <v>#VALUE!</v>
      </c>
      <c r="AW66" s="325" t="e">
        <f>PLĀNS_ar_grozījumiem!AW66-'plans (27122022)'!AW65</f>
        <v>#VALUE!</v>
      </c>
      <c r="AX66" s="326">
        <f>PLĀNS_ar_grozījumiem!AX66-'plans (27122022)'!AX65</f>
        <v>7918.2700000000041</v>
      </c>
      <c r="AY66" s="327">
        <f>PLĀNS_ar_grozījumiem!AY66-'plans (27122022)'!AY65</f>
        <v>0</v>
      </c>
      <c r="AZ66" s="328" t="e">
        <f>PLĀNS_ar_grozījumiem!AZ66-'plans (27122022)'!AZ65</f>
        <v>#VALUE!</v>
      </c>
      <c r="BA66" s="329" t="e">
        <f>PLĀNS_ar_grozījumiem!BA66-'plans (27122022)'!BA65</f>
        <v>#VALUE!</v>
      </c>
      <c r="BB66" s="330">
        <f>PLĀNS_ar_grozījumiem!BB66-'plans (27122022)'!BB65</f>
        <v>7918.2700000000041</v>
      </c>
      <c r="BC66" s="328">
        <f>PLĀNS_ar_grozījumiem!BC66-'plans (27122022)'!BC65</f>
        <v>0</v>
      </c>
      <c r="BD66" s="324" t="e">
        <f>PLĀNS_ar_grozījumiem!BD66-'plans (27122022)'!BD65</f>
        <v>#VALUE!</v>
      </c>
      <c r="BE66" s="325" t="e">
        <f>PLĀNS_ar_grozījumiem!BE66-'plans (27122022)'!BE65</f>
        <v>#VALUE!</v>
      </c>
      <c r="BF66" s="331">
        <f>PLĀNS_ar_grozījumiem!BF66-'plans (27122022)'!BF65</f>
        <v>0</v>
      </c>
      <c r="BG66" s="328">
        <f>PLĀNS_ar_grozījumiem!BG66-'plans (27122022)'!BG65</f>
        <v>0</v>
      </c>
      <c r="BH66" s="324" t="e">
        <f>PLĀNS_ar_grozījumiem!BH66-'plans (27122022)'!BH65</f>
        <v>#VALUE!</v>
      </c>
      <c r="BI66" s="325" t="e">
        <f>PLĀNS_ar_grozījumiem!BI66-'plans (27122022)'!BI65</f>
        <v>#VALUE!</v>
      </c>
      <c r="BJ66" s="331">
        <f>PLĀNS_ar_grozījumiem!BJ66-'plans (27122022)'!BJ65</f>
        <v>1.0313886593223316</v>
      </c>
      <c r="BK66" s="328">
        <f>PLĀNS_ar_grozījumiem!BK66-'plans (27122022)'!BK65</f>
        <v>0</v>
      </c>
      <c r="BL66" s="332">
        <f>PLĀNS_ar_grozījumiem!BL66-'plans (27122022)'!BL65</f>
        <v>-16.399999999999977</v>
      </c>
      <c r="BM66" s="333">
        <f>PLĀNS_ar_grozījumiem!BM66-'plans (27122022)'!BM65</f>
        <v>0</v>
      </c>
      <c r="BN66" s="333">
        <f>PLĀNS_ar_grozījumiem!BN66-'plans (27122022)'!BN65</f>
        <v>-5.072636664306394</v>
      </c>
      <c r="BO66" s="323">
        <f>PLĀNS_ar_grozījumiem!BO66-'plans (27122022)'!BO65</f>
        <v>0</v>
      </c>
      <c r="BP66" s="324" t="e">
        <f>PLĀNS_ar_grozījumiem!BP66-'plans (27122022)'!BP65</f>
        <v>#VALUE!</v>
      </c>
      <c r="BQ66" s="325" t="e">
        <f>PLĀNS_ar_grozījumiem!BQ66-'plans (27122022)'!BQ65</f>
        <v>#VALUE!</v>
      </c>
      <c r="BR66" s="326">
        <f>PLĀNS_ar_grozījumiem!BR66-'plans (27122022)'!BR65</f>
        <v>-12950.279999999999</v>
      </c>
      <c r="BS66" s="327">
        <f>PLĀNS_ar_grozījumiem!BS66-'plans (27122022)'!BS65</f>
        <v>0</v>
      </c>
      <c r="BT66" s="328" t="e">
        <f>PLĀNS_ar_grozījumiem!BT66-'plans (27122022)'!BT65</f>
        <v>#VALUE!</v>
      </c>
      <c r="BU66" s="329" t="e">
        <f>PLĀNS_ar_grozījumiem!BU66-'plans (27122022)'!BU65</f>
        <v>#VALUE!</v>
      </c>
      <c r="BV66" s="330">
        <f>PLĀNS_ar_grozījumiem!BV66-'plans (27122022)'!BV65</f>
        <v>-12950.279999999999</v>
      </c>
      <c r="BW66" s="328">
        <f>PLĀNS_ar_grozījumiem!BW66-'plans (27122022)'!BW65</f>
        <v>0</v>
      </c>
      <c r="BX66" s="324" t="e">
        <f>PLĀNS_ar_grozījumiem!BX66-'plans (27122022)'!BX65</f>
        <v>#VALUE!</v>
      </c>
      <c r="BY66" s="325" t="e">
        <f>PLĀNS_ar_grozījumiem!BY66-'plans (27122022)'!BY65</f>
        <v>#VALUE!</v>
      </c>
      <c r="BZ66" s="331">
        <f>PLĀNS_ar_grozījumiem!BZ66-'plans (27122022)'!BZ65</f>
        <v>0</v>
      </c>
      <c r="CA66" s="328">
        <f>PLĀNS_ar_grozījumiem!CA66-'plans (27122022)'!CA65</f>
        <v>0</v>
      </c>
      <c r="CB66" s="324" t="e">
        <f>PLĀNS_ar_grozījumiem!CB66-'plans (27122022)'!CB65</f>
        <v>#VALUE!</v>
      </c>
      <c r="CC66" s="325" t="e">
        <f>PLĀNS_ar_grozījumiem!CC66-'plans (27122022)'!CC65</f>
        <v>#VALUE!</v>
      </c>
      <c r="CD66" s="331">
        <f>PLĀNS_ar_grozījumiem!CD66-'plans (27122022)'!CD65</f>
        <v>-21.30873716447487</v>
      </c>
      <c r="CE66" s="328">
        <f>PLĀNS_ar_grozījumiem!CE66-'plans (27122022)'!CE65</f>
        <v>0</v>
      </c>
      <c r="CF66" s="321">
        <f>PLĀNS_ar_grozījumiem!CF66-'plans (27122022)'!CF65</f>
        <v>87.8100000000004</v>
      </c>
      <c r="CG66" s="334">
        <f>PLĀNS_ar_grozījumiem!CG66-'plans (27122022)'!CG65</f>
        <v>0</v>
      </c>
      <c r="CH66" s="322">
        <f>PLĀNS_ar_grozījumiem!CH66-'plans (27122022)'!CH65</f>
        <v>-6.7915676173286812</v>
      </c>
      <c r="CI66" s="335">
        <f>PLĀNS_ar_grozījumiem!CI66-'plans (27122022)'!CI65</f>
        <v>0</v>
      </c>
      <c r="CJ66" s="328" t="e">
        <f>PLĀNS_ar_grozījumiem!CJ66-'plans (27122022)'!CJ65</f>
        <v>#VALUE!</v>
      </c>
      <c r="CK66" s="329" t="e">
        <f>PLĀNS_ar_grozījumiem!CK66-'plans (27122022)'!CK65</f>
        <v>#VALUE!</v>
      </c>
      <c r="CL66" s="326">
        <f>PLĀNS_ar_grozījumiem!CL66-'plans (27122022)'!CL65</f>
        <v>-5032.0100000000093</v>
      </c>
      <c r="CM66" s="336">
        <f>PLĀNS_ar_grozījumiem!CM66-'plans (27122022)'!CM65</f>
        <v>0</v>
      </c>
      <c r="CN66" s="327" t="e">
        <f>PLĀNS_ar_grozījumiem!CN66-'plans (27122022)'!CN65</f>
        <v>#VALUE!</v>
      </c>
      <c r="CO66" s="329" t="e">
        <f>PLĀNS_ar_grozījumiem!CO66-'plans (27122022)'!CO65</f>
        <v>#VALUE!</v>
      </c>
      <c r="CP66" s="330">
        <f>PLĀNS_ar_grozījumiem!CP66-'plans (27122022)'!CP65</f>
        <v>-5032.0100000000093</v>
      </c>
      <c r="CQ66" s="328">
        <f>PLĀNS_ar_grozījumiem!CQ66-'plans (27122022)'!CQ65</f>
        <v>0</v>
      </c>
      <c r="CR66" s="328" t="e">
        <f>PLĀNS_ar_grozījumiem!CR66-'plans (27122022)'!CR65</f>
        <v>#VALUE!</v>
      </c>
      <c r="CS66" s="329" t="e">
        <f>PLĀNS_ar_grozījumiem!CS66-'plans (27122022)'!CS65</f>
        <v>#VALUE!</v>
      </c>
      <c r="CT66" s="331">
        <f>PLĀNS_ar_grozījumiem!CT66-'plans (27122022)'!CT65</f>
        <v>0</v>
      </c>
      <c r="CU66" s="328">
        <f>PLĀNS_ar_grozījumiem!CU66-'plans (27122022)'!CU65</f>
        <v>0</v>
      </c>
      <c r="CV66" s="328" t="e">
        <f>PLĀNS_ar_grozījumiem!CV66-'plans (27122022)'!CV65</f>
        <v>#VALUE!</v>
      </c>
      <c r="CW66" s="329" t="e">
        <f>PLĀNS_ar_grozījumiem!CW66-'plans (27122022)'!CW65</f>
        <v>#VALUE!</v>
      </c>
      <c r="CX66" s="330">
        <f>PLĀNS_ar_grozījumiem!CX66-'plans (27122022)'!CX65</f>
        <v>-3.8266944104604477</v>
      </c>
      <c r="CY66" s="337">
        <f>PLĀNS_ar_grozījumiem!CY66-'plans (27122022)'!CY65</f>
        <v>0</v>
      </c>
      <c r="CZ66" s="336" t="s">
        <v>44</v>
      </c>
      <c r="DA66" s="994">
        <f t="shared" ref="DA66:DA88" si="21">E66+Y66</f>
        <v>0</v>
      </c>
      <c r="DB66" s="995" t="s">
        <v>44</v>
      </c>
      <c r="DC66" s="996" t="e">
        <f>(DA66/#REF!)*100</f>
        <v>#REF!</v>
      </c>
      <c r="DD66" s="340" t="s">
        <v>44</v>
      </c>
      <c r="DE66" s="327" t="s">
        <v>44</v>
      </c>
      <c r="DF66" s="327" t="s">
        <v>44</v>
      </c>
      <c r="DG66" s="327" t="s">
        <v>44</v>
      </c>
      <c r="DH66" s="341" t="s">
        <v>44</v>
      </c>
      <c r="DI66" s="341" t="s">
        <v>44</v>
      </c>
      <c r="DJ66" s="341" t="s">
        <v>44</v>
      </c>
      <c r="DK66" s="341" t="s">
        <v>44</v>
      </c>
      <c r="DL66" s="341" t="s">
        <v>44</v>
      </c>
      <c r="DM66" s="341" t="s">
        <v>44</v>
      </c>
      <c r="DN66" s="341" t="s">
        <v>44</v>
      </c>
      <c r="DO66" s="342" t="s">
        <v>44</v>
      </c>
      <c r="DP66" s="340" t="s">
        <v>44</v>
      </c>
      <c r="DQ66" s="343" t="s">
        <v>44</v>
      </c>
      <c r="DR66" s="997">
        <f>PLĀNS_ar_grozījumiem!CF66-'plans (27122022)'!CF65</f>
        <v>87.8100000000004</v>
      </c>
      <c r="DS66" s="998">
        <f>DR66/'plans (27122022)'!CF65</f>
        <v>2.9014670896114331E-2</v>
      </c>
      <c r="DT66" s="999">
        <f>PLĀNS_ar_grozījumiem!CL66-'plans (27122022)'!CL65</f>
        <v>-5032.0100000000093</v>
      </c>
      <c r="DU66" s="998">
        <f>DT66/'plans (27122022)'!CL65</f>
        <v>-2.3152923096743366E-2</v>
      </c>
      <c r="DV66" s="999"/>
      <c r="DW66" s="999">
        <f>PLĀNS_ar_grozījumiem!CM66-'plans (27122022)'!CM65</f>
        <v>0</v>
      </c>
      <c r="DX66" s="999">
        <f>PLĀNS_ar_grozījumiem!CP66-'plans (27122022)'!CP65</f>
        <v>-5032.0100000000093</v>
      </c>
      <c r="DY66" s="998">
        <f>DX66/'plans (27122022)'!CP65</f>
        <v>-2.3270163658476849E-2</v>
      </c>
      <c r="DZ66" s="999"/>
      <c r="EA66" s="1043"/>
      <c r="EB66" s="1041">
        <f>PLĀNS_ar_grozījumiem!CT66-'plans (27122022)'!CT65</f>
        <v>0</v>
      </c>
      <c r="EC66" s="1000">
        <f>EB66/'plans (27122022)'!CT65</f>
        <v>0</v>
      </c>
      <c r="ED66" s="999"/>
      <c r="EE66" s="999"/>
      <c r="EF66" s="999">
        <f>PLĀNS_ar_grozījumiem!CX66-'plans (27122022)'!CX65</f>
        <v>-3.8266944104604477</v>
      </c>
      <c r="EG66" s="1001">
        <f>EF66/'plans (27122022)'!CX65</f>
        <v>-5.3148533478617331E-2</v>
      </c>
    </row>
    <row r="67" spans="1:138" s="743" customFormat="1" ht="15.75" customHeight="1" outlineLevel="1" x14ac:dyDescent="0.3">
      <c r="A67" s="721"/>
      <c r="B67" s="722"/>
      <c r="C67" s="723" t="s">
        <v>45</v>
      </c>
      <c r="D67" s="724">
        <v>204.1</v>
      </c>
      <c r="E67" s="725"/>
      <c r="F67" s="725">
        <v>9.4534506716072251</v>
      </c>
      <c r="G67" s="726"/>
      <c r="H67" s="727" t="s">
        <v>44</v>
      </c>
      <c r="I67" s="728" t="s">
        <v>44</v>
      </c>
      <c r="J67" s="729">
        <v>29597</v>
      </c>
      <c r="K67" s="730"/>
      <c r="L67" s="731" t="s">
        <v>44</v>
      </c>
      <c r="M67" s="728" t="s">
        <v>44</v>
      </c>
      <c r="N67" s="729">
        <v>29416</v>
      </c>
      <c r="O67" s="732"/>
      <c r="P67" s="727" t="s">
        <v>44</v>
      </c>
      <c r="Q67" s="728" t="s">
        <v>44</v>
      </c>
      <c r="R67" s="729">
        <v>181</v>
      </c>
      <c r="S67" s="732"/>
      <c r="T67" s="727" t="s">
        <v>44</v>
      </c>
      <c r="U67" s="728" t="s">
        <v>44</v>
      </c>
      <c r="V67" s="729">
        <v>145</v>
      </c>
      <c r="W67" s="733"/>
      <c r="X67" s="734">
        <v>234.29999999999998</v>
      </c>
      <c r="Y67" s="725"/>
      <c r="Z67" s="725">
        <v>10.728021978021978</v>
      </c>
      <c r="AA67" s="735"/>
      <c r="AB67" s="727" t="s">
        <v>44</v>
      </c>
      <c r="AC67" s="728" t="s">
        <v>44</v>
      </c>
      <c r="AD67" s="729">
        <v>34231</v>
      </c>
      <c r="AE67" s="733"/>
      <c r="AF67" s="731" t="s">
        <v>44</v>
      </c>
      <c r="AG67" s="728" t="s">
        <v>44</v>
      </c>
      <c r="AH67" s="736">
        <v>34141</v>
      </c>
      <c r="AI67" s="728"/>
      <c r="AJ67" s="727" t="s">
        <v>44</v>
      </c>
      <c r="AK67" s="728" t="s">
        <v>44</v>
      </c>
      <c r="AL67" s="736">
        <v>90</v>
      </c>
      <c r="AM67" s="728"/>
      <c r="AN67" s="727" t="s">
        <v>44</v>
      </c>
      <c r="AO67" s="728" t="s">
        <v>44</v>
      </c>
      <c r="AP67" s="736">
        <v>146</v>
      </c>
      <c r="AQ67" s="733"/>
      <c r="AR67" s="734">
        <v>277.5</v>
      </c>
      <c r="AS67" s="725">
        <f>PLĀNS_ar_grozījumiem!AS67-'plans (27122022)'!AS66</f>
        <v>0</v>
      </c>
      <c r="AT67" s="725">
        <f>PLĀNS_ar_grozījumiem!AT67-'plans (27122022)'!AT66</f>
        <v>-12.42133152173913</v>
      </c>
      <c r="AU67" s="735">
        <f>PLĀNS_ar_grozījumiem!AU67-'plans (27122022)'!AU66</f>
        <v>0</v>
      </c>
      <c r="AV67" s="727" t="e">
        <f>PLĀNS_ar_grozījumiem!AV67-'plans (27122022)'!AV66</f>
        <v>#VALUE!</v>
      </c>
      <c r="AW67" s="728" t="e">
        <f>PLĀNS_ar_grozījumiem!AW67-'plans (27122022)'!AW66</f>
        <v>#VALUE!</v>
      </c>
      <c r="AX67" s="729">
        <f>PLĀNS_ar_grozījumiem!AX67-'plans (27122022)'!AX66</f>
        <v>7958.5999999999985</v>
      </c>
      <c r="AY67" s="733">
        <f>PLĀNS_ar_grozījumiem!AY67-'plans (27122022)'!AY66</f>
        <v>0</v>
      </c>
      <c r="AZ67" s="731" t="e">
        <f>PLĀNS_ar_grozījumiem!AZ67-'plans (27122022)'!AZ66</f>
        <v>#VALUE!</v>
      </c>
      <c r="BA67" s="728" t="e">
        <f>PLĀNS_ar_grozījumiem!BA67-'plans (27122022)'!BA66</f>
        <v>#VALUE!</v>
      </c>
      <c r="BB67" s="736">
        <f>PLĀNS_ar_grozījumiem!BB67-'plans (27122022)'!BB66</f>
        <v>7958.5999999999985</v>
      </c>
      <c r="BC67" s="728">
        <f>PLĀNS_ar_grozījumiem!BC67-'plans (27122022)'!BC66</f>
        <v>0</v>
      </c>
      <c r="BD67" s="727" t="e">
        <f>PLĀNS_ar_grozījumiem!BD67-'plans (27122022)'!BD66</f>
        <v>#VALUE!</v>
      </c>
      <c r="BE67" s="728" t="e">
        <f>PLĀNS_ar_grozījumiem!BE67-'plans (27122022)'!BE66</f>
        <v>#VALUE!</v>
      </c>
      <c r="BF67" s="736">
        <f>PLĀNS_ar_grozījumiem!BF67-'plans (27122022)'!BF66</f>
        <v>0</v>
      </c>
      <c r="BG67" s="728">
        <f>PLĀNS_ar_grozījumiem!BG67-'plans (27122022)'!BG66</f>
        <v>0</v>
      </c>
      <c r="BH67" s="727" t="e">
        <f>PLĀNS_ar_grozījumiem!BH67-'plans (27122022)'!BH66</f>
        <v>#VALUE!</v>
      </c>
      <c r="BI67" s="728" t="e">
        <f>PLĀNS_ar_grozījumiem!BI67-'plans (27122022)'!BI66</f>
        <v>#VALUE!</v>
      </c>
      <c r="BJ67" s="736">
        <f>PLĀNS_ar_grozījumiem!BJ67-'plans (27122022)'!BJ66</f>
        <v>1.4661723818350367</v>
      </c>
      <c r="BK67" s="733">
        <f>PLĀNS_ar_grozījumiem!BK67-'plans (27122022)'!BK66</f>
        <v>0</v>
      </c>
      <c r="BL67" s="734">
        <f>PLĀNS_ar_grozījumiem!BL67-'plans (27122022)'!BL66</f>
        <v>7.2000000000000171</v>
      </c>
      <c r="BM67" s="725">
        <f>PLĀNS_ar_grozījumiem!BM67-'plans (27122022)'!BM66</f>
        <v>0</v>
      </c>
      <c r="BN67" s="725">
        <f>PLĀNS_ar_grozījumiem!BN67-'plans (27122022)'!BN66</f>
        <v>-8.9018107741059289</v>
      </c>
      <c r="BO67" s="735">
        <f>PLĀNS_ar_grozījumiem!BO67-'plans (27122022)'!BO66</f>
        <v>0</v>
      </c>
      <c r="BP67" s="727" t="e">
        <f>PLĀNS_ar_grozījumiem!BP67-'plans (27122022)'!BP66</f>
        <v>#VALUE!</v>
      </c>
      <c r="BQ67" s="728" t="e">
        <f>PLĀNS_ar_grozījumiem!BQ67-'plans (27122022)'!BQ66</f>
        <v>#VALUE!</v>
      </c>
      <c r="BR67" s="729">
        <f>PLĀNS_ar_grozījumiem!BR67-'plans (27122022)'!BR66</f>
        <v>-5908.5</v>
      </c>
      <c r="BS67" s="731">
        <f>PLĀNS_ar_grozījumiem!BS67-'plans (27122022)'!BS66</f>
        <v>0</v>
      </c>
      <c r="BT67" s="731" t="e">
        <f>PLĀNS_ar_grozījumiem!BT67-'plans (27122022)'!BT66</f>
        <v>#VALUE!</v>
      </c>
      <c r="BU67" s="728" t="e">
        <f>PLĀNS_ar_grozījumiem!BU67-'plans (27122022)'!BU66</f>
        <v>#VALUE!</v>
      </c>
      <c r="BV67" s="736">
        <f>PLĀNS_ar_grozījumiem!BV67-'plans (27122022)'!BV66</f>
        <v>-5908.5</v>
      </c>
      <c r="BW67" s="728">
        <f>PLĀNS_ar_grozījumiem!BW67-'plans (27122022)'!BW66</f>
        <v>0</v>
      </c>
      <c r="BX67" s="731" t="e">
        <f>PLĀNS_ar_grozījumiem!BX67-'plans (27122022)'!BX66</f>
        <v>#VALUE!</v>
      </c>
      <c r="BY67" s="728" t="e">
        <f>PLĀNS_ar_grozījumiem!BY67-'plans (27122022)'!BY66</f>
        <v>#VALUE!</v>
      </c>
      <c r="BZ67" s="736">
        <f>PLĀNS_ar_grozījumiem!BZ67-'plans (27122022)'!BZ66</f>
        <v>0</v>
      </c>
      <c r="CA67" s="728">
        <f>PLĀNS_ar_grozījumiem!CA67-'plans (27122022)'!CA66</f>
        <v>0</v>
      </c>
      <c r="CB67" s="731" t="e">
        <f>PLĀNS_ar_grozījumiem!CB67-'plans (27122022)'!CB66</f>
        <v>#VALUE!</v>
      </c>
      <c r="CC67" s="728" t="e">
        <f>PLĀNS_ar_grozījumiem!CC67-'plans (27122022)'!CC66</f>
        <v>#VALUE!</v>
      </c>
      <c r="CD67" s="736">
        <f>PLĀNS_ar_grozījumiem!CD67-'plans (27122022)'!CD66</f>
        <v>-33.75522098105877</v>
      </c>
      <c r="CE67" s="733">
        <f>PLĀNS_ar_grozījumiem!CE67-'plans (27122022)'!CE66</f>
        <v>0</v>
      </c>
      <c r="CF67" s="734">
        <f>PLĀNS_ar_grozījumiem!CF67-'plans (27122022)'!CF66</f>
        <v>53.400000000000091</v>
      </c>
      <c r="CG67" s="737">
        <f>PLĀNS_ar_grozījumiem!CG67-'plans (27122022)'!CG66</f>
        <v>0</v>
      </c>
      <c r="CH67" s="725">
        <f>PLĀNS_ar_grozījumiem!CH67-'plans (27122022)'!CH66</f>
        <v>-10.330136986301369</v>
      </c>
      <c r="CI67" s="738">
        <f>PLĀNS_ar_grozījumiem!CI67-'plans (27122022)'!CI66</f>
        <v>0</v>
      </c>
      <c r="CJ67" s="727" t="e">
        <f>PLĀNS_ar_grozījumiem!CJ67-'plans (27122022)'!CJ66</f>
        <v>#VALUE!</v>
      </c>
      <c r="CK67" s="728" t="e">
        <f>PLĀNS_ar_grozījumiem!CK67-'plans (27122022)'!CK66</f>
        <v>#VALUE!</v>
      </c>
      <c r="CL67" s="729">
        <f>PLĀNS_ar_grozījumiem!CL67-'plans (27122022)'!CL66</f>
        <v>2050.1000000000058</v>
      </c>
      <c r="CM67" s="731">
        <f>PLĀNS_ar_grozījumiem!CM67-'plans (27122022)'!CM66</f>
        <v>0</v>
      </c>
      <c r="CN67" s="731" t="e">
        <f>PLĀNS_ar_grozījumiem!CN67-'plans (27122022)'!CN66</f>
        <v>#VALUE!</v>
      </c>
      <c r="CO67" s="728" t="e">
        <f>PLĀNS_ar_grozījumiem!CO67-'plans (27122022)'!CO66</f>
        <v>#VALUE!</v>
      </c>
      <c r="CP67" s="736">
        <f>PLĀNS_ar_grozījumiem!CP67-'plans (27122022)'!CP66</f>
        <v>2050.1000000000058</v>
      </c>
      <c r="CQ67" s="731">
        <f>PLĀNS_ar_grozījumiem!CQ67-'plans (27122022)'!CQ66</f>
        <v>0</v>
      </c>
      <c r="CR67" s="731" t="e">
        <f>PLĀNS_ar_grozījumiem!CR67-'plans (27122022)'!CR66</f>
        <v>#VALUE!</v>
      </c>
      <c r="CS67" s="728" t="e">
        <f>PLĀNS_ar_grozījumiem!CS67-'plans (27122022)'!CS66</f>
        <v>#VALUE!</v>
      </c>
      <c r="CT67" s="729">
        <f>PLĀNS_ar_grozījumiem!CT67-'plans (27122022)'!CT66</f>
        <v>0</v>
      </c>
      <c r="CU67" s="731">
        <f>PLĀNS_ar_grozījumiem!CU67-'plans (27122022)'!CU66</f>
        <v>0</v>
      </c>
      <c r="CV67" s="731" t="e">
        <f>PLĀNS_ar_grozījumiem!CV67-'plans (27122022)'!CV66</f>
        <v>#VALUE!</v>
      </c>
      <c r="CW67" s="728" t="e">
        <f>PLĀNS_ar_grozījumiem!CW67-'plans (27122022)'!CW66</f>
        <v>#VALUE!</v>
      </c>
      <c r="CX67" s="736">
        <f>PLĀNS_ar_grozījumiem!CX67-'plans (27122022)'!CX66</f>
        <v>-6.7034090909090764</v>
      </c>
      <c r="CY67" s="739">
        <f>PLĀNS_ar_grozījumiem!CY67-'plans (27122022)'!CY66</f>
        <v>0</v>
      </c>
      <c r="CZ67" s="740"/>
      <c r="DA67" s="741"/>
      <c r="DB67" s="737"/>
      <c r="DC67" s="742"/>
      <c r="DD67" s="731"/>
      <c r="DE67" s="731"/>
      <c r="DF67" s="731"/>
      <c r="DG67" s="731"/>
      <c r="DH67" s="731"/>
      <c r="DI67" s="731"/>
      <c r="DJ67" s="731"/>
      <c r="DK67" s="731"/>
      <c r="DL67" s="731"/>
      <c r="DM67" s="731"/>
      <c r="DN67" s="731"/>
      <c r="DO67" s="731"/>
      <c r="DP67" s="731"/>
      <c r="DQ67" s="731"/>
      <c r="DR67" s="742">
        <f>PLĀNS_ar_grozījumiem!CF67-'plans (27122022)'!CF66</f>
        <v>53.400000000000091</v>
      </c>
      <c r="DS67" s="925">
        <f>DR67/'plans (27122022)'!CF66</f>
        <v>5.8386179750710795E-2</v>
      </c>
      <c r="DT67" s="524">
        <f>PLĀNS_ar_grozījumiem!CL67-'plans (27122022)'!CL66</f>
        <v>2050.1000000000058</v>
      </c>
      <c r="DU67" s="925">
        <f>DT67/'plans (27122022)'!CL66</f>
        <v>1.4791806460457338E-2</v>
      </c>
      <c r="DV67" s="524"/>
      <c r="DW67" s="524">
        <f>PLĀNS_ar_grozījumiem!CM67-'plans (27122022)'!CM66</f>
        <v>0</v>
      </c>
      <c r="DX67" s="524">
        <f>PLĀNS_ar_grozījumiem!CP67-'plans (27122022)'!CP66</f>
        <v>2050.1000000000058</v>
      </c>
      <c r="DY67" s="925">
        <f>DX67/'plans (27122022)'!CP66</f>
        <v>1.4909601314890008E-2</v>
      </c>
      <c r="DZ67" s="524"/>
      <c r="EA67" s="530"/>
      <c r="EB67" s="1042">
        <f>PLĀNS_ar_grozījumiem!CT67-'plans (27122022)'!CT66</f>
        <v>0</v>
      </c>
      <c r="EC67" s="524">
        <f>EB67/'plans (27122022)'!CT66</f>
        <v>0</v>
      </c>
      <c r="ED67" s="524"/>
      <c r="EE67" s="524"/>
      <c r="EF67" s="524">
        <f>PLĀNS_ar_grozījumiem!CX67-'plans (27122022)'!CX66</f>
        <v>-6.7034090909090764</v>
      </c>
      <c r="EG67" s="926">
        <f>EF67/'plans (27122022)'!CX66</f>
        <v>-4.410137559808603E-2</v>
      </c>
      <c r="EH67" s="888"/>
    </row>
    <row r="68" spans="1:138" s="761" customFormat="1" ht="15.75" customHeight="1" outlineLevel="1" x14ac:dyDescent="0.3">
      <c r="A68" s="744"/>
      <c r="B68" s="745"/>
      <c r="C68" s="746" t="s">
        <v>51</v>
      </c>
      <c r="D68" s="747">
        <v>0</v>
      </c>
      <c r="E68" s="748"/>
      <c r="F68" s="749">
        <v>0</v>
      </c>
      <c r="G68" s="750"/>
      <c r="H68" s="522" t="s">
        <v>44</v>
      </c>
      <c r="I68" s="95" t="s">
        <v>44</v>
      </c>
      <c r="J68" s="751">
        <v>0</v>
      </c>
      <c r="K68" s="752"/>
      <c r="L68" s="168" t="s">
        <v>44</v>
      </c>
      <c r="M68" s="95" t="s">
        <v>44</v>
      </c>
      <c r="N68" s="753">
        <v>0</v>
      </c>
      <c r="O68" s="754"/>
      <c r="P68" s="522" t="s">
        <v>44</v>
      </c>
      <c r="Q68" s="95" t="s">
        <v>44</v>
      </c>
      <c r="R68" s="753">
        <v>0</v>
      </c>
      <c r="S68" s="754"/>
      <c r="T68" s="522" t="s">
        <v>44</v>
      </c>
      <c r="U68" s="95" t="s">
        <v>44</v>
      </c>
      <c r="V68" s="753">
        <v>0</v>
      </c>
      <c r="W68" s="755"/>
      <c r="X68" s="756">
        <v>1.8</v>
      </c>
      <c r="Y68" s="748"/>
      <c r="Z68" s="748">
        <v>8.2417582417582416E-2</v>
      </c>
      <c r="AA68" s="757"/>
      <c r="AB68" s="522" t="s">
        <v>44</v>
      </c>
      <c r="AC68" s="95" t="s">
        <v>44</v>
      </c>
      <c r="AD68" s="751">
        <v>252</v>
      </c>
      <c r="AE68" s="755"/>
      <c r="AF68" s="168" t="s">
        <v>44</v>
      </c>
      <c r="AG68" s="95" t="s">
        <v>44</v>
      </c>
      <c r="AH68" s="758">
        <v>252</v>
      </c>
      <c r="AI68" s="95"/>
      <c r="AJ68" s="522" t="s">
        <v>44</v>
      </c>
      <c r="AK68" s="95" t="s">
        <v>44</v>
      </c>
      <c r="AL68" s="758">
        <v>0</v>
      </c>
      <c r="AM68" s="95"/>
      <c r="AN68" s="522" t="s">
        <v>44</v>
      </c>
      <c r="AO68" s="95" t="s">
        <v>44</v>
      </c>
      <c r="AP68" s="758">
        <v>140</v>
      </c>
      <c r="AQ68" s="755"/>
      <c r="AR68" s="756">
        <v>1.8</v>
      </c>
      <c r="AS68" s="748">
        <f>PLĀNS_ar_grozījumiem!AS68-'plans (27122022)'!AS67</f>
        <v>0</v>
      </c>
      <c r="AT68" s="748">
        <f>PLĀNS_ar_grozījumiem!AT68-'plans (27122022)'!AT67</f>
        <v>6.9738765071245878E-2</v>
      </c>
      <c r="AU68" s="757">
        <f>PLĀNS_ar_grozījumiem!AU68-'plans (27122022)'!AU67</f>
        <v>0</v>
      </c>
      <c r="AV68" s="522" t="e">
        <f>PLĀNS_ar_grozījumiem!AV68-'plans (27122022)'!AV67</f>
        <v>#VALUE!</v>
      </c>
      <c r="AW68" s="95" t="e">
        <f>PLĀNS_ar_grozījumiem!AW68-'plans (27122022)'!AW67</f>
        <v>#VALUE!</v>
      </c>
      <c r="AX68" s="753">
        <f>PLĀNS_ar_grozījumiem!AX68-'plans (27122022)'!AX67</f>
        <v>0</v>
      </c>
      <c r="AY68" s="755">
        <f>PLĀNS_ar_grozījumiem!AY68-'plans (27122022)'!AY67</f>
        <v>0</v>
      </c>
      <c r="AZ68" s="168" t="e">
        <f>PLĀNS_ar_grozījumiem!AZ68-'plans (27122022)'!AZ67</f>
        <v>#VALUE!</v>
      </c>
      <c r="BA68" s="95" t="e">
        <f>PLĀNS_ar_grozījumiem!BA68-'plans (27122022)'!BA67</f>
        <v>#VALUE!</v>
      </c>
      <c r="BB68" s="758">
        <f>PLĀNS_ar_grozījumiem!BB68-'plans (27122022)'!BB67</f>
        <v>0</v>
      </c>
      <c r="BC68" s="95">
        <f>PLĀNS_ar_grozījumiem!BC68-'plans (27122022)'!BC67</f>
        <v>0</v>
      </c>
      <c r="BD68" s="522" t="e">
        <f>PLĀNS_ar_grozījumiem!BD68-'plans (27122022)'!BD67</f>
        <v>#VALUE!</v>
      </c>
      <c r="BE68" s="95" t="e">
        <f>PLĀNS_ar_grozījumiem!BE68-'plans (27122022)'!BE67</f>
        <v>#VALUE!</v>
      </c>
      <c r="BF68" s="758">
        <f>PLĀNS_ar_grozījumiem!BF68-'plans (27122022)'!BF67</f>
        <v>0</v>
      </c>
      <c r="BG68" s="95">
        <f>PLĀNS_ar_grozījumiem!BG68-'plans (27122022)'!BG67</f>
        <v>0</v>
      </c>
      <c r="BH68" s="522" t="e">
        <f>PLĀNS_ar_grozījumiem!BH68-'plans (27122022)'!BH67</f>
        <v>#VALUE!</v>
      </c>
      <c r="BI68" s="95" t="e">
        <f>PLĀNS_ar_grozījumiem!BI68-'plans (27122022)'!BI67</f>
        <v>#VALUE!</v>
      </c>
      <c r="BJ68" s="758">
        <f>PLĀNS_ar_grozījumiem!BJ68-'plans (27122022)'!BJ67</f>
        <v>-0.33333333333334281</v>
      </c>
      <c r="BK68" s="755">
        <f>PLĀNS_ar_grozījumiem!BK68-'plans (27122022)'!BK67</f>
        <v>0</v>
      </c>
      <c r="BL68" s="756">
        <f>PLĀNS_ar_grozījumiem!BL68-'plans (27122022)'!BL67</f>
        <v>0</v>
      </c>
      <c r="BM68" s="748">
        <f>PLĀNS_ar_grozījumiem!BM68-'plans (27122022)'!BM67</f>
        <v>0</v>
      </c>
      <c r="BN68" s="748">
        <f>PLĀNS_ar_grozījumiem!BN68-'plans (27122022)'!BN67</f>
        <v>0</v>
      </c>
      <c r="BO68" s="757">
        <f>PLĀNS_ar_grozījumiem!BO68-'plans (27122022)'!BO67</f>
        <v>0</v>
      </c>
      <c r="BP68" s="522" t="e">
        <f>PLĀNS_ar_grozījumiem!BP68-'plans (27122022)'!BP67</f>
        <v>#VALUE!</v>
      </c>
      <c r="BQ68" s="95" t="e">
        <f>PLĀNS_ar_grozījumiem!BQ68-'plans (27122022)'!BQ67</f>
        <v>#VALUE!</v>
      </c>
      <c r="BR68" s="751">
        <f>PLĀNS_ar_grozījumiem!BR68-'plans (27122022)'!BR67</f>
        <v>0</v>
      </c>
      <c r="BS68" s="168">
        <f>PLĀNS_ar_grozījumiem!BS68-'plans (27122022)'!BS67</f>
        <v>0</v>
      </c>
      <c r="BT68" s="168" t="e">
        <f>PLĀNS_ar_grozījumiem!BT68-'plans (27122022)'!BT67</f>
        <v>#VALUE!</v>
      </c>
      <c r="BU68" s="95" t="e">
        <f>PLĀNS_ar_grozījumiem!BU68-'plans (27122022)'!BU67</f>
        <v>#VALUE!</v>
      </c>
      <c r="BV68" s="758">
        <f>PLĀNS_ar_grozījumiem!BV68-'plans (27122022)'!BV67</f>
        <v>0</v>
      </c>
      <c r="BW68" s="95">
        <f>PLĀNS_ar_grozījumiem!BW68-'plans (27122022)'!BW67</f>
        <v>0</v>
      </c>
      <c r="BX68" s="168" t="e">
        <f>PLĀNS_ar_grozījumiem!BX68-'plans (27122022)'!BX67</f>
        <v>#VALUE!</v>
      </c>
      <c r="BY68" s="95" t="e">
        <f>PLĀNS_ar_grozījumiem!BY68-'plans (27122022)'!BY67</f>
        <v>#VALUE!</v>
      </c>
      <c r="BZ68" s="758">
        <f>PLĀNS_ar_grozījumiem!BZ68-'plans (27122022)'!BZ67</f>
        <v>0</v>
      </c>
      <c r="CA68" s="95">
        <f>PLĀNS_ar_grozījumiem!CA68-'plans (27122022)'!CA67</f>
        <v>0</v>
      </c>
      <c r="CB68" s="168" t="e">
        <f>PLĀNS_ar_grozījumiem!CB68-'plans (27122022)'!CB67</f>
        <v>#VALUE!</v>
      </c>
      <c r="CC68" s="95" t="e">
        <f>PLĀNS_ar_grozījumiem!CC68-'plans (27122022)'!CC67</f>
        <v>#VALUE!</v>
      </c>
      <c r="CD68" s="758">
        <f>PLĀNS_ar_grozījumiem!CD68-'plans (27122022)'!CD67</f>
        <v>0</v>
      </c>
      <c r="CE68" s="755">
        <f>PLĀNS_ar_grozījumiem!CE68-'plans (27122022)'!CE67</f>
        <v>0</v>
      </c>
      <c r="CF68" s="756">
        <f>PLĀNS_ar_grozījumiem!CF68-'plans (27122022)'!CF67</f>
        <v>0</v>
      </c>
      <c r="CG68" s="452">
        <f>PLĀNS_ar_grozījumiem!CG68-'plans (27122022)'!CG67</f>
        <v>0</v>
      </c>
      <c r="CH68" s="748">
        <f>PLĀNS_ar_grozījumiem!CH68-'plans (27122022)'!CH67</f>
        <v>3.4534361689881422E-2</v>
      </c>
      <c r="CI68" s="759">
        <f>PLĀNS_ar_grozījumiem!CI68-'plans (27122022)'!CI67</f>
        <v>0</v>
      </c>
      <c r="CJ68" s="522" t="e">
        <f>PLĀNS_ar_grozījumiem!CJ68-'plans (27122022)'!CJ67</f>
        <v>#VALUE!</v>
      </c>
      <c r="CK68" s="95" t="e">
        <f>PLĀNS_ar_grozījumiem!CK68-'plans (27122022)'!CK67</f>
        <v>#VALUE!</v>
      </c>
      <c r="CL68" s="753">
        <f>PLĀNS_ar_grozījumiem!CL68-'plans (27122022)'!CL67</f>
        <v>0</v>
      </c>
      <c r="CM68" s="168">
        <f>PLĀNS_ar_grozījumiem!CM68-'plans (27122022)'!CM67</f>
        <v>0</v>
      </c>
      <c r="CN68" s="168" t="e">
        <f>PLĀNS_ar_grozījumiem!CN68-'plans (27122022)'!CN67</f>
        <v>#VALUE!</v>
      </c>
      <c r="CO68" s="95" t="e">
        <f>PLĀNS_ar_grozījumiem!CO68-'plans (27122022)'!CO67</f>
        <v>#VALUE!</v>
      </c>
      <c r="CP68" s="758">
        <f>PLĀNS_ar_grozījumiem!CP68-'plans (27122022)'!CP67</f>
        <v>0</v>
      </c>
      <c r="CQ68" s="168">
        <f>PLĀNS_ar_grozījumiem!CQ68-'plans (27122022)'!CQ67</f>
        <v>0</v>
      </c>
      <c r="CR68" s="168" t="e">
        <f>PLĀNS_ar_grozījumiem!CR68-'plans (27122022)'!CR67</f>
        <v>#VALUE!</v>
      </c>
      <c r="CS68" s="95" t="e">
        <f>PLĀNS_ar_grozījumiem!CS68-'plans (27122022)'!CS67</f>
        <v>#VALUE!</v>
      </c>
      <c r="CT68" s="753">
        <f>PLĀNS_ar_grozījumiem!CT68-'plans (27122022)'!CT67</f>
        <v>0</v>
      </c>
      <c r="CU68" s="168">
        <f>PLĀNS_ar_grozījumiem!CU68-'plans (27122022)'!CU67</f>
        <v>0</v>
      </c>
      <c r="CV68" s="168" t="e">
        <f>PLĀNS_ar_grozījumiem!CV68-'plans (27122022)'!CV67</f>
        <v>#VALUE!</v>
      </c>
      <c r="CW68" s="95" t="e">
        <f>PLĀNS_ar_grozījumiem!CW68-'plans (27122022)'!CW67</f>
        <v>#VALUE!</v>
      </c>
      <c r="CX68" s="758">
        <f>PLĀNS_ar_grozījumiem!CX68-'plans (27122022)'!CX67</f>
        <v>-0.16666666666665719</v>
      </c>
      <c r="CY68" s="760">
        <f>PLĀNS_ar_grozījumiem!CY68-'plans (27122022)'!CY67</f>
        <v>0</v>
      </c>
      <c r="CZ68" s="166"/>
      <c r="DA68" s="105"/>
      <c r="DB68" s="452"/>
      <c r="DC68" s="119"/>
      <c r="DD68" s="168"/>
      <c r="DE68" s="168"/>
      <c r="DF68" s="168"/>
      <c r="DG68" s="168"/>
      <c r="DH68" s="168"/>
      <c r="DI68" s="168"/>
      <c r="DJ68" s="168"/>
      <c r="DK68" s="168"/>
      <c r="DL68" s="168"/>
      <c r="DM68" s="168"/>
      <c r="DN68" s="168"/>
      <c r="DO68" s="168"/>
      <c r="DP68" s="168"/>
      <c r="DQ68" s="168"/>
      <c r="DR68" s="119">
        <f>PLĀNS_ar_grozījumiem!CF68-'plans (27122022)'!CF67</f>
        <v>0</v>
      </c>
      <c r="DS68" s="909">
        <f>DR68/'plans (27122022)'!CF67</f>
        <v>0</v>
      </c>
      <c r="DT68" s="120">
        <f>PLĀNS_ar_grozījumiem!CL68-'plans (27122022)'!CL67</f>
        <v>0</v>
      </c>
      <c r="DU68" s="909">
        <f>DT68/'plans (27122022)'!CL67</f>
        <v>0</v>
      </c>
      <c r="DV68" s="120"/>
      <c r="DW68" s="120">
        <f>PLĀNS_ar_grozījumiem!CM68-'plans (27122022)'!CM67</f>
        <v>0</v>
      </c>
      <c r="DX68" s="120">
        <f>PLĀNS_ar_grozījumiem!CP68-'plans (27122022)'!CP67</f>
        <v>0</v>
      </c>
      <c r="DY68" s="909">
        <f>DX68/'plans (27122022)'!CP67</f>
        <v>0</v>
      </c>
      <c r="DZ68" s="120"/>
      <c r="EA68" s="106"/>
      <c r="EB68" s="104">
        <f>PLĀNS_ar_grozījumiem!CT68-'plans (27122022)'!CT67</f>
        <v>0</v>
      </c>
      <c r="EC68" s="120"/>
      <c r="ED68" s="120"/>
      <c r="EE68" s="120"/>
      <c r="EF68" s="120">
        <f>PLĀNS_ar_grozījumiem!CX68-'plans (27122022)'!CX67</f>
        <v>-0.16666666666665719</v>
      </c>
      <c r="EG68" s="927">
        <f>EF68/'plans (27122022)'!CX67</f>
        <v>-1.1820330969266467E-3</v>
      </c>
      <c r="EH68" s="889"/>
    </row>
    <row r="69" spans="1:138" s="774" customFormat="1" ht="15.75" customHeight="1" outlineLevel="1" x14ac:dyDescent="0.3">
      <c r="A69" s="762"/>
      <c r="B69" s="763"/>
      <c r="C69" s="764" t="s">
        <v>47</v>
      </c>
      <c r="D69" s="765">
        <v>293.60000000000002</v>
      </c>
      <c r="E69" s="749"/>
      <c r="F69" s="749">
        <v>13.598888374247336</v>
      </c>
      <c r="G69" s="766"/>
      <c r="H69" s="536" t="s">
        <v>44</v>
      </c>
      <c r="I69" s="159" t="s">
        <v>44</v>
      </c>
      <c r="J69" s="751">
        <v>10975</v>
      </c>
      <c r="K69" s="767"/>
      <c r="L69" s="108" t="s">
        <v>44</v>
      </c>
      <c r="M69" s="159" t="s">
        <v>44</v>
      </c>
      <c r="N69" s="751">
        <v>10975</v>
      </c>
      <c r="O69" s="768"/>
      <c r="P69" s="536" t="s">
        <v>44</v>
      </c>
      <c r="Q69" s="159" t="s">
        <v>44</v>
      </c>
      <c r="R69" s="751">
        <v>0</v>
      </c>
      <c r="S69" s="768"/>
      <c r="T69" s="536" t="s">
        <v>44</v>
      </c>
      <c r="U69" s="159" t="s">
        <v>44</v>
      </c>
      <c r="V69" s="751">
        <v>37</v>
      </c>
      <c r="W69" s="163"/>
      <c r="X69" s="769">
        <v>446.7</v>
      </c>
      <c r="Y69" s="749"/>
      <c r="Z69" s="749">
        <v>20.453296703296704</v>
      </c>
      <c r="AA69" s="770"/>
      <c r="AB69" s="536" t="s">
        <v>44</v>
      </c>
      <c r="AC69" s="159" t="s">
        <v>44</v>
      </c>
      <c r="AD69" s="751">
        <v>13424</v>
      </c>
      <c r="AE69" s="163"/>
      <c r="AF69" s="108" t="s">
        <v>44</v>
      </c>
      <c r="AG69" s="159" t="s">
        <v>44</v>
      </c>
      <c r="AH69" s="771">
        <v>13424</v>
      </c>
      <c r="AI69" s="159"/>
      <c r="AJ69" s="536" t="s">
        <v>44</v>
      </c>
      <c r="AK69" s="159" t="s">
        <v>44</v>
      </c>
      <c r="AL69" s="771">
        <v>0</v>
      </c>
      <c r="AM69" s="159"/>
      <c r="AN69" s="536" t="s">
        <v>44</v>
      </c>
      <c r="AO69" s="159" t="s">
        <v>44</v>
      </c>
      <c r="AP69" s="771">
        <v>30</v>
      </c>
      <c r="AQ69" s="163"/>
      <c r="AR69" s="769">
        <v>782.9</v>
      </c>
      <c r="AS69" s="749">
        <f>PLĀNS_ar_grozījumiem!AS69-'plans (27122022)'!AS68</f>
        <v>0</v>
      </c>
      <c r="AT69" s="749">
        <f>PLĀNS_ar_grozījumiem!AT69-'plans (27122022)'!AT68</f>
        <v>-35.106046195652169</v>
      </c>
      <c r="AU69" s="770">
        <f>PLĀNS_ar_grozījumiem!AU69-'plans (27122022)'!AU68</f>
        <v>0</v>
      </c>
      <c r="AV69" s="536" t="e">
        <f>PLĀNS_ar_grozījumiem!AV69-'plans (27122022)'!AV68</f>
        <v>#VALUE!</v>
      </c>
      <c r="AW69" s="159" t="e">
        <f>PLĀNS_ar_grozījumiem!AW69-'plans (27122022)'!AW68</f>
        <v>#VALUE!</v>
      </c>
      <c r="AX69" s="753">
        <f>PLĀNS_ar_grozījumiem!AX69-'plans (27122022)'!AX68</f>
        <v>-6462</v>
      </c>
      <c r="AY69" s="163">
        <f>PLĀNS_ar_grozījumiem!AY69-'plans (27122022)'!AY68</f>
        <v>0</v>
      </c>
      <c r="AZ69" s="108" t="e">
        <f>PLĀNS_ar_grozījumiem!AZ69-'plans (27122022)'!AZ68</f>
        <v>#VALUE!</v>
      </c>
      <c r="BA69" s="159" t="e">
        <f>PLĀNS_ar_grozījumiem!BA69-'plans (27122022)'!BA68</f>
        <v>#VALUE!</v>
      </c>
      <c r="BB69" s="771">
        <f>PLĀNS_ar_grozījumiem!BB69-'plans (27122022)'!BB68</f>
        <v>-6462</v>
      </c>
      <c r="BC69" s="159">
        <f>PLĀNS_ar_grozījumiem!BC69-'plans (27122022)'!BC68</f>
        <v>0</v>
      </c>
      <c r="BD69" s="536" t="e">
        <f>PLĀNS_ar_grozījumiem!BD69-'plans (27122022)'!BD68</f>
        <v>#VALUE!</v>
      </c>
      <c r="BE69" s="159" t="e">
        <f>PLĀNS_ar_grozījumiem!BE69-'plans (27122022)'!BE68</f>
        <v>#VALUE!</v>
      </c>
      <c r="BF69" s="771">
        <f>PLĀNS_ar_grozījumiem!BF69-'plans (27122022)'!BF68</f>
        <v>0</v>
      </c>
      <c r="BG69" s="159">
        <f>PLĀNS_ar_grozījumiem!BG69-'plans (27122022)'!BG68</f>
        <v>0</v>
      </c>
      <c r="BH69" s="536" t="e">
        <f>PLĀNS_ar_grozījumiem!BH69-'plans (27122022)'!BH68</f>
        <v>#VALUE!</v>
      </c>
      <c r="BI69" s="159" t="e">
        <f>PLĀNS_ar_grozījumiem!BI69-'plans (27122022)'!BI68</f>
        <v>#VALUE!</v>
      </c>
      <c r="BJ69" s="771">
        <f>PLĀNS_ar_grozījumiem!BJ69-'plans (27122022)'!BJ68</f>
        <v>-8.1712315524908163</v>
      </c>
      <c r="BK69" s="163">
        <f>PLĀNS_ar_grozījumiem!BK69-'plans (27122022)'!BK68</f>
        <v>0</v>
      </c>
      <c r="BL69" s="769">
        <f>PLĀNS_ar_grozījumiem!BL69-'plans (27122022)'!BL68</f>
        <v>-16.699999999999989</v>
      </c>
      <c r="BM69" s="749">
        <f>PLĀNS_ar_grozījumiem!BM69-'plans (27122022)'!BM68</f>
        <v>0</v>
      </c>
      <c r="BN69" s="749">
        <f>PLĀNS_ar_grozījumiem!BN69-'plans (27122022)'!BN68</f>
        <v>-13.466002716161158</v>
      </c>
      <c r="BO69" s="770">
        <f>PLĀNS_ar_grozījumiem!BO69-'plans (27122022)'!BO68</f>
        <v>0</v>
      </c>
      <c r="BP69" s="536" t="e">
        <f>PLĀNS_ar_grozījumiem!BP69-'plans (27122022)'!BP68</f>
        <v>#VALUE!</v>
      </c>
      <c r="BQ69" s="159" t="e">
        <f>PLĀNS_ar_grozījumiem!BQ69-'plans (27122022)'!BQ68</f>
        <v>#VALUE!</v>
      </c>
      <c r="BR69" s="751">
        <f>PLĀNS_ar_grozījumiem!BR69-'plans (27122022)'!BR68</f>
        <v>-5385.46</v>
      </c>
      <c r="BS69" s="108">
        <f>PLĀNS_ar_grozījumiem!BS69-'plans (27122022)'!BS68</f>
        <v>0</v>
      </c>
      <c r="BT69" s="108" t="e">
        <f>PLĀNS_ar_grozījumiem!BT69-'plans (27122022)'!BT68</f>
        <v>#VALUE!</v>
      </c>
      <c r="BU69" s="159" t="e">
        <f>PLĀNS_ar_grozījumiem!BU69-'plans (27122022)'!BU68</f>
        <v>#VALUE!</v>
      </c>
      <c r="BV69" s="771">
        <f>PLĀNS_ar_grozījumiem!BV69-'plans (27122022)'!BV68</f>
        <v>-5385.46</v>
      </c>
      <c r="BW69" s="159">
        <f>PLĀNS_ar_grozījumiem!BW69-'plans (27122022)'!BW68</f>
        <v>0</v>
      </c>
      <c r="BX69" s="108" t="e">
        <f>PLĀNS_ar_grozījumiem!BX69-'plans (27122022)'!BX68</f>
        <v>#VALUE!</v>
      </c>
      <c r="BY69" s="159" t="e">
        <f>PLĀNS_ar_grozījumiem!BY69-'plans (27122022)'!BY68</f>
        <v>#VALUE!</v>
      </c>
      <c r="BZ69" s="771">
        <f>PLĀNS_ar_grozījumiem!BZ69-'plans (27122022)'!BZ68</f>
        <v>0</v>
      </c>
      <c r="CA69" s="159">
        <f>PLĀNS_ar_grozījumiem!CA69-'plans (27122022)'!CA68</f>
        <v>0</v>
      </c>
      <c r="CB69" s="108" t="e">
        <f>PLĀNS_ar_grozījumiem!CB69-'plans (27122022)'!CB68</f>
        <v>#VALUE!</v>
      </c>
      <c r="CC69" s="159" t="e">
        <f>PLĀNS_ar_grozījumiem!CC69-'plans (27122022)'!CC68</f>
        <v>#VALUE!</v>
      </c>
      <c r="CD69" s="771">
        <f>PLĀNS_ar_grozījumiem!CD69-'plans (27122022)'!CD68</f>
        <v>-17.223765867418901</v>
      </c>
      <c r="CE69" s="163">
        <f>PLĀNS_ar_grozījumiem!CE69-'plans (27122022)'!CE68</f>
        <v>0</v>
      </c>
      <c r="CF69" s="769">
        <f>PLĀNS_ar_grozījumiem!CF69-'plans (27122022)'!CF68</f>
        <v>-23.749999999999773</v>
      </c>
      <c r="CG69" s="772">
        <f>PLĀNS_ar_grozījumiem!CG69-'plans (27122022)'!CG68</f>
        <v>0</v>
      </c>
      <c r="CH69" s="749">
        <f>PLĀNS_ar_grozījumiem!CH69-'plans (27122022)'!CH68</f>
        <v>-20.610759132420085</v>
      </c>
      <c r="CI69" s="773">
        <f>PLĀNS_ar_grozījumiem!CI69-'plans (27122022)'!CI68</f>
        <v>0</v>
      </c>
      <c r="CJ69" s="536" t="e">
        <f>PLĀNS_ar_grozījumiem!CJ69-'plans (27122022)'!CJ68</f>
        <v>#VALUE!</v>
      </c>
      <c r="CK69" s="159" t="e">
        <f>PLĀNS_ar_grozījumiem!CK69-'plans (27122022)'!CK68</f>
        <v>#VALUE!</v>
      </c>
      <c r="CL69" s="751">
        <f>PLĀNS_ar_grozījumiem!CL69-'plans (27122022)'!CL68</f>
        <v>-11847.46</v>
      </c>
      <c r="CM69" s="108">
        <f>PLĀNS_ar_grozījumiem!CM69-'plans (27122022)'!CM68</f>
        <v>0</v>
      </c>
      <c r="CN69" s="108" t="e">
        <f>PLĀNS_ar_grozījumiem!CN69-'plans (27122022)'!CN68</f>
        <v>#VALUE!</v>
      </c>
      <c r="CO69" s="159" t="e">
        <f>PLĀNS_ar_grozījumiem!CO69-'plans (27122022)'!CO68</f>
        <v>#VALUE!</v>
      </c>
      <c r="CP69" s="771">
        <f>PLĀNS_ar_grozījumiem!CP69-'plans (27122022)'!CP68</f>
        <v>-11847.46</v>
      </c>
      <c r="CQ69" s="108">
        <f>PLĀNS_ar_grozījumiem!CQ69-'plans (27122022)'!CQ68</f>
        <v>0</v>
      </c>
      <c r="CR69" s="108" t="e">
        <f>PLĀNS_ar_grozījumiem!CR69-'plans (27122022)'!CR68</f>
        <v>#VALUE!</v>
      </c>
      <c r="CS69" s="159" t="e">
        <f>PLĀNS_ar_grozījumiem!CS69-'plans (27122022)'!CS68</f>
        <v>#VALUE!</v>
      </c>
      <c r="CT69" s="751">
        <f>PLĀNS_ar_grozījumiem!CT69-'plans (27122022)'!CT68</f>
        <v>0</v>
      </c>
      <c r="CU69" s="108">
        <f>PLĀNS_ar_grozījumiem!CU69-'plans (27122022)'!CU68</f>
        <v>0</v>
      </c>
      <c r="CV69" s="108" t="e">
        <f>PLĀNS_ar_grozījumiem!CV69-'plans (27122022)'!CV68</f>
        <v>#VALUE!</v>
      </c>
      <c r="CW69" s="159" t="e">
        <f>PLĀNS_ar_grozījumiem!CW69-'plans (27122022)'!CW68</f>
        <v>#VALUE!</v>
      </c>
      <c r="CX69" s="771">
        <f>PLĀNS_ar_grozījumiem!CX69-'plans (27122022)'!CX68</f>
        <v>-6.3478038616474493</v>
      </c>
      <c r="CY69" s="539">
        <f>PLĀNS_ar_grozījumiem!CY69-'plans (27122022)'!CY68</f>
        <v>0</v>
      </c>
      <c r="CZ69" s="98"/>
      <c r="DA69" s="93"/>
      <c r="DB69" s="772"/>
      <c r="DC69" s="176"/>
      <c r="DD69" s="108"/>
      <c r="DE69" s="108"/>
      <c r="DF69" s="108"/>
      <c r="DG69" s="108"/>
      <c r="DH69" s="108"/>
      <c r="DI69" s="108"/>
      <c r="DJ69" s="108"/>
      <c r="DK69" s="108"/>
      <c r="DL69" s="108"/>
      <c r="DM69" s="108"/>
      <c r="DN69" s="108"/>
      <c r="DO69" s="108"/>
      <c r="DP69" s="108"/>
      <c r="DQ69" s="108"/>
      <c r="DR69" s="176">
        <f>PLĀNS_ar_grozījumiem!CF69-'plans (27122022)'!CF68</f>
        <v>-23.749999999999773</v>
      </c>
      <c r="DS69" s="928">
        <f>DR69/'plans (27122022)'!CF68</f>
        <v>-1.3024403619413094E-2</v>
      </c>
      <c r="DT69" s="97">
        <f>PLĀNS_ar_grozījumiem!CL69-'plans (27122022)'!CL68</f>
        <v>-11847.46</v>
      </c>
      <c r="DU69" s="928">
        <f>DT69/'plans (27122022)'!CL68</f>
        <v>-0.20421373782642419</v>
      </c>
      <c r="DV69" s="97"/>
      <c r="DW69" s="97">
        <f>PLĀNS_ar_grozījumiem!CM69-'plans (27122022)'!CM68</f>
        <v>0</v>
      </c>
      <c r="DX69" s="97">
        <f>PLĀNS_ar_grozījumiem!CP69-'plans (27122022)'!CP68</f>
        <v>-11847.46</v>
      </c>
      <c r="DY69" s="928">
        <f>DX69/'plans (27122022)'!CP68</f>
        <v>-0.20421373782642419</v>
      </c>
      <c r="DZ69" s="97"/>
      <c r="EA69" s="127"/>
      <c r="EB69" s="102">
        <f>PLĀNS_ar_grozījumiem!CT69-'plans (27122022)'!CT68</f>
        <v>0</v>
      </c>
      <c r="EC69" s="97"/>
      <c r="ED69" s="97"/>
      <c r="EE69" s="97"/>
      <c r="EF69" s="97">
        <f>PLĀNS_ar_grozījumiem!CX69-'plans (27122022)'!CX68</f>
        <v>-6.3478038616474493</v>
      </c>
      <c r="EG69" s="929">
        <f>EF69/'plans (27122022)'!CX68</f>
        <v>-0.19836887067648279</v>
      </c>
      <c r="EH69" s="890"/>
    </row>
    <row r="70" spans="1:138" s="790" customFormat="1" ht="15.75" customHeight="1" outlineLevel="1" x14ac:dyDescent="0.3">
      <c r="A70" s="775"/>
      <c r="B70" s="776"/>
      <c r="C70" s="777" t="s">
        <v>48</v>
      </c>
      <c r="D70" s="778">
        <v>50</v>
      </c>
      <c r="E70" s="779"/>
      <c r="F70" s="779">
        <v>2.3158869847151458</v>
      </c>
      <c r="G70" s="780"/>
      <c r="H70" s="562" t="s">
        <v>44</v>
      </c>
      <c r="I70" s="384" t="s">
        <v>44</v>
      </c>
      <c r="J70" s="781">
        <v>3390</v>
      </c>
      <c r="K70" s="782"/>
      <c r="L70" s="563" t="s">
        <v>44</v>
      </c>
      <c r="M70" s="384" t="s">
        <v>44</v>
      </c>
      <c r="N70" s="781">
        <v>3390</v>
      </c>
      <c r="O70" s="783"/>
      <c r="P70" s="562" t="s">
        <v>44</v>
      </c>
      <c r="Q70" s="384" t="s">
        <v>44</v>
      </c>
      <c r="R70" s="781">
        <v>0</v>
      </c>
      <c r="S70" s="783"/>
      <c r="T70" s="562" t="s">
        <v>44</v>
      </c>
      <c r="U70" s="384" t="s">
        <v>44</v>
      </c>
      <c r="V70" s="781">
        <v>68</v>
      </c>
      <c r="W70" s="784"/>
      <c r="X70" s="785">
        <v>82.3</v>
      </c>
      <c r="Y70" s="779"/>
      <c r="Z70" s="779">
        <v>3.7683150183150182</v>
      </c>
      <c r="AA70" s="786"/>
      <c r="AB70" s="562" t="s">
        <v>44</v>
      </c>
      <c r="AC70" s="384" t="s">
        <v>44</v>
      </c>
      <c r="AD70" s="781">
        <v>5698</v>
      </c>
      <c r="AE70" s="784"/>
      <c r="AF70" s="563" t="s">
        <v>44</v>
      </c>
      <c r="AG70" s="384" t="s">
        <v>44</v>
      </c>
      <c r="AH70" s="787">
        <v>5698</v>
      </c>
      <c r="AI70" s="384"/>
      <c r="AJ70" s="562" t="s">
        <v>44</v>
      </c>
      <c r="AK70" s="384" t="s">
        <v>44</v>
      </c>
      <c r="AL70" s="787">
        <v>0</v>
      </c>
      <c r="AM70" s="384"/>
      <c r="AN70" s="562" t="s">
        <v>44</v>
      </c>
      <c r="AO70" s="384" t="s">
        <v>44</v>
      </c>
      <c r="AP70" s="787">
        <v>69</v>
      </c>
      <c r="AQ70" s="784"/>
      <c r="AR70" s="785">
        <v>79.900000000000006</v>
      </c>
      <c r="AS70" s="779">
        <f>PLĀNS_ar_grozījumiem!AS70-'plans (27122022)'!AS69</f>
        <v>0</v>
      </c>
      <c r="AT70" s="779">
        <f>PLĀNS_ar_grozījumiem!AT70-'plans (27122022)'!AT69</f>
        <v>-3.5530072463768119</v>
      </c>
      <c r="AU70" s="786">
        <f>PLĀNS_ar_grozījumiem!AU70-'plans (27122022)'!AU69</f>
        <v>0</v>
      </c>
      <c r="AV70" s="562" t="e">
        <f>PLĀNS_ar_grozījumiem!AV70-'plans (27122022)'!AV69</f>
        <v>#VALUE!</v>
      </c>
      <c r="AW70" s="384" t="e">
        <f>PLĀNS_ar_grozījumiem!AW70-'plans (27122022)'!AW69</f>
        <v>#VALUE!</v>
      </c>
      <c r="AX70" s="781">
        <f>PLĀNS_ar_grozījumiem!AX70-'plans (27122022)'!AX69</f>
        <v>6421.67</v>
      </c>
      <c r="AY70" s="784">
        <f>PLĀNS_ar_grozījumiem!AY70-'plans (27122022)'!AY69</f>
        <v>0</v>
      </c>
      <c r="AZ70" s="563" t="e">
        <f>PLĀNS_ar_grozījumiem!AZ70-'plans (27122022)'!AZ69</f>
        <v>#VALUE!</v>
      </c>
      <c r="BA70" s="384" t="e">
        <f>PLĀNS_ar_grozījumiem!BA70-'plans (27122022)'!BA69</f>
        <v>#VALUE!</v>
      </c>
      <c r="BB70" s="787">
        <f>PLĀNS_ar_grozījumiem!BB70-'plans (27122022)'!BB69</f>
        <v>6421.67</v>
      </c>
      <c r="BC70" s="384">
        <f>PLĀNS_ar_grozījumiem!BC70-'plans (27122022)'!BC69</f>
        <v>0</v>
      </c>
      <c r="BD70" s="562" t="e">
        <f>PLĀNS_ar_grozījumiem!BD70-'plans (27122022)'!BD69</f>
        <v>#VALUE!</v>
      </c>
      <c r="BE70" s="384" t="e">
        <f>PLĀNS_ar_grozījumiem!BE70-'plans (27122022)'!BE69</f>
        <v>#VALUE!</v>
      </c>
      <c r="BF70" s="787">
        <f>PLĀNS_ar_grozījumiem!BF70-'plans (27122022)'!BF69</f>
        <v>0</v>
      </c>
      <c r="BG70" s="384">
        <f>PLĀNS_ar_grozījumiem!BG70-'plans (27122022)'!BG69</f>
        <v>0</v>
      </c>
      <c r="BH70" s="562" t="e">
        <f>PLĀNS_ar_grozījumiem!BH70-'plans (27122022)'!BH69</f>
        <v>#VALUE!</v>
      </c>
      <c r="BI70" s="384" t="e">
        <f>PLĀNS_ar_grozījumiem!BI70-'plans (27122022)'!BI69</f>
        <v>#VALUE!</v>
      </c>
      <c r="BJ70" s="787">
        <f>PLĀNS_ar_grozījumiem!BJ70-'plans (27122022)'!BJ69</f>
        <v>11.317811810154524</v>
      </c>
      <c r="BK70" s="784">
        <f>PLĀNS_ar_grozījumiem!BK70-'plans (27122022)'!BK69</f>
        <v>0</v>
      </c>
      <c r="BL70" s="785">
        <f>PLĀNS_ar_grozījumiem!BL70-'plans (27122022)'!BL69</f>
        <v>-6.8999999999999915</v>
      </c>
      <c r="BM70" s="779">
        <f>PLĀNS_ar_grozījumiem!BM70-'plans (27122022)'!BM69</f>
        <v>0</v>
      </c>
      <c r="BN70" s="779">
        <f>PLĀNS_ar_grozījumiem!BN70-'plans (27122022)'!BN69</f>
        <v>-3.2523313716613855</v>
      </c>
      <c r="BO70" s="786">
        <f>PLĀNS_ar_grozījumiem!BO70-'plans (27122022)'!BO69</f>
        <v>0</v>
      </c>
      <c r="BP70" s="562" t="e">
        <f>PLĀNS_ar_grozījumiem!BP70-'plans (27122022)'!BP69</f>
        <v>#VALUE!</v>
      </c>
      <c r="BQ70" s="384" t="e">
        <f>PLĀNS_ar_grozījumiem!BQ70-'plans (27122022)'!BQ69</f>
        <v>#VALUE!</v>
      </c>
      <c r="BR70" s="781">
        <f>PLĀNS_ar_grozījumiem!BR70-'plans (27122022)'!BR69</f>
        <v>-1656.3200000000002</v>
      </c>
      <c r="BS70" s="563">
        <f>PLĀNS_ar_grozījumiem!BS70-'plans (27122022)'!BS69</f>
        <v>0</v>
      </c>
      <c r="BT70" s="563" t="e">
        <f>PLĀNS_ar_grozījumiem!BT70-'plans (27122022)'!BT69</f>
        <v>#VALUE!</v>
      </c>
      <c r="BU70" s="384" t="e">
        <f>PLĀNS_ar_grozījumiem!BU70-'plans (27122022)'!BU69</f>
        <v>#VALUE!</v>
      </c>
      <c r="BV70" s="787">
        <f>PLĀNS_ar_grozījumiem!BV70-'plans (27122022)'!BV69</f>
        <v>-1656.3200000000002</v>
      </c>
      <c r="BW70" s="384">
        <f>PLĀNS_ar_grozījumiem!BW70-'plans (27122022)'!BW69</f>
        <v>0</v>
      </c>
      <c r="BX70" s="563" t="e">
        <f>PLĀNS_ar_grozījumiem!BX70-'plans (27122022)'!BX69</f>
        <v>#VALUE!</v>
      </c>
      <c r="BY70" s="384" t="e">
        <f>PLĀNS_ar_grozījumiem!BY70-'plans (27122022)'!BY69</f>
        <v>#VALUE!</v>
      </c>
      <c r="BZ70" s="787">
        <f>PLĀNS_ar_grozījumiem!BZ70-'plans (27122022)'!BZ69</f>
        <v>0</v>
      </c>
      <c r="CA70" s="384">
        <f>PLĀNS_ar_grozījumiem!CA70-'plans (27122022)'!CA69</f>
        <v>0</v>
      </c>
      <c r="CB70" s="563" t="e">
        <f>PLĀNS_ar_grozījumiem!CB70-'plans (27122022)'!CB69</f>
        <v>#VALUE!</v>
      </c>
      <c r="CC70" s="384" t="e">
        <f>PLĀNS_ar_grozījumiem!CC70-'plans (27122022)'!CC69</f>
        <v>#VALUE!</v>
      </c>
      <c r="CD70" s="787">
        <f>PLĀNS_ar_grozījumiem!CD70-'plans (27122022)'!CD69</f>
        <v>-18.209146341463423</v>
      </c>
      <c r="CE70" s="784">
        <f>PLĀNS_ar_grozījumiem!CE70-'plans (27122022)'!CE69</f>
        <v>0</v>
      </c>
      <c r="CF70" s="785">
        <f>PLĀNS_ar_grozījumiem!CF70-'plans (27122022)'!CF69</f>
        <v>58.159999999999968</v>
      </c>
      <c r="CG70" s="560">
        <f>PLĀNS_ar_grozījumiem!CG70-'plans (27122022)'!CG69</f>
        <v>0</v>
      </c>
      <c r="CH70" s="779">
        <f>PLĀNS_ar_grozījumiem!CH70-'plans (27122022)'!CH69</f>
        <v>-3.2108607305936081</v>
      </c>
      <c r="CI70" s="788">
        <f>PLĀNS_ar_grozījumiem!CI70-'plans (27122022)'!CI69</f>
        <v>0</v>
      </c>
      <c r="CJ70" s="562" t="e">
        <f>PLĀNS_ar_grozījumiem!CJ70-'plans (27122022)'!CJ69</f>
        <v>#VALUE!</v>
      </c>
      <c r="CK70" s="384" t="e">
        <f>PLĀNS_ar_grozījumiem!CK70-'plans (27122022)'!CK69</f>
        <v>#VALUE!</v>
      </c>
      <c r="CL70" s="781">
        <f>PLĀNS_ar_grozījumiem!CL70-'plans (27122022)'!CL69</f>
        <v>4765.3499999999985</v>
      </c>
      <c r="CM70" s="563">
        <f>PLĀNS_ar_grozījumiem!CM70-'plans (27122022)'!CM69</f>
        <v>0</v>
      </c>
      <c r="CN70" s="563" t="e">
        <f>PLĀNS_ar_grozījumiem!CN70-'plans (27122022)'!CN69</f>
        <v>#VALUE!</v>
      </c>
      <c r="CO70" s="384" t="e">
        <f>PLĀNS_ar_grozījumiem!CO70-'plans (27122022)'!CO69</f>
        <v>#VALUE!</v>
      </c>
      <c r="CP70" s="787">
        <f>PLĀNS_ar_grozījumiem!CP70-'plans (27122022)'!CP69</f>
        <v>4765.3499999999985</v>
      </c>
      <c r="CQ70" s="563">
        <f>PLĀNS_ar_grozījumiem!CQ70-'plans (27122022)'!CQ69</f>
        <v>0</v>
      </c>
      <c r="CR70" s="563" t="e">
        <f>PLĀNS_ar_grozījumiem!CR70-'plans (27122022)'!CR69</f>
        <v>#VALUE!</v>
      </c>
      <c r="CS70" s="384" t="e">
        <f>PLĀNS_ar_grozījumiem!CS70-'plans (27122022)'!CS69</f>
        <v>#VALUE!</v>
      </c>
      <c r="CT70" s="781">
        <f>PLĀNS_ar_grozījumiem!CT70-'plans (27122022)'!CT69</f>
        <v>0</v>
      </c>
      <c r="CU70" s="563">
        <f>PLĀNS_ar_grozījumiem!CU70-'plans (27122022)'!CU69</f>
        <v>0</v>
      </c>
      <c r="CV70" s="563" t="e">
        <f>PLĀNS_ar_grozījumiem!CV70-'plans (27122022)'!CV69</f>
        <v>#VALUE!</v>
      </c>
      <c r="CW70" s="384" t="e">
        <f>PLĀNS_ar_grozījumiem!CW70-'plans (27122022)'!CW69</f>
        <v>#VALUE!</v>
      </c>
      <c r="CX70" s="787">
        <f>PLĀNS_ar_grozījumiem!CX70-'plans (27122022)'!CX69</f>
        <v>1.8704135798868293</v>
      </c>
      <c r="CY70" s="564">
        <f>PLĀNS_ar_grozījumiem!CY70-'plans (27122022)'!CY69</f>
        <v>0</v>
      </c>
      <c r="CZ70" s="789"/>
      <c r="DA70" s="382"/>
      <c r="DB70" s="560"/>
      <c r="DC70" s="407"/>
      <c r="DD70" s="563"/>
      <c r="DE70" s="563"/>
      <c r="DF70" s="563"/>
      <c r="DG70" s="563"/>
      <c r="DH70" s="563"/>
      <c r="DI70" s="563"/>
      <c r="DJ70" s="563"/>
      <c r="DK70" s="563"/>
      <c r="DL70" s="563"/>
      <c r="DM70" s="563"/>
      <c r="DN70" s="563"/>
      <c r="DO70" s="563"/>
      <c r="DP70" s="563"/>
      <c r="DQ70" s="563"/>
      <c r="DR70" s="407">
        <f>PLĀNS_ar_grozījumiem!CF70-'plans (27122022)'!CF69</f>
        <v>58.159999999999968</v>
      </c>
      <c r="DS70" s="935">
        <f>DR70/'plans (27122022)'!CF69</f>
        <v>0.20428521250439044</v>
      </c>
      <c r="DT70" s="391">
        <f>PLĀNS_ar_grozījumiem!CL70-'plans (27122022)'!CL69</f>
        <v>4765.3499999999985</v>
      </c>
      <c r="DU70" s="935">
        <f>DT70/'plans (27122022)'!CL69</f>
        <v>0.2356867303031801</v>
      </c>
      <c r="DV70" s="391"/>
      <c r="DW70" s="391">
        <f>PLĀNS_ar_grozījumiem!CM70-'plans (27122022)'!CM69</f>
        <v>0</v>
      </c>
      <c r="DX70" s="391">
        <f>PLĀNS_ar_grozījumiem!CP70-'plans (27122022)'!CP69</f>
        <v>4765.3499999999985</v>
      </c>
      <c r="DY70" s="935">
        <f>DX70/'plans (27122022)'!CP69</f>
        <v>0.2356867303031801</v>
      </c>
      <c r="DZ70" s="391"/>
      <c r="EA70" s="566"/>
      <c r="EB70" s="397">
        <f>PLĀNS_ar_grozījumiem!CT70-'plans (27122022)'!CT69</f>
        <v>0</v>
      </c>
      <c r="EC70" s="391"/>
      <c r="ED70" s="391"/>
      <c r="EE70" s="391"/>
      <c r="EF70" s="391">
        <f>PLĀNS_ar_grozījumiem!CX70-'plans (27122022)'!CX69</f>
        <v>1.8704135798868293</v>
      </c>
      <c r="EG70" s="930">
        <f>EF70/'plans (27122022)'!CX69</f>
        <v>2.6343853237842666E-2</v>
      </c>
      <c r="EH70" s="891"/>
    </row>
    <row r="71" spans="1:138" s="373" customFormat="1" ht="15.75" customHeight="1" x14ac:dyDescent="0.3">
      <c r="A71" s="346" t="s">
        <v>67</v>
      </c>
      <c r="B71" s="347" t="s">
        <v>68</v>
      </c>
      <c r="C71" s="1032"/>
      <c r="D71" s="1013">
        <v>100.70000000000002</v>
      </c>
      <c r="E71" s="350"/>
      <c r="F71" s="350">
        <v>0.9258152598626449</v>
      </c>
      <c r="G71" s="350"/>
      <c r="H71" s="351" t="s">
        <v>44</v>
      </c>
      <c r="I71" s="352" t="s">
        <v>44</v>
      </c>
      <c r="J71" s="353">
        <v>7581</v>
      </c>
      <c r="K71" s="354"/>
      <c r="L71" s="355" t="s">
        <v>44</v>
      </c>
      <c r="M71" s="356" t="s">
        <v>44</v>
      </c>
      <c r="N71" s="357">
        <v>7581</v>
      </c>
      <c r="O71" s="354"/>
      <c r="P71" s="351" t="s">
        <v>44</v>
      </c>
      <c r="Q71" s="352" t="s">
        <v>44</v>
      </c>
      <c r="R71" s="357">
        <v>0</v>
      </c>
      <c r="S71" s="354"/>
      <c r="T71" s="351" t="s">
        <v>44</v>
      </c>
      <c r="U71" s="352" t="s">
        <v>44</v>
      </c>
      <c r="V71" s="358">
        <v>75</v>
      </c>
      <c r="W71" s="358"/>
      <c r="X71" s="349">
        <v>102.5</v>
      </c>
      <c r="Y71" s="350"/>
      <c r="Z71" s="350">
        <v>0.93377911796591018</v>
      </c>
      <c r="AA71" s="350"/>
      <c r="AB71" s="351" t="s">
        <v>44</v>
      </c>
      <c r="AC71" s="352" t="s">
        <v>44</v>
      </c>
      <c r="AD71" s="353">
        <v>7757</v>
      </c>
      <c r="AE71" s="354"/>
      <c r="AF71" s="355" t="s">
        <v>44</v>
      </c>
      <c r="AG71" s="356" t="s">
        <v>44</v>
      </c>
      <c r="AH71" s="357">
        <v>7757</v>
      </c>
      <c r="AI71" s="354"/>
      <c r="AJ71" s="351" t="s">
        <v>44</v>
      </c>
      <c r="AK71" s="352" t="s">
        <v>44</v>
      </c>
      <c r="AL71" s="357">
        <v>0</v>
      </c>
      <c r="AM71" s="354"/>
      <c r="AN71" s="351" t="s">
        <v>44</v>
      </c>
      <c r="AO71" s="352" t="s">
        <v>44</v>
      </c>
      <c r="AP71" s="358">
        <v>76</v>
      </c>
      <c r="AQ71" s="358"/>
      <c r="AR71" s="349">
        <v>102.5</v>
      </c>
      <c r="AS71" s="350">
        <f>PLĀNS_ar_grozījumiem!AS71-'plans (27122022)'!AS70</f>
        <v>0</v>
      </c>
      <c r="AT71" s="350">
        <f>PLĀNS_ar_grozījumiem!AT71-'plans (27122022)'!AT70</f>
        <v>-0.91539772266248343</v>
      </c>
      <c r="AU71" s="350">
        <f>PLĀNS_ar_grozījumiem!AU71-'plans (27122022)'!AU70</f>
        <v>0</v>
      </c>
      <c r="AV71" s="351" t="e">
        <f>PLĀNS_ar_grozījumiem!AV71-'plans (27122022)'!AV70</f>
        <v>#VALUE!</v>
      </c>
      <c r="AW71" s="352" t="e">
        <f>PLĀNS_ar_grozījumiem!AW71-'plans (27122022)'!AW70</f>
        <v>#VALUE!</v>
      </c>
      <c r="AX71" s="353">
        <f>PLĀNS_ar_grozījumiem!AX71-'plans (27122022)'!AX70</f>
        <v>0</v>
      </c>
      <c r="AY71" s="354">
        <f>PLĀNS_ar_grozījumiem!AY71-'plans (27122022)'!AY70</f>
        <v>0</v>
      </c>
      <c r="AZ71" s="355" t="e">
        <f>PLĀNS_ar_grozījumiem!AZ71-'plans (27122022)'!AZ70</f>
        <v>#VALUE!</v>
      </c>
      <c r="BA71" s="356" t="e">
        <f>PLĀNS_ar_grozījumiem!BA71-'plans (27122022)'!BA70</f>
        <v>#VALUE!</v>
      </c>
      <c r="BB71" s="357">
        <f>PLĀNS_ar_grozījumiem!BB71-'plans (27122022)'!BB70</f>
        <v>0</v>
      </c>
      <c r="BC71" s="354">
        <f>PLĀNS_ar_grozījumiem!BC71-'plans (27122022)'!BC70</f>
        <v>0</v>
      </c>
      <c r="BD71" s="351" t="e">
        <f>PLĀNS_ar_grozījumiem!BD71-'plans (27122022)'!BD70</f>
        <v>#VALUE!</v>
      </c>
      <c r="BE71" s="352" t="e">
        <f>PLĀNS_ar_grozījumiem!BE71-'plans (27122022)'!BE70</f>
        <v>#VALUE!</v>
      </c>
      <c r="BF71" s="357">
        <f>PLĀNS_ar_grozījumiem!BF71-'plans (27122022)'!BF70</f>
        <v>0</v>
      </c>
      <c r="BG71" s="354">
        <f>PLĀNS_ar_grozījumiem!BG71-'plans (27122022)'!BG70</f>
        <v>0</v>
      </c>
      <c r="BH71" s="351" t="e">
        <f>PLĀNS_ar_grozījumiem!BH71-'plans (27122022)'!BH70</f>
        <v>#VALUE!</v>
      </c>
      <c r="BI71" s="352" t="e">
        <f>PLĀNS_ar_grozījumiem!BI71-'plans (27122022)'!BI70</f>
        <v>#VALUE!</v>
      </c>
      <c r="BJ71" s="358">
        <f>PLĀNS_ar_grozījumiem!BJ71-'plans (27122022)'!BJ70</f>
        <v>5.0984455958549262</v>
      </c>
      <c r="BK71" s="358">
        <f>PLĀNS_ar_grozījumiem!BK71-'plans (27122022)'!BK70</f>
        <v>0</v>
      </c>
      <c r="BL71" s="349">
        <f>PLĀNS_ar_grozījumiem!BL71-'plans (27122022)'!BL70</f>
        <v>1.2999999999999972</v>
      </c>
      <c r="BM71" s="350">
        <f>PLĀNS_ar_grozījumiem!BM71-'plans (27122022)'!BM70</f>
        <v>0</v>
      </c>
      <c r="BN71" s="350">
        <f>PLĀNS_ar_grozījumiem!BN71-'plans (27122022)'!BN70</f>
        <v>-0.91384703636314746</v>
      </c>
      <c r="BO71" s="350">
        <f>PLĀNS_ar_grozījumiem!BO71-'plans (27122022)'!BO70</f>
        <v>0</v>
      </c>
      <c r="BP71" s="351" t="e">
        <f>PLĀNS_ar_grozījumiem!BP71-'plans (27122022)'!BP70</f>
        <v>#VALUE!</v>
      </c>
      <c r="BQ71" s="352" t="e">
        <f>PLĀNS_ar_grozījumiem!BQ71-'plans (27122022)'!BQ70</f>
        <v>#VALUE!</v>
      </c>
      <c r="BR71" s="353">
        <f>PLĀNS_ar_grozījumiem!BR71-'plans (27122022)'!BR70</f>
        <v>-67</v>
      </c>
      <c r="BS71" s="354">
        <f>PLĀNS_ar_grozījumiem!BS71-'plans (27122022)'!BS70</f>
        <v>0</v>
      </c>
      <c r="BT71" s="355" t="e">
        <f>PLĀNS_ar_grozījumiem!BT71-'plans (27122022)'!BT70</f>
        <v>#VALUE!</v>
      </c>
      <c r="BU71" s="356" t="e">
        <f>PLĀNS_ar_grozījumiem!BU71-'plans (27122022)'!BU70</f>
        <v>#VALUE!</v>
      </c>
      <c r="BV71" s="357">
        <f>PLĀNS_ar_grozījumiem!BV71-'plans (27122022)'!BV70</f>
        <v>-67</v>
      </c>
      <c r="BW71" s="354">
        <f>PLĀNS_ar_grozījumiem!BW71-'plans (27122022)'!BW70</f>
        <v>0</v>
      </c>
      <c r="BX71" s="351" t="e">
        <f>PLĀNS_ar_grozījumiem!BX71-'plans (27122022)'!BX70</f>
        <v>#VALUE!</v>
      </c>
      <c r="BY71" s="352" t="e">
        <f>PLĀNS_ar_grozījumiem!BY71-'plans (27122022)'!BY70</f>
        <v>#VALUE!</v>
      </c>
      <c r="BZ71" s="357">
        <f>PLĀNS_ar_grozījumiem!BZ71-'plans (27122022)'!BZ70</f>
        <v>0</v>
      </c>
      <c r="CA71" s="354">
        <f>PLĀNS_ar_grozījumiem!CA71-'plans (27122022)'!CA70</f>
        <v>0</v>
      </c>
      <c r="CB71" s="351" t="e">
        <f>PLĀNS_ar_grozījumiem!CB71-'plans (27122022)'!CB70</f>
        <v>#VALUE!</v>
      </c>
      <c r="CC71" s="352" t="e">
        <f>PLĀNS_ar_grozījumiem!CC71-'plans (27122022)'!CC70</f>
        <v>#VALUE!</v>
      </c>
      <c r="CD71" s="358">
        <f>PLĀNS_ar_grozījumiem!CD71-'plans (27122022)'!CD70</f>
        <v>-1.0882070949185021</v>
      </c>
      <c r="CE71" s="358">
        <f>PLĀNS_ar_grozījumiem!CE71-'plans (27122022)'!CE70</f>
        <v>0</v>
      </c>
      <c r="CF71" s="349">
        <f>PLĀNS_ar_grozījumiem!CF71-'plans (27122022)'!CF70</f>
        <v>-4.7000000000000455</v>
      </c>
      <c r="CG71" s="354">
        <f>PLĀNS_ar_grozījumiem!CG71-'plans (27122022)'!CG70</f>
        <v>0</v>
      </c>
      <c r="CH71" s="359">
        <f>PLĀNS_ar_grozījumiem!CH71-'plans (27122022)'!CH70</f>
        <v>-0.91754227641907726</v>
      </c>
      <c r="CI71" s="360">
        <f>PLĀNS_ar_grozījumiem!CI71-'plans (27122022)'!CI70</f>
        <v>0</v>
      </c>
      <c r="CJ71" s="361" t="e">
        <f>PLĀNS_ar_grozījumiem!CJ71-'plans (27122022)'!CJ70</f>
        <v>#VALUE!</v>
      </c>
      <c r="CK71" s="356" t="e">
        <f>PLĀNS_ar_grozījumiem!CK71-'plans (27122022)'!CK70</f>
        <v>#VALUE!</v>
      </c>
      <c r="CL71" s="357">
        <f>PLĀNS_ar_grozījumiem!CL71-'plans (27122022)'!CL70</f>
        <v>-67</v>
      </c>
      <c r="CM71" s="362">
        <f>PLĀNS_ar_grozījumiem!CM71-'plans (27122022)'!CM70</f>
        <v>0</v>
      </c>
      <c r="CN71" s="363" t="e">
        <f>PLĀNS_ar_grozījumiem!CN71-'plans (27122022)'!CN70</f>
        <v>#VALUE!</v>
      </c>
      <c r="CO71" s="356" t="e">
        <f>PLĀNS_ar_grozījumiem!CO71-'plans (27122022)'!CO70</f>
        <v>#VALUE!</v>
      </c>
      <c r="CP71" s="358">
        <f>PLĀNS_ar_grozījumiem!CP71-'plans (27122022)'!CP70</f>
        <v>-67</v>
      </c>
      <c r="CQ71" s="354">
        <f>PLĀNS_ar_grozījumiem!CQ71-'plans (27122022)'!CQ70</f>
        <v>0</v>
      </c>
      <c r="CR71" s="355" t="e">
        <f>PLĀNS_ar_grozījumiem!CR71-'plans (27122022)'!CR70</f>
        <v>#VALUE!</v>
      </c>
      <c r="CS71" s="356" t="e">
        <f>PLĀNS_ar_grozījumiem!CS71-'plans (27122022)'!CS70</f>
        <v>#VALUE!</v>
      </c>
      <c r="CT71" s="357">
        <f>PLĀNS_ar_grozījumiem!CT71-'plans (27122022)'!CT70</f>
        <v>0</v>
      </c>
      <c r="CU71" s="354">
        <f>PLĀNS_ar_grozījumiem!CU71-'plans (27122022)'!CU70</f>
        <v>0</v>
      </c>
      <c r="CV71" s="355" t="e">
        <f>PLĀNS_ar_grozījumiem!CV71-'plans (27122022)'!CV70</f>
        <v>#VALUE!</v>
      </c>
      <c r="CW71" s="356" t="e">
        <f>PLĀNS_ar_grozījumiem!CW71-'plans (27122022)'!CW70</f>
        <v>#VALUE!</v>
      </c>
      <c r="CX71" s="357">
        <f>PLĀNS_ar_grozījumiem!CX71-'plans (27122022)'!CX70</f>
        <v>0.71486686838491664</v>
      </c>
      <c r="CY71" s="364">
        <f>PLĀNS_ar_grozījumiem!CY71-'plans (27122022)'!CY70</f>
        <v>0</v>
      </c>
      <c r="CZ71" s="365">
        <f t="shared" ref="CZ71:CZ88" si="22">D71+X71</f>
        <v>203.20000000000002</v>
      </c>
      <c r="DA71" s="366">
        <f t="shared" si="21"/>
        <v>0</v>
      </c>
      <c r="DB71" s="359" t="e">
        <f>(CZ71/#REF!)*100</f>
        <v>#REF!</v>
      </c>
      <c r="DC71" s="367" t="e">
        <f>(DA71/#REF!)*100</f>
        <v>#REF!</v>
      </c>
      <c r="DD71" s="357">
        <f t="shared" ref="DD71:DO92" si="23">J71+AD71</f>
        <v>15338</v>
      </c>
      <c r="DE71" s="358">
        <f t="shared" si="23"/>
        <v>0</v>
      </c>
      <c r="DF71" s="358" t="e">
        <f t="shared" si="23"/>
        <v>#VALUE!</v>
      </c>
      <c r="DG71" s="368" t="e">
        <f t="shared" si="23"/>
        <v>#VALUE!</v>
      </c>
      <c r="DH71" s="357">
        <f t="shared" si="23"/>
        <v>15338</v>
      </c>
      <c r="DI71" s="354">
        <f t="shared" si="23"/>
        <v>0</v>
      </c>
      <c r="DJ71" s="354" t="e">
        <f t="shared" si="23"/>
        <v>#VALUE!</v>
      </c>
      <c r="DK71" s="354" t="e">
        <f t="shared" si="23"/>
        <v>#VALUE!</v>
      </c>
      <c r="DL71" s="357">
        <f t="shared" si="23"/>
        <v>0</v>
      </c>
      <c r="DM71" s="354">
        <f t="shared" si="23"/>
        <v>0</v>
      </c>
      <c r="DN71" s="354" t="e">
        <f t="shared" si="23"/>
        <v>#VALUE!</v>
      </c>
      <c r="DO71" s="362" t="e">
        <f t="shared" si="23"/>
        <v>#VALUE!</v>
      </c>
      <c r="DP71" s="357">
        <f>ROUND((DD71/CZ71),0)</f>
        <v>75</v>
      </c>
      <c r="DQ71" s="369" t="e">
        <f>ROUND((DE71/DA71),0)</f>
        <v>#DIV/0!</v>
      </c>
      <c r="DR71" s="1060">
        <f>PLĀNS_ar_grozījumiem!CF71-'plans (27122022)'!CF70</f>
        <v>-4.7000000000000455</v>
      </c>
      <c r="DS71" s="908">
        <f>DR71/'plans (27122022)'!CF70</f>
        <v>-1.1499877660876057E-2</v>
      </c>
      <c r="DT71" s="104">
        <f>PLĀNS_ar_grozījumiem!CL71-'plans (27122022)'!CL70</f>
        <v>-67</v>
      </c>
      <c r="DU71" s="909">
        <f>DT71/'plans (27122022)'!CL70</f>
        <v>-2.1654815772462832E-3</v>
      </c>
      <c r="DV71" s="120"/>
      <c r="DW71" s="118">
        <f>PLĀNS_ar_grozījumiem!CM71-'plans (27122022)'!CM70</f>
        <v>0</v>
      </c>
      <c r="DX71" s="104">
        <f>PLĀNS_ar_grozījumiem!CP71-'plans (27122022)'!CP70</f>
        <v>-67</v>
      </c>
      <c r="DY71" s="909">
        <f>DX71/'plans (27122022)'!CP70</f>
        <v>-2.1654815772462832E-3</v>
      </c>
      <c r="DZ71" s="354"/>
      <c r="EA71" s="371"/>
      <c r="EB71" s="358">
        <f>PLĀNS_ar_grozījumiem!CT71-'plans (27122022)'!CT70</f>
        <v>0</v>
      </c>
      <c r="EC71" s="367"/>
      <c r="ED71" s="354"/>
      <c r="EE71" s="367"/>
      <c r="EF71" s="353">
        <f>PLĀNS_ar_grozījumiem!CX71-'plans (27122022)'!CX70</f>
        <v>0.71486686838491664</v>
      </c>
      <c r="EG71" s="933">
        <f>EF71/'plans (27122022)'!CX70</f>
        <v>9.4429893053948107E-3</v>
      </c>
    </row>
    <row r="72" spans="1:138" s="5" customFormat="1" ht="15.75" customHeight="1" x14ac:dyDescent="0.25">
      <c r="A72" s="374"/>
      <c r="B72" s="178"/>
      <c r="C72" s="1024" t="s">
        <v>45</v>
      </c>
      <c r="D72" s="1005">
        <v>24.9</v>
      </c>
      <c r="E72" s="93"/>
      <c r="F72" s="93">
        <v>1.1533117183881427</v>
      </c>
      <c r="G72" s="93"/>
      <c r="H72" s="158" t="s">
        <v>44</v>
      </c>
      <c r="I72" s="159" t="s">
        <v>44</v>
      </c>
      <c r="J72" s="122">
        <v>5042</v>
      </c>
      <c r="K72" s="101"/>
      <c r="L72" s="188" t="s">
        <v>44</v>
      </c>
      <c r="M72" s="189" t="s">
        <v>44</v>
      </c>
      <c r="N72" s="184">
        <v>5042</v>
      </c>
      <c r="O72" s="97"/>
      <c r="P72" s="158" t="s">
        <v>44</v>
      </c>
      <c r="Q72" s="159" t="s">
        <v>44</v>
      </c>
      <c r="R72" s="184">
        <v>0</v>
      </c>
      <c r="S72" s="101"/>
      <c r="T72" s="158" t="s">
        <v>44</v>
      </c>
      <c r="U72" s="159" t="s">
        <v>44</v>
      </c>
      <c r="V72" s="104">
        <v>202</v>
      </c>
      <c r="W72" s="104"/>
      <c r="X72" s="92">
        <v>25.1</v>
      </c>
      <c r="Y72" s="93"/>
      <c r="Z72" s="93">
        <v>1.1492673992673994</v>
      </c>
      <c r="AA72" s="93"/>
      <c r="AB72" s="158" t="s">
        <v>44</v>
      </c>
      <c r="AC72" s="159" t="s">
        <v>44</v>
      </c>
      <c r="AD72" s="122">
        <v>5135</v>
      </c>
      <c r="AE72" s="101"/>
      <c r="AF72" s="188" t="s">
        <v>44</v>
      </c>
      <c r="AG72" s="189" t="s">
        <v>44</v>
      </c>
      <c r="AH72" s="184">
        <v>5135</v>
      </c>
      <c r="AI72" s="97"/>
      <c r="AJ72" s="158" t="s">
        <v>44</v>
      </c>
      <c r="AK72" s="159" t="s">
        <v>44</v>
      </c>
      <c r="AL72" s="184">
        <v>0</v>
      </c>
      <c r="AM72" s="101"/>
      <c r="AN72" s="158" t="s">
        <v>44</v>
      </c>
      <c r="AO72" s="159" t="s">
        <v>44</v>
      </c>
      <c r="AP72" s="104">
        <v>205</v>
      </c>
      <c r="AQ72" s="104"/>
      <c r="AR72" s="92">
        <v>26.4</v>
      </c>
      <c r="AS72" s="93">
        <f>PLĀNS_ar_grozījumiem!AS72-'plans (27122022)'!AS71</f>
        <v>0</v>
      </c>
      <c r="AT72" s="93">
        <f>PLĀNS_ar_grozījumiem!AT72-'plans (27122022)'!AT71</f>
        <v>-1.1838315217391302</v>
      </c>
      <c r="AU72" s="93">
        <f>PLĀNS_ar_grozījumiem!AU72-'plans (27122022)'!AU71</f>
        <v>0</v>
      </c>
      <c r="AV72" s="158" t="e">
        <f>PLĀNS_ar_grozījumiem!AV72-'plans (27122022)'!AV71</f>
        <v>#VALUE!</v>
      </c>
      <c r="AW72" s="159" t="e">
        <f>PLĀNS_ar_grozījumiem!AW72-'plans (27122022)'!AW71</f>
        <v>#VALUE!</v>
      </c>
      <c r="AX72" s="122">
        <f>PLĀNS_ar_grozījumiem!AX72-'plans (27122022)'!AX71</f>
        <v>0</v>
      </c>
      <c r="AY72" s="101">
        <f>PLĀNS_ar_grozījumiem!AY72-'plans (27122022)'!AY71</f>
        <v>0</v>
      </c>
      <c r="AZ72" s="188" t="e">
        <f>PLĀNS_ar_grozījumiem!AZ72-'plans (27122022)'!AZ71</f>
        <v>#VALUE!</v>
      </c>
      <c r="BA72" s="189" t="e">
        <f>PLĀNS_ar_grozījumiem!BA72-'plans (27122022)'!BA71</f>
        <v>#VALUE!</v>
      </c>
      <c r="BB72" s="184">
        <f>PLĀNS_ar_grozījumiem!BB72-'plans (27122022)'!BB71</f>
        <v>0</v>
      </c>
      <c r="BC72" s="97">
        <f>PLĀNS_ar_grozījumiem!BC72-'plans (27122022)'!BC71</f>
        <v>0</v>
      </c>
      <c r="BD72" s="158" t="e">
        <f>PLĀNS_ar_grozījumiem!BD72-'plans (27122022)'!BD71</f>
        <v>#VALUE!</v>
      </c>
      <c r="BE72" s="159" t="e">
        <f>PLĀNS_ar_grozījumiem!BE72-'plans (27122022)'!BE71</f>
        <v>#VALUE!</v>
      </c>
      <c r="BF72" s="184">
        <f>PLĀNS_ar_grozījumiem!BF72-'plans (27122022)'!BF71</f>
        <v>0</v>
      </c>
      <c r="BG72" s="101">
        <f>PLĀNS_ar_grozījumiem!BG72-'plans (27122022)'!BG71</f>
        <v>0</v>
      </c>
      <c r="BH72" s="158" t="e">
        <f>PLĀNS_ar_grozījumiem!BH72-'plans (27122022)'!BH71</f>
        <v>#VALUE!</v>
      </c>
      <c r="BI72" s="159" t="e">
        <f>PLĀNS_ar_grozījumiem!BI72-'plans (27122022)'!BI71</f>
        <v>#VALUE!</v>
      </c>
      <c r="BJ72" s="104">
        <f>PLĀNS_ar_grozījumiem!BJ72-'plans (27122022)'!BJ71</f>
        <v>2.1570881226053586</v>
      </c>
      <c r="BK72" s="104">
        <f>PLĀNS_ar_grozījumiem!BK72-'plans (27122022)'!BK71</f>
        <v>0</v>
      </c>
      <c r="BL72" s="92">
        <f>PLĀNS_ar_grozījumiem!BL72-'plans (27122022)'!BL71</f>
        <v>-0.59999999999999787</v>
      </c>
      <c r="BM72" s="93">
        <f>PLĀNS_ar_grozījumiem!BM72-'plans (27122022)'!BM71</f>
        <v>0</v>
      </c>
      <c r="BN72" s="93">
        <f>PLĀNS_ar_grozījumiem!BN72-'plans (27122022)'!BN71</f>
        <v>-1.1610230873698506</v>
      </c>
      <c r="BO72" s="93">
        <f>PLĀNS_ar_grozījumiem!BO72-'plans (27122022)'!BO71</f>
        <v>0</v>
      </c>
      <c r="BP72" s="158" t="e">
        <f>PLĀNS_ar_grozījumiem!BP72-'plans (27122022)'!BP71</f>
        <v>#VALUE!</v>
      </c>
      <c r="BQ72" s="159" t="e">
        <f>PLĀNS_ar_grozījumiem!BQ72-'plans (27122022)'!BQ71</f>
        <v>#VALUE!</v>
      </c>
      <c r="BR72" s="122">
        <f>PLĀNS_ar_grozījumiem!BR72-'plans (27122022)'!BR71</f>
        <v>84</v>
      </c>
      <c r="BS72" s="101">
        <f>PLĀNS_ar_grozījumiem!BS72-'plans (27122022)'!BS71</f>
        <v>0</v>
      </c>
      <c r="BT72" s="188" t="e">
        <f>PLĀNS_ar_grozījumiem!BT72-'plans (27122022)'!BT71</f>
        <v>#VALUE!</v>
      </c>
      <c r="BU72" s="189" t="e">
        <f>PLĀNS_ar_grozījumiem!BU72-'plans (27122022)'!BU71</f>
        <v>#VALUE!</v>
      </c>
      <c r="BV72" s="184">
        <f>PLĀNS_ar_grozījumiem!BV72-'plans (27122022)'!BV71</f>
        <v>84</v>
      </c>
      <c r="BW72" s="97">
        <f>PLĀNS_ar_grozījumiem!BW72-'plans (27122022)'!BW71</f>
        <v>0</v>
      </c>
      <c r="BX72" s="158" t="e">
        <f>PLĀNS_ar_grozījumiem!BX72-'plans (27122022)'!BX71</f>
        <v>#VALUE!</v>
      </c>
      <c r="BY72" s="159" t="e">
        <f>PLĀNS_ar_grozījumiem!BY72-'plans (27122022)'!BY71</f>
        <v>#VALUE!</v>
      </c>
      <c r="BZ72" s="184">
        <f>PLĀNS_ar_grozījumiem!BZ72-'plans (27122022)'!BZ71</f>
        <v>0</v>
      </c>
      <c r="CA72" s="101">
        <f>PLĀNS_ar_grozījumiem!CA72-'plans (27122022)'!CA71</f>
        <v>0</v>
      </c>
      <c r="CB72" s="158" t="e">
        <f>PLĀNS_ar_grozījumiem!CB72-'plans (27122022)'!CB71</f>
        <v>#VALUE!</v>
      </c>
      <c r="CC72" s="159" t="e">
        <f>PLĀNS_ar_grozījumiem!CC72-'plans (27122022)'!CC71</f>
        <v>#VALUE!</v>
      </c>
      <c r="CD72" s="104">
        <f>PLĀNS_ar_grozījumiem!CD72-'plans (27122022)'!CD71</f>
        <v>7.8498023715415002</v>
      </c>
      <c r="CE72" s="104">
        <f>PLĀNS_ar_grozījumiem!CE72-'plans (27122022)'!CE71</f>
        <v>0</v>
      </c>
      <c r="CF72" s="375">
        <f>PLĀNS_ar_grozījumiem!CF72-'plans (27122022)'!CF71</f>
        <v>-0.90000000000000568</v>
      </c>
      <c r="CG72" s="97">
        <f>PLĀNS_ar_grozījumiem!CG72-'plans (27122022)'!CG71</f>
        <v>0</v>
      </c>
      <c r="CH72" s="93">
        <f>PLĀNS_ar_grozījumiem!CH72-'plans (27122022)'!CH71</f>
        <v>-1.1562328767123289</v>
      </c>
      <c r="CI72" s="179">
        <f>PLĀNS_ar_grozījumiem!CI72-'plans (27122022)'!CI71</f>
        <v>0</v>
      </c>
      <c r="CJ72" s="188" t="e">
        <f>PLĀNS_ar_grozījumiem!CJ72-'plans (27122022)'!CJ71</f>
        <v>#VALUE!</v>
      </c>
      <c r="CK72" s="189" t="e">
        <f>PLĀNS_ar_grozījumiem!CK72-'plans (27122022)'!CK71</f>
        <v>#VALUE!</v>
      </c>
      <c r="CL72" s="100">
        <f>PLĀNS_ar_grozījumiem!CL72-'plans (27122022)'!CL71</f>
        <v>84</v>
      </c>
      <c r="CM72" s="107">
        <f>PLĀNS_ar_grozījumiem!CM72-'plans (27122022)'!CM71</f>
        <v>0</v>
      </c>
      <c r="CN72" s="190" t="e">
        <f>PLĀNS_ar_grozījumiem!CN72-'plans (27122022)'!CN71</f>
        <v>#VALUE!</v>
      </c>
      <c r="CO72" s="189" t="e">
        <f>PLĀNS_ar_grozījumiem!CO72-'plans (27122022)'!CO71</f>
        <v>#VALUE!</v>
      </c>
      <c r="CP72" s="102">
        <f>PLĀNS_ar_grozījumiem!CP72-'plans (27122022)'!CP71</f>
        <v>84</v>
      </c>
      <c r="CQ72" s="97">
        <f>PLĀNS_ar_grozījumiem!CQ72-'plans (27122022)'!CQ71</f>
        <v>0</v>
      </c>
      <c r="CR72" s="188" t="e">
        <f>PLĀNS_ar_grozījumiem!CR72-'plans (27122022)'!CR71</f>
        <v>#VALUE!</v>
      </c>
      <c r="CS72" s="189" t="e">
        <f>PLĀNS_ar_grozījumiem!CS72-'plans (27122022)'!CS71</f>
        <v>#VALUE!</v>
      </c>
      <c r="CT72" s="100">
        <f>PLĀNS_ar_grozījumiem!CT72-'plans (27122022)'!CT71</f>
        <v>0</v>
      </c>
      <c r="CU72" s="97">
        <f>PLĀNS_ar_grozījumiem!CU72-'plans (27122022)'!CU71</f>
        <v>0</v>
      </c>
      <c r="CV72" s="188" t="e">
        <f>PLĀNS_ar_grozījumiem!CV72-'plans (27122022)'!CV71</f>
        <v>#VALUE!</v>
      </c>
      <c r="CW72" s="189" t="e">
        <f>PLĀNS_ar_grozījumiem!CW72-'plans (27122022)'!CW71</f>
        <v>#VALUE!</v>
      </c>
      <c r="CX72" s="100">
        <f>PLĀNS_ar_grozījumiem!CX72-'plans (27122022)'!CX71</f>
        <v>2.6069340089191542</v>
      </c>
      <c r="CY72" s="174">
        <f>PLĀNS_ar_grozījumiem!CY72-'plans (27122022)'!CY71</f>
        <v>0</v>
      </c>
      <c r="CZ72" s="110">
        <f t="shared" si="22"/>
        <v>50</v>
      </c>
      <c r="DA72" s="111">
        <f t="shared" si="21"/>
        <v>0</v>
      </c>
      <c r="DB72" s="176">
        <f>(CZ72/4343)*100</f>
        <v>1.1512779184895234</v>
      </c>
      <c r="DC72" s="113">
        <f>(DA72/4343)*100</f>
        <v>0</v>
      </c>
      <c r="DD72" s="100">
        <f t="shared" si="23"/>
        <v>10177</v>
      </c>
      <c r="DE72" s="102">
        <f t="shared" si="23"/>
        <v>0</v>
      </c>
      <c r="DF72" s="102" t="e">
        <f t="shared" si="23"/>
        <v>#VALUE!</v>
      </c>
      <c r="DG72" s="114" t="e">
        <f t="shared" si="23"/>
        <v>#VALUE!</v>
      </c>
      <c r="DH72" s="100">
        <f t="shared" si="23"/>
        <v>10177</v>
      </c>
      <c r="DI72" s="97">
        <f t="shared" si="23"/>
        <v>0</v>
      </c>
      <c r="DJ72" s="97" t="e">
        <f t="shared" si="23"/>
        <v>#VALUE!</v>
      </c>
      <c r="DK72" s="97" t="e">
        <f t="shared" si="23"/>
        <v>#VALUE!</v>
      </c>
      <c r="DL72" s="100">
        <f t="shared" si="23"/>
        <v>0</v>
      </c>
      <c r="DM72" s="97">
        <f t="shared" si="23"/>
        <v>0</v>
      </c>
      <c r="DN72" s="97" t="e">
        <f t="shared" si="23"/>
        <v>#VALUE!</v>
      </c>
      <c r="DO72" s="115" t="e">
        <f t="shared" si="23"/>
        <v>#VALUE!</v>
      </c>
      <c r="DP72" s="376">
        <f t="shared" ref="DP72:DQ88" si="24">ROUND((DD72/CZ72),0)</f>
        <v>204</v>
      </c>
      <c r="DQ72" s="377" t="e">
        <f t="shared" si="24"/>
        <v>#DIV/0!</v>
      </c>
      <c r="DR72" s="117">
        <f>PLĀNS_ar_grozījumiem!CF72-'plans (27122022)'!CF71</f>
        <v>-0.90000000000000568</v>
      </c>
      <c r="DS72" s="908">
        <f>DR72/'plans (27122022)'!CF71</f>
        <v>-8.7976539589443362E-3</v>
      </c>
      <c r="DT72" s="104">
        <f>PLĀNS_ar_grozījumiem!CL72-'plans (27122022)'!CL71</f>
        <v>84</v>
      </c>
      <c r="DU72" s="909">
        <f>DT72/'plans (27122022)'!CL71</f>
        <v>4.0977608663837258E-3</v>
      </c>
      <c r="DV72" s="120"/>
      <c r="DW72" s="118">
        <f>PLĀNS_ar_grozījumiem!CM72-'plans (27122022)'!CM71</f>
        <v>0</v>
      </c>
      <c r="DX72" s="104">
        <f>PLĀNS_ar_grozījumiem!CP72-'plans (27122022)'!CP71</f>
        <v>84</v>
      </c>
      <c r="DY72" s="909">
        <f>DX72/'plans (27122022)'!CP71</f>
        <v>4.0977608663837258E-3</v>
      </c>
      <c r="DZ72" s="120"/>
      <c r="EA72" s="118"/>
      <c r="EB72" s="104">
        <f>PLĀNS_ar_grozījumiem!CT72-'plans (27122022)'!CT71</f>
        <v>0</v>
      </c>
      <c r="EC72" s="121"/>
      <c r="ED72" s="120"/>
      <c r="EE72" s="121"/>
      <c r="EF72" s="122">
        <f>PLĀNS_ar_grozījumiem!CX72-'plans (27122022)'!CX71</f>
        <v>2.6069340089191542</v>
      </c>
      <c r="EG72" s="911">
        <f>EF72/'plans (27122022)'!CX71</f>
        <v>1.3009871169931681E-2</v>
      </c>
    </row>
    <row r="73" spans="1:138" s="124" customFormat="1" ht="15.75" customHeight="1" x14ac:dyDescent="0.25">
      <c r="A73" s="374"/>
      <c r="B73" s="90"/>
      <c r="C73" s="1024" t="s">
        <v>46</v>
      </c>
      <c r="D73" s="1005">
        <v>31</v>
      </c>
      <c r="E73" s="93"/>
      <c r="F73" s="93">
        <v>1.4358499305233905</v>
      </c>
      <c r="G73" s="93"/>
      <c r="H73" s="158" t="s">
        <v>44</v>
      </c>
      <c r="I73" s="159" t="s">
        <v>44</v>
      </c>
      <c r="J73" s="122">
        <v>374</v>
      </c>
      <c r="K73" s="101"/>
      <c r="L73" s="188" t="s">
        <v>44</v>
      </c>
      <c r="M73" s="189" t="s">
        <v>44</v>
      </c>
      <c r="N73" s="100">
        <v>374</v>
      </c>
      <c r="O73" s="101"/>
      <c r="P73" s="158" t="s">
        <v>44</v>
      </c>
      <c r="Q73" s="159" t="s">
        <v>44</v>
      </c>
      <c r="R73" s="100">
        <v>0</v>
      </c>
      <c r="S73" s="97"/>
      <c r="T73" s="158" t="s">
        <v>44</v>
      </c>
      <c r="U73" s="159" t="s">
        <v>44</v>
      </c>
      <c r="V73" s="104">
        <v>12</v>
      </c>
      <c r="W73" s="104"/>
      <c r="X73" s="92">
        <v>31</v>
      </c>
      <c r="Y73" s="93"/>
      <c r="Z73" s="93">
        <v>1.4194139194139195</v>
      </c>
      <c r="AA73" s="93"/>
      <c r="AB73" s="158" t="s">
        <v>44</v>
      </c>
      <c r="AC73" s="159" t="s">
        <v>44</v>
      </c>
      <c r="AD73" s="122">
        <v>400</v>
      </c>
      <c r="AE73" s="101"/>
      <c r="AF73" s="188" t="s">
        <v>44</v>
      </c>
      <c r="AG73" s="189" t="s">
        <v>44</v>
      </c>
      <c r="AH73" s="100">
        <v>400</v>
      </c>
      <c r="AI73" s="101"/>
      <c r="AJ73" s="158" t="s">
        <v>44</v>
      </c>
      <c r="AK73" s="159" t="s">
        <v>44</v>
      </c>
      <c r="AL73" s="100">
        <v>0</v>
      </c>
      <c r="AM73" s="97"/>
      <c r="AN73" s="158" t="s">
        <v>44</v>
      </c>
      <c r="AO73" s="159" t="s">
        <v>44</v>
      </c>
      <c r="AP73" s="104">
        <v>13</v>
      </c>
      <c r="AQ73" s="104"/>
      <c r="AR73" s="92">
        <v>31.4</v>
      </c>
      <c r="AS73" s="93">
        <f>PLĀNS_ar_grozījumiem!AS73-'plans (27122022)'!AS72</f>
        <v>0</v>
      </c>
      <c r="AT73" s="93">
        <f>PLĀNS_ar_grozījumiem!AT73-'plans (27122022)'!AT72</f>
        <v>-1.4103260869565217</v>
      </c>
      <c r="AU73" s="93">
        <f>PLĀNS_ar_grozījumiem!AU73-'plans (27122022)'!AU72</f>
        <v>0</v>
      </c>
      <c r="AV73" s="158" t="e">
        <f>PLĀNS_ar_grozījumiem!AV73-'plans (27122022)'!AV72</f>
        <v>#VALUE!</v>
      </c>
      <c r="AW73" s="159" t="e">
        <f>PLĀNS_ar_grozījumiem!AW73-'plans (27122022)'!AW72</f>
        <v>#VALUE!</v>
      </c>
      <c r="AX73" s="122">
        <f>PLĀNS_ar_grozījumiem!AX73-'plans (27122022)'!AX72</f>
        <v>0</v>
      </c>
      <c r="AY73" s="101">
        <f>PLĀNS_ar_grozījumiem!AY73-'plans (27122022)'!AY72</f>
        <v>0</v>
      </c>
      <c r="AZ73" s="188" t="e">
        <f>PLĀNS_ar_grozījumiem!AZ73-'plans (27122022)'!AZ72</f>
        <v>#VALUE!</v>
      </c>
      <c r="BA73" s="189" t="e">
        <f>PLĀNS_ar_grozījumiem!BA73-'plans (27122022)'!BA72</f>
        <v>#VALUE!</v>
      </c>
      <c r="BB73" s="100">
        <f>PLĀNS_ar_grozījumiem!BB73-'plans (27122022)'!BB72</f>
        <v>0</v>
      </c>
      <c r="BC73" s="101">
        <f>PLĀNS_ar_grozījumiem!BC73-'plans (27122022)'!BC72</f>
        <v>0</v>
      </c>
      <c r="BD73" s="158" t="e">
        <f>PLĀNS_ar_grozījumiem!BD73-'plans (27122022)'!BD72</f>
        <v>#VALUE!</v>
      </c>
      <c r="BE73" s="159" t="e">
        <f>PLĀNS_ar_grozījumiem!BE73-'plans (27122022)'!BE72</f>
        <v>#VALUE!</v>
      </c>
      <c r="BF73" s="100">
        <f>PLĀNS_ar_grozījumiem!BF73-'plans (27122022)'!BF72</f>
        <v>0</v>
      </c>
      <c r="BG73" s="97">
        <f>PLĀNS_ar_grozījumiem!BG73-'plans (27122022)'!BG72</f>
        <v>0</v>
      </c>
      <c r="BH73" s="158" t="e">
        <f>PLĀNS_ar_grozījumiem!BH73-'plans (27122022)'!BH72</f>
        <v>#VALUE!</v>
      </c>
      <c r="BI73" s="159" t="e">
        <f>PLĀNS_ar_grozījumiem!BI73-'plans (27122022)'!BI72</f>
        <v>#VALUE!</v>
      </c>
      <c r="BJ73" s="104">
        <f>PLĀNS_ar_grozījumiem!BJ73-'plans (27122022)'!BJ72</f>
        <v>2.384615384615385</v>
      </c>
      <c r="BK73" s="104">
        <f>PLĀNS_ar_grozījumiem!BK73-'plans (27122022)'!BK72</f>
        <v>0</v>
      </c>
      <c r="BL73" s="92">
        <f>PLĀNS_ar_grozījumiem!BL73-'plans (27122022)'!BL72</f>
        <v>0.10000000000000142</v>
      </c>
      <c r="BM73" s="93">
        <f>PLĀNS_ar_grozījumiem!BM73-'plans (27122022)'!BM72</f>
        <v>0</v>
      </c>
      <c r="BN73" s="93">
        <f>PLĀNS_ar_grozījumiem!BN73-'plans (27122022)'!BN72</f>
        <v>-1.3982344952467181</v>
      </c>
      <c r="BO73" s="93">
        <f>PLĀNS_ar_grozījumiem!BO73-'plans (27122022)'!BO72</f>
        <v>0</v>
      </c>
      <c r="BP73" s="158" t="e">
        <f>PLĀNS_ar_grozījumiem!BP73-'plans (27122022)'!BP72</f>
        <v>#VALUE!</v>
      </c>
      <c r="BQ73" s="159" t="e">
        <f>PLĀNS_ar_grozījumiem!BQ73-'plans (27122022)'!BQ72</f>
        <v>#VALUE!</v>
      </c>
      <c r="BR73" s="122">
        <f>PLĀNS_ar_grozījumiem!BR73-'plans (27122022)'!BR72</f>
        <v>-86</v>
      </c>
      <c r="BS73" s="101">
        <f>PLĀNS_ar_grozījumiem!BS73-'plans (27122022)'!BS72</f>
        <v>0</v>
      </c>
      <c r="BT73" s="188" t="e">
        <f>PLĀNS_ar_grozījumiem!BT73-'plans (27122022)'!BT72</f>
        <v>#VALUE!</v>
      </c>
      <c r="BU73" s="189" t="e">
        <f>PLĀNS_ar_grozījumiem!BU73-'plans (27122022)'!BU72</f>
        <v>#VALUE!</v>
      </c>
      <c r="BV73" s="100">
        <f>PLĀNS_ar_grozījumiem!BV73-'plans (27122022)'!BV72</f>
        <v>-86</v>
      </c>
      <c r="BW73" s="101">
        <f>PLĀNS_ar_grozījumiem!BW73-'plans (27122022)'!BW72</f>
        <v>0</v>
      </c>
      <c r="BX73" s="158" t="e">
        <f>PLĀNS_ar_grozījumiem!BX73-'plans (27122022)'!BX72</f>
        <v>#VALUE!</v>
      </c>
      <c r="BY73" s="159" t="e">
        <f>PLĀNS_ar_grozījumiem!BY73-'plans (27122022)'!BY72</f>
        <v>#VALUE!</v>
      </c>
      <c r="BZ73" s="100">
        <f>PLĀNS_ar_grozījumiem!BZ73-'plans (27122022)'!BZ72</f>
        <v>0</v>
      </c>
      <c r="CA73" s="97">
        <f>PLĀNS_ar_grozījumiem!CA73-'plans (27122022)'!CA72</f>
        <v>0</v>
      </c>
      <c r="CB73" s="158" t="e">
        <f>PLĀNS_ar_grozījumiem!CB73-'plans (27122022)'!CB72</f>
        <v>#VALUE!</v>
      </c>
      <c r="CC73" s="159" t="e">
        <f>PLĀNS_ar_grozījumiem!CC73-'plans (27122022)'!CC72</f>
        <v>#VALUE!</v>
      </c>
      <c r="CD73" s="104">
        <f>PLĀNS_ar_grozījumiem!CD73-'plans (27122022)'!CD72</f>
        <v>-2.8402555910543139</v>
      </c>
      <c r="CE73" s="104">
        <f>PLĀNS_ar_grozījumiem!CE73-'plans (27122022)'!CE72</f>
        <v>0</v>
      </c>
      <c r="CF73" s="375">
        <f>PLĀNS_ar_grozījumiem!CF73-'plans (27122022)'!CF72</f>
        <v>-5.3000000000000114</v>
      </c>
      <c r="CG73" s="97">
        <f>PLĀNS_ar_grozījumiem!CG73-'plans (27122022)'!CG72</f>
        <v>0</v>
      </c>
      <c r="CH73" s="93">
        <f>PLĀNS_ar_grozījumiem!CH73-'plans (27122022)'!CH72</f>
        <v>-1.4087557077625572</v>
      </c>
      <c r="CI73" s="179">
        <f>PLĀNS_ar_grozījumiem!CI73-'plans (27122022)'!CI72</f>
        <v>0</v>
      </c>
      <c r="CJ73" s="188" t="e">
        <f>PLĀNS_ar_grozījumiem!CJ73-'plans (27122022)'!CJ72</f>
        <v>#VALUE!</v>
      </c>
      <c r="CK73" s="189" t="e">
        <f>PLĀNS_ar_grozījumiem!CK73-'plans (27122022)'!CK72</f>
        <v>#VALUE!</v>
      </c>
      <c r="CL73" s="100">
        <f>PLĀNS_ar_grozījumiem!CL73-'plans (27122022)'!CL72</f>
        <v>-86</v>
      </c>
      <c r="CM73" s="107">
        <f>PLĀNS_ar_grozījumiem!CM73-'plans (27122022)'!CM72</f>
        <v>0</v>
      </c>
      <c r="CN73" s="190" t="e">
        <f>PLĀNS_ar_grozījumiem!CN73-'plans (27122022)'!CN72</f>
        <v>#VALUE!</v>
      </c>
      <c r="CO73" s="189" t="e">
        <f>PLĀNS_ar_grozījumiem!CO73-'plans (27122022)'!CO72</f>
        <v>#VALUE!</v>
      </c>
      <c r="CP73" s="102">
        <f>PLĀNS_ar_grozījumiem!CP73-'plans (27122022)'!CP72</f>
        <v>-86</v>
      </c>
      <c r="CQ73" s="97">
        <f>PLĀNS_ar_grozījumiem!CQ73-'plans (27122022)'!CQ72</f>
        <v>0</v>
      </c>
      <c r="CR73" s="188" t="e">
        <f>PLĀNS_ar_grozījumiem!CR73-'plans (27122022)'!CR72</f>
        <v>#VALUE!</v>
      </c>
      <c r="CS73" s="189" t="e">
        <f>PLĀNS_ar_grozījumiem!CS73-'plans (27122022)'!CS72</f>
        <v>#VALUE!</v>
      </c>
      <c r="CT73" s="100">
        <f>PLĀNS_ar_grozījumiem!CT73-'plans (27122022)'!CT72</f>
        <v>0</v>
      </c>
      <c r="CU73" s="97">
        <f>PLĀNS_ar_grozījumiem!CU73-'plans (27122022)'!CU72</f>
        <v>0</v>
      </c>
      <c r="CV73" s="188" t="e">
        <f>PLĀNS_ar_grozījumiem!CV73-'plans (27122022)'!CV72</f>
        <v>#VALUE!</v>
      </c>
      <c r="CW73" s="189" t="e">
        <f>PLĀNS_ar_grozījumiem!CW73-'plans (27122022)'!CW72</f>
        <v>#VALUE!</v>
      </c>
      <c r="CX73" s="100">
        <f>PLĀNS_ar_grozījumiem!CX73-'plans (27122022)'!CX72</f>
        <v>-0.15823981249638308</v>
      </c>
      <c r="CY73" s="174">
        <f>PLĀNS_ar_grozījumiem!CY73-'plans (27122022)'!CY72</f>
        <v>0</v>
      </c>
      <c r="CZ73" s="110">
        <f t="shared" si="22"/>
        <v>62</v>
      </c>
      <c r="DA73" s="111">
        <f t="shared" si="21"/>
        <v>0</v>
      </c>
      <c r="DB73" s="176">
        <f t="shared" ref="DB73:DC76" si="25">(CZ73/4343)*100</f>
        <v>1.4275846189270089</v>
      </c>
      <c r="DC73" s="113">
        <f t="shared" si="25"/>
        <v>0</v>
      </c>
      <c r="DD73" s="100">
        <f t="shared" si="23"/>
        <v>774</v>
      </c>
      <c r="DE73" s="102">
        <f t="shared" si="23"/>
        <v>0</v>
      </c>
      <c r="DF73" s="102" t="e">
        <f t="shared" si="23"/>
        <v>#VALUE!</v>
      </c>
      <c r="DG73" s="114" t="e">
        <f t="shared" si="23"/>
        <v>#VALUE!</v>
      </c>
      <c r="DH73" s="100">
        <f t="shared" si="23"/>
        <v>774</v>
      </c>
      <c r="DI73" s="97">
        <f t="shared" si="23"/>
        <v>0</v>
      </c>
      <c r="DJ73" s="97" t="e">
        <f t="shared" si="23"/>
        <v>#VALUE!</v>
      </c>
      <c r="DK73" s="97" t="e">
        <f t="shared" si="23"/>
        <v>#VALUE!</v>
      </c>
      <c r="DL73" s="100">
        <f t="shared" si="23"/>
        <v>0</v>
      </c>
      <c r="DM73" s="97">
        <f t="shared" si="23"/>
        <v>0</v>
      </c>
      <c r="DN73" s="97" t="e">
        <f t="shared" si="23"/>
        <v>#VALUE!</v>
      </c>
      <c r="DO73" s="115" t="e">
        <f t="shared" si="23"/>
        <v>#VALUE!</v>
      </c>
      <c r="DP73" s="376">
        <f t="shared" si="24"/>
        <v>12</v>
      </c>
      <c r="DQ73" s="377" t="e">
        <f t="shared" si="24"/>
        <v>#DIV/0!</v>
      </c>
      <c r="DR73" s="117">
        <f>PLĀNS_ar_grozījumiem!CF73-'plans (27122022)'!CF72</f>
        <v>-5.3000000000000114</v>
      </c>
      <c r="DS73" s="908">
        <f>DR73/'plans (27122022)'!CF72</f>
        <v>-4.2536115569823521E-2</v>
      </c>
      <c r="DT73" s="104">
        <f>PLĀNS_ar_grozījumiem!CL73-'plans (27122022)'!CL72</f>
        <v>-86</v>
      </c>
      <c r="DU73" s="909">
        <f>DT73/'plans (27122022)'!CL72</f>
        <v>-5.4499366286438533E-2</v>
      </c>
      <c r="DV73" s="120"/>
      <c r="DW73" s="118">
        <f>PLĀNS_ar_grozījumiem!CM73-'plans (27122022)'!CM72</f>
        <v>0</v>
      </c>
      <c r="DX73" s="104">
        <f>PLĀNS_ar_grozījumiem!CP73-'plans (27122022)'!CP72</f>
        <v>-86</v>
      </c>
      <c r="DY73" s="909">
        <f>DX73/'plans (27122022)'!CP72</f>
        <v>-5.4499366286438533E-2</v>
      </c>
      <c r="DZ73" s="120"/>
      <c r="EA73" s="118"/>
      <c r="EB73" s="104">
        <f>PLĀNS_ar_grozījumiem!CT73-'plans (27122022)'!CT72</f>
        <v>0</v>
      </c>
      <c r="EC73" s="121"/>
      <c r="ED73" s="120"/>
      <c r="EE73" s="121"/>
      <c r="EF73" s="122">
        <f>PLĀNS_ar_grozījumiem!CX73-'plans (27122022)'!CX72</f>
        <v>-0.15823981249638308</v>
      </c>
      <c r="EG73" s="911">
        <f>EF73/'plans (27122022)'!CX72</f>
        <v>-1.2494727906875369E-2</v>
      </c>
    </row>
    <row r="74" spans="1:138" s="124" customFormat="1" ht="15.75" customHeight="1" x14ac:dyDescent="0.25">
      <c r="A74" s="374"/>
      <c r="B74" s="90"/>
      <c r="C74" s="1024" t="s">
        <v>47</v>
      </c>
      <c r="D74" s="1005">
        <v>17</v>
      </c>
      <c r="E74" s="93"/>
      <c r="F74" s="93">
        <v>0.78740157480314954</v>
      </c>
      <c r="G74" s="93"/>
      <c r="H74" s="158" t="s">
        <v>44</v>
      </c>
      <c r="I74" s="159" t="s">
        <v>44</v>
      </c>
      <c r="J74" s="122">
        <v>982</v>
      </c>
      <c r="K74" s="101"/>
      <c r="L74" s="188" t="s">
        <v>44</v>
      </c>
      <c r="M74" s="189" t="s">
        <v>44</v>
      </c>
      <c r="N74" s="100">
        <v>982</v>
      </c>
      <c r="O74" s="101"/>
      <c r="P74" s="158" t="s">
        <v>44</v>
      </c>
      <c r="Q74" s="159" t="s">
        <v>44</v>
      </c>
      <c r="R74" s="100">
        <v>0</v>
      </c>
      <c r="S74" s="97"/>
      <c r="T74" s="158" t="s">
        <v>44</v>
      </c>
      <c r="U74" s="159" t="s">
        <v>44</v>
      </c>
      <c r="V74" s="104">
        <v>58</v>
      </c>
      <c r="W74" s="104"/>
      <c r="X74" s="92">
        <v>18.2</v>
      </c>
      <c r="Y74" s="93"/>
      <c r="Z74" s="93">
        <v>0.83333333333333337</v>
      </c>
      <c r="AA74" s="93"/>
      <c r="AB74" s="158" t="s">
        <v>44</v>
      </c>
      <c r="AC74" s="159" t="s">
        <v>44</v>
      </c>
      <c r="AD74" s="122">
        <v>1024</v>
      </c>
      <c r="AE74" s="101"/>
      <c r="AF74" s="188" t="s">
        <v>44</v>
      </c>
      <c r="AG74" s="189" t="s">
        <v>44</v>
      </c>
      <c r="AH74" s="100">
        <v>1024</v>
      </c>
      <c r="AI74" s="101"/>
      <c r="AJ74" s="158" t="s">
        <v>44</v>
      </c>
      <c r="AK74" s="159" t="s">
        <v>44</v>
      </c>
      <c r="AL74" s="100">
        <v>0</v>
      </c>
      <c r="AM74" s="97"/>
      <c r="AN74" s="158" t="s">
        <v>44</v>
      </c>
      <c r="AO74" s="159" t="s">
        <v>44</v>
      </c>
      <c r="AP74" s="104">
        <v>56</v>
      </c>
      <c r="AQ74" s="104"/>
      <c r="AR74" s="92">
        <v>16.200000000000003</v>
      </c>
      <c r="AS74" s="93">
        <f>PLĀNS_ar_grozījumiem!AS74-'plans (27122022)'!AS73</f>
        <v>0</v>
      </c>
      <c r="AT74" s="93">
        <f>PLĀNS_ar_grozījumiem!AT74-'plans (27122022)'!AT73</f>
        <v>-0.7264039855072465</v>
      </c>
      <c r="AU74" s="93">
        <f>PLĀNS_ar_grozījumiem!AU74-'plans (27122022)'!AU73</f>
        <v>0</v>
      </c>
      <c r="AV74" s="158" t="e">
        <f>PLĀNS_ar_grozījumiem!AV74-'plans (27122022)'!AV73</f>
        <v>#VALUE!</v>
      </c>
      <c r="AW74" s="159" t="e">
        <f>PLĀNS_ar_grozījumiem!AW74-'plans (27122022)'!AW73</f>
        <v>#VALUE!</v>
      </c>
      <c r="AX74" s="122">
        <f>PLĀNS_ar_grozījumiem!AX74-'plans (27122022)'!AX73</f>
        <v>0</v>
      </c>
      <c r="AY74" s="101">
        <f>PLĀNS_ar_grozījumiem!AY74-'plans (27122022)'!AY73</f>
        <v>0</v>
      </c>
      <c r="AZ74" s="188" t="e">
        <f>PLĀNS_ar_grozījumiem!AZ74-'plans (27122022)'!AZ73</f>
        <v>#VALUE!</v>
      </c>
      <c r="BA74" s="189" t="e">
        <f>PLĀNS_ar_grozījumiem!BA74-'plans (27122022)'!BA73</f>
        <v>#VALUE!</v>
      </c>
      <c r="BB74" s="100">
        <f>PLĀNS_ar_grozījumiem!BB74-'plans (27122022)'!BB73</f>
        <v>0</v>
      </c>
      <c r="BC74" s="101">
        <f>PLĀNS_ar_grozījumiem!BC74-'plans (27122022)'!BC73</f>
        <v>0</v>
      </c>
      <c r="BD74" s="158" t="e">
        <f>PLĀNS_ar_grozījumiem!BD74-'plans (27122022)'!BD73</f>
        <v>#VALUE!</v>
      </c>
      <c r="BE74" s="159" t="e">
        <f>PLĀNS_ar_grozījumiem!BE74-'plans (27122022)'!BE73</f>
        <v>#VALUE!</v>
      </c>
      <c r="BF74" s="100">
        <f>PLĀNS_ar_grozījumiem!BF74-'plans (27122022)'!BF73</f>
        <v>0</v>
      </c>
      <c r="BG74" s="97">
        <f>PLĀNS_ar_grozījumiem!BG74-'plans (27122022)'!BG73</f>
        <v>0</v>
      </c>
      <c r="BH74" s="158" t="e">
        <f>PLĀNS_ar_grozījumiem!BH74-'plans (27122022)'!BH73</f>
        <v>#VALUE!</v>
      </c>
      <c r="BI74" s="159" t="e">
        <f>PLĀNS_ar_grozījumiem!BI74-'plans (27122022)'!BI73</f>
        <v>#VALUE!</v>
      </c>
      <c r="BJ74" s="104">
        <f>PLĀNS_ar_grozījumiem!BJ74-'plans (27122022)'!BJ73</f>
        <v>0.28571428571427759</v>
      </c>
      <c r="BK74" s="104">
        <f>PLĀNS_ar_grozījumiem!BK74-'plans (27122022)'!BK73</f>
        <v>0</v>
      </c>
      <c r="BL74" s="92">
        <f>PLĀNS_ar_grozījumiem!BL74-'plans (27122022)'!BL73</f>
        <v>1.0999999999999979</v>
      </c>
      <c r="BM74" s="93">
        <f>PLĀNS_ar_grozījumiem!BM74-'plans (27122022)'!BM73</f>
        <v>0</v>
      </c>
      <c r="BN74" s="93">
        <f>PLĀNS_ar_grozījumiem!BN74-'plans (27122022)'!BN73</f>
        <v>-0.77931190583974663</v>
      </c>
      <c r="BO74" s="93">
        <f>PLĀNS_ar_grozījumiem!BO74-'plans (27122022)'!BO73</f>
        <v>0</v>
      </c>
      <c r="BP74" s="158" t="e">
        <f>PLĀNS_ar_grozījumiem!BP74-'plans (27122022)'!BP73</f>
        <v>#VALUE!</v>
      </c>
      <c r="BQ74" s="159" t="e">
        <f>PLĀNS_ar_grozījumiem!BQ74-'plans (27122022)'!BQ73</f>
        <v>#VALUE!</v>
      </c>
      <c r="BR74" s="122">
        <f>PLĀNS_ar_grozījumiem!BR74-'plans (27122022)'!BR73</f>
        <v>1</v>
      </c>
      <c r="BS74" s="101">
        <f>PLĀNS_ar_grozījumiem!BS74-'plans (27122022)'!BS73</f>
        <v>0</v>
      </c>
      <c r="BT74" s="188" t="e">
        <f>PLĀNS_ar_grozījumiem!BT74-'plans (27122022)'!BT73</f>
        <v>#VALUE!</v>
      </c>
      <c r="BU74" s="189" t="e">
        <f>PLĀNS_ar_grozījumiem!BU74-'plans (27122022)'!BU73</f>
        <v>#VALUE!</v>
      </c>
      <c r="BV74" s="100">
        <f>PLĀNS_ar_grozījumiem!BV74-'plans (27122022)'!BV73</f>
        <v>1</v>
      </c>
      <c r="BW74" s="101">
        <f>PLĀNS_ar_grozījumiem!BW74-'plans (27122022)'!BW73</f>
        <v>0</v>
      </c>
      <c r="BX74" s="158" t="e">
        <f>PLĀNS_ar_grozījumiem!BX74-'plans (27122022)'!BX73</f>
        <v>#VALUE!</v>
      </c>
      <c r="BY74" s="159" t="e">
        <f>PLĀNS_ar_grozījumiem!BY74-'plans (27122022)'!BY73</f>
        <v>#VALUE!</v>
      </c>
      <c r="BZ74" s="100">
        <f>PLĀNS_ar_grozījumiem!BZ74-'plans (27122022)'!BZ73</f>
        <v>0</v>
      </c>
      <c r="CA74" s="97">
        <f>PLĀNS_ar_grozījumiem!CA74-'plans (27122022)'!CA73</f>
        <v>0</v>
      </c>
      <c r="CB74" s="158" t="e">
        <f>PLĀNS_ar_grozījumiem!CB74-'plans (27122022)'!CB73</f>
        <v>#VALUE!</v>
      </c>
      <c r="CC74" s="159" t="e">
        <f>PLĀNS_ar_grozījumiem!CC74-'plans (27122022)'!CC73</f>
        <v>#VALUE!</v>
      </c>
      <c r="CD74" s="104">
        <f>PLĀNS_ar_grozījumiem!CD74-'plans (27122022)'!CD73</f>
        <v>-3.7297297297297263</v>
      </c>
      <c r="CE74" s="104">
        <f>PLĀNS_ar_grozījumiem!CE74-'plans (27122022)'!CE73</f>
        <v>0</v>
      </c>
      <c r="CF74" s="375">
        <f>PLĀNS_ar_grozījumiem!CF74-'plans (27122022)'!CF73</f>
        <v>0.99999999999998579</v>
      </c>
      <c r="CG74" s="97">
        <f>PLĀNS_ar_grozījumiem!CG74-'plans (27122022)'!CG73</f>
        <v>0</v>
      </c>
      <c r="CH74" s="93">
        <f>PLĀNS_ar_grozījumiem!CH74-'plans (27122022)'!CH73</f>
        <v>-0.77742009132420098</v>
      </c>
      <c r="CI74" s="179">
        <f>PLĀNS_ar_grozījumiem!CI74-'plans (27122022)'!CI73</f>
        <v>0</v>
      </c>
      <c r="CJ74" s="188" t="e">
        <f>PLĀNS_ar_grozījumiem!CJ74-'plans (27122022)'!CJ73</f>
        <v>#VALUE!</v>
      </c>
      <c r="CK74" s="189" t="e">
        <f>PLĀNS_ar_grozījumiem!CK74-'plans (27122022)'!CK73</f>
        <v>#VALUE!</v>
      </c>
      <c r="CL74" s="100">
        <f>PLĀNS_ar_grozījumiem!CL74-'plans (27122022)'!CL73</f>
        <v>1</v>
      </c>
      <c r="CM74" s="107">
        <f>PLĀNS_ar_grozījumiem!CM74-'plans (27122022)'!CM73</f>
        <v>0</v>
      </c>
      <c r="CN74" s="190" t="e">
        <f>PLĀNS_ar_grozījumiem!CN74-'plans (27122022)'!CN73</f>
        <v>#VALUE!</v>
      </c>
      <c r="CO74" s="189" t="e">
        <f>PLĀNS_ar_grozījumiem!CO74-'plans (27122022)'!CO73</f>
        <v>#VALUE!</v>
      </c>
      <c r="CP74" s="102">
        <f>PLĀNS_ar_grozījumiem!CP74-'plans (27122022)'!CP73</f>
        <v>1</v>
      </c>
      <c r="CQ74" s="97">
        <f>PLĀNS_ar_grozījumiem!CQ74-'plans (27122022)'!CQ73</f>
        <v>0</v>
      </c>
      <c r="CR74" s="188" t="e">
        <f>PLĀNS_ar_grozījumiem!CR74-'plans (27122022)'!CR73</f>
        <v>#VALUE!</v>
      </c>
      <c r="CS74" s="189" t="e">
        <f>PLĀNS_ar_grozījumiem!CS74-'plans (27122022)'!CS73</f>
        <v>#VALUE!</v>
      </c>
      <c r="CT74" s="100">
        <f>PLĀNS_ar_grozījumiem!CT74-'plans (27122022)'!CT73</f>
        <v>0</v>
      </c>
      <c r="CU74" s="97">
        <f>PLĀNS_ar_grozījumiem!CU74-'plans (27122022)'!CU73</f>
        <v>0</v>
      </c>
      <c r="CV74" s="188" t="e">
        <f>PLĀNS_ar_grozījumiem!CV74-'plans (27122022)'!CV73</f>
        <v>#VALUE!</v>
      </c>
      <c r="CW74" s="189" t="e">
        <f>PLĀNS_ar_grozījumiem!CW74-'plans (27122022)'!CW73</f>
        <v>#VALUE!</v>
      </c>
      <c r="CX74" s="100">
        <f>PLĀNS_ar_grozījumiem!CX74-'plans (27122022)'!CX73</f>
        <v>-0.83548510695008105</v>
      </c>
      <c r="CY74" s="174">
        <f>PLĀNS_ar_grozījumiem!CY74-'plans (27122022)'!CY73</f>
        <v>0</v>
      </c>
      <c r="CZ74" s="110">
        <f t="shared" si="22"/>
        <v>35.200000000000003</v>
      </c>
      <c r="DA74" s="111">
        <f t="shared" si="21"/>
        <v>0</v>
      </c>
      <c r="DB74" s="176">
        <f t="shared" si="25"/>
        <v>0.81049965461662454</v>
      </c>
      <c r="DC74" s="113">
        <f t="shared" si="25"/>
        <v>0</v>
      </c>
      <c r="DD74" s="100">
        <f t="shared" si="23"/>
        <v>2006</v>
      </c>
      <c r="DE74" s="102">
        <f t="shared" si="23"/>
        <v>0</v>
      </c>
      <c r="DF74" s="102" t="e">
        <f t="shared" si="23"/>
        <v>#VALUE!</v>
      </c>
      <c r="DG74" s="114" t="e">
        <f t="shared" si="23"/>
        <v>#VALUE!</v>
      </c>
      <c r="DH74" s="100">
        <f t="shared" si="23"/>
        <v>2006</v>
      </c>
      <c r="DI74" s="97">
        <f t="shared" si="23"/>
        <v>0</v>
      </c>
      <c r="DJ74" s="97" t="e">
        <f t="shared" si="23"/>
        <v>#VALUE!</v>
      </c>
      <c r="DK74" s="97" t="e">
        <f t="shared" si="23"/>
        <v>#VALUE!</v>
      </c>
      <c r="DL74" s="100">
        <f t="shared" si="23"/>
        <v>0</v>
      </c>
      <c r="DM74" s="97">
        <f t="shared" si="23"/>
        <v>0</v>
      </c>
      <c r="DN74" s="97" t="e">
        <f t="shared" si="23"/>
        <v>#VALUE!</v>
      </c>
      <c r="DO74" s="115" t="e">
        <f t="shared" si="23"/>
        <v>#VALUE!</v>
      </c>
      <c r="DP74" s="376">
        <f t="shared" si="24"/>
        <v>57</v>
      </c>
      <c r="DQ74" s="377" t="e">
        <f t="shared" si="24"/>
        <v>#DIV/0!</v>
      </c>
      <c r="DR74" s="117">
        <f>PLĀNS_ar_grozījumiem!CF74-'plans (27122022)'!CF73</f>
        <v>0.99999999999998579</v>
      </c>
      <c r="DS74" s="908">
        <f>DR74/'plans (27122022)'!CF73</f>
        <v>1.4534883720930024E-2</v>
      </c>
      <c r="DT74" s="104">
        <f>PLĀNS_ar_grozījumiem!CL74-'plans (27122022)'!CL73</f>
        <v>1</v>
      </c>
      <c r="DU74" s="909">
        <f>DT74/'plans (27122022)'!CL73</f>
        <v>2.4503798088703748E-4</v>
      </c>
      <c r="DV74" s="120"/>
      <c r="DW74" s="118">
        <f>PLĀNS_ar_grozījumiem!CM74-'plans (27122022)'!CM73</f>
        <v>0</v>
      </c>
      <c r="DX74" s="104">
        <f>PLĀNS_ar_grozījumiem!CP74-'plans (27122022)'!CP73</f>
        <v>1</v>
      </c>
      <c r="DY74" s="909">
        <f>DX74/'plans (27122022)'!CP73</f>
        <v>2.4503798088703748E-4</v>
      </c>
      <c r="DZ74" s="120"/>
      <c r="EA74" s="118"/>
      <c r="EB74" s="104">
        <f>PLĀNS_ar_grozījumiem!CT74-'plans (27122022)'!CT73</f>
        <v>0</v>
      </c>
      <c r="EC74" s="121"/>
      <c r="ED74" s="120"/>
      <c r="EE74" s="121"/>
      <c r="EF74" s="122">
        <f>PLĀNS_ar_grozījumiem!CX74-'plans (27122022)'!CX73</f>
        <v>-0.83548510695008105</v>
      </c>
      <c r="EG74" s="911">
        <f>EF74/'plans (27122022)'!CX73</f>
        <v>-1.4085120156374807E-2</v>
      </c>
    </row>
    <row r="75" spans="1:138" ht="15.75" customHeight="1" x14ac:dyDescent="0.25">
      <c r="A75" s="374"/>
      <c r="B75" s="169"/>
      <c r="C75" s="1024" t="s">
        <v>48</v>
      </c>
      <c r="D75" s="1005">
        <v>15.4</v>
      </c>
      <c r="E75" s="93"/>
      <c r="F75" s="93">
        <v>0.71329319129226487</v>
      </c>
      <c r="G75" s="93"/>
      <c r="H75" s="158" t="s">
        <v>44</v>
      </c>
      <c r="I75" s="159" t="s">
        <v>44</v>
      </c>
      <c r="J75" s="122">
        <v>1183</v>
      </c>
      <c r="K75" s="101"/>
      <c r="L75" s="188" t="s">
        <v>44</v>
      </c>
      <c r="M75" s="189" t="s">
        <v>44</v>
      </c>
      <c r="N75" s="100">
        <v>1183</v>
      </c>
      <c r="O75" s="126"/>
      <c r="P75" s="158" t="s">
        <v>44</v>
      </c>
      <c r="Q75" s="159" t="s">
        <v>44</v>
      </c>
      <c r="R75" s="100">
        <v>0</v>
      </c>
      <c r="S75" s="97"/>
      <c r="T75" s="158" t="s">
        <v>44</v>
      </c>
      <c r="U75" s="159" t="s">
        <v>44</v>
      </c>
      <c r="V75" s="104">
        <v>77</v>
      </c>
      <c r="W75" s="104"/>
      <c r="X75" s="92">
        <v>15.5</v>
      </c>
      <c r="Y75" s="93"/>
      <c r="Z75" s="93">
        <v>0.70970695970695974</v>
      </c>
      <c r="AA75" s="93"/>
      <c r="AB75" s="158" t="s">
        <v>44</v>
      </c>
      <c r="AC75" s="159" t="s">
        <v>44</v>
      </c>
      <c r="AD75" s="122">
        <v>1198</v>
      </c>
      <c r="AE75" s="101"/>
      <c r="AF75" s="188" t="s">
        <v>44</v>
      </c>
      <c r="AG75" s="189" t="s">
        <v>44</v>
      </c>
      <c r="AH75" s="100">
        <v>1198</v>
      </c>
      <c r="AI75" s="126"/>
      <c r="AJ75" s="158" t="s">
        <v>44</v>
      </c>
      <c r="AK75" s="159" t="s">
        <v>44</v>
      </c>
      <c r="AL75" s="100">
        <v>0</v>
      </c>
      <c r="AM75" s="97"/>
      <c r="AN75" s="158" t="s">
        <v>44</v>
      </c>
      <c r="AO75" s="159" t="s">
        <v>44</v>
      </c>
      <c r="AP75" s="104">
        <v>77</v>
      </c>
      <c r="AQ75" s="104"/>
      <c r="AR75" s="92">
        <v>15.7</v>
      </c>
      <c r="AS75" s="93">
        <f>PLĀNS_ar_grozījumiem!AS75-'plans (27122022)'!AS74</f>
        <v>0</v>
      </c>
      <c r="AT75" s="93">
        <f>PLĀNS_ar_grozījumiem!AT75-'plans (27122022)'!AT74</f>
        <v>-0.70403079710144922</v>
      </c>
      <c r="AU75" s="93">
        <f>PLĀNS_ar_grozījumiem!AU75-'plans (27122022)'!AU74</f>
        <v>0</v>
      </c>
      <c r="AV75" s="158" t="e">
        <f>PLĀNS_ar_grozījumiem!AV75-'plans (27122022)'!AV74</f>
        <v>#VALUE!</v>
      </c>
      <c r="AW75" s="159" t="e">
        <f>PLĀNS_ar_grozījumiem!AW75-'plans (27122022)'!AW74</f>
        <v>#VALUE!</v>
      </c>
      <c r="AX75" s="122">
        <f>PLĀNS_ar_grozījumiem!AX75-'plans (27122022)'!AX74</f>
        <v>0</v>
      </c>
      <c r="AY75" s="101">
        <f>PLĀNS_ar_grozījumiem!AY75-'plans (27122022)'!AY74</f>
        <v>0</v>
      </c>
      <c r="AZ75" s="188" t="e">
        <f>PLĀNS_ar_grozījumiem!AZ75-'plans (27122022)'!AZ74</f>
        <v>#VALUE!</v>
      </c>
      <c r="BA75" s="189" t="e">
        <f>PLĀNS_ar_grozījumiem!BA75-'plans (27122022)'!BA74</f>
        <v>#VALUE!</v>
      </c>
      <c r="BB75" s="100">
        <f>PLĀNS_ar_grozījumiem!BB75-'plans (27122022)'!BB74</f>
        <v>0</v>
      </c>
      <c r="BC75" s="126">
        <f>PLĀNS_ar_grozījumiem!BC75-'plans (27122022)'!BC74</f>
        <v>0</v>
      </c>
      <c r="BD75" s="158" t="e">
        <f>PLĀNS_ar_grozījumiem!BD75-'plans (27122022)'!BD74</f>
        <v>#VALUE!</v>
      </c>
      <c r="BE75" s="159" t="e">
        <f>PLĀNS_ar_grozījumiem!BE75-'plans (27122022)'!BE74</f>
        <v>#VALUE!</v>
      </c>
      <c r="BF75" s="100">
        <f>PLĀNS_ar_grozījumiem!BF75-'plans (27122022)'!BF74</f>
        <v>0</v>
      </c>
      <c r="BG75" s="97">
        <f>PLĀNS_ar_grozījumiem!BG75-'plans (27122022)'!BG74</f>
        <v>0</v>
      </c>
      <c r="BH75" s="158" t="e">
        <f>PLĀNS_ar_grozījumiem!BH75-'plans (27122022)'!BH74</f>
        <v>#VALUE!</v>
      </c>
      <c r="BI75" s="159" t="e">
        <f>PLĀNS_ar_grozījumiem!BI75-'plans (27122022)'!BI74</f>
        <v>#VALUE!</v>
      </c>
      <c r="BJ75" s="104">
        <f>PLĀNS_ar_grozījumiem!BJ75-'plans (27122022)'!BJ74</f>
        <v>0.96774193548387188</v>
      </c>
      <c r="BK75" s="104">
        <f>PLĀNS_ar_grozījumiem!BK75-'plans (27122022)'!BK74</f>
        <v>0</v>
      </c>
      <c r="BL75" s="92">
        <f>PLĀNS_ar_grozījumiem!BL75-'plans (27122022)'!BL74</f>
        <v>0.90000000000000036</v>
      </c>
      <c r="BM75" s="93">
        <f>PLĀNS_ar_grozījumiem!BM75-'plans (27122022)'!BM74</f>
        <v>0</v>
      </c>
      <c r="BN75" s="93">
        <f>PLĀNS_ar_grozījumiem!BN75-'plans (27122022)'!BN74</f>
        <v>-0.69873245812584883</v>
      </c>
      <c r="BO75" s="93">
        <f>PLĀNS_ar_grozījumiem!BO75-'plans (27122022)'!BO74</f>
        <v>0</v>
      </c>
      <c r="BP75" s="158" t="e">
        <f>PLĀNS_ar_grozījumiem!BP75-'plans (27122022)'!BP74</f>
        <v>#VALUE!</v>
      </c>
      <c r="BQ75" s="159" t="e">
        <f>PLĀNS_ar_grozījumiem!BQ75-'plans (27122022)'!BQ74</f>
        <v>#VALUE!</v>
      </c>
      <c r="BR75" s="122">
        <f>PLĀNS_ar_grozījumiem!BR75-'plans (27122022)'!BR74</f>
        <v>-66</v>
      </c>
      <c r="BS75" s="101">
        <f>PLĀNS_ar_grozījumiem!BS75-'plans (27122022)'!BS74</f>
        <v>0</v>
      </c>
      <c r="BT75" s="188" t="e">
        <f>PLĀNS_ar_grozījumiem!BT75-'plans (27122022)'!BT74</f>
        <v>#VALUE!</v>
      </c>
      <c r="BU75" s="189" t="e">
        <f>PLĀNS_ar_grozījumiem!BU75-'plans (27122022)'!BU74</f>
        <v>#VALUE!</v>
      </c>
      <c r="BV75" s="100">
        <f>PLĀNS_ar_grozījumiem!BV75-'plans (27122022)'!BV74</f>
        <v>-66</v>
      </c>
      <c r="BW75" s="126">
        <f>PLĀNS_ar_grozījumiem!BW75-'plans (27122022)'!BW74</f>
        <v>0</v>
      </c>
      <c r="BX75" s="158" t="e">
        <f>PLĀNS_ar_grozījumiem!BX75-'plans (27122022)'!BX74</f>
        <v>#VALUE!</v>
      </c>
      <c r="BY75" s="159" t="e">
        <f>PLĀNS_ar_grozījumiem!BY75-'plans (27122022)'!BY74</f>
        <v>#VALUE!</v>
      </c>
      <c r="BZ75" s="100">
        <f>PLĀNS_ar_grozījumiem!BZ75-'plans (27122022)'!BZ74</f>
        <v>0</v>
      </c>
      <c r="CA75" s="97">
        <f>PLĀNS_ar_grozījumiem!CA75-'plans (27122022)'!CA74</f>
        <v>0</v>
      </c>
      <c r="CB75" s="158" t="e">
        <f>PLĀNS_ar_grozījumiem!CB75-'plans (27122022)'!CB74</f>
        <v>#VALUE!</v>
      </c>
      <c r="CC75" s="159" t="e">
        <f>PLĀNS_ar_grozījumiem!CC75-'plans (27122022)'!CC74</f>
        <v>#VALUE!</v>
      </c>
      <c r="CD75" s="104">
        <f>PLĀNS_ar_grozījumiem!CD75-'plans (27122022)'!CD74</f>
        <v>-7.7878787878787818</v>
      </c>
      <c r="CE75" s="104">
        <f>PLĀNS_ar_grozījumiem!CE75-'plans (27122022)'!CE74</f>
        <v>0</v>
      </c>
      <c r="CF75" s="375">
        <f>PLĀNS_ar_grozījumiem!CF75-'plans (27122022)'!CF74</f>
        <v>0.70000000000000284</v>
      </c>
      <c r="CG75" s="97">
        <f>PLĀNS_ar_grozījumiem!CG75-'plans (27122022)'!CG74</f>
        <v>0</v>
      </c>
      <c r="CH75" s="93">
        <f>PLĀNS_ar_grozījumiem!CH75-'plans (27122022)'!CH74</f>
        <v>-0.70286529680365295</v>
      </c>
      <c r="CI75" s="179">
        <f>PLĀNS_ar_grozījumiem!CI75-'plans (27122022)'!CI74</f>
        <v>0</v>
      </c>
      <c r="CJ75" s="188" t="e">
        <f>PLĀNS_ar_grozījumiem!CJ75-'plans (27122022)'!CJ74</f>
        <v>#VALUE!</v>
      </c>
      <c r="CK75" s="189" t="e">
        <f>PLĀNS_ar_grozījumiem!CK75-'plans (27122022)'!CK74</f>
        <v>#VALUE!</v>
      </c>
      <c r="CL75" s="100">
        <f>PLĀNS_ar_grozījumiem!CL75-'plans (27122022)'!CL74</f>
        <v>-66</v>
      </c>
      <c r="CM75" s="107">
        <f>PLĀNS_ar_grozījumiem!CM75-'plans (27122022)'!CM74</f>
        <v>0</v>
      </c>
      <c r="CN75" s="190" t="e">
        <f>PLĀNS_ar_grozījumiem!CN75-'plans (27122022)'!CN74</f>
        <v>#VALUE!</v>
      </c>
      <c r="CO75" s="189" t="e">
        <f>PLĀNS_ar_grozījumiem!CO75-'plans (27122022)'!CO74</f>
        <v>#VALUE!</v>
      </c>
      <c r="CP75" s="102">
        <f>PLĀNS_ar_grozījumiem!CP75-'plans (27122022)'!CP74</f>
        <v>-66</v>
      </c>
      <c r="CQ75" s="97">
        <f>PLĀNS_ar_grozījumiem!CQ75-'plans (27122022)'!CQ74</f>
        <v>0</v>
      </c>
      <c r="CR75" s="188" t="e">
        <f>PLĀNS_ar_grozījumiem!CR75-'plans (27122022)'!CR74</f>
        <v>#VALUE!</v>
      </c>
      <c r="CS75" s="189" t="e">
        <f>PLĀNS_ar_grozījumiem!CS75-'plans (27122022)'!CS74</f>
        <v>#VALUE!</v>
      </c>
      <c r="CT75" s="100">
        <f>PLĀNS_ar_grozījumiem!CT75-'plans (27122022)'!CT74</f>
        <v>0</v>
      </c>
      <c r="CU75" s="97">
        <f>PLĀNS_ar_grozījumiem!CU75-'plans (27122022)'!CU74</f>
        <v>0</v>
      </c>
      <c r="CV75" s="188" t="e">
        <f>PLĀNS_ar_grozījumiem!CV75-'plans (27122022)'!CV74</f>
        <v>#VALUE!</v>
      </c>
      <c r="CW75" s="189" t="e">
        <f>PLĀNS_ar_grozījumiem!CW75-'plans (27122022)'!CW74</f>
        <v>#VALUE!</v>
      </c>
      <c r="CX75" s="100">
        <f>PLĀNS_ar_grozījumiem!CX75-'plans (27122022)'!CX74</f>
        <v>-1.9048763156953044</v>
      </c>
      <c r="CY75" s="174">
        <f>PLĀNS_ar_grozījumiem!CY75-'plans (27122022)'!CY74</f>
        <v>0</v>
      </c>
      <c r="CZ75" s="110">
        <f t="shared" si="22"/>
        <v>30.9</v>
      </c>
      <c r="DA75" s="111">
        <f t="shared" si="21"/>
        <v>0</v>
      </c>
      <c r="DB75" s="176">
        <f t="shared" si="25"/>
        <v>0.71148975362652533</v>
      </c>
      <c r="DC75" s="113">
        <f t="shared" si="25"/>
        <v>0</v>
      </c>
      <c r="DD75" s="100">
        <f t="shared" si="23"/>
        <v>2381</v>
      </c>
      <c r="DE75" s="102">
        <f t="shared" si="23"/>
        <v>0</v>
      </c>
      <c r="DF75" s="102" t="e">
        <f t="shared" si="23"/>
        <v>#VALUE!</v>
      </c>
      <c r="DG75" s="114" t="e">
        <f t="shared" si="23"/>
        <v>#VALUE!</v>
      </c>
      <c r="DH75" s="100">
        <f t="shared" si="23"/>
        <v>2381</v>
      </c>
      <c r="DI75" s="97">
        <f t="shared" si="23"/>
        <v>0</v>
      </c>
      <c r="DJ75" s="97" t="e">
        <f t="shared" si="23"/>
        <v>#VALUE!</v>
      </c>
      <c r="DK75" s="97" t="e">
        <f t="shared" si="23"/>
        <v>#VALUE!</v>
      </c>
      <c r="DL75" s="100">
        <f t="shared" si="23"/>
        <v>0</v>
      </c>
      <c r="DM75" s="97">
        <f t="shared" si="23"/>
        <v>0</v>
      </c>
      <c r="DN75" s="97" t="e">
        <f t="shared" si="23"/>
        <v>#VALUE!</v>
      </c>
      <c r="DO75" s="115" t="e">
        <f t="shared" si="23"/>
        <v>#VALUE!</v>
      </c>
      <c r="DP75" s="376">
        <f t="shared" si="24"/>
        <v>77</v>
      </c>
      <c r="DQ75" s="377" t="e">
        <f t="shared" si="24"/>
        <v>#DIV/0!</v>
      </c>
      <c r="DR75" s="117">
        <f>PLĀNS_ar_grozījumiem!CF75-'plans (27122022)'!CF74</f>
        <v>0.70000000000000284</v>
      </c>
      <c r="DS75" s="908">
        <f>DR75/'plans (27122022)'!CF74</f>
        <v>1.1254019292604549E-2</v>
      </c>
      <c r="DT75" s="104">
        <f>PLĀNS_ar_grozījumiem!CL75-'plans (27122022)'!CL74</f>
        <v>-66</v>
      </c>
      <c r="DU75" s="909">
        <f>DT75/'plans (27122022)'!CL74</f>
        <v>-1.3801756587202008E-2</v>
      </c>
      <c r="DV75" s="120"/>
      <c r="DW75" s="118">
        <f>PLĀNS_ar_grozījumiem!CM75-'plans (27122022)'!CM74</f>
        <v>0</v>
      </c>
      <c r="DX75" s="104">
        <f>PLĀNS_ar_grozījumiem!CP75-'plans (27122022)'!CP74</f>
        <v>-66</v>
      </c>
      <c r="DY75" s="909">
        <f>DX75/'plans (27122022)'!CP74</f>
        <v>-1.3801756587202008E-2</v>
      </c>
      <c r="DZ75" s="120"/>
      <c r="EA75" s="118"/>
      <c r="EB75" s="104">
        <f>PLĀNS_ar_grozījumiem!CT75-'plans (27122022)'!CT74</f>
        <v>0</v>
      </c>
      <c r="EC75" s="121"/>
      <c r="ED75" s="120"/>
      <c r="EE75" s="121"/>
      <c r="EF75" s="122">
        <f>PLĀNS_ar_grozījumiem!CX75-'plans (27122022)'!CX74</f>
        <v>-1.9048763156953044</v>
      </c>
      <c r="EG75" s="911">
        <f>EF75/'plans (27122022)'!CX74</f>
        <v>-2.4776935766676691E-2</v>
      </c>
    </row>
    <row r="76" spans="1:138" s="410" customFormat="1" ht="15.75" customHeight="1" x14ac:dyDescent="0.25">
      <c r="A76" s="378"/>
      <c r="B76" s="379"/>
      <c r="C76" s="1033" t="s">
        <v>49</v>
      </c>
      <c r="D76" s="1014">
        <v>12.4</v>
      </c>
      <c r="E76" s="382"/>
      <c r="F76" s="382">
        <v>0.57433997220935618</v>
      </c>
      <c r="G76" s="382"/>
      <c r="H76" s="383" t="s">
        <v>44</v>
      </c>
      <c r="I76" s="384" t="s">
        <v>44</v>
      </c>
      <c r="J76" s="385">
        <v>0</v>
      </c>
      <c r="K76" s="386"/>
      <c r="L76" s="387" t="s">
        <v>44</v>
      </c>
      <c r="M76" s="388" t="s">
        <v>44</v>
      </c>
      <c r="N76" s="389">
        <v>0</v>
      </c>
      <c r="O76" s="390"/>
      <c r="P76" s="383" t="s">
        <v>44</v>
      </c>
      <c r="Q76" s="384" t="s">
        <v>44</v>
      </c>
      <c r="R76" s="389">
        <v>0</v>
      </c>
      <c r="S76" s="391"/>
      <c r="T76" s="383" t="s">
        <v>44</v>
      </c>
      <c r="U76" s="384" t="s">
        <v>44</v>
      </c>
      <c r="V76" s="389">
        <v>0</v>
      </c>
      <c r="W76" s="392"/>
      <c r="X76" s="381">
        <v>12.7</v>
      </c>
      <c r="Y76" s="382"/>
      <c r="Z76" s="382">
        <v>0.58150183150183143</v>
      </c>
      <c r="AA76" s="382"/>
      <c r="AB76" s="383" t="s">
        <v>44</v>
      </c>
      <c r="AC76" s="384" t="s">
        <v>44</v>
      </c>
      <c r="AD76" s="385">
        <v>0</v>
      </c>
      <c r="AE76" s="386"/>
      <c r="AF76" s="387" t="s">
        <v>44</v>
      </c>
      <c r="AG76" s="388" t="s">
        <v>44</v>
      </c>
      <c r="AH76" s="389">
        <v>0</v>
      </c>
      <c r="AI76" s="390"/>
      <c r="AJ76" s="383" t="s">
        <v>44</v>
      </c>
      <c r="AK76" s="384" t="s">
        <v>44</v>
      </c>
      <c r="AL76" s="389">
        <v>0</v>
      </c>
      <c r="AM76" s="391"/>
      <c r="AN76" s="383" t="s">
        <v>44</v>
      </c>
      <c r="AO76" s="384" t="s">
        <v>44</v>
      </c>
      <c r="AP76" s="389">
        <v>0</v>
      </c>
      <c r="AQ76" s="392"/>
      <c r="AR76" s="381">
        <v>12.8</v>
      </c>
      <c r="AS76" s="382">
        <f>PLĀNS_ar_grozījumiem!AS76-'plans (27122022)'!AS75</f>
        <v>0</v>
      </c>
      <c r="AT76" s="382">
        <f>PLĀNS_ar_grozījumiem!AT76-'plans (27122022)'!AT75</f>
        <v>-0.57391304347826089</v>
      </c>
      <c r="AU76" s="382">
        <f>PLĀNS_ar_grozījumiem!AU76-'plans (27122022)'!AU75</f>
        <v>0</v>
      </c>
      <c r="AV76" s="383" t="e">
        <f>PLĀNS_ar_grozījumiem!AV76-'plans (27122022)'!AV75</f>
        <v>#VALUE!</v>
      </c>
      <c r="AW76" s="384" t="e">
        <f>PLĀNS_ar_grozījumiem!AW76-'plans (27122022)'!AW75</f>
        <v>#VALUE!</v>
      </c>
      <c r="AX76" s="385">
        <f>PLĀNS_ar_grozījumiem!AX76-'plans (27122022)'!AX75</f>
        <v>0</v>
      </c>
      <c r="AY76" s="386">
        <f>PLĀNS_ar_grozījumiem!AY76-'plans (27122022)'!AY75</f>
        <v>0</v>
      </c>
      <c r="AZ76" s="387" t="e">
        <f>PLĀNS_ar_grozījumiem!AZ76-'plans (27122022)'!AZ75</f>
        <v>#VALUE!</v>
      </c>
      <c r="BA76" s="388" t="e">
        <f>PLĀNS_ar_grozījumiem!BA76-'plans (27122022)'!BA75</f>
        <v>#VALUE!</v>
      </c>
      <c r="BB76" s="389">
        <f>PLĀNS_ar_grozījumiem!BB76-'plans (27122022)'!BB75</f>
        <v>0</v>
      </c>
      <c r="BC76" s="390">
        <f>PLĀNS_ar_grozījumiem!BC76-'plans (27122022)'!BC75</f>
        <v>0</v>
      </c>
      <c r="BD76" s="383" t="e">
        <f>PLĀNS_ar_grozījumiem!BD76-'plans (27122022)'!BD75</f>
        <v>#VALUE!</v>
      </c>
      <c r="BE76" s="384" t="e">
        <f>PLĀNS_ar_grozījumiem!BE76-'plans (27122022)'!BE75</f>
        <v>#VALUE!</v>
      </c>
      <c r="BF76" s="389">
        <f>PLĀNS_ar_grozījumiem!BF76-'plans (27122022)'!BF75</f>
        <v>0</v>
      </c>
      <c r="BG76" s="391">
        <f>PLĀNS_ar_grozījumiem!BG76-'plans (27122022)'!BG75</f>
        <v>0</v>
      </c>
      <c r="BH76" s="383" t="e">
        <f>PLĀNS_ar_grozījumiem!BH76-'plans (27122022)'!BH75</f>
        <v>#VALUE!</v>
      </c>
      <c r="BI76" s="384" t="e">
        <f>PLĀNS_ar_grozījumiem!BI76-'plans (27122022)'!BI75</f>
        <v>#VALUE!</v>
      </c>
      <c r="BJ76" s="389">
        <f>PLĀNS_ar_grozījumiem!BJ76-'plans (27122022)'!BJ75</f>
        <v>0</v>
      </c>
      <c r="BK76" s="392">
        <f>PLĀNS_ar_grozījumiem!BK76-'plans (27122022)'!BK75</f>
        <v>0</v>
      </c>
      <c r="BL76" s="381">
        <f>PLĀNS_ar_grozījumiem!BL76-'plans (27122022)'!BL75</f>
        <v>-0.19999999999999929</v>
      </c>
      <c r="BM76" s="382">
        <f>PLĀNS_ar_grozījumiem!BM76-'plans (27122022)'!BM75</f>
        <v>0</v>
      </c>
      <c r="BN76" s="382">
        <f>PLĀNS_ar_grozījumiem!BN76-'plans (27122022)'!BN75</f>
        <v>-0.57822544137618825</v>
      </c>
      <c r="BO76" s="382">
        <f>PLĀNS_ar_grozījumiem!BO76-'plans (27122022)'!BO75</f>
        <v>0</v>
      </c>
      <c r="BP76" s="383" t="e">
        <f>PLĀNS_ar_grozījumiem!BP76-'plans (27122022)'!BP75</f>
        <v>#VALUE!</v>
      </c>
      <c r="BQ76" s="384" t="e">
        <f>PLĀNS_ar_grozījumiem!BQ76-'plans (27122022)'!BQ75</f>
        <v>#VALUE!</v>
      </c>
      <c r="BR76" s="385">
        <f>PLĀNS_ar_grozījumiem!BR76-'plans (27122022)'!BR75</f>
        <v>0</v>
      </c>
      <c r="BS76" s="386">
        <f>PLĀNS_ar_grozījumiem!BS76-'plans (27122022)'!BS75</f>
        <v>0</v>
      </c>
      <c r="BT76" s="387" t="e">
        <f>PLĀNS_ar_grozījumiem!BT76-'plans (27122022)'!BT75</f>
        <v>#VALUE!</v>
      </c>
      <c r="BU76" s="388" t="e">
        <f>PLĀNS_ar_grozījumiem!BU76-'plans (27122022)'!BU75</f>
        <v>#VALUE!</v>
      </c>
      <c r="BV76" s="389">
        <f>PLĀNS_ar_grozījumiem!BV76-'plans (27122022)'!BV75</f>
        <v>0</v>
      </c>
      <c r="BW76" s="390">
        <f>PLĀNS_ar_grozījumiem!BW76-'plans (27122022)'!BW75</f>
        <v>0</v>
      </c>
      <c r="BX76" s="383" t="e">
        <f>PLĀNS_ar_grozījumiem!BX76-'plans (27122022)'!BX75</f>
        <v>#VALUE!</v>
      </c>
      <c r="BY76" s="384" t="e">
        <f>PLĀNS_ar_grozījumiem!BY76-'plans (27122022)'!BY75</f>
        <v>#VALUE!</v>
      </c>
      <c r="BZ76" s="389">
        <f>PLĀNS_ar_grozījumiem!BZ76-'plans (27122022)'!BZ75</f>
        <v>0</v>
      </c>
      <c r="CA76" s="391">
        <f>PLĀNS_ar_grozījumiem!CA76-'plans (27122022)'!CA75</f>
        <v>0</v>
      </c>
      <c r="CB76" s="383" t="e">
        <f>PLĀNS_ar_grozījumiem!CB76-'plans (27122022)'!CB75</f>
        <v>#VALUE!</v>
      </c>
      <c r="CC76" s="384" t="e">
        <f>PLĀNS_ar_grozījumiem!CC76-'plans (27122022)'!CC75</f>
        <v>#VALUE!</v>
      </c>
      <c r="CD76" s="389">
        <f>PLĀNS_ar_grozījumiem!CD76-'plans (27122022)'!CD75</f>
        <v>0</v>
      </c>
      <c r="CE76" s="392">
        <f>PLĀNS_ar_grozījumiem!CE76-'plans (27122022)'!CE75</f>
        <v>0</v>
      </c>
      <c r="CF76" s="393">
        <f>PLĀNS_ar_grozījumiem!CF76-'plans (27122022)'!CF75</f>
        <v>-0.20000000000000284</v>
      </c>
      <c r="CG76" s="391">
        <f>PLĀNS_ar_grozījumiem!CG76-'plans (27122022)'!CG75</f>
        <v>0</v>
      </c>
      <c r="CH76" s="382">
        <f>PLĀNS_ar_grozījumiem!CH76-'plans (27122022)'!CH75</f>
        <v>-0.57413242009132426</v>
      </c>
      <c r="CI76" s="394">
        <f>PLĀNS_ar_grozījumiem!CI76-'plans (27122022)'!CI75</f>
        <v>0</v>
      </c>
      <c r="CJ76" s="387" t="e">
        <f>PLĀNS_ar_grozījumiem!CJ76-'plans (27122022)'!CJ75</f>
        <v>#VALUE!</v>
      </c>
      <c r="CK76" s="388" t="e">
        <f>PLĀNS_ar_grozījumiem!CK76-'plans (27122022)'!CK75</f>
        <v>#VALUE!</v>
      </c>
      <c r="CL76" s="389">
        <f>PLĀNS_ar_grozījumiem!CL76-'plans (27122022)'!CL75</f>
        <v>0</v>
      </c>
      <c r="CM76" s="395">
        <f>PLĀNS_ar_grozījumiem!CM76-'plans (27122022)'!CM75</f>
        <v>0</v>
      </c>
      <c r="CN76" s="396" t="e">
        <f>PLĀNS_ar_grozījumiem!CN76-'plans (27122022)'!CN75</f>
        <v>#VALUE!</v>
      </c>
      <c r="CO76" s="388" t="e">
        <f>PLĀNS_ar_grozījumiem!CO76-'plans (27122022)'!CO75</f>
        <v>#VALUE!</v>
      </c>
      <c r="CP76" s="397">
        <f>PLĀNS_ar_grozījumiem!CP76-'plans (27122022)'!CP75</f>
        <v>0</v>
      </c>
      <c r="CQ76" s="391">
        <f>PLĀNS_ar_grozījumiem!CQ76-'plans (27122022)'!CQ75</f>
        <v>0</v>
      </c>
      <c r="CR76" s="387" t="e">
        <f>PLĀNS_ar_grozījumiem!CR76-'plans (27122022)'!CR75</f>
        <v>#VALUE!</v>
      </c>
      <c r="CS76" s="388" t="e">
        <f>PLĀNS_ar_grozījumiem!CS76-'plans (27122022)'!CS75</f>
        <v>#VALUE!</v>
      </c>
      <c r="CT76" s="389">
        <f>PLĀNS_ar_grozījumiem!CT76-'plans (27122022)'!CT75</f>
        <v>0</v>
      </c>
      <c r="CU76" s="391">
        <f>PLĀNS_ar_grozījumiem!CU76-'plans (27122022)'!CU75</f>
        <v>0</v>
      </c>
      <c r="CV76" s="387" t="e">
        <f>PLĀNS_ar_grozījumiem!CV76-'plans (27122022)'!CV75</f>
        <v>#VALUE!</v>
      </c>
      <c r="CW76" s="388" t="e">
        <f>PLĀNS_ar_grozījumiem!CW76-'plans (27122022)'!CW75</f>
        <v>#VALUE!</v>
      </c>
      <c r="CX76" s="389">
        <f>PLĀNS_ar_grozījumiem!CX76-'plans (27122022)'!CX75</f>
        <v>0</v>
      </c>
      <c r="CY76" s="398">
        <f>PLĀNS_ar_grozījumiem!CY76-'plans (27122022)'!CY75</f>
        <v>0</v>
      </c>
      <c r="CZ76" s="399">
        <f t="shared" si="22"/>
        <v>25.1</v>
      </c>
      <c r="DA76" s="400">
        <f t="shared" si="21"/>
        <v>0</v>
      </c>
      <c r="DB76" s="176">
        <f t="shared" si="25"/>
        <v>0.57794151508174074</v>
      </c>
      <c r="DC76" s="401">
        <f t="shared" si="25"/>
        <v>0</v>
      </c>
      <c r="DD76" s="402">
        <f t="shared" si="23"/>
        <v>0</v>
      </c>
      <c r="DE76" s="402">
        <f t="shared" si="23"/>
        <v>0</v>
      </c>
      <c r="DF76" s="402" t="e">
        <f t="shared" si="23"/>
        <v>#VALUE!</v>
      </c>
      <c r="DG76" s="403" t="e">
        <f t="shared" si="23"/>
        <v>#VALUE!</v>
      </c>
      <c r="DH76" s="389">
        <f t="shared" si="23"/>
        <v>0</v>
      </c>
      <c r="DI76" s="391">
        <f t="shared" si="23"/>
        <v>0</v>
      </c>
      <c r="DJ76" s="391" t="e">
        <f t="shared" si="23"/>
        <v>#VALUE!</v>
      </c>
      <c r="DK76" s="391" t="e">
        <f t="shared" si="23"/>
        <v>#VALUE!</v>
      </c>
      <c r="DL76" s="389">
        <f t="shared" si="23"/>
        <v>0</v>
      </c>
      <c r="DM76" s="391">
        <f t="shared" si="23"/>
        <v>0</v>
      </c>
      <c r="DN76" s="391" t="e">
        <f t="shared" si="23"/>
        <v>#VALUE!</v>
      </c>
      <c r="DO76" s="404" t="e">
        <f t="shared" si="23"/>
        <v>#VALUE!</v>
      </c>
      <c r="DP76" s="389">
        <f t="shared" si="24"/>
        <v>0</v>
      </c>
      <c r="DQ76" s="392" t="e">
        <f t="shared" si="24"/>
        <v>#DIV/0!</v>
      </c>
      <c r="DR76" s="405">
        <f>PLĀNS_ar_grozījumiem!CF76-'plans (27122022)'!CF75</f>
        <v>-0.20000000000000284</v>
      </c>
      <c r="DS76" s="934">
        <f>DR76/'plans (27122022)'!CF75</f>
        <v>-3.9370078740158035E-3</v>
      </c>
      <c r="DT76" s="397">
        <f>PLĀNS_ar_grozījumiem!CL76-'plans (27122022)'!CL75</f>
        <v>0</v>
      </c>
      <c r="DU76" s="935"/>
      <c r="DV76" s="391"/>
      <c r="DW76" s="406">
        <f>PLĀNS_ar_grozījumiem!CM76-'plans (27122022)'!CM75</f>
        <v>0</v>
      </c>
      <c r="DX76" s="397">
        <f>PLĀNS_ar_grozījumiem!CP76-'plans (27122022)'!CP75</f>
        <v>0</v>
      </c>
      <c r="DY76" s="935"/>
      <c r="DZ76" s="391"/>
      <c r="EA76" s="406"/>
      <c r="EB76" s="397">
        <f>PLĀNS_ar_grozījumiem!CT76-'plans (27122022)'!CT75</f>
        <v>0</v>
      </c>
      <c r="EC76" s="408"/>
      <c r="ED76" s="391"/>
      <c r="EE76" s="406"/>
      <c r="EF76" s="385">
        <f>PLĀNS_ar_grozījumiem!CX76-'plans (27122022)'!CX75</f>
        <v>0</v>
      </c>
      <c r="EG76" s="936"/>
    </row>
    <row r="77" spans="1:138" s="373" customFormat="1" ht="16.5" customHeight="1" x14ac:dyDescent="0.25">
      <c r="A77" s="1072" t="s">
        <v>69</v>
      </c>
      <c r="B77" s="347" t="s">
        <v>70</v>
      </c>
      <c r="C77" s="1032"/>
      <c r="D77" s="1013">
        <v>25.2</v>
      </c>
      <c r="E77" s="350"/>
      <c r="F77" s="350">
        <v>0.23168365986632219</v>
      </c>
      <c r="G77" s="350"/>
      <c r="H77" s="351" t="s">
        <v>44</v>
      </c>
      <c r="I77" s="352" t="s">
        <v>44</v>
      </c>
      <c r="J77" s="353">
        <v>298</v>
      </c>
      <c r="K77" s="354"/>
      <c r="L77" s="355" t="s">
        <v>44</v>
      </c>
      <c r="M77" s="356" t="s">
        <v>44</v>
      </c>
      <c r="N77" s="411">
        <v>298</v>
      </c>
      <c r="O77" s="412"/>
      <c r="P77" s="351" t="s">
        <v>44</v>
      </c>
      <c r="Q77" s="352" t="s">
        <v>44</v>
      </c>
      <c r="R77" s="411">
        <v>0</v>
      </c>
      <c r="S77" s="412"/>
      <c r="T77" s="351" t="s">
        <v>44</v>
      </c>
      <c r="U77" s="352" t="s">
        <v>44</v>
      </c>
      <c r="V77" s="358">
        <v>12</v>
      </c>
      <c r="W77" s="358"/>
      <c r="X77" s="349">
        <v>25.099999999999998</v>
      </c>
      <c r="Y77" s="350"/>
      <c r="Z77" s="350">
        <v>0.228662008399457</v>
      </c>
      <c r="AA77" s="350"/>
      <c r="AB77" s="351" t="s">
        <v>44</v>
      </c>
      <c r="AC77" s="352" t="s">
        <v>44</v>
      </c>
      <c r="AD77" s="353">
        <v>319</v>
      </c>
      <c r="AE77" s="354"/>
      <c r="AF77" s="355" t="s">
        <v>44</v>
      </c>
      <c r="AG77" s="356" t="s">
        <v>44</v>
      </c>
      <c r="AH77" s="411">
        <v>319</v>
      </c>
      <c r="AI77" s="412"/>
      <c r="AJ77" s="351" t="s">
        <v>44</v>
      </c>
      <c r="AK77" s="352" t="s">
        <v>44</v>
      </c>
      <c r="AL77" s="411">
        <v>0</v>
      </c>
      <c r="AM77" s="412"/>
      <c r="AN77" s="351" t="s">
        <v>44</v>
      </c>
      <c r="AO77" s="352" t="s">
        <v>44</v>
      </c>
      <c r="AP77" s="358">
        <v>13</v>
      </c>
      <c r="AQ77" s="358"/>
      <c r="AR77" s="349">
        <v>25.3</v>
      </c>
      <c r="AS77" s="350">
        <f>PLĀNS_ar_grozījumiem!AS77-'plans (27122022)'!AS76</f>
        <v>0</v>
      </c>
      <c r="AT77" s="350">
        <f>PLĀNS_ar_grozījumiem!AT77-'plans (27122022)'!AT76</f>
        <v>-0.22585850936268811</v>
      </c>
      <c r="AU77" s="350">
        <f>PLĀNS_ar_grozījumiem!AU77-'plans (27122022)'!AU76</f>
        <v>0</v>
      </c>
      <c r="AV77" s="351" t="e">
        <f>PLĀNS_ar_grozījumiem!AV77-'plans (27122022)'!AV76</f>
        <v>#VALUE!</v>
      </c>
      <c r="AW77" s="352" t="e">
        <f>PLĀNS_ar_grozījumiem!AW77-'plans (27122022)'!AW76</f>
        <v>#VALUE!</v>
      </c>
      <c r="AX77" s="353">
        <f>PLĀNS_ar_grozījumiem!AX77-'plans (27122022)'!AX76</f>
        <v>0</v>
      </c>
      <c r="AY77" s="354">
        <f>PLĀNS_ar_grozījumiem!AY77-'plans (27122022)'!AY76</f>
        <v>0</v>
      </c>
      <c r="AZ77" s="355" t="e">
        <f>PLĀNS_ar_grozījumiem!AZ77-'plans (27122022)'!AZ76</f>
        <v>#VALUE!</v>
      </c>
      <c r="BA77" s="356" t="e">
        <f>PLĀNS_ar_grozījumiem!BA77-'plans (27122022)'!BA76</f>
        <v>#VALUE!</v>
      </c>
      <c r="BB77" s="411">
        <f>PLĀNS_ar_grozījumiem!BB77-'plans (27122022)'!BB76</f>
        <v>0</v>
      </c>
      <c r="BC77" s="412">
        <f>PLĀNS_ar_grozījumiem!BC77-'plans (27122022)'!BC76</f>
        <v>0</v>
      </c>
      <c r="BD77" s="351" t="e">
        <f>PLĀNS_ar_grozījumiem!BD77-'plans (27122022)'!BD76</f>
        <v>#VALUE!</v>
      </c>
      <c r="BE77" s="352" t="e">
        <f>PLĀNS_ar_grozījumiem!BE77-'plans (27122022)'!BE76</f>
        <v>#VALUE!</v>
      </c>
      <c r="BF77" s="411">
        <f>PLĀNS_ar_grozījumiem!BF77-'plans (27122022)'!BF76</f>
        <v>0</v>
      </c>
      <c r="BG77" s="412">
        <f>PLĀNS_ar_grozījumiem!BG77-'plans (27122022)'!BG76</f>
        <v>0</v>
      </c>
      <c r="BH77" s="351" t="e">
        <f>PLĀNS_ar_grozījumiem!BH77-'plans (27122022)'!BH76</f>
        <v>#VALUE!</v>
      </c>
      <c r="BI77" s="352" t="e">
        <f>PLĀNS_ar_grozījumiem!BI77-'plans (27122022)'!BI76</f>
        <v>#VALUE!</v>
      </c>
      <c r="BJ77" s="358">
        <f>PLĀNS_ar_grozījumiem!BJ77-'plans (27122022)'!BJ76</f>
        <v>-9.6774193548387899E-2</v>
      </c>
      <c r="BK77" s="358">
        <f>PLĀNS_ar_grozījumiem!BK77-'plans (27122022)'!BK76</f>
        <v>0</v>
      </c>
      <c r="BL77" s="349">
        <f>PLĀNS_ar_grozījumiem!BL77-'plans (27122022)'!BL76</f>
        <v>0</v>
      </c>
      <c r="BM77" s="350">
        <f>PLĀNS_ar_grozījumiem!BM77-'plans (27122022)'!BM76</f>
        <v>0</v>
      </c>
      <c r="BN77" s="350">
        <f>PLĀNS_ar_grozījumiem!BN77-'plans (27122022)'!BN76</f>
        <v>-0.22627253090016047</v>
      </c>
      <c r="BO77" s="350">
        <f>PLĀNS_ar_grozījumiem!BO77-'plans (27122022)'!BO76</f>
        <v>0</v>
      </c>
      <c r="BP77" s="351" t="e">
        <f>PLĀNS_ar_grozījumiem!BP77-'plans (27122022)'!BP76</f>
        <v>#VALUE!</v>
      </c>
      <c r="BQ77" s="352" t="e">
        <f>PLĀNS_ar_grozījumiem!BQ77-'plans (27122022)'!BQ76</f>
        <v>#VALUE!</v>
      </c>
      <c r="BR77" s="353">
        <f>PLĀNS_ar_grozījumiem!BR77-'plans (27122022)'!BR76</f>
        <v>-76.5</v>
      </c>
      <c r="BS77" s="354">
        <f>PLĀNS_ar_grozījumiem!BS77-'plans (27122022)'!BS76</f>
        <v>0</v>
      </c>
      <c r="BT77" s="355" t="e">
        <f>PLĀNS_ar_grozījumiem!BT77-'plans (27122022)'!BT76</f>
        <v>#VALUE!</v>
      </c>
      <c r="BU77" s="356" t="e">
        <f>PLĀNS_ar_grozījumiem!BU77-'plans (27122022)'!BU76</f>
        <v>#VALUE!</v>
      </c>
      <c r="BV77" s="411">
        <f>PLĀNS_ar_grozījumiem!BV77-'plans (27122022)'!BV76</f>
        <v>-76.5</v>
      </c>
      <c r="BW77" s="412">
        <f>PLĀNS_ar_grozījumiem!BW77-'plans (27122022)'!BW76</f>
        <v>0</v>
      </c>
      <c r="BX77" s="351" t="e">
        <f>PLĀNS_ar_grozījumiem!BX77-'plans (27122022)'!BX76</f>
        <v>#VALUE!</v>
      </c>
      <c r="BY77" s="352" t="e">
        <f>PLĀNS_ar_grozījumiem!BY77-'plans (27122022)'!BY76</f>
        <v>#VALUE!</v>
      </c>
      <c r="BZ77" s="411">
        <f>PLĀNS_ar_grozījumiem!BZ77-'plans (27122022)'!BZ76</f>
        <v>0</v>
      </c>
      <c r="CA77" s="412">
        <f>PLĀNS_ar_grozījumiem!CA77-'plans (27122022)'!CA76</f>
        <v>0</v>
      </c>
      <c r="CB77" s="351" t="e">
        <f>PLĀNS_ar_grozījumiem!CB77-'plans (27122022)'!CB76</f>
        <v>#VALUE!</v>
      </c>
      <c r="CC77" s="352" t="e">
        <f>PLĀNS_ar_grozījumiem!CC77-'plans (27122022)'!CC76</f>
        <v>#VALUE!</v>
      </c>
      <c r="CD77" s="358">
        <f>PLĀNS_ar_grozījumiem!CD77-'plans (27122022)'!CD76</f>
        <v>-3.2549019607843146</v>
      </c>
      <c r="CE77" s="358">
        <f>PLĀNS_ar_grozījumiem!CE77-'plans (27122022)'!CE76</f>
        <v>0</v>
      </c>
      <c r="CF77" s="349">
        <f>PLĀNS_ar_grozījumiem!CF77-'plans (27122022)'!CF76</f>
        <v>-0.5</v>
      </c>
      <c r="CG77" s="354">
        <f>PLĀNS_ar_grozījumiem!CG77-'plans (27122022)'!CG76</f>
        <v>0</v>
      </c>
      <c r="CH77" s="359">
        <f>PLĀNS_ar_grozījumiem!CH77-'plans (27122022)'!CH76</f>
        <v>-0.22695714084883878</v>
      </c>
      <c r="CI77" s="413">
        <f>PLĀNS_ar_grozījumiem!CI77-'plans (27122022)'!CI76</f>
        <v>0</v>
      </c>
      <c r="CJ77" s="355" t="e">
        <f>PLĀNS_ar_grozījumiem!CJ77-'plans (27122022)'!CJ76</f>
        <v>#VALUE!</v>
      </c>
      <c r="CK77" s="356" t="e">
        <f>PLĀNS_ar_grozījumiem!CK77-'plans (27122022)'!CK76</f>
        <v>#VALUE!</v>
      </c>
      <c r="CL77" s="357">
        <f>PLĀNS_ar_grozījumiem!CL77-'plans (27122022)'!CL76</f>
        <v>-76.5</v>
      </c>
      <c r="CM77" s="362">
        <f>PLĀNS_ar_grozījumiem!CM77-'plans (27122022)'!CM76</f>
        <v>0</v>
      </c>
      <c r="CN77" s="363" t="e">
        <f>PLĀNS_ar_grozījumiem!CN77-'plans (27122022)'!CN76</f>
        <v>#VALUE!</v>
      </c>
      <c r="CO77" s="356" t="e">
        <f>PLĀNS_ar_grozījumiem!CO77-'plans (27122022)'!CO76</f>
        <v>#VALUE!</v>
      </c>
      <c r="CP77" s="358">
        <f>PLĀNS_ar_grozījumiem!CP77-'plans (27122022)'!CP76</f>
        <v>-76.5</v>
      </c>
      <c r="CQ77" s="354">
        <f>PLĀNS_ar_grozījumiem!CQ77-'plans (27122022)'!CQ76</f>
        <v>0</v>
      </c>
      <c r="CR77" s="355" t="e">
        <f>PLĀNS_ar_grozījumiem!CR77-'plans (27122022)'!CR76</f>
        <v>#VALUE!</v>
      </c>
      <c r="CS77" s="356" t="e">
        <f>PLĀNS_ar_grozījumiem!CS77-'plans (27122022)'!CS76</f>
        <v>#VALUE!</v>
      </c>
      <c r="CT77" s="357">
        <f>PLĀNS_ar_grozījumiem!CT77-'plans (27122022)'!CT76</f>
        <v>0</v>
      </c>
      <c r="CU77" s="354">
        <f>PLĀNS_ar_grozījumiem!CU77-'plans (27122022)'!CU76</f>
        <v>0</v>
      </c>
      <c r="CV77" s="355" t="e">
        <f>PLĀNS_ar_grozījumiem!CV77-'plans (27122022)'!CV76</f>
        <v>#VALUE!</v>
      </c>
      <c r="CW77" s="356" t="e">
        <f>PLĀNS_ar_grozījumiem!CW77-'plans (27122022)'!CW76</f>
        <v>#VALUE!</v>
      </c>
      <c r="CX77" s="357">
        <f>PLĀNS_ar_grozījumiem!CX77-'plans (27122022)'!CX76</f>
        <v>-0.69839617094662465</v>
      </c>
      <c r="CY77" s="364">
        <f>PLĀNS_ar_grozījumiem!CY77-'plans (27122022)'!CY76</f>
        <v>0</v>
      </c>
      <c r="CZ77" s="414">
        <f t="shared" si="22"/>
        <v>50.3</v>
      </c>
      <c r="DA77" s="415">
        <f t="shared" si="21"/>
        <v>0</v>
      </c>
      <c r="DB77" s="416" t="e">
        <f>(CZ77/#REF!)*100</f>
        <v>#REF!</v>
      </c>
      <c r="DC77" s="417" t="e">
        <f>(DA77/#REF!)*100</f>
        <v>#REF!</v>
      </c>
      <c r="DD77" s="411">
        <f t="shared" si="23"/>
        <v>617</v>
      </c>
      <c r="DE77" s="418">
        <f t="shared" si="23"/>
        <v>0</v>
      </c>
      <c r="DF77" s="418" t="e">
        <f t="shared" si="23"/>
        <v>#VALUE!</v>
      </c>
      <c r="DG77" s="419" t="e">
        <f t="shared" si="23"/>
        <v>#VALUE!</v>
      </c>
      <c r="DH77" s="357">
        <f t="shared" si="23"/>
        <v>617</v>
      </c>
      <c r="DI77" s="354">
        <f t="shared" si="23"/>
        <v>0</v>
      </c>
      <c r="DJ77" s="354" t="e">
        <f t="shared" si="23"/>
        <v>#VALUE!</v>
      </c>
      <c r="DK77" s="354" t="e">
        <f t="shared" si="23"/>
        <v>#VALUE!</v>
      </c>
      <c r="DL77" s="357">
        <f t="shared" si="23"/>
        <v>0</v>
      </c>
      <c r="DM77" s="354">
        <f t="shared" si="23"/>
        <v>0</v>
      </c>
      <c r="DN77" s="354" t="e">
        <f t="shared" si="23"/>
        <v>#VALUE!</v>
      </c>
      <c r="DO77" s="362" t="e">
        <f t="shared" si="23"/>
        <v>#VALUE!</v>
      </c>
      <c r="DP77" s="357">
        <f t="shared" si="24"/>
        <v>12</v>
      </c>
      <c r="DQ77" s="369" t="e">
        <f t="shared" si="24"/>
        <v>#DIV/0!</v>
      </c>
      <c r="DR77" s="370">
        <f>PLĀNS_ar_grozījumiem!CF77-'plans (27122022)'!CF76</f>
        <v>-0.5</v>
      </c>
      <c r="DS77" s="931">
        <f>DR77/'plans (27122022)'!CF76</f>
        <v>-4.9455984174085069E-3</v>
      </c>
      <c r="DT77" s="358">
        <f>PLĀNS_ar_grozījumiem!CL77-'plans (27122022)'!CL76</f>
        <v>-76.5</v>
      </c>
      <c r="DU77" s="932">
        <f>DT77/'plans (27122022)'!CL76</f>
        <v>-6.0618066561014261E-2</v>
      </c>
      <c r="DV77" s="354"/>
      <c r="DW77" s="371">
        <f>PLĀNS_ar_grozījumiem!CM77-'plans (27122022)'!CM76</f>
        <v>0</v>
      </c>
      <c r="DX77" s="358">
        <f>PLĀNS_ar_grozījumiem!CP77-'plans (27122022)'!CP76</f>
        <v>-76.5</v>
      </c>
      <c r="DY77" s="932">
        <f>DX77/'plans (27122022)'!CP76</f>
        <v>-6.0618066561014261E-2</v>
      </c>
      <c r="DZ77" s="354"/>
      <c r="EA77" s="371"/>
      <c r="EB77" s="358">
        <f>PLĀNS_ar_grozījumiem!CT77-'plans (27122022)'!CT76</f>
        <v>0</v>
      </c>
      <c r="EC77" s="367"/>
      <c r="ED77" s="354"/>
      <c r="EE77" s="367"/>
      <c r="EF77" s="353">
        <f>PLĀNS_ar_grozījumiem!CX77-'plans (27122022)'!CX76</f>
        <v>-0.69839617094662465</v>
      </c>
      <c r="EG77" s="933">
        <f>EF77/'plans (27122022)'!CX76</f>
        <v>-5.5949170271556062E-2</v>
      </c>
    </row>
    <row r="78" spans="1:138" s="5" customFormat="1" ht="15.75" customHeight="1" x14ac:dyDescent="0.25">
      <c r="A78" s="1070"/>
      <c r="B78" s="178"/>
      <c r="C78" s="1024" t="s">
        <v>45</v>
      </c>
      <c r="D78" s="1005">
        <v>7</v>
      </c>
      <c r="E78" s="93"/>
      <c r="F78" s="93">
        <v>0.32422417786012042</v>
      </c>
      <c r="G78" s="93"/>
      <c r="H78" s="158" t="s">
        <v>44</v>
      </c>
      <c r="I78" s="159" t="s">
        <v>44</v>
      </c>
      <c r="J78" s="122">
        <v>84</v>
      </c>
      <c r="K78" s="101"/>
      <c r="L78" s="188" t="s">
        <v>44</v>
      </c>
      <c r="M78" s="189" t="s">
        <v>44</v>
      </c>
      <c r="N78" s="184">
        <v>84</v>
      </c>
      <c r="O78" s="97"/>
      <c r="P78" s="158" t="s">
        <v>44</v>
      </c>
      <c r="Q78" s="159" t="s">
        <v>44</v>
      </c>
      <c r="R78" s="184">
        <v>0</v>
      </c>
      <c r="S78" s="101"/>
      <c r="T78" s="158" t="s">
        <v>44</v>
      </c>
      <c r="U78" s="159" t="s">
        <v>44</v>
      </c>
      <c r="V78" s="104">
        <v>12</v>
      </c>
      <c r="W78" s="104"/>
      <c r="X78" s="92">
        <v>6.9</v>
      </c>
      <c r="Y78" s="93"/>
      <c r="Z78" s="93">
        <v>0.31593406593406592</v>
      </c>
      <c r="AA78" s="93"/>
      <c r="AB78" s="158" t="s">
        <v>44</v>
      </c>
      <c r="AC78" s="159" t="s">
        <v>44</v>
      </c>
      <c r="AD78" s="122">
        <v>89</v>
      </c>
      <c r="AE78" s="101"/>
      <c r="AF78" s="188" t="s">
        <v>44</v>
      </c>
      <c r="AG78" s="189" t="s">
        <v>44</v>
      </c>
      <c r="AH78" s="184">
        <v>89</v>
      </c>
      <c r="AI78" s="97"/>
      <c r="AJ78" s="158" t="s">
        <v>44</v>
      </c>
      <c r="AK78" s="159" t="s">
        <v>44</v>
      </c>
      <c r="AL78" s="184">
        <v>0</v>
      </c>
      <c r="AM78" s="101"/>
      <c r="AN78" s="158" t="s">
        <v>44</v>
      </c>
      <c r="AO78" s="159" t="s">
        <v>44</v>
      </c>
      <c r="AP78" s="104">
        <v>13</v>
      </c>
      <c r="AQ78" s="104"/>
      <c r="AR78" s="92">
        <v>7</v>
      </c>
      <c r="AS78" s="93">
        <f>PLĀNS_ar_grozījumiem!AS78-'plans (27122022)'!AS77</f>
        <v>0</v>
      </c>
      <c r="AT78" s="93">
        <f>PLĀNS_ar_grozījumiem!AT78-'plans (27122022)'!AT77</f>
        <v>-0.31385869565217395</v>
      </c>
      <c r="AU78" s="93">
        <f>PLĀNS_ar_grozījumiem!AU78-'plans (27122022)'!AU77</f>
        <v>0</v>
      </c>
      <c r="AV78" s="158" t="e">
        <f>PLĀNS_ar_grozījumiem!AV78-'plans (27122022)'!AV77</f>
        <v>#VALUE!</v>
      </c>
      <c r="AW78" s="159" t="e">
        <f>PLĀNS_ar_grozījumiem!AW78-'plans (27122022)'!AW77</f>
        <v>#VALUE!</v>
      </c>
      <c r="AX78" s="122">
        <f>PLĀNS_ar_grozījumiem!AX78-'plans (27122022)'!AX77</f>
        <v>0</v>
      </c>
      <c r="AY78" s="101">
        <f>PLĀNS_ar_grozījumiem!AY78-'plans (27122022)'!AY77</f>
        <v>0</v>
      </c>
      <c r="AZ78" s="188" t="e">
        <f>PLĀNS_ar_grozījumiem!AZ78-'plans (27122022)'!AZ77</f>
        <v>#VALUE!</v>
      </c>
      <c r="BA78" s="189" t="e">
        <f>PLĀNS_ar_grozījumiem!BA78-'plans (27122022)'!BA77</f>
        <v>#VALUE!</v>
      </c>
      <c r="BB78" s="184">
        <f>PLĀNS_ar_grozījumiem!BB78-'plans (27122022)'!BB77</f>
        <v>0</v>
      </c>
      <c r="BC78" s="97">
        <f>PLĀNS_ar_grozījumiem!BC78-'plans (27122022)'!BC77</f>
        <v>0</v>
      </c>
      <c r="BD78" s="158" t="e">
        <f>PLĀNS_ar_grozījumiem!BD78-'plans (27122022)'!BD77</f>
        <v>#VALUE!</v>
      </c>
      <c r="BE78" s="159" t="e">
        <f>PLĀNS_ar_grozījumiem!BE78-'plans (27122022)'!BE77</f>
        <v>#VALUE!</v>
      </c>
      <c r="BF78" s="184">
        <f>PLĀNS_ar_grozījumiem!BF78-'plans (27122022)'!BF77</f>
        <v>0</v>
      </c>
      <c r="BG78" s="101">
        <f>PLĀNS_ar_grozījumiem!BG78-'plans (27122022)'!BG77</f>
        <v>0</v>
      </c>
      <c r="BH78" s="158" t="e">
        <f>PLĀNS_ar_grozījumiem!BH78-'plans (27122022)'!BH77</f>
        <v>#VALUE!</v>
      </c>
      <c r="BI78" s="159" t="e">
        <f>PLĀNS_ar_grozījumiem!BI78-'plans (27122022)'!BI77</f>
        <v>#VALUE!</v>
      </c>
      <c r="BJ78" s="104">
        <f>PLĀNS_ar_grozījumiem!BJ78-'plans (27122022)'!BJ77</f>
        <v>-0.28571428571428648</v>
      </c>
      <c r="BK78" s="104">
        <f>PLĀNS_ar_grozījumiem!BK78-'plans (27122022)'!BK77</f>
        <v>0</v>
      </c>
      <c r="BL78" s="92">
        <f>PLĀNS_ar_grozījumiem!BL78-'plans (27122022)'!BL77</f>
        <v>0</v>
      </c>
      <c r="BM78" s="93">
        <f>PLĀNS_ar_grozījumiem!BM78-'plans (27122022)'!BM77</f>
        <v>0</v>
      </c>
      <c r="BN78" s="93">
        <f>PLĀNS_ar_grozījumiem!BN78-'plans (27122022)'!BN77</f>
        <v>-0.31819827976459941</v>
      </c>
      <c r="BO78" s="93">
        <f>PLĀNS_ar_grozījumiem!BO78-'plans (27122022)'!BO77</f>
        <v>0</v>
      </c>
      <c r="BP78" s="158" t="e">
        <f>PLĀNS_ar_grozījumiem!BP78-'plans (27122022)'!BP77</f>
        <v>#VALUE!</v>
      </c>
      <c r="BQ78" s="159" t="e">
        <f>PLĀNS_ar_grozījumiem!BQ78-'plans (27122022)'!BQ77</f>
        <v>#VALUE!</v>
      </c>
      <c r="BR78" s="122">
        <f>PLĀNS_ar_grozījumiem!BR78-'plans (27122022)'!BR77</f>
        <v>-20.5</v>
      </c>
      <c r="BS78" s="101">
        <f>PLĀNS_ar_grozījumiem!BS78-'plans (27122022)'!BS77</f>
        <v>0</v>
      </c>
      <c r="BT78" s="188" t="e">
        <f>PLĀNS_ar_grozījumiem!BT78-'plans (27122022)'!BT77</f>
        <v>#VALUE!</v>
      </c>
      <c r="BU78" s="189" t="e">
        <f>PLĀNS_ar_grozījumiem!BU78-'plans (27122022)'!BU77</f>
        <v>#VALUE!</v>
      </c>
      <c r="BV78" s="184">
        <f>PLĀNS_ar_grozījumiem!BV78-'plans (27122022)'!BV77</f>
        <v>-20.5</v>
      </c>
      <c r="BW78" s="97">
        <f>PLĀNS_ar_grozījumiem!BW78-'plans (27122022)'!BW77</f>
        <v>0</v>
      </c>
      <c r="BX78" s="158" t="e">
        <f>PLĀNS_ar_grozījumiem!BX78-'plans (27122022)'!BX77</f>
        <v>#VALUE!</v>
      </c>
      <c r="BY78" s="159" t="e">
        <f>PLĀNS_ar_grozījumiem!BY78-'plans (27122022)'!BY77</f>
        <v>#VALUE!</v>
      </c>
      <c r="BZ78" s="184">
        <f>PLĀNS_ar_grozījumiem!BZ78-'plans (27122022)'!BZ77</f>
        <v>0</v>
      </c>
      <c r="CA78" s="101">
        <f>PLĀNS_ar_grozījumiem!CA78-'plans (27122022)'!CA77</f>
        <v>0</v>
      </c>
      <c r="CB78" s="158" t="e">
        <f>PLĀNS_ar_grozījumiem!CB78-'plans (27122022)'!CB77</f>
        <v>#VALUE!</v>
      </c>
      <c r="CC78" s="159" t="e">
        <f>PLĀNS_ar_grozījumiem!CC78-'plans (27122022)'!CC77</f>
        <v>#VALUE!</v>
      </c>
      <c r="CD78" s="104">
        <f>PLĀNS_ar_grozījumiem!CD78-'plans (27122022)'!CD77</f>
        <v>-3.070422535211268</v>
      </c>
      <c r="CE78" s="104">
        <f>PLĀNS_ar_grozījumiem!CE78-'plans (27122022)'!CE77</f>
        <v>0</v>
      </c>
      <c r="CF78" s="375">
        <f>PLĀNS_ar_grozījumiem!CF78-'plans (27122022)'!CF77</f>
        <v>0</v>
      </c>
      <c r="CG78" s="97">
        <f>PLĀNS_ar_grozījumiem!CG78-'plans (27122022)'!CG77</f>
        <v>0</v>
      </c>
      <c r="CH78" s="93">
        <f>PLĀNS_ar_grozījumiem!CH78-'plans (27122022)'!CH77</f>
        <v>-0.31643835616438359</v>
      </c>
      <c r="CI78" s="179">
        <f>PLĀNS_ar_grozījumiem!CI78-'plans (27122022)'!CI77</f>
        <v>0</v>
      </c>
      <c r="CJ78" s="188" t="e">
        <f>PLĀNS_ar_grozījumiem!CJ78-'plans (27122022)'!CJ77</f>
        <v>#VALUE!</v>
      </c>
      <c r="CK78" s="189" t="e">
        <f>PLĀNS_ar_grozījumiem!CK78-'plans (27122022)'!CK77</f>
        <v>#VALUE!</v>
      </c>
      <c r="CL78" s="100">
        <f>PLĀNS_ar_grozījumiem!CL78-'plans (27122022)'!CL77</f>
        <v>-20.5</v>
      </c>
      <c r="CM78" s="107">
        <f>PLĀNS_ar_grozījumiem!CM78-'plans (27122022)'!CM77</f>
        <v>0</v>
      </c>
      <c r="CN78" s="190" t="e">
        <f>PLĀNS_ar_grozījumiem!CN78-'plans (27122022)'!CN77</f>
        <v>#VALUE!</v>
      </c>
      <c r="CO78" s="189" t="e">
        <f>PLĀNS_ar_grozījumiem!CO78-'plans (27122022)'!CO77</f>
        <v>#VALUE!</v>
      </c>
      <c r="CP78" s="102">
        <f>PLĀNS_ar_grozījumiem!CP78-'plans (27122022)'!CP77</f>
        <v>-20.5</v>
      </c>
      <c r="CQ78" s="97">
        <f>PLĀNS_ar_grozījumiem!CQ78-'plans (27122022)'!CQ77</f>
        <v>0</v>
      </c>
      <c r="CR78" s="188" t="e">
        <f>PLĀNS_ar_grozījumiem!CR78-'plans (27122022)'!CR77</f>
        <v>#VALUE!</v>
      </c>
      <c r="CS78" s="189" t="e">
        <f>PLĀNS_ar_grozījumiem!CS78-'plans (27122022)'!CS77</f>
        <v>#VALUE!</v>
      </c>
      <c r="CT78" s="100">
        <f>PLĀNS_ar_grozījumiem!CT78-'plans (27122022)'!CT77</f>
        <v>0</v>
      </c>
      <c r="CU78" s="97">
        <f>PLĀNS_ar_grozījumiem!CU78-'plans (27122022)'!CU77</f>
        <v>0</v>
      </c>
      <c r="CV78" s="188" t="e">
        <f>PLĀNS_ar_grozījumiem!CV78-'plans (27122022)'!CV77</f>
        <v>#VALUE!</v>
      </c>
      <c r="CW78" s="189" t="e">
        <f>PLĀNS_ar_grozījumiem!CW78-'plans (27122022)'!CW77</f>
        <v>#VALUE!</v>
      </c>
      <c r="CX78" s="100">
        <f>PLĀNS_ar_grozījumiem!CX78-'plans (27122022)'!CX77</f>
        <v>-0.73214285714285765</v>
      </c>
      <c r="CY78" s="174">
        <f>PLĀNS_ar_grozījumiem!CY78-'plans (27122022)'!CY77</f>
        <v>0</v>
      </c>
      <c r="CZ78" s="110">
        <f t="shared" si="22"/>
        <v>13.9</v>
      </c>
      <c r="DA78" s="111">
        <f t="shared" si="21"/>
        <v>0</v>
      </c>
      <c r="DB78" s="176">
        <f>(CZ78/4343)*100</f>
        <v>0.32005526134008749</v>
      </c>
      <c r="DC78" s="113">
        <f>(DA78/4343)*100</f>
        <v>0</v>
      </c>
      <c r="DD78" s="100">
        <f t="shared" si="23"/>
        <v>173</v>
      </c>
      <c r="DE78" s="102">
        <f t="shared" si="23"/>
        <v>0</v>
      </c>
      <c r="DF78" s="102" t="e">
        <f t="shared" si="23"/>
        <v>#VALUE!</v>
      </c>
      <c r="DG78" s="114" t="e">
        <f t="shared" si="23"/>
        <v>#VALUE!</v>
      </c>
      <c r="DH78" s="100">
        <f t="shared" si="23"/>
        <v>173</v>
      </c>
      <c r="DI78" s="97">
        <f t="shared" si="23"/>
        <v>0</v>
      </c>
      <c r="DJ78" s="97" t="e">
        <f t="shared" si="23"/>
        <v>#VALUE!</v>
      </c>
      <c r="DK78" s="97" t="e">
        <f t="shared" si="23"/>
        <v>#VALUE!</v>
      </c>
      <c r="DL78" s="100">
        <f t="shared" si="23"/>
        <v>0</v>
      </c>
      <c r="DM78" s="97">
        <f t="shared" si="23"/>
        <v>0</v>
      </c>
      <c r="DN78" s="97" t="e">
        <f t="shared" si="23"/>
        <v>#VALUE!</v>
      </c>
      <c r="DO78" s="115" t="e">
        <f t="shared" si="23"/>
        <v>#VALUE!</v>
      </c>
      <c r="DP78" s="376">
        <f t="shared" si="24"/>
        <v>12</v>
      </c>
      <c r="DQ78" s="377" t="e">
        <f t="shared" si="24"/>
        <v>#DIV/0!</v>
      </c>
      <c r="DR78" s="117">
        <f>PLĀNS_ar_grozījumiem!CF78-'plans (27122022)'!CF77</f>
        <v>0</v>
      </c>
      <c r="DS78" s="908">
        <f>DR78/'plans (27122022)'!CF77</f>
        <v>0</v>
      </c>
      <c r="DT78" s="104">
        <f>PLĀNS_ar_grozījumiem!CL78-'plans (27122022)'!CL77</f>
        <v>-20.5</v>
      </c>
      <c r="DU78" s="909">
        <f>DT78/'plans (27122022)'!CL77</f>
        <v>-5.8073654390934842E-2</v>
      </c>
      <c r="DV78" s="120"/>
      <c r="DW78" s="118">
        <f>PLĀNS_ar_grozījumiem!CM78-'plans (27122022)'!CM77</f>
        <v>0</v>
      </c>
      <c r="DX78" s="104">
        <f>PLĀNS_ar_grozījumiem!CP78-'plans (27122022)'!CP77</f>
        <v>-20.5</v>
      </c>
      <c r="DY78" s="909">
        <f>DX78/'plans (27122022)'!CP77</f>
        <v>-5.8073654390934842E-2</v>
      </c>
      <c r="DZ78" s="120"/>
      <c r="EA78" s="118"/>
      <c r="EB78" s="104">
        <f>PLĀNS_ar_grozījumiem!CT78-'plans (27122022)'!CT77</f>
        <v>0</v>
      </c>
      <c r="EC78" s="121"/>
      <c r="ED78" s="120"/>
      <c r="EE78" s="121"/>
      <c r="EF78" s="122">
        <f>PLĀNS_ar_grozījumiem!CX78-'plans (27122022)'!CX77</f>
        <v>-0.73214285714285765</v>
      </c>
      <c r="EG78" s="911">
        <f>EF78/'plans (27122022)'!CX77</f>
        <v>-5.8073654390934884E-2</v>
      </c>
    </row>
    <row r="79" spans="1:138" s="124" customFormat="1" ht="15.75" customHeight="1" x14ac:dyDescent="0.25">
      <c r="A79" s="1070"/>
      <c r="B79" s="90"/>
      <c r="C79" s="1024" t="s">
        <v>46</v>
      </c>
      <c r="D79" s="1005">
        <v>7</v>
      </c>
      <c r="E79" s="93"/>
      <c r="F79" s="93">
        <v>0.32422417786012042</v>
      </c>
      <c r="G79" s="93"/>
      <c r="H79" s="158" t="s">
        <v>44</v>
      </c>
      <c r="I79" s="159" t="s">
        <v>44</v>
      </c>
      <c r="J79" s="122">
        <v>85</v>
      </c>
      <c r="K79" s="101"/>
      <c r="L79" s="188" t="s">
        <v>44</v>
      </c>
      <c r="M79" s="189" t="s">
        <v>44</v>
      </c>
      <c r="N79" s="100">
        <v>85</v>
      </c>
      <c r="O79" s="97"/>
      <c r="P79" s="158" t="s">
        <v>44</v>
      </c>
      <c r="Q79" s="159" t="s">
        <v>44</v>
      </c>
      <c r="R79" s="100">
        <v>0</v>
      </c>
      <c r="S79" s="101"/>
      <c r="T79" s="158" t="s">
        <v>44</v>
      </c>
      <c r="U79" s="159" t="s">
        <v>44</v>
      </c>
      <c r="V79" s="104">
        <v>12</v>
      </c>
      <c r="W79" s="104"/>
      <c r="X79" s="92">
        <v>7.1</v>
      </c>
      <c r="Y79" s="93"/>
      <c r="Z79" s="93">
        <v>0.32509157509157505</v>
      </c>
      <c r="AA79" s="93"/>
      <c r="AB79" s="158" t="s">
        <v>44</v>
      </c>
      <c r="AC79" s="159" t="s">
        <v>44</v>
      </c>
      <c r="AD79" s="122">
        <v>92</v>
      </c>
      <c r="AE79" s="101"/>
      <c r="AF79" s="188" t="s">
        <v>44</v>
      </c>
      <c r="AG79" s="189" t="s">
        <v>44</v>
      </c>
      <c r="AH79" s="100">
        <v>92</v>
      </c>
      <c r="AI79" s="97"/>
      <c r="AJ79" s="158" t="s">
        <v>44</v>
      </c>
      <c r="AK79" s="159" t="s">
        <v>44</v>
      </c>
      <c r="AL79" s="100">
        <v>0</v>
      </c>
      <c r="AM79" s="101"/>
      <c r="AN79" s="158" t="s">
        <v>44</v>
      </c>
      <c r="AO79" s="159" t="s">
        <v>44</v>
      </c>
      <c r="AP79" s="104">
        <v>13</v>
      </c>
      <c r="AQ79" s="104"/>
      <c r="AR79" s="92">
        <v>7.2</v>
      </c>
      <c r="AS79" s="93">
        <f>PLĀNS_ar_grozījumiem!AS79-'plans (27122022)'!AS78</f>
        <v>0</v>
      </c>
      <c r="AT79" s="93">
        <f>PLĀNS_ar_grozījumiem!AT79-'plans (27122022)'!AT78</f>
        <v>-0.32282608695652176</v>
      </c>
      <c r="AU79" s="93">
        <f>PLĀNS_ar_grozījumiem!AU79-'plans (27122022)'!AU78</f>
        <v>0</v>
      </c>
      <c r="AV79" s="158" t="e">
        <f>PLĀNS_ar_grozījumiem!AV79-'plans (27122022)'!AV78</f>
        <v>#VALUE!</v>
      </c>
      <c r="AW79" s="159" t="e">
        <f>PLĀNS_ar_grozījumiem!AW79-'plans (27122022)'!AW78</f>
        <v>#VALUE!</v>
      </c>
      <c r="AX79" s="122">
        <f>PLĀNS_ar_grozījumiem!AX79-'plans (27122022)'!AX78</f>
        <v>0</v>
      </c>
      <c r="AY79" s="101">
        <f>PLĀNS_ar_grozījumiem!AY79-'plans (27122022)'!AY78</f>
        <v>0</v>
      </c>
      <c r="AZ79" s="188" t="e">
        <f>PLĀNS_ar_grozījumiem!AZ79-'plans (27122022)'!AZ78</f>
        <v>#VALUE!</v>
      </c>
      <c r="BA79" s="189" t="e">
        <f>PLĀNS_ar_grozījumiem!BA79-'plans (27122022)'!BA78</f>
        <v>#VALUE!</v>
      </c>
      <c r="BB79" s="100">
        <f>PLĀNS_ar_grozījumiem!BB79-'plans (27122022)'!BB78</f>
        <v>0</v>
      </c>
      <c r="BC79" s="97">
        <f>PLĀNS_ar_grozījumiem!BC79-'plans (27122022)'!BC78</f>
        <v>0</v>
      </c>
      <c r="BD79" s="158" t="e">
        <f>PLĀNS_ar_grozījumiem!BD79-'plans (27122022)'!BD78</f>
        <v>#VALUE!</v>
      </c>
      <c r="BE79" s="159" t="e">
        <f>PLĀNS_ar_grozījumiem!BE79-'plans (27122022)'!BE78</f>
        <v>#VALUE!</v>
      </c>
      <c r="BF79" s="100">
        <f>PLĀNS_ar_grozījumiem!BF79-'plans (27122022)'!BF78</f>
        <v>0</v>
      </c>
      <c r="BG79" s="101">
        <f>PLĀNS_ar_grozījumiem!BG79-'plans (27122022)'!BG78</f>
        <v>0</v>
      </c>
      <c r="BH79" s="158" t="e">
        <f>PLĀNS_ar_grozījumiem!BH79-'plans (27122022)'!BH78</f>
        <v>#VALUE!</v>
      </c>
      <c r="BI79" s="159" t="e">
        <f>PLĀNS_ar_grozījumiem!BI79-'plans (27122022)'!BI78</f>
        <v>#VALUE!</v>
      </c>
      <c r="BJ79" s="104">
        <f>PLĀNS_ar_grozījumiem!BJ79-'plans (27122022)'!BJ78</f>
        <v>-0.22222222222222321</v>
      </c>
      <c r="BK79" s="104">
        <f>PLĀNS_ar_grozījumiem!BK79-'plans (27122022)'!BK78</f>
        <v>0</v>
      </c>
      <c r="BL79" s="92">
        <f>PLĀNS_ar_grozījumiem!BL79-'plans (27122022)'!BL78</f>
        <v>0</v>
      </c>
      <c r="BM79" s="93">
        <f>PLĀNS_ar_grozījumiem!BM79-'plans (27122022)'!BM78</f>
        <v>0</v>
      </c>
      <c r="BN79" s="93">
        <f>PLĀNS_ar_grozījumiem!BN79-'plans (27122022)'!BN78</f>
        <v>-0.32267994567677682</v>
      </c>
      <c r="BO79" s="93">
        <f>PLĀNS_ar_grozījumiem!BO79-'plans (27122022)'!BO78</f>
        <v>0</v>
      </c>
      <c r="BP79" s="158" t="e">
        <f>PLĀNS_ar_grozījumiem!BP79-'plans (27122022)'!BP78</f>
        <v>#VALUE!</v>
      </c>
      <c r="BQ79" s="159" t="e">
        <f>PLĀNS_ar_grozījumiem!BQ79-'plans (27122022)'!BQ78</f>
        <v>#VALUE!</v>
      </c>
      <c r="BR79" s="122">
        <f>PLĀNS_ar_grozījumiem!BR79-'plans (27122022)'!BR78</f>
        <v>-20</v>
      </c>
      <c r="BS79" s="101">
        <f>PLĀNS_ar_grozījumiem!BS79-'plans (27122022)'!BS78</f>
        <v>0</v>
      </c>
      <c r="BT79" s="188" t="e">
        <f>PLĀNS_ar_grozījumiem!BT79-'plans (27122022)'!BT78</f>
        <v>#VALUE!</v>
      </c>
      <c r="BU79" s="189" t="e">
        <f>PLĀNS_ar_grozījumiem!BU79-'plans (27122022)'!BU78</f>
        <v>#VALUE!</v>
      </c>
      <c r="BV79" s="100">
        <f>PLĀNS_ar_grozījumiem!BV79-'plans (27122022)'!BV78</f>
        <v>-20</v>
      </c>
      <c r="BW79" s="97">
        <f>PLĀNS_ar_grozījumiem!BW79-'plans (27122022)'!BW78</f>
        <v>0</v>
      </c>
      <c r="BX79" s="158" t="e">
        <f>PLĀNS_ar_grozījumiem!BX79-'plans (27122022)'!BX78</f>
        <v>#VALUE!</v>
      </c>
      <c r="BY79" s="159" t="e">
        <f>PLĀNS_ar_grozījumiem!BY79-'plans (27122022)'!BY78</f>
        <v>#VALUE!</v>
      </c>
      <c r="BZ79" s="100">
        <f>PLĀNS_ar_grozījumiem!BZ79-'plans (27122022)'!BZ78</f>
        <v>0</v>
      </c>
      <c r="CA79" s="101">
        <f>PLĀNS_ar_grozījumiem!CA79-'plans (27122022)'!CA78</f>
        <v>0</v>
      </c>
      <c r="CB79" s="158" t="e">
        <f>PLĀNS_ar_grozījumiem!CB79-'plans (27122022)'!CB78</f>
        <v>#VALUE!</v>
      </c>
      <c r="CC79" s="159" t="e">
        <f>PLĀNS_ar_grozījumiem!CC79-'plans (27122022)'!CC78</f>
        <v>#VALUE!</v>
      </c>
      <c r="CD79" s="104">
        <f>PLĀNS_ar_grozījumiem!CD79-'plans (27122022)'!CD78</f>
        <v>-2.8611111111111107</v>
      </c>
      <c r="CE79" s="104">
        <f>PLĀNS_ar_grozījumiem!CE79-'plans (27122022)'!CE78</f>
        <v>0</v>
      </c>
      <c r="CF79" s="375">
        <f>PLĀNS_ar_grozījumiem!CF79-'plans (27122022)'!CF78</f>
        <v>0</v>
      </c>
      <c r="CG79" s="97">
        <f>PLĀNS_ar_grozījumiem!CG79-'plans (27122022)'!CG78</f>
        <v>0</v>
      </c>
      <c r="CH79" s="93">
        <f>PLĀNS_ar_grozījumiem!CH79-'plans (27122022)'!CH78</f>
        <v>-0.32208904109589043</v>
      </c>
      <c r="CI79" s="179">
        <f>PLĀNS_ar_grozījumiem!CI79-'plans (27122022)'!CI78</f>
        <v>0</v>
      </c>
      <c r="CJ79" s="188" t="e">
        <f>PLĀNS_ar_grozījumiem!CJ79-'plans (27122022)'!CJ78</f>
        <v>#VALUE!</v>
      </c>
      <c r="CK79" s="189" t="e">
        <f>PLĀNS_ar_grozījumiem!CK79-'plans (27122022)'!CK78</f>
        <v>#VALUE!</v>
      </c>
      <c r="CL79" s="100">
        <f>PLĀNS_ar_grozījumiem!CL79-'plans (27122022)'!CL78</f>
        <v>-20</v>
      </c>
      <c r="CM79" s="107">
        <f>PLĀNS_ar_grozījumiem!CM79-'plans (27122022)'!CM78</f>
        <v>0</v>
      </c>
      <c r="CN79" s="190" t="e">
        <f>PLĀNS_ar_grozījumiem!CN79-'plans (27122022)'!CN78</f>
        <v>#VALUE!</v>
      </c>
      <c r="CO79" s="189" t="e">
        <f>PLĀNS_ar_grozījumiem!CO79-'plans (27122022)'!CO78</f>
        <v>#VALUE!</v>
      </c>
      <c r="CP79" s="102">
        <f>PLĀNS_ar_grozījumiem!CP79-'plans (27122022)'!CP78</f>
        <v>-20</v>
      </c>
      <c r="CQ79" s="97">
        <f>PLĀNS_ar_grozījumiem!CQ79-'plans (27122022)'!CQ78</f>
        <v>0</v>
      </c>
      <c r="CR79" s="188" t="e">
        <f>PLĀNS_ar_grozījumiem!CR79-'plans (27122022)'!CR78</f>
        <v>#VALUE!</v>
      </c>
      <c r="CS79" s="189" t="e">
        <f>PLĀNS_ar_grozījumiem!CS79-'plans (27122022)'!CS78</f>
        <v>#VALUE!</v>
      </c>
      <c r="CT79" s="100">
        <f>PLĀNS_ar_grozījumiem!CT79-'plans (27122022)'!CT78</f>
        <v>0</v>
      </c>
      <c r="CU79" s="97">
        <f>PLĀNS_ar_grozījumiem!CU79-'plans (27122022)'!CU78</f>
        <v>0</v>
      </c>
      <c r="CV79" s="188" t="e">
        <f>PLĀNS_ar_grozījumiem!CV79-'plans (27122022)'!CV78</f>
        <v>#VALUE!</v>
      </c>
      <c r="CW79" s="189" t="e">
        <f>PLĀNS_ar_grozījumiem!CW79-'plans (27122022)'!CW78</f>
        <v>#VALUE!</v>
      </c>
      <c r="CX79" s="100">
        <f>PLĀNS_ar_grozījumiem!CX79-'plans (27122022)'!CX78</f>
        <v>-0.70175438596491269</v>
      </c>
      <c r="CY79" s="174">
        <f>PLĀNS_ar_grozījumiem!CY79-'plans (27122022)'!CY78</f>
        <v>0</v>
      </c>
      <c r="CZ79" s="110">
        <f t="shared" si="22"/>
        <v>14.1</v>
      </c>
      <c r="DA79" s="111">
        <f t="shared" si="21"/>
        <v>0</v>
      </c>
      <c r="DB79" s="176">
        <f t="shared" ref="DB79:DC82" si="26">(CZ79/4343)*100</f>
        <v>0.3246603730140456</v>
      </c>
      <c r="DC79" s="113">
        <f t="shared" si="26"/>
        <v>0</v>
      </c>
      <c r="DD79" s="100">
        <f t="shared" si="23"/>
        <v>177</v>
      </c>
      <c r="DE79" s="102">
        <f t="shared" si="23"/>
        <v>0</v>
      </c>
      <c r="DF79" s="102" t="e">
        <f t="shared" si="23"/>
        <v>#VALUE!</v>
      </c>
      <c r="DG79" s="114" t="e">
        <f t="shared" si="23"/>
        <v>#VALUE!</v>
      </c>
      <c r="DH79" s="100">
        <f t="shared" si="23"/>
        <v>177</v>
      </c>
      <c r="DI79" s="97">
        <f t="shared" si="23"/>
        <v>0</v>
      </c>
      <c r="DJ79" s="97" t="e">
        <f t="shared" si="23"/>
        <v>#VALUE!</v>
      </c>
      <c r="DK79" s="97" t="e">
        <f t="shared" si="23"/>
        <v>#VALUE!</v>
      </c>
      <c r="DL79" s="100">
        <f t="shared" si="23"/>
        <v>0</v>
      </c>
      <c r="DM79" s="97">
        <f t="shared" si="23"/>
        <v>0</v>
      </c>
      <c r="DN79" s="97" t="e">
        <f t="shared" si="23"/>
        <v>#VALUE!</v>
      </c>
      <c r="DO79" s="115" t="e">
        <f t="shared" si="23"/>
        <v>#VALUE!</v>
      </c>
      <c r="DP79" s="376">
        <f t="shared" si="24"/>
        <v>13</v>
      </c>
      <c r="DQ79" s="377" t="e">
        <f t="shared" si="24"/>
        <v>#DIV/0!</v>
      </c>
      <c r="DR79" s="117">
        <f>PLĀNS_ar_grozījumiem!CF79-'plans (27122022)'!CF78</f>
        <v>0</v>
      </c>
      <c r="DS79" s="908">
        <f>DR79/'plans (27122022)'!CF78</f>
        <v>0</v>
      </c>
      <c r="DT79" s="104">
        <f>PLĀNS_ar_grozījumiem!CL79-'plans (27122022)'!CL78</f>
        <v>-20</v>
      </c>
      <c r="DU79" s="909">
        <f>DT79/'plans (27122022)'!CL78</f>
        <v>-5.5248618784530384E-2</v>
      </c>
      <c r="DV79" s="120"/>
      <c r="DW79" s="118">
        <f>PLĀNS_ar_grozījumiem!CM79-'plans (27122022)'!CM78</f>
        <v>0</v>
      </c>
      <c r="DX79" s="104">
        <f>PLĀNS_ar_grozījumiem!CP79-'plans (27122022)'!CP78</f>
        <v>-20</v>
      </c>
      <c r="DY79" s="909">
        <f>DX79/'plans (27122022)'!CP78</f>
        <v>-5.5248618784530384E-2</v>
      </c>
      <c r="DZ79" s="120"/>
      <c r="EA79" s="118"/>
      <c r="EB79" s="104">
        <f>PLĀNS_ar_grozījumiem!CT79-'plans (27122022)'!CT78</f>
        <v>0</v>
      </c>
      <c r="EC79" s="121"/>
      <c r="ED79" s="120"/>
      <c r="EE79" s="121"/>
      <c r="EF79" s="122">
        <f>PLĀNS_ar_grozījumiem!CX79-'plans (27122022)'!CX78</f>
        <v>-0.70175438596491269</v>
      </c>
      <c r="EG79" s="911">
        <f>EF79/'plans (27122022)'!CX78</f>
        <v>-5.5248618784530419E-2</v>
      </c>
    </row>
    <row r="80" spans="1:138" s="124" customFormat="1" ht="15.75" customHeight="1" x14ac:dyDescent="0.25">
      <c r="A80" s="1070"/>
      <c r="B80" s="90"/>
      <c r="C80" s="1024" t="s">
        <v>47</v>
      </c>
      <c r="D80" s="1005">
        <v>6.9</v>
      </c>
      <c r="E80" s="93"/>
      <c r="F80" s="93">
        <v>0.3195924038906901</v>
      </c>
      <c r="G80" s="93"/>
      <c r="H80" s="158" t="s">
        <v>44</v>
      </c>
      <c r="I80" s="159" t="s">
        <v>44</v>
      </c>
      <c r="J80" s="122">
        <v>84</v>
      </c>
      <c r="K80" s="101"/>
      <c r="L80" s="188" t="s">
        <v>44</v>
      </c>
      <c r="M80" s="189" t="s">
        <v>44</v>
      </c>
      <c r="N80" s="100">
        <v>84</v>
      </c>
      <c r="O80" s="97"/>
      <c r="P80" s="158" t="s">
        <v>44</v>
      </c>
      <c r="Q80" s="159" t="s">
        <v>44</v>
      </c>
      <c r="R80" s="100">
        <v>0</v>
      </c>
      <c r="S80" s="97"/>
      <c r="T80" s="158" t="s">
        <v>44</v>
      </c>
      <c r="U80" s="159" t="s">
        <v>44</v>
      </c>
      <c r="V80" s="104">
        <v>12</v>
      </c>
      <c r="W80" s="104"/>
      <c r="X80" s="92">
        <v>6.9</v>
      </c>
      <c r="Y80" s="93"/>
      <c r="Z80" s="93">
        <v>0.31593406593406592</v>
      </c>
      <c r="AA80" s="93"/>
      <c r="AB80" s="158" t="s">
        <v>44</v>
      </c>
      <c r="AC80" s="159" t="s">
        <v>44</v>
      </c>
      <c r="AD80" s="122">
        <v>89</v>
      </c>
      <c r="AE80" s="101"/>
      <c r="AF80" s="188" t="s">
        <v>44</v>
      </c>
      <c r="AG80" s="189" t="s">
        <v>44</v>
      </c>
      <c r="AH80" s="100">
        <v>89</v>
      </c>
      <c r="AI80" s="97"/>
      <c r="AJ80" s="158" t="s">
        <v>44</v>
      </c>
      <c r="AK80" s="159" t="s">
        <v>44</v>
      </c>
      <c r="AL80" s="100">
        <v>0</v>
      </c>
      <c r="AM80" s="97"/>
      <c r="AN80" s="158" t="s">
        <v>44</v>
      </c>
      <c r="AO80" s="159" t="s">
        <v>44</v>
      </c>
      <c r="AP80" s="104">
        <v>13</v>
      </c>
      <c r="AQ80" s="104"/>
      <c r="AR80" s="92">
        <v>6.9</v>
      </c>
      <c r="AS80" s="93">
        <f>PLĀNS_ar_grozījumiem!AS80-'plans (27122022)'!AS79</f>
        <v>0</v>
      </c>
      <c r="AT80" s="93">
        <f>PLĀNS_ar_grozījumiem!AT80-'plans (27122022)'!AT79</f>
        <v>-0.30960144927536232</v>
      </c>
      <c r="AU80" s="93">
        <f>PLĀNS_ar_grozījumiem!AU80-'plans (27122022)'!AU79</f>
        <v>0</v>
      </c>
      <c r="AV80" s="158" t="e">
        <f>PLĀNS_ar_grozījumiem!AV80-'plans (27122022)'!AV79</f>
        <v>#VALUE!</v>
      </c>
      <c r="AW80" s="159" t="e">
        <f>PLĀNS_ar_grozījumiem!AW80-'plans (27122022)'!AW79</f>
        <v>#VALUE!</v>
      </c>
      <c r="AX80" s="122">
        <f>PLĀNS_ar_grozījumiem!AX80-'plans (27122022)'!AX79</f>
        <v>0</v>
      </c>
      <c r="AY80" s="101">
        <f>PLĀNS_ar_grozījumiem!AY80-'plans (27122022)'!AY79</f>
        <v>0</v>
      </c>
      <c r="AZ80" s="188" t="e">
        <f>PLĀNS_ar_grozījumiem!AZ80-'plans (27122022)'!AZ79</f>
        <v>#VALUE!</v>
      </c>
      <c r="BA80" s="189" t="e">
        <f>PLĀNS_ar_grozījumiem!BA80-'plans (27122022)'!BA79</f>
        <v>#VALUE!</v>
      </c>
      <c r="BB80" s="100">
        <f>PLĀNS_ar_grozījumiem!BB80-'plans (27122022)'!BB79</f>
        <v>0</v>
      </c>
      <c r="BC80" s="97">
        <f>PLĀNS_ar_grozījumiem!BC80-'plans (27122022)'!BC79</f>
        <v>0</v>
      </c>
      <c r="BD80" s="158" t="e">
        <f>PLĀNS_ar_grozījumiem!BD80-'plans (27122022)'!BD79</f>
        <v>#VALUE!</v>
      </c>
      <c r="BE80" s="159" t="e">
        <f>PLĀNS_ar_grozījumiem!BE80-'plans (27122022)'!BE79</f>
        <v>#VALUE!</v>
      </c>
      <c r="BF80" s="100">
        <f>PLĀNS_ar_grozījumiem!BF80-'plans (27122022)'!BF79</f>
        <v>0</v>
      </c>
      <c r="BG80" s="97">
        <f>PLĀNS_ar_grozījumiem!BG80-'plans (27122022)'!BG79</f>
        <v>0</v>
      </c>
      <c r="BH80" s="158" t="e">
        <f>PLĀNS_ar_grozījumiem!BH80-'plans (27122022)'!BH79</f>
        <v>#VALUE!</v>
      </c>
      <c r="BI80" s="159" t="e">
        <f>PLĀNS_ar_grozījumiem!BI80-'plans (27122022)'!BI79</f>
        <v>#VALUE!</v>
      </c>
      <c r="BJ80" s="104">
        <f>PLĀNS_ar_grozījumiem!BJ80-'plans (27122022)'!BJ79</f>
        <v>1.21875</v>
      </c>
      <c r="BK80" s="104">
        <f>PLĀNS_ar_grozījumiem!BK80-'plans (27122022)'!BK79</f>
        <v>0</v>
      </c>
      <c r="BL80" s="92">
        <f>PLĀNS_ar_grozījumiem!BL80-'plans (27122022)'!BL79</f>
        <v>0</v>
      </c>
      <c r="BM80" s="93">
        <f>PLĀNS_ar_grozījumiem!BM80-'plans (27122022)'!BM79</f>
        <v>0</v>
      </c>
      <c r="BN80" s="93">
        <f>PLĀNS_ar_grozījumiem!BN80-'plans (27122022)'!BN79</f>
        <v>-0.31371661385242194</v>
      </c>
      <c r="BO80" s="93">
        <f>PLĀNS_ar_grozījumiem!BO80-'plans (27122022)'!BO79</f>
        <v>0</v>
      </c>
      <c r="BP80" s="158" t="e">
        <f>PLĀNS_ar_grozījumiem!BP80-'plans (27122022)'!BP79</f>
        <v>#VALUE!</v>
      </c>
      <c r="BQ80" s="159" t="e">
        <f>PLĀNS_ar_grozījumiem!BQ80-'plans (27122022)'!BQ79</f>
        <v>#VALUE!</v>
      </c>
      <c r="BR80" s="122">
        <f>PLĀNS_ar_grozījumiem!BR80-'plans (27122022)'!BR79</f>
        <v>-22</v>
      </c>
      <c r="BS80" s="101">
        <f>PLĀNS_ar_grozījumiem!BS80-'plans (27122022)'!BS79</f>
        <v>0</v>
      </c>
      <c r="BT80" s="188" t="e">
        <f>PLĀNS_ar_grozījumiem!BT80-'plans (27122022)'!BT79</f>
        <v>#VALUE!</v>
      </c>
      <c r="BU80" s="189" t="e">
        <f>PLĀNS_ar_grozījumiem!BU80-'plans (27122022)'!BU79</f>
        <v>#VALUE!</v>
      </c>
      <c r="BV80" s="100">
        <f>PLĀNS_ar_grozījumiem!BV80-'plans (27122022)'!BV79</f>
        <v>-22</v>
      </c>
      <c r="BW80" s="97">
        <f>PLĀNS_ar_grozījumiem!BW80-'plans (27122022)'!BW79</f>
        <v>0</v>
      </c>
      <c r="BX80" s="158" t="e">
        <f>PLĀNS_ar_grozījumiem!BX80-'plans (27122022)'!BX79</f>
        <v>#VALUE!</v>
      </c>
      <c r="BY80" s="159" t="e">
        <f>PLĀNS_ar_grozījumiem!BY80-'plans (27122022)'!BY79</f>
        <v>#VALUE!</v>
      </c>
      <c r="BZ80" s="100">
        <f>PLĀNS_ar_grozījumiem!BZ80-'plans (27122022)'!BZ79</f>
        <v>0</v>
      </c>
      <c r="CA80" s="97">
        <f>PLĀNS_ar_grozījumiem!CA80-'plans (27122022)'!CA79</f>
        <v>0</v>
      </c>
      <c r="CB80" s="158" t="e">
        <f>PLĀNS_ar_grozījumiem!CB80-'plans (27122022)'!CB79</f>
        <v>#VALUE!</v>
      </c>
      <c r="CC80" s="159" t="e">
        <f>PLĀNS_ar_grozījumiem!CC80-'plans (27122022)'!CC79</f>
        <v>#VALUE!</v>
      </c>
      <c r="CD80" s="104">
        <f>PLĀNS_ar_grozījumiem!CD80-'plans (27122022)'!CD79</f>
        <v>-3</v>
      </c>
      <c r="CE80" s="104">
        <f>PLĀNS_ar_grozījumiem!CE80-'plans (27122022)'!CE79</f>
        <v>0</v>
      </c>
      <c r="CF80" s="375">
        <f>PLĀNS_ar_grozījumiem!CF80-'plans (27122022)'!CF79</f>
        <v>-0.5</v>
      </c>
      <c r="CG80" s="97">
        <f>PLĀNS_ar_grozījumiem!CG80-'plans (27122022)'!CG79</f>
        <v>0</v>
      </c>
      <c r="CH80" s="93">
        <f>PLĀNS_ar_grozījumiem!CH80-'plans (27122022)'!CH79</f>
        <v>-0.31310502283105024</v>
      </c>
      <c r="CI80" s="179">
        <f>PLĀNS_ar_grozījumiem!CI80-'plans (27122022)'!CI79</f>
        <v>0</v>
      </c>
      <c r="CJ80" s="188" t="e">
        <f>PLĀNS_ar_grozījumiem!CJ80-'plans (27122022)'!CJ79</f>
        <v>#VALUE!</v>
      </c>
      <c r="CK80" s="189" t="e">
        <f>PLĀNS_ar_grozījumiem!CK80-'plans (27122022)'!CK79</f>
        <v>#VALUE!</v>
      </c>
      <c r="CL80" s="100">
        <f>PLĀNS_ar_grozījumiem!CL80-'plans (27122022)'!CL79</f>
        <v>-22</v>
      </c>
      <c r="CM80" s="107">
        <f>PLĀNS_ar_grozījumiem!CM80-'plans (27122022)'!CM79</f>
        <v>0</v>
      </c>
      <c r="CN80" s="190" t="e">
        <f>PLĀNS_ar_grozījumiem!CN80-'plans (27122022)'!CN79</f>
        <v>#VALUE!</v>
      </c>
      <c r="CO80" s="189" t="e">
        <f>PLĀNS_ar_grozījumiem!CO80-'plans (27122022)'!CO79</f>
        <v>#VALUE!</v>
      </c>
      <c r="CP80" s="102">
        <f>PLĀNS_ar_grozījumiem!CP80-'plans (27122022)'!CP79</f>
        <v>-22</v>
      </c>
      <c r="CQ80" s="97">
        <f>PLĀNS_ar_grozījumiem!CQ80-'plans (27122022)'!CQ79</f>
        <v>0</v>
      </c>
      <c r="CR80" s="188" t="e">
        <f>PLĀNS_ar_grozījumiem!CR80-'plans (27122022)'!CR79</f>
        <v>#VALUE!</v>
      </c>
      <c r="CS80" s="189" t="e">
        <f>PLĀNS_ar_grozījumiem!CS80-'plans (27122022)'!CS79</f>
        <v>#VALUE!</v>
      </c>
      <c r="CT80" s="100">
        <f>PLĀNS_ar_grozījumiem!CT80-'plans (27122022)'!CT79</f>
        <v>0</v>
      </c>
      <c r="CU80" s="97">
        <f>PLĀNS_ar_grozījumiem!CU80-'plans (27122022)'!CU79</f>
        <v>0</v>
      </c>
      <c r="CV80" s="188" t="e">
        <f>PLĀNS_ar_grozījumiem!CV80-'plans (27122022)'!CV79</f>
        <v>#VALUE!</v>
      </c>
      <c r="CW80" s="189" t="e">
        <f>PLĀNS_ar_grozījumiem!CW80-'plans (27122022)'!CW79</f>
        <v>#VALUE!</v>
      </c>
      <c r="CX80" s="100">
        <f>PLĀNS_ar_grozījumiem!CX80-'plans (27122022)'!CX79</f>
        <v>-0.57257379486090443</v>
      </c>
      <c r="CY80" s="174">
        <f>PLĀNS_ar_grozījumiem!CY80-'plans (27122022)'!CY79</f>
        <v>0</v>
      </c>
      <c r="CZ80" s="110">
        <f t="shared" si="22"/>
        <v>13.8</v>
      </c>
      <c r="DA80" s="111">
        <f t="shared" si="21"/>
        <v>0</v>
      </c>
      <c r="DB80" s="176">
        <f t="shared" si="26"/>
        <v>0.31775270550310847</v>
      </c>
      <c r="DC80" s="113">
        <f t="shared" si="26"/>
        <v>0</v>
      </c>
      <c r="DD80" s="100">
        <f t="shared" si="23"/>
        <v>173</v>
      </c>
      <c r="DE80" s="102">
        <f t="shared" si="23"/>
        <v>0</v>
      </c>
      <c r="DF80" s="102" t="e">
        <f t="shared" si="23"/>
        <v>#VALUE!</v>
      </c>
      <c r="DG80" s="114" t="e">
        <f t="shared" si="23"/>
        <v>#VALUE!</v>
      </c>
      <c r="DH80" s="100">
        <f t="shared" si="23"/>
        <v>173</v>
      </c>
      <c r="DI80" s="97">
        <f t="shared" si="23"/>
        <v>0</v>
      </c>
      <c r="DJ80" s="97" t="e">
        <f t="shared" si="23"/>
        <v>#VALUE!</v>
      </c>
      <c r="DK80" s="97" t="e">
        <f t="shared" si="23"/>
        <v>#VALUE!</v>
      </c>
      <c r="DL80" s="100">
        <f t="shared" si="23"/>
        <v>0</v>
      </c>
      <c r="DM80" s="97">
        <f t="shared" si="23"/>
        <v>0</v>
      </c>
      <c r="DN80" s="97" t="e">
        <f t="shared" si="23"/>
        <v>#VALUE!</v>
      </c>
      <c r="DO80" s="115" t="e">
        <f t="shared" si="23"/>
        <v>#VALUE!</v>
      </c>
      <c r="DP80" s="376">
        <f t="shared" si="24"/>
        <v>13</v>
      </c>
      <c r="DQ80" s="377" t="e">
        <f t="shared" si="24"/>
        <v>#DIV/0!</v>
      </c>
      <c r="DR80" s="117">
        <f>PLĀNS_ar_grozījumiem!CF80-'plans (27122022)'!CF79</f>
        <v>-0.5</v>
      </c>
      <c r="DS80" s="908">
        <f>DR80/'plans (27122022)'!CF79</f>
        <v>-1.8050541516245487E-2</v>
      </c>
      <c r="DT80" s="104">
        <f>PLĀNS_ar_grozījumiem!CL80-'plans (27122022)'!CL79</f>
        <v>-22</v>
      </c>
      <c r="DU80" s="909">
        <f>DT80/'plans (27122022)'!CL79</f>
        <v>-6.1797752808988762E-2</v>
      </c>
      <c r="DV80" s="120"/>
      <c r="DW80" s="118">
        <f>PLĀNS_ar_grozījumiem!CM80-'plans (27122022)'!CM79</f>
        <v>0</v>
      </c>
      <c r="DX80" s="104">
        <f>PLĀNS_ar_grozījumiem!CP80-'plans (27122022)'!CP79</f>
        <v>-22</v>
      </c>
      <c r="DY80" s="909">
        <f>DX80/'plans (27122022)'!CP79</f>
        <v>-6.1797752808988762E-2</v>
      </c>
      <c r="DZ80" s="120"/>
      <c r="EA80" s="118"/>
      <c r="EB80" s="104">
        <f>PLĀNS_ar_grozījumiem!CT80-'plans (27122022)'!CT79</f>
        <v>0</v>
      </c>
      <c r="EC80" s="121"/>
      <c r="ED80" s="120"/>
      <c r="EE80" s="121"/>
      <c r="EF80" s="122">
        <f>PLĀNS_ar_grozījumiem!CX80-'plans (27122022)'!CX79</f>
        <v>-0.57257379486090443</v>
      </c>
      <c r="EG80" s="911">
        <f>EF80/'plans (27122022)'!CX79</f>
        <v>-4.4551387970918697E-2</v>
      </c>
    </row>
    <row r="81" spans="1:137" ht="15.75" customHeight="1" x14ac:dyDescent="0.25">
      <c r="A81" s="1070"/>
      <c r="B81" s="169"/>
      <c r="C81" s="1024" t="s">
        <v>48</v>
      </c>
      <c r="D81" s="1005">
        <v>3.7</v>
      </c>
      <c r="E81" s="93"/>
      <c r="F81" s="93">
        <v>0.17137563686892079</v>
      </c>
      <c r="G81" s="93"/>
      <c r="H81" s="158" t="s">
        <v>44</v>
      </c>
      <c r="I81" s="159" t="s">
        <v>44</v>
      </c>
      <c r="J81" s="122">
        <v>45</v>
      </c>
      <c r="K81" s="101"/>
      <c r="L81" s="188" t="s">
        <v>44</v>
      </c>
      <c r="M81" s="189" t="s">
        <v>44</v>
      </c>
      <c r="N81" s="100">
        <v>45</v>
      </c>
      <c r="O81" s="97"/>
      <c r="P81" s="158" t="s">
        <v>44</v>
      </c>
      <c r="Q81" s="159" t="s">
        <v>44</v>
      </c>
      <c r="R81" s="100">
        <v>0</v>
      </c>
      <c r="S81" s="97"/>
      <c r="T81" s="158" t="s">
        <v>44</v>
      </c>
      <c r="U81" s="159" t="s">
        <v>44</v>
      </c>
      <c r="V81" s="104">
        <v>12</v>
      </c>
      <c r="W81" s="104"/>
      <c r="X81" s="92">
        <v>3.7</v>
      </c>
      <c r="Y81" s="93"/>
      <c r="Z81" s="93">
        <v>0.16941391941391942</v>
      </c>
      <c r="AA81" s="93"/>
      <c r="AB81" s="158" t="s">
        <v>44</v>
      </c>
      <c r="AC81" s="159" t="s">
        <v>44</v>
      </c>
      <c r="AD81" s="122">
        <v>49</v>
      </c>
      <c r="AE81" s="101"/>
      <c r="AF81" s="188" t="s">
        <v>44</v>
      </c>
      <c r="AG81" s="189" t="s">
        <v>44</v>
      </c>
      <c r="AH81" s="100">
        <v>49</v>
      </c>
      <c r="AI81" s="97"/>
      <c r="AJ81" s="158" t="s">
        <v>44</v>
      </c>
      <c r="AK81" s="159" t="s">
        <v>44</v>
      </c>
      <c r="AL81" s="100">
        <v>0</v>
      </c>
      <c r="AM81" s="97"/>
      <c r="AN81" s="158" t="s">
        <v>44</v>
      </c>
      <c r="AO81" s="159" t="s">
        <v>44</v>
      </c>
      <c r="AP81" s="104">
        <v>13</v>
      </c>
      <c r="AQ81" s="104"/>
      <c r="AR81" s="92">
        <v>3.7</v>
      </c>
      <c r="AS81" s="93">
        <f>PLĀNS_ar_grozījumiem!AS81-'plans (27122022)'!AS80</f>
        <v>0</v>
      </c>
      <c r="AT81" s="93">
        <f>PLĀNS_ar_grozījumiem!AT81-'plans (27122022)'!AT80</f>
        <v>-0.16589673913043482</v>
      </c>
      <c r="AU81" s="93">
        <f>PLĀNS_ar_grozījumiem!AU81-'plans (27122022)'!AU80</f>
        <v>0</v>
      </c>
      <c r="AV81" s="158" t="e">
        <f>PLĀNS_ar_grozījumiem!AV81-'plans (27122022)'!AV80</f>
        <v>#VALUE!</v>
      </c>
      <c r="AW81" s="159" t="e">
        <f>PLĀNS_ar_grozījumiem!AW81-'plans (27122022)'!AW80</f>
        <v>#VALUE!</v>
      </c>
      <c r="AX81" s="122">
        <f>PLĀNS_ar_grozījumiem!AX81-'plans (27122022)'!AX80</f>
        <v>0</v>
      </c>
      <c r="AY81" s="101">
        <f>PLĀNS_ar_grozījumiem!AY81-'plans (27122022)'!AY80</f>
        <v>0</v>
      </c>
      <c r="AZ81" s="188" t="e">
        <f>PLĀNS_ar_grozījumiem!AZ81-'plans (27122022)'!AZ80</f>
        <v>#VALUE!</v>
      </c>
      <c r="BA81" s="189" t="e">
        <f>PLĀNS_ar_grozījumiem!BA81-'plans (27122022)'!BA80</f>
        <v>#VALUE!</v>
      </c>
      <c r="BB81" s="100">
        <f>PLĀNS_ar_grozījumiem!BB81-'plans (27122022)'!BB80</f>
        <v>0</v>
      </c>
      <c r="BC81" s="97">
        <f>PLĀNS_ar_grozījumiem!BC81-'plans (27122022)'!BC80</f>
        <v>0</v>
      </c>
      <c r="BD81" s="158" t="e">
        <f>PLĀNS_ar_grozījumiem!BD81-'plans (27122022)'!BD80</f>
        <v>#VALUE!</v>
      </c>
      <c r="BE81" s="159" t="e">
        <f>PLĀNS_ar_grozījumiem!BE81-'plans (27122022)'!BE80</f>
        <v>#VALUE!</v>
      </c>
      <c r="BF81" s="100">
        <f>PLĀNS_ar_grozījumiem!BF81-'plans (27122022)'!BF80</f>
        <v>0</v>
      </c>
      <c r="BG81" s="97">
        <f>PLĀNS_ar_grozījumiem!BG81-'plans (27122022)'!BG80</f>
        <v>0</v>
      </c>
      <c r="BH81" s="158" t="e">
        <f>PLĀNS_ar_grozījumiem!BH81-'plans (27122022)'!BH80</f>
        <v>#VALUE!</v>
      </c>
      <c r="BI81" s="159" t="e">
        <f>PLĀNS_ar_grozījumiem!BI81-'plans (27122022)'!BI80</f>
        <v>#VALUE!</v>
      </c>
      <c r="BJ81" s="104">
        <f>PLĀNS_ar_grozījumiem!BJ81-'plans (27122022)'!BJ80</f>
        <v>-2.7027027027028083E-2</v>
      </c>
      <c r="BK81" s="104">
        <f>PLĀNS_ar_grozījumiem!BK81-'plans (27122022)'!BK80</f>
        <v>0</v>
      </c>
      <c r="BL81" s="92">
        <f>PLĀNS_ar_grozījumiem!BL81-'plans (27122022)'!BL80</f>
        <v>0</v>
      </c>
      <c r="BM81" s="93">
        <f>PLĀNS_ar_grozījumiem!BM81-'plans (27122022)'!BM80</f>
        <v>0</v>
      </c>
      <c r="BN81" s="93">
        <f>PLĀNS_ar_grozījumiem!BN81-'plans (27122022)'!BN80</f>
        <v>-0.16582163875056588</v>
      </c>
      <c r="BO81" s="93">
        <f>PLĀNS_ar_grozījumiem!BO81-'plans (27122022)'!BO80</f>
        <v>0</v>
      </c>
      <c r="BP81" s="158" t="e">
        <f>PLĀNS_ar_grozījumiem!BP81-'plans (27122022)'!BP80</f>
        <v>#VALUE!</v>
      </c>
      <c r="BQ81" s="159" t="e">
        <f>PLĀNS_ar_grozījumiem!BQ81-'plans (27122022)'!BQ80</f>
        <v>#VALUE!</v>
      </c>
      <c r="BR81" s="122">
        <f>PLĀNS_ar_grozījumiem!BR81-'plans (27122022)'!BR80</f>
        <v>-14</v>
      </c>
      <c r="BS81" s="101">
        <f>PLĀNS_ar_grozījumiem!BS81-'plans (27122022)'!BS80</f>
        <v>0</v>
      </c>
      <c r="BT81" s="188" t="e">
        <f>PLĀNS_ar_grozījumiem!BT81-'plans (27122022)'!BT80</f>
        <v>#VALUE!</v>
      </c>
      <c r="BU81" s="189" t="e">
        <f>PLĀNS_ar_grozījumiem!BU81-'plans (27122022)'!BU80</f>
        <v>#VALUE!</v>
      </c>
      <c r="BV81" s="100">
        <f>PLĀNS_ar_grozījumiem!BV81-'plans (27122022)'!BV80</f>
        <v>-14</v>
      </c>
      <c r="BW81" s="97">
        <f>PLĀNS_ar_grozījumiem!BW81-'plans (27122022)'!BW80</f>
        <v>0</v>
      </c>
      <c r="BX81" s="158" t="e">
        <f>PLĀNS_ar_grozījumiem!BX81-'plans (27122022)'!BX80</f>
        <v>#VALUE!</v>
      </c>
      <c r="BY81" s="159" t="e">
        <f>PLĀNS_ar_grozījumiem!BY81-'plans (27122022)'!BY80</f>
        <v>#VALUE!</v>
      </c>
      <c r="BZ81" s="100">
        <f>PLĀNS_ar_grozījumiem!BZ81-'plans (27122022)'!BZ80</f>
        <v>0</v>
      </c>
      <c r="CA81" s="97">
        <f>PLĀNS_ar_grozījumiem!CA81-'plans (27122022)'!CA80</f>
        <v>0</v>
      </c>
      <c r="CB81" s="158" t="e">
        <f>PLĀNS_ar_grozījumiem!CB81-'plans (27122022)'!CB80</f>
        <v>#VALUE!</v>
      </c>
      <c r="CC81" s="159" t="e">
        <f>PLĀNS_ar_grozījumiem!CC81-'plans (27122022)'!CC80</f>
        <v>#VALUE!</v>
      </c>
      <c r="CD81" s="104">
        <f>PLĀNS_ar_grozījumiem!CD81-'plans (27122022)'!CD80</f>
        <v>-3.5405405405405403</v>
      </c>
      <c r="CE81" s="104">
        <f>PLĀNS_ar_grozījumiem!CE81-'plans (27122022)'!CE80</f>
        <v>0</v>
      </c>
      <c r="CF81" s="375">
        <f>PLĀNS_ar_grozījumiem!CF81-'plans (27122022)'!CF80</f>
        <v>0</v>
      </c>
      <c r="CG81" s="97">
        <f>PLĀNS_ar_grozījumiem!CG81-'plans (27122022)'!CG80</f>
        <v>0</v>
      </c>
      <c r="CH81" s="93">
        <f>PLĀNS_ar_grozījumiem!CH81-'plans (27122022)'!CH80</f>
        <v>-0.16726027397260276</v>
      </c>
      <c r="CI81" s="179">
        <f>PLĀNS_ar_grozījumiem!CI81-'plans (27122022)'!CI80</f>
        <v>0</v>
      </c>
      <c r="CJ81" s="188" t="e">
        <f>PLĀNS_ar_grozījumiem!CJ81-'plans (27122022)'!CJ80</f>
        <v>#VALUE!</v>
      </c>
      <c r="CK81" s="189" t="e">
        <f>PLĀNS_ar_grozījumiem!CK81-'plans (27122022)'!CK80</f>
        <v>#VALUE!</v>
      </c>
      <c r="CL81" s="100">
        <f>PLĀNS_ar_grozījumiem!CL81-'plans (27122022)'!CL80</f>
        <v>-14</v>
      </c>
      <c r="CM81" s="107">
        <f>PLĀNS_ar_grozījumiem!CM81-'plans (27122022)'!CM80</f>
        <v>0</v>
      </c>
      <c r="CN81" s="190" t="e">
        <f>PLĀNS_ar_grozījumiem!CN81-'plans (27122022)'!CN80</f>
        <v>#VALUE!</v>
      </c>
      <c r="CO81" s="189" t="e">
        <f>PLĀNS_ar_grozījumiem!CO81-'plans (27122022)'!CO80</f>
        <v>#VALUE!</v>
      </c>
      <c r="CP81" s="102">
        <f>PLĀNS_ar_grozījumiem!CP81-'plans (27122022)'!CP80</f>
        <v>-14</v>
      </c>
      <c r="CQ81" s="97">
        <f>PLĀNS_ar_grozījumiem!CQ81-'plans (27122022)'!CQ80</f>
        <v>0</v>
      </c>
      <c r="CR81" s="188" t="e">
        <f>PLĀNS_ar_grozījumiem!CR81-'plans (27122022)'!CR80</f>
        <v>#VALUE!</v>
      </c>
      <c r="CS81" s="189" t="e">
        <f>PLĀNS_ar_grozījumiem!CS81-'plans (27122022)'!CS80</f>
        <v>#VALUE!</v>
      </c>
      <c r="CT81" s="100">
        <f>PLĀNS_ar_grozījumiem!CT81-'plans (27122022)'!CT80</f>
        <v>0</v>
      </c>
      <c r="CU81" s="97">
        <f>PLĀNS_ar_grozījumiem!CU81-'plans (27122022)'!CU80</f>
        <v>0</v>
      </c>
      <c r="CV81" s="188" t="e">
        <f>PLĀNS_ar_grozījumiem!CV81-'plans (27122022)'!CV80</f>
        <v>#VALUE!</v>
      </c>
      <c r="CW81" s="189" t="e">
        <f>PLĀNS_ar_grozījumiem!CW81-'plans (27122022)'!CW80</f>
        <v>#VALUE!</v>
      </c>
      <c r="CX81" s="100">
        <f>PLĀNS_ar_grozījumiem!CX81-'plans (27122022)'!CX80</f>
        <v>-0.94594594594594561</v>
      </c>
      <c r="CY81" s="174">
        <f>PLĀNS_ar_grozījumiem!CY81-'plans (27122022)'!CY80</f>
        <v>0</v>
      </c>
      <c r="CZ81" s="110">
        <f t="shared" si="22"/>
        <v>7.4</v>
      </c>
      <c r="DA81" s="111">
        <f t="shared" si="21"/>
        <v>0</v>
      </c>
      <c r="DB81" s="176">
        <f t="shared" si="26"/>
        <v>0.17038913193644947</v>
      </c>
      <c r="DC81" s="113">
        <f t="shared" si="26"/>
        <v>0</v>
      </c>
      <c r="DD81" s="100">
        <f t="shared" si="23"/>
        <v>94</v>
      </c>
      <c r="DE81" s="102">
        <f t="shared" si="23"/>
        <v>0</v>
      </c>
      <c r="DF81" s="102" t="e">
        <f t="shared" si="23"/>
        <v>#VALUE!</v>
      </c>
      <c r="DG81" s="114" t="e">
        <f t="shared" si="23"/>
        <v>#VALUE!</v>
      </c>
      <c r="DH81" s="100">
        <f t="shared" si="23"/>
        <v>94</v>
      </c>
      <c r="DI81" s="97">
        <f t="shared" si="23"/>
        <v>0</v>
      </c>
      <c r="DJ81" s="97" t="e">
        <f t="shared" si="23"/>
        <v>#VALUE!</v>
      </c>
      <c r="DK81" s="97" t="e">
        <f t="shared" si="23"/>
        <v>#VALUE!</v>
      </c>
      <c r="DL81" s="100">
        <f t="shared" si="23"/>
        <v>0</v>
      </c>
      <c r="DM81" s="97">
        <f t="shared" si="23"/>
        <v>0</v>
      </c>
      <c r="DN81" s="97" t="e">
        <f t="shared" si="23"/>
        <v>#VALUE!</v>
      </c>
      <c r="DO81" s="115" t="e">
        <f t="shared" si="23"/>
        <v>#VALUE!</v>
      </c>
      <c r="DP81" s="376">
        <f t="shared" si="24"/>
        <v>13</v>
      </c>
      <c r="DQ81" s="377" t="e">
        <f t="shared" si="24"/>
        <v>#DIV/0!</v>
      </c>
      <c r="DR81" s="117">
        <f>PLĀNS_ar_grozījumiem!CF81-'plans (27122022)'!CF80</f>
        <v>0</v>
      </c>
      <c r="DS81" s="908">
        <f>DR81/'plans (27122022)'!CF80</f>
        <v>0</v>
      </c>
      <c r="DT81" s="104">
        <f>PLĀNS_ar_grozījumiem!CL81-'plans (27122022)'!CL80</f>
        <v>-14</v>
      </c>
      <c r="DU81" s="909">
        <f>DT81/'plans (27122022)'!CL80</f>
        <v>-7.3298429319371722E-2</v>
      </c>
      <c r="DV81" s="120"/>
      <c r="DW81" s="118">
        <f>PLĀNS_ar_grozījumiem!CM81-'plans (27122022)'!CM80</f>
        <v>0</v>
      </c>
      <c r="DX81" s="104">
        <f>PLĀNS_ar_grozījumiem!CP81-'plans (27122022)'!CP80</f>
        <v>-14</v>
      </c>
      <c r="DY81" s="909">
        <f>DX81/'plans (27122022)'!CP80</f>
        <v>-7.3298429319371722E-2</v>
      </c>
      <c r="DZ81" s="120"/>
      <c r="EA81" s="118"/>
      <c r="EB81" s="104">
        <f>PLĀNS_ar_grozījumiem!CT81-'plans (27122022)'!CT80</f>
        <v>0</v>
      </c>
      <c r="EC81" s="121"/>
      <c r="ED81" s="120"/>
      <c r="EE81" s="121"/>
      <c r="EF81" s="122">
        <f>PLĀNS_ar_grozījumiem!CX81-'plans (27122022)'!CX80</f>
        <v>-0.94594594594594561</v>
      </c>
      <c r="EG81" s="911">
        <f>EF81/'plans (27122022)'!CX80</f>
        <v>-7.3298429319371708E-2</v>
      </c>
    </row>
    <row r="82" spans="1:137" ht="15.75" customHeight="1" x14ac:dyDescent="0.25">
      <c r="A82" s="1070"/>
      <c r="B82" s="169"/>
      <c r="C82" s="1024" t="s">
        <v>49</v>
      </c>
      <c r="D82" s="1005">
        <v>0.6</v>
      </c>
      <c r="E82" s="93"/>
      <c r="F82" s="93">
        <v>2.779064381658175E-2</v>
      </c>
      <c r="G82" s="93"/>
      <c r="H82" s="158" t="s">
        <v>44</v>
      </c>
      <c r="I82" s="159" t="s">
        <v>44</v>
      </c>
      <c r="J82" s="122">
        <v>0</v>
      </c>
      <c r="K82" s="101"/>
      <c r="L82" s="188" t="s">
        <v>44</v>
      </c>
      <c r="M82" s="189" t="s">
        <v>44</v>
      </c>
      <c r="N82" s="100">
        <v>0</v>
      </c>
      <c r="O82" s="97"/>
      <c r="P82" s="158" t="s">
        <v>44</v>
      </c>
      <c r="Q82" s="159" t="s">
        <v>44</v>
      </c>
      <c r="R82" s="100">
        <v>0</v>
      </c>
      <c r="S82" s="97"/>
      <c r="T82" s="158" t="s">
        <v>44</v>
      </c>
      <c r="U82" s="159" t="s">
        <v>44</v>
      </c>
      <c r="V82" s="104">
        <v>0</v>
      </c>
      <c r="W82" s="104"/>
      <c r="X82" s="92">
        <v>0.5</v>
      </c>
      <c r="Y82" s="93"/>
      <c r="Z82" s="93">
        <v>2.2893772893772892E-2</v>
      </c>
      <c r="AA82" s="93"/>
      <c r="AB82" s="158" t="s">
        <v>44</v>
      </c>
      <c r="AC82" s="159" t="s">
        <v>44</v>
      </c>
      <c r="AD82" s="122">
        <v>0</v>
      </c>
      <c r="AE82" s="101"/>
      <c r="AF82" s="188" t="s">
        <v>44</v>
      </c>
      <c r="AG82" s="189" t="s">
        <v>44</v>
      </c>
      <c r="AH82" s="100">
        <v>0</v>
      </c>
      <c r="AI82" s="97"/>
      <c r="AJ82" s="158" t="s">
        <v>44</v>
      </c>
      <c r="AK82" s="159" t="s">
        <v>44</v>
      </c>
      <c r="AL82" s="100">
        <v>0</v>
      </c>
      <c r="AM82" s="97"/>
      <c r="AN82" s="158" t="s">
        <v>44</v>
      </c>
      <c r="AO82" s="159" t="s">
        <v>44</v>
      </c>
      <c r="AP82" s="104">
        <v>0</v>
      </c>
      <c r="AQ82" s="104"/>
      <c r="AR82" s="92">
        <v>0.5</v>
      </c>
      <c r="AS82" s="93">
        <f>PLĀNS_ar_grozījumiem!AS82-'plans (27122022)'!AS81</f>
        <v>0</v>
      </c>
      <c r="AT82" s="93">
        <f>PLĀNS_ar_grozījumiem!AT82-'plans (27122022)'!AT81</f>
        <v>-2.2418478260869564E-2</v>
      </c>
      <c r="AU82" s="93">
        <f>PLĀNS_ar_grozījumiem!AU82-'plans (27122022)'!AU81</f>
        <v>0</v>
      </c>
      <c r="AV82" s="158" t="e">
        <f>PLĀNS_ar_grozījumiem!AV82-'plans (27122022)'!AV81</f>
        <v>#VALUE!</v>
      </c>
      <c r="AW82" s="159" t="e">
        <f>PLĀNS_ar_grozījumiem!AW82-'plans (27122022)'!AW81</f>
        <v>#VALUE!</v>
      </c>
      <c r="AX82" s="122">
        <f>PLĀNS_ar_grozījumiem!AX82-'plans (27122022)'!AX81</f>
        <v>0</v>
      </c>
      <c r="AY82" s="101">
        <f>PLĀNS_ar_grozījumiem!AY82-'plans (27122022)'!AY81</f>
        <v>0</v>
      </c>
      <c r="AZ82" s="188" t="e">
        <f>PLĀNS_ar_grozījumiem!AZ82-'plans (27122022)'!AZ81</f>
        <v>#VALUE!</v>
      </c>
      <c r="BA82" s="189" t="e">
        <f>PLĀNS_ar_grozījumiem!BA82-'plans (27122022)'!BA81</f>
        <v>#VALUE!</v>
      </c>
      <c r="BB82" s="100">
        <f>PLĀNS_ar_grozījumiem!BB82-'plans (27122022)'!BB81</f>
        <v>0</v>
      </c>
      <c r="BC82" s="97">
        <f>PLĀNS_ar_grozījumiem!BC82-'plans (27122022)'!BC81</f>
        <v>0</v>
      </c>
      <c r="BD82" s="158" t="e">
        <f>PLĀNS_ar_grozījumiem!BD82-'plans (27122022)'!BD81</f>
        <v>#VALUE!</v>
      </c>
      <c r="BE82" s="159" t="e">
        <f>PLĀNS_ar_grozījumiem!BE82-'plans (27122022)'!BE81</f>
        <v>#VALUE!</v>
      </c>
      <c r="BF82" s="100">
        <f>PLĀNS_ar_grozījumiem!BF82-'plans (27122022)'!BF81</f>
        <v>0</v>
      </c>
      <c r="BG82" s="97">
        <f>PLĀNS_ar_grozījumiem!BG82-'plans (27122022)'!BG81</f>
        <v>0</v>
      </c>
      <c r="BH82" s="158" t="e">
        <f>PLĀNS_ar_grozījumiem!BH82-'plans (27122022)'!BH81</f>
        <v>#VALUE!</v>
      </c>
      <c r="BI82" s="159" t="e">
        <f>PLĀNS_ar_grozījumiem!BI82-'plans (27122022)'!BI81</f>
        <v>#VALUE!</v>
      </c>
      <c r="BJ82" s="104">
        <f>PLĀNS_ar_grozījumiem!BJ82-'plans (27122022)'!BJ81</f>
        <v>0</v>
      </c>
      <c r="BK82" s="104">
        <f>PLĀNS_ar_grozījumiem!BK82-'plans (27122022)'!BK81</f>
        <v>0</v>
      </c>
      <c r="BL82" s="92">
        <f>PLĀNS_ar_grozījumiem!BL82-'plans (27122022)'!BL81</f>
        <v>0</v>
      </c>
      <c r="BM82" s="93">
        <f>PLĀNS_ar_grozījumiem!BM82-'plans (27122022)'!BM81</f>
        <v>0</v>
      </c>
      <c r="BN82" s="93">
        <f>PLĀNS_ar_grozījumiem!BN82-'plans (27122022)'!BN81</f>
        <v>-2.2408329560887279E-2</v>
      </c>
      <c r="BO82" s="93">
        <f>PLĀNS_ar_grozījumiem!BO82-'plans (27122022)'!BO81</f>
        <v>0</v>
      </c>
      <c r="BP82" s="158" t="e">
        <f>PLĀNS_ar_grozījumiem!BP82-'plans (27122022)'!BP81</f>
        <v>#VALUE!</v>
      </c>
      <c r="BQ82" s="159" t="e">
        <f>PLĀNS_ar_grozījumiem!BQ82-'plans (27122022)'!BQ81</f>
        <v>#VALUE!</v>
      </c>
      <c r="BR82" s="122">
        <f>PLĀNS_ar_grozījumiem!BR82-'plans (27122022)'!BR81</f>
        <v>0</v>
      </c>
      <c r="BS82" s="101">
        <f>PLĀNS_ar_grozījumiem!BS82-'plans (27122022)'!BS81</f>
        <v>0</v>
      </c>
      <c r="BT82" s="188" t="e">
        <f>PLĀNS_ar_grozījumiem!BT82-'plans (27122022)'!BT81</f>
        <v>#VALUE!</v>
      </c>
      <c r="BU82" s="189" t="e">
        <f>PLĀNS_ar_grozījumiem!BU82-'plans (27122022)'!BU81</f>
        <v>#VALUE!</v>
      </c>
      <c r="BV82" s="100">
        <f>PLĀNS_ar_grozījumiem!BV82-'plans (27122022)'!BV81</f>
        <v>0</v>
      </c>
      <c r="BW82" s="97">
        <f>PLĀNS_ar_grozījumiem!BW82-'plans (27122022)'!BW81</f>
        <v>0</v>
      </c>
      <c r="BX82" s="158" t="e">
        <f>PLĀNS_ar_grozījumiem!BX82-'plans (27122022)'!BX81</f>
        <v>#VALUE!</v>
      </c>
      <c r="BY82" s="159" t="e">
        <f>PLĀNS_ar_grozījumiem!BY82-'plans (27122022)'!BY81</f>
        <v>#VALUE!</v>
      </c>
      <c r="BZ82" s="100">
        <f>PLĀNS_ar_grozījumiem!BZ82-'plans (27122022)'!BZ81</f>
        <v>0</v>
      </c>
      <c r="CA82" s="97">
        <f>PLĀNS_ar_grozījumiem!CA82-'plans (27122022)'!CA81</f>
        <v>0</v>
      </c>
      <c r="CB82" s="158" t="e">
        <f>PLĀNS_ar_grozījumiem!CB82-'plans (27122022)'!CB81</f>
        <v>#VALUE!</v>
      </c>
      <c r="CC82" s="159" t="e">
        <f>PLĀNS_ar_grozījumiem!CC82-'plans (27122022)'!CC81</f>
        <v>#VALUE!</v>
      </c>
      <c r="CD82" s="104">
        <f>PLĀNS_ar_grozījumiem!CD82-'plans (27122022)'!CD81</f>
        <v>0</v>
      </c>
      <c r="CE82" s="104">
        <f>PLĀNS_ar_grozījumiem!CE82-'plans (27122022)'!CE81</f>
        <v>0</v>
      </c>
      <c r="CF82" s="375">
        <f>PLĀNS_ar_grozījumiem!CF82-'plans (27122022)'!CF81</f>
        <v>0</v>
      </c>
      <c r="CG82" s="97">
        <f>PLĀNS_ar_grozījumiem!CG82-'plans (27122022)'!CG81</f>
        <v>0</v>
      </c>
      <c r="CH82" s="93">
        <f>PLĀNS_ar_grozījumiem!CH82-'plans (27122022)'!CH81</f>
        <v>-2.3732876712328769E-2</v>
      </c>
      <c r="CI82" s="179">
        <f>PLĀNS_ar_grozījumiem!CI82-'plans (27122022)'!CI81</f>
        <v>0</v>
      </c>
      <c r="CJ82" s="188" t="e">
        <f>PLĀNS_ar_grozījumiem!CJ82-'plans (27122022)'!CJ81</f>
        <v>#VALUE!</v>
      </c>
      <c r="CK82" s="189" t="e">
        <f>PLĀNS_ar_grozījumiem!CK82-'plans (27122022)'!CK81</f>
        <v>#VALUE!</v>
      </c>
      <c r="CL82" s="100">
        <f>PLĀNS_ar_grozījumiem!CL82-'plans (27122022)'!CL81</f>
        <v>0</v>
      </c>
      <c r="CM82" s="107">
        <f>PLĀNS_ar_grozījumiem!CM82-'plans (27122022)'!CM81</f>
        <v>0</v>
      </c>
      <c r="CN82" s="190" t="e">
        <f>PLĀNS_ar_grozījumiem!CN82-'plans (27122022)'!CN81</f>
        <v>#VALUE!</v>
      </c>
      <c r="CO82" s="189" t="e">
        <f>PLĀNS_ar_grozījumiem!CO82-'plans (27122022)'!CO81</f>
        <v>#VALUE!</v>
      </c>
      <c r="CP82" s="102">
        <f>PLĀNS_ar_grozījumiem!CP82-'plans (27122022)'!CP81</f>
        <v>0</v>
      </c>
      <c r="CQ82" s="97">
        <f>PLĀNS_ar_grozījumiem!CQ82-'plans (27122022)'!CQ81</f>
        <v>0</v>
      </c>
      <c r="CR82" s="188" t="e">
        <f>PLĀNS_ar_grozījumiem!CR82-'plans (27122022)'!CR81</f>
        <v>#VALUE!</v>
      </c>
      <c r="CS82" s="189" t="e">
        <f>PLĀNS_ar_grozījumiem!CS82-'plans (27122022)'!CS81</f>
        <v>#VALUE!</v>
      </c>
      <c r="CT82" s="100">
        <f>PLĀNS_ar_grozījumiem!CT82-'plans (27122022)'!CT81</f>
        <v>0</v>
      </c>
      <c r="CU82" s="97">
        <f>PLĀNS_ar_grozījumiem!CU82-'plans (27122022)'!CU81</f>
        <v>0</v>
      </c>
      <c r="CV82" s="188" t="e">
        <f>PLĀNS_ar_grozījumiem!CV82-'plans (27122022)'!CV81</f>
        <v>#VALUE!</v>
      </c>
      <c r="CW82" s="189" t="e">
        <f>PLĀNS_ar_grozījumiem!CW82-'plans (27122022)'!CW81</f>
        <v>#VALUE!</v>
      </c>
      <c r="CX82" s="100">
        <f>PLĀNS_ar_grozījumiem!CX82-'plans (27122022)'!CX81</f>
        <v>0</v>
      </c>
      <c r="CY82" s="174">
        <f>PLĀNS_ar_grozījumiem!CY82-'plans (27122022)'!CY81</f>
        <v>0</v>
      </c>
      <c r="CZ82" s="110">
        <f t="shared" si="22"/>
        <v>1.1000000000000001</v>
      </c>
      <c r="DA82" s="111">
        <f t="shared" si="21"/>
        <v>0</v>
      </c>
      <c r="DB82" s="176">
        <f t="shared" si="26"/>
        <v>2.5328114206769517E-2</v>
      </c>
      <c r="DC82" s="113">
        <f t="shared" si="26"/>
        <v>0</v>
      </c>
      <c r="DD82" s="100">
        <f t="shared" si="23"/>
        <v>0</v>
      </c>
      <c r="DE82" s="102">
        <f t="shared" si="23"/>
        <v>0</v>
      </c>
      <c r="DF82" s="102" t="e">
        <f t="shared" si="23"/>
        <v>#VALUE!</v>
      </c>
      <c r="DG82" s="114" t="e">
        <f t="shared" si="23"/>
        <v>#VALUE!</v>
      </c>
      <c r="DH82" s="100">
        <f t="shared" si="23"/>
        <v>0</v>
      </c>
      <c r="DI82" s="97">
        <f t="shared" si="23"/>
        <v>0</v>
      </c>
      <c r="DJ82" s="97" t="e">
        <f t="shared" si="23"/>
        <v>#VALUE!</v>
      </c>
      <c r="DK82" s="97" t="e">
        <f t="shared" si="23"/>
        <v>#VALUE!</v>
      </c>
      <c r="DL82" s="100">
        <f t="shared" si="23"/>
        <v>0</v>
      </c>
      <c r="DM82" s="97">
        <f t="shared" si="23"/>
        <v>0</v>
      </c>
      <c r="DN82" s="97" t="e">
        <f t="shared" si="23"/>
        <v>#VALUE!</v>
      </c>
      <c r="DO82" s="115" t="e">
        <f t="shared" si="23"/>
        <v>#VALUE!</v>
      </c>
      <c r="DP82" s="376">
        <f t="shared" si="24"/>
        <v>0</v>
      </c>
      <c r="DQ82" s="377" t="e">
        <f t="shared" si="24"/>
        <v>#DIV/0!</v>
      </c>
      <c r="DR82" s="117">
        <f>PLĀNS_ar_grozījumiem!CF82-'plans (27122022)'!CF81</f>
        <v>0</v>
      </c>
      <c r="DS82" s="908">
        <f>DR82/'plans (27122022)'!CF81</f>
        <v>0</v>
      </c>
      <c r="DT82" s="104">
        <f>PLĀNS_ar_grozījumiem!CL82-'plans (27122022)'!CL81</f>
        <v>0</v>
      </c>
      <c r="DU82" s="909"/>
      <c r="DV82" s="120"/>
      <c r="DW82" s="118">
        <f>PLĀNS_ar_grozījumiem!CM82-'plans (27122022)'!CM81</f>
        <v>0</v>
      </c>
      <c r="DX82" s="104">
        <f>PLĀNS_ar_grozījumiem!CP82-'plans (27122022)'!CP81</f>
        <v>0</v>
      </c>
      <c r="DY82" s="909"/>
      <c r="DZ82" s="120"/>
      <c r="EA82" s="118"/>
      <c r="EB82" s="104">
        <f>PLĀNS_ar_grozījumiem!CT82-'plans (27122022)'!CT81</f>
        <v>0</v>
      </c>
      <c r="EC82" s="121"/>
      <c r="ED82" s="120"/>
      <c r="EE82" s="121"/>
      <c r="EF82" s="122">
        <f>PLĀNS_ar_grozījumiem!CX82-'plans (27122022)'!CX81</f>
        <v>0</v>
      </c>
      <c r="EG82" s="911"/>
    </row>
    <row r="83" spans="1:137" s="373" customFormat="1" ht="15.75" customHeight="1" x14ac:dyDescent="0.25">
      <c r="A83" s="1070"/>
      <c r="B83" s="347" t="s">
        <v>71</v>
      </c>
      <c r="C83" s="1032"/>
      <c r="D83" s="1013">
        <v>24.900000000000002</v>
      </c>
      <c r="E83" s="350"/>
      <c r="F83" s="350">
        <v>0.22892552105838984</v>
      </c>
      <c r="G83" s="350"/>
      <c r="H83" s="351" t="s">
        <v>44</v>
      </c>
      <c r="I83" s="352" t="s">
        <v>44</v>
      </c>
      <c r="J83" s="353">
        <v>298</v>
      </c>
      <c r="K83" s="354"/>
      <c r="L83" s="355" t="s">
        <v>44</v>
      </c>
      <c r="M83" s="356" t="s">
        <v>44</v>
      </c>
      <c r="N83" s="420">
        <v>298</v>
      </c>
      <c r="O83" s="421"/>
      <c r="P83" s="351" t="s">
        <v>44</v>
      </c>
      <c r="Q83" s="352" t="s">
        <v>44</v>
      </c>
      <c r="R83" s="420">
        <v>0</v>
      </c>
      <c r="S83" s="421"/>
      <c r="T83" s="351" t="s">
        <v>44</v>
      </c>
      <c r="U83" s="352" t="s">
        <v>44</v>
      </c>
      <c r="V83" s="358">
        <v>12</v>
      </c>
      <c r="W83" s="358"/>
      <c r="X83" s="349">
        <v>25.099999999999998</v>
      </c>
      <c r="Y83" s="350"/>
      <c r="Z83" s="350">
        <v>0.228662008399457</v>
      </c>
      <c r="AA83" s="350"/>
      <c r="AB83" s="351" t="s">
        <v>44</v>
      </c>
      <c r="AC83" s="352" t="s">
        <v>44</v>
      </c>
      <c r="AD83" s="353">
        <v>319</v>
      </c>
      <c r="AE83" s="354"/>
      <c r="AF83" s="355" t="s">
        <v>44</v>
      </c>
      <c r="AG83" s="356" t="s">
        <v>44</v>
      </c>
      <c r="AH83" s="420">
        <v>319</v>
      </c>
      <c r="AI83" s="421"/>
      <c r="AJ83" s="351" t="s">
        <v>44</v>
      </c>
      <c r="AK83" s="352" t="s">
        <v>44</v>
      </c>
      <c r="AL83" s="420">
        <v>0</v>
      </c>
      <c r="AM83" s="421"/>
      <c r="AN83" s="351" t="s">
        <v>44</v>
      </c>
      <c r="AO83" s="352" t="s">
        <v>44</v>
      </c>
      <c r="AP83" s="358">
        <v>13</v>
      </c>
      <c r="AQ83" s="358"/>
      <c r="AR83" s="349">
        <v>25.3</v>
      </c>
      <c r="AS83" s="350">
        <f>PLĀNS_ar_grozījumiem!AS83-'plans (27122022)'!AS82</f>
        <v>0</v>
      </c>
      <c r="AT83" s="350">
        <f>PLĀNS_ar_grozījumiem!AT83-'plans (27122022)'!AT82</f>
        <v>-0.22585850936268811</v>
      </c>
      <c r="AU83" s="350">
        <f>PLĀNS_ar_grozījumiem!AU83-'plans (27122022)'!AU82</f>
        <v>0</v>
      </c>
      <c r="AV83" s="351" t="e">
        <f>PLĀNS_ar_grozījumiem!AV83-'plans (27122022)'!AV82</f>
        <v>#VALUE!</v>
      </c>
      <c r="AW83" s="352" t="e">
        <f>PLĀNS_ar_grozījumiem!AW83-'plans (27122022)'!AW82</f>
        <v>#VALUE!</v>
      </c>
      <c r="AX83" s="353">
        <f>PLĀNS_ar_grozījumiem!AX83-'plans (27122022)'!AX82</f>
        <v>0</v>
      </c>
      <c r="AY83" s="354">
        <f>PLĀNS_ar_grozījumiem!AY83-'plans (27122022)'!AY82</f>
        <v>0</v>
      </c>
      <c r="AZ83" s="355" t="e">
        <f>PLĀNS_ar_grozījumiem!AZ83-'plans (27122022)'!AZ82</f>
        <v>#VALUE!</v>
      </c>
      <c r="BA83" s="356" t="e">
        <f>PLĀNS_ar_grozījumiem!BA83-'plans (27122022)'!BA82</f>
        <v>#VALUE!</v>
      </c>
      <c r="BB83" s="420">
        <f>PLĀNS_ar_grozījumiem!BB83-'plans (27122022)'!BB82</f>
        <v>0</v>
      </c>
      <c r="BC83" s="421">
        <f>PLĀNS_ar_grozījumiem!BC83-'plans (27122022)'!BC82</f>
        <v>0</v>
      </c>
      <c r="BD83" s="351" t="e">
        <f>PLĀNS_ar_grozījumiem!BD83-'plans (27122022)'!BD82</f>
        <v>#VALUE!</v>
      </c>
      <c r="BE83" s="352" t="e">
        <f>PLĀNS_ar_grozījumiem!BE83-'plans (27122022)'!BE82</f>
        <v>#VALUE!</v>
      </c>
      <c r="BF83" s="420">
        <f>PLĀNS_ar_grozījumiem!BF83-'plans (27122022)'!BF82</f>
        <v>0</v>
      </c>
      <c r="BG83" s="421">
        <f>PLĀNS_ar_grozījumiem!BG83-'plans (27122022)'!BG82</f>
        <v>0</v>
      </c>
      <c r="BH83" s="351" t="e">
        <f>PLĀNS_ar_grozījumiem!BH83-'plans (27122022)'!BH82</f>
        <v>#VALUE!</v>
      </c>
      <c r="BI83" s="352" t="e">
        <f>PLĀNS_ar_grozījumiem!BI83-'plans (27122022)'!BI82</f>
        <v>#VALUE!</v>
      </c>
      <c r="BJ83" s="358">
        <f>PLĀNS_ar_grozījumiem!BJ83-'plans (27122022)'!BJ82</f>
        <v>-9.6774193548387899E-2</v>
      </c>
      <c r="BK83" s="358">
        <f>PLĀNS_ar_grozījumiem!BK83-'plans (27122022)'!BK82</f>
        <v>0</v>
      </c>
      <c r="BL83" s="349">
        <f>PLĀNS_ar_grozījumiem!BL83-'plans (27122022)'!BL82</f>
        <v>0.70000000000000284</v>
      </c>
      <c r="BM83" s="350">
        <f>PLĀNS_ar_grozījumiem!BM83-'plans (27122022)'!BM82</f>
        <v>0</v>
      </c>
      <c r="BN83" s="350">
        <f>PLĀNS_ar_grozījumiem!BN83-'plans (27122022)'!BN82</f>
        <v>-0.22620978945764508</v>
      </c>
      <c r="BO83" s="350">
        <f>PLĀNS_ar_grozījumiem!BO83-'plans (27122022)'!BO82</f>
        <v>0</v>
      </c>
      <c r="BP83" s="351" t="e">
        <f>PLĀNS_ar_grozījumiem!BP83-'plans (27122022)'!BP82</f>
        <v>#VALUE!</v>
      </c>
      <c r="BQ83" s="352" t="e">
        <f>PLĀNS_ar_grozījumiem!BQ83-'plans (27122022)'!BQ82</f>
        <v>#VALUE!</v>
      </c>
      <c r="BR83" s="353">
        <f>PLĀNS_ar_grozījumiem!BR83-'plans (27122022)'!BR82</f>
        <v>-65.5</v>
      </c>
      <c r="BS83" s="354">
        <f>PLĀNS_ar_grozījumiem!BS83-'plans (27122022)'!BS82</f>
        <v>0</v>
      </c>
      <c r="BT83" s="355" t="e">
        <f>PLĀNS_ar_grozījumiem!BT83-'plans (27122022)'!BT82</f>
        <v>#VALUE!</v>
      </c>
      <c r="BU83" s="356" t="e">
        <f>PLĀNS_ar_grozījumiem!BU83-'plans (27122022)'!BU82</f>
        <v>#VALUE!</v>
      </c>
      <c r="BV83" s="420">
        <f>PLĀNS_ar_grozījumiem!BV83-'plans (27122022)'!BV82</f>
        <v>-65.5</v>
      </c>
      <c r="BW83" s="421">
        <f>PLĀNS_ar_grozījumiem!BW83-'plans (27122022)'!BW82</f>
        <v>0</v>
      </c>
      <c r="BX83" s="351" t="e">
        <f>PLĀNS_ar_grozījumiem!BX83-'plans (27122022)'!BX82</f>
        <v>#VALUE!</v>
      </c>
      <c r="BY83" s="352" t="e">
        <f>PLĀNS_ar_grozījumiem!BY83-'plans (27122022)'!BY82</f>
        <v>#VALUE!</v>
      </c>
      <c r="BZ83" s="420">
        <f>PLĀNS_ar_grozījumiem!BZ83-'plans (27122022)'!BZ82</f>
        <v>0</v>
      </c>
      <c r="CA83" s="421">
        <f>PLĀNS_ar_grozījumiem!CA83-'plans (27122022)'!CA82</f>
        <v>0</v>
      </c>
      <c r="CB83" s="351" t="e">
        <f>PLĀNS_ar_grozījumiem!CB83-'plans (27122022)'!CB82</f>
        <v>#VALUE!</v>
      </c>
      <c r="CC83" s="352" t="e">
        <f>PLĀNS_ar_grozījumiem!CC83-'plans (27122022)'!CC82</f>
        <v>#VALUE!</v>
      </c>
      <c r="CD83" s="358">
        <f>PLĀNS_ar_grozījumiem!CD83-'plans (27122022)'!CD82</f>
        <v>-3.0954198473282446</v>
      </c>
      <c r="CE83" s="358">
        <f>PLĀNS_ar_grozījumiem!CE83-'plans (27122022)'!CE82</f>
        <v>0</v>
      </c>
      <c r="CF83" s="422">
        <f>PLĀNS_ar_grozījumiem!CF83-'plans (27122022)'!CF82</f>
        <v>0.20000000000000284</v>
      </c>
      <c r="CG83" s="421">
        <f>PLĀNS_ar_grozījumiem!CG83-'plans (27122022)'!CG82</f>
        <v>0</v>
      </c>
      <c r="CH83" s="423">
        <f>PLĀNS_ar_grozījumiem!CH83-'plans (27122022)'!CH82</f>
        <v>-0.22626783908431686</v>
      </c>
      <c r="CI83" s="424">
        <f>PLĀNS_ar_grozījumiem!CI83-'plans (27122022)'!CI82</f>
        <v>0</v>
      </c>
      <c r="CJ83" s="355" t="e">
        <f>PLĀNS_ar_grozījumiem!CJ83-'plans (27122022)'!CJ82</f>
        <v>#VALUE!</v>
      </c>
      <c r="CK83" s="356" t="e">
        <f>PLĀNS_ar_grozījumiem!CK83-'plans (27122022)'!CK82</f>
        <v>#VALUE!</v>
      </c>
      <c r="CL83" s="420">
        <f>PLĀNS_ar_grozījumiem!CL83-'plans (27122022)'!CL82</f>
        <v>-65.5</v>
      </c>
      <c r="CM83" s="425">
        <f>PLĀNS_ar_grozījumiem!CM83-'plans (27122022)'!CM82</f>
        <v>0</v>
      </c>
      <c r="CN83" s="363" t="e">
        <f>PLĀNS_ar_grozījumiem!CN83-'plans (27122022)'!CN82</f>
        <v>#VALUE!</v>
      </c>
      <c r="CO83" s="356" t="e">
        <f>PLĀNS_ar_grozījumiem!CO83-'plans (27122022)'!CO82</f>
        <v>#VALUE!</v>
      </c>
      <c r="CP83" s="426">
        <f>PLĀNS_ar_grozījumiem!CP83-'plans (27122022)'!CP82</f>
        <v>-65.5</v>
      </c>
      <c r="CQ83" s="421">
        <f>PLĀNS_ar_grozījumiem!CQ83-'plans (27122022)'!CQ82</f>
        <v>0</v>
      </c>
      <c r="CR83" s="355" t="e">
        <f>PLĀNS_ar_grozījumiem!CR83-'plans (27122022)'!CR82</f>
        <v>#VALUE!</v>
      </c>
      <c r="CS83" s="356" t="e">
        <f>PLĀNS_ar_grozījumiem!CS83-'plans (27122022)'!CS82</f>
        <v>#VALUE!</v>
      </c>
      <c r="CT83" s="420">
        <f>PLĀNS_ar_grozījumiem!CT83-'plans (27122022)'!CT82</f>
        <v>0</v>
      </c>
      <c r="CU83" s="421">
        <f>PLĀNS_ar_grozījumiem!CU83-'plans (27122022)'!CU82</f>
        <v>0</v>
      </c>
      <c r="CV83" s="355" t="e">
        <f>PLĀNS_ar_grozījumiem!CV83-'plans (27122022)'!CV82</f>
        <v>#VALUE!</v>
      </c>
      <c r="CW83" s="356" t="e">
        <f>PLĀNS_ar_grozījumiem!CW83-'plans (27122022)'!CW82</f>
        <v>#VALUE!</v>
      </c>
      <c r="CX83" s="420">
        <f>PLĀNS_ar_grozījumiem!CX83-'plans (27122022)'!CX82</f>
        <v>-0.6733066163759247</v>
      </c>
      <c r="CY83" s="427">
        <f>PLĀNS_ar_grozījumiem!CY83-'plans (27122022)'!CY82</f>
        <v>0</v>
      </c>
      <c r="CZ83" s="428">
        <f t="shared" si="22"/>
        <v>50</v>
      </c>
      <c r="DA83" s="429">
        <f t="shared" si="21"/>
        <v>0</v>
      </c>
      <c r="DB83" s="423" t="e">
        <f>(CZ83/#REF!)*100</f>
        <v>#REF!</v>
      </c>
      <c r="DC83" s="430" t="e">
        <f>(DA83/#REF!)*100</f>
        <v>#REF!</v>
      </c>
      <c r="DD83" s="420">
        <f t="shared" si="23"/>
        <v>617</v>
      </c>
      <c r="DE83" s="426">
        <f t="shared" si="23"/>
        <v>0</v>
      </c>
      <c r="DF83" s="426" t="e">
        <f t="shared" si="23"/>
        <v>#VALUE!</v>
      </c>
      <c r="DG83" s="431" t="e">
        <f t="shared" si="23"/>
        <v>#VALUE!</v>
      </c>
      <c r="DH83" s="420">
        <f t="shared" si="23"/>
        <v>617</v>
      </c>
      <c r="DI83" s="421">
        <f t="shared" si="23"/>
        <v>0</v>
      </c>
      <c r="DJ83" s="421" t="e">
        <f t="shared" si="23"/>
        <v>#VALUE!</v>
      </c>
      <c r="DK83" s="421" t="e">
        <f t="shared" si="23"/>
        <v>#VALUE!</v>
      </c>
      <c r="DL83" s="420">
        <f t="shared" si="23"/>
        <v>0</v>
      </c>
      <c r="DM83" s="421">
        <f t="shared" si="23"/>
        <v>0</v>
      </c>
      <c r="DN83" s="421" t="e">
        <f t="shared" si="23"/>
        <v>#VALUE!</v>
      </c>
      <c r="DO83" s="425" t="e">
        <f t="shared" si="23"/>
        <v>#VALUE!</v>
      </c>
      <c r="DP83" s="357">
        <f t="shared" si="24"/>
        <v>12</v>
      </c>
      <c r="DQ83" s="369" t="e">
        <f t="shared" si="24"/>
        <v>#DIV/0!</v>
      </c>
      <c r="DR83" s="432">
        <f>PLĀNS_ar_grozījumiem!CF83-'plans (27122022)'!CF82</f>
        <v>0.20000000000000284</v>
      </c>
      <c r="DS83" s="931">
        <f>DR83/'plans (27122022)'!CF82</f>
        <v>1.9841269841270122E-3</v>
      </c>
      <c r="DT83" s="358">
        <f>PLĀNS_ar_grozījumiem!CL83-'plans (27122022)'!CL82</f>
        <v>-65.5</v>
      </c>
      <c r="DU83" s="932">
        <f>DT83/'plans (27122022)'!CL82</f>
        <v>-5.1901743264659274E-2</v>
      </c>
      <c r="DV83" s="354"/>
      <c r="DW83" s="371">
        <f>PLĀNS_ar_grozījumiem!CM83-'plans (27122022)'!CM82</f>
        <v>0</v>
      </c>
      <c r="DX83" s="358">
        <f>PLĀNS_ar_grozījumiem!CP83-'plans (27122022)'!CP82</f>
        <v>-65.5</v>
      </c>
      <c r="DY83" s="932">
        <f>DX83/'plans (27122022)'!CP82</f>
        <v>-5.1901743264659274E-2</v>
      </c>
      <c r="DZ83" s="354"/>
      <c r="EA83" s="371"/>
      <c r="EB83" s="358">
        <f>PLĀNS_ar_grozījumiem!CT83-'plans (27122022)'!CT82</f>
        <v>0</v>
      </c>
      <c r="EC83" s="367"/>
      <c r="ED83" s="354"/>
      <c r="EE83" s="367"/>
      <c r="EF83" s="433">
        <f>PLĀNS_ar_grozījumiem!CX83-'plans (27122022)'!CX82</f>
        <v>-0.6733066163759247</v>
      </c>
      <c r="EG83" s="937">
        <f>EF83/'plans (27122022)'!CX82</f>
        <v>-5.3779165555224412E-2</v>
      </c>
    </row>
    <row r="84" spans="1:137" s="5" customFormat="1" ht="15.75" customHeight="1" x14ac:dyDescent="0.25">
      <c r="A84" s="1070"/>
      <c r="B84" s="178"/>
      <c r="C84" s="1024" t="s">
        <v>45</v>
      </c>
      <c r="D84" s="1005">
        <v>6.7</v>
      </c>
      <c r="E84" s="93"/>
      <c r="F84" s="93">
        <v>0.31032885595182957</v>
      </c>
      <c r="G84" s="93"/>
      <c r="H84" s="158" t="s">
        <v>44</v>
      </c>
      <c r="I84" s="159" t="s">
        <v>44</v>
      </c>
      <c r="J84" s="122">
        <v>84</v>
      </c>
      <c r="K84" s="101"/>
      <c r="L84" s="188" t="s">
        <v>44</v>
      </c>
      <c r="M84" s="189" t="s">
        <v>44</v>
      </c>
      <c r="N84" s="184">
        <v>84</v>
      </c>
      <c r="O84" s="97"/>
      <c r="P84" s="158" t="s">
        <v>44</v>
      </c>
      <c r="Q84" s="159" t="s">
        <v>44</v>
      </c>
      <c r="R84" s="184">
        <v>0</v>
      </c>
      <c r="S84" s="101"/>
      <c r="T84" s="158" t="s">
        <v>44</v>
      </c>
      <c r="U84" s="159" t="s">
        <v>44</v>
      </c>
      <c r="V84" s="104">
        <v>13</v>
      </c>
      <c r="W84" s="104"/>
      <c r="X84" s="92">
        <v>6.9</v>
      </c>
      <c r="Y84" s="93"/>
      <c r="Z84" s="93">
        <v>0.31593406593406592</v>
      </c>
      <c r="AA84" s="93"/>
      <c r="AB84" s="158" t="s">
        <v>44</v>
      </c>
      <c r="AC84" s="159" t="s">
        <v>44</v>
      </c>
      <c r="AD84" s="122">
        <v>89</v>
      </c>
      <c r="AE84" s="101"/>
      <c r="AF84" s="188" t="s">
        <v>44</v>
      </c>
      <c r="AG84" s="189" t="s">
        <v>44</v>
      </c>
      <c r="AH84" s="184">
        <v>89</v>
      </c>
      <c r="AI84" s="97"/>
      <c r="AJ84" s="158" t="s">
        <v>44</v>
      </c>
      <c r="AK84" s="159" t="s">
        <v>44</v>
      </c>
      <c r="AL84" s="184">
        <v>0</v>
      </c>
      <c r="AM84" s="101"/>
      <c r="AN84" s="158" t="s">
        <v>44</v>
      </c>
      <c r="AO84" s="159" t="s">
        <v>44</v>
      </c>
      <c r="AP84" s="104">
        <v>13</v>
      </c>
      <c r="AQ84" s="104"/>
      <c r="AR84" s="92">
        <v>7</v>
      </c>
      <c r="AS84" s="93">
        <f>PLĀNS_ar_grozījumiem!AS84-'plans (27122022)'!AS83</f>
        <v>0</v>
      </c>
      <c r="AT84" s="93">
        <f>PLĀNS_ar_grozījumiem!AT84-'plans (27122022)'!AT83</f>
        <v>-0.31385869565217395</v>
      </c>
      <c r="AU84" s="93">
        <f>PLĀNS_ar_grozījumiem!AU84-'plans (27122022)'!AU83</f>
        <v>0</v>
      </c>
      <c r="AV84" s="158" t="e">
        <f>PLĀNS_ar_grozījumiem!AV84-'plans (27122022)'!AV83</f>
        <v>#VALUE!</v>
      </c>
      <c r="AW84" s="159" t="e">
        <f>PLĀNS_ar_grozījumiem!AW84-'plans (27122022)'!AW83</f>
        <v>#VALUE!</v>
      </c>
      <c r="AX84" s="122">
        <f>PLĀNS_ar_grozījumiem!AX84-'plans (27122022)'!AX83</f>
        <v>0</v>
      </c>
      <c r="AY84" s="101">
        <f>PLĀNS_ar_grozījumiem!AY84-'plans (27122022)'!AY83</f>
        <v>0</v>
      </c>
      <c r="AZ84" s="188" t="e">
        <f>PLĀNS_ar_grozījumiem!AZ84-'plans (27122022)'!AZ83</f>
        <v>#VALUE!</v>
      </c>
      <c r="BA84" s="189" t="e">
        <f>PLĀNS_ar_grozījumiem!BA84-'plans (27122022)'!BA83</f>
        <v>#VALUE!</v>
      </c>
      <c r="BB84" s="184">
        <f>PLĀNS_ar_grozījumiem!BB84-'plans (27122022)'!BB83</f>
        <v>0</v>
      </c>
      <c r="BC84" s="97">
        <f>PLĀNS_ar_grozījumiem!BC84-'plans (27122022)'!BC83</f>
        <v>0</v>
      </c>
      <c r="BD84" s="158" t="e">
        <f>PLĀNS_ar_grozījumiem!BD84-'plans (27122022)'!BD83</f>
        <v>#VALUE!</v>
      </c>
      <c r="BE84" s="159" t="e">
        <f>PLĀNS_ar_grozījumiem!BE84-'plans (27122022)'!BE83</f>
        <v>#VALUE!</v>
      </c>
      <c r="BF84" s="184">
        <f>PLĀNS_ar_grozījumiem!BF84-'plans (27122022)'!BF83</f>
        <v>0</v>
      </c>
      <c r="BG84" s="101">
        <f>PLĀNS_ar_grozījumiem!BG84-'plans (27122022)'!BG83</f>
        <v>0</v>
      </c>
      <c r="BH84" s="158" t="e">
        <f>PLĀNS_ar_grozījumiem!BH84-'plans (27122022)'!BH83</f>
        <v>#VALUE!</v>
      </c>
      <c r="BI84" s="159" t="e">
        <f>PLĀNS_ar_grozījumiem!BI84-'plans (27122022)'!BI83</f>
        <v>#VALUE!</v>
      </c>
      <c r="BJ84" s="104">
        <f>PLĀNS_ar_grozījumiem!BJ84-'plans (27122022)'!BJ83</f>
        <v>-0.28571428571428648</v>
      </c>
      <c r="BK84" s="104">
        <f>PLĀNS_ar_grozījumiem!BK84-'plans (27122022)'!BK83</f>
        <v>0</v>
      </c>
      <c r="BL84" s="92">
        <f>PLĀNS_ar_grozījumiem!BL84-'plans (27122022)'!BL83</f>
        <v>0</v>
      </c>
      <c r="BM84" s="93">
        <f>PLĀNS_ar_grozījumiem!BM84-'plans (27122022)'!BM83</f>
        <v>0</v>
      </c>
      <c r="BN84" s="93">
        <f>PLĀNS_ar_grozījumiem!BN84-'plans (27122022)'!BN83</f>
        <v>-0.31819827976459941</v>
      </c>
      <c r="BO84" s="93">
        <f>PLĀNS_ar_grozījumiem!BO84-'plans (27122022)'!BO83</f>
        <v>0</v>
      </c>
      <c r="BP84" s="158" t="e">
        <f>PLĀNS_ar_grozījumiem!BP84-'plans (27122022)'!BP83</f>
        <v>#VALUE!</v>
      </c>
      <c r="BQ84" s="159" t="e">
        <f>PLĀNS_ar_grozījumiem!BQ84-'plans (27122022)'!BQ83</f>
        <v>#VALUE!</v>
      </c>
      <c r="BR84" s="122">
        <f>PLĀNS_ar_grozījumiem!BR84-'plans (27122022)'!BR83</f>
        <v>-20.5</v>
      </c>
      <c r="BS84" s="101">
        <f>PLĀNS_ar_grozījumiem!BS84-'plans (27122022)'!BS83</f>
        <v>0</v>
      </c>
      <c r="BT84" s="188" t="e">
        <f>PLĀNS_ar_grozījumiem!BT84-'plans (27122022)'!BT83</f>
        <v>#VALUE!</v>
      </c>
      <c r="BU84" s="189" t="e">
        <f>PLĀNS_ar_grozījumiem!BU84-'plans (27122022)'!BU83</f>
        <v>#VALUE!</v>
      </c>
      <c r="BV84" s="184">
        <f>PLĀNS_ar_grozījumiem!BV84-'plans (27122022)'!BV83</f>
        <v>-20.5</v>
      </c>
      <c r="BW84" s="97">
        <f>PLĀNS_ar_grozījumiem!BW84-'plans (27122022)'!BW83</f>
        <v>0</v>
      </c>
      <c r="BX84" s="158" t="e">
        <f>PLĀNS_ar_grozījumiem!BX84-'plans (27122022)'!BX83</f>
        <v>#VALUE!</v>
      </c>
      <c r="BY84" s="159" t="e">
        <f>PLĀNS_ar_grozījumiem!BY84-'plans (27122022)'!BY83</f>
        <v>#VALUE!</v>
      </c>
      <c r="BZ84" s="184">
        <f>PLĀNS_ar_grozījumiem!BZ84-'plans (27122022)'!BZ83</f>
        <v>0</v>
      </c>
      <c r="CA84" s="101">
        <f>PLĀNS_ar_grozījumiem!CA84-'plans (27122022)'!CA83</f>
        <v>0</v>
      </c>
      <c r="CB84" s="158" t="e">
        <f>PLĀNS_ar_grozījumiem!CB84-'plans (27122022)'!CB83</f>
        <v>#VALUE!</v>
      </c>
      <c r="CC84" s="159" t="e">
        <f>PLĀNS_ar_grozījumiem!CC84-'plans (27122022)'!CC83</f>
        <v>#VALUE!</v>
      </c>
      <c r="CD84" s="104">
        <f>PLĀNS_ar_grozījumiem!CD84-'plans (27122022)'!CD83</f>
        <v>-3.070422535211268</v>
      </c>
      <c r="CE84" s="104">
        <f>PLĀNS_ar_grozījumiem!CE84-'plans (27122022)'!CE83</f>
        <v>0</v>
      </c>
      <c r="CF84" s="103">
        <f>PLĀNS_ar_grozījumiem!CF84-'plans (27122022)'!CF83</f>
        <v>0</v>
      </c>
      <c r="CG84" s="102">
        <f>PLĀNS_ar_grozījumiem!CG84-'plans (27122022)'!CG83</f>
        <v>0</v>
      </c>
      <c r="CH84" s="93">
        <f>PLĀNS_ar_grozījumiem!CH84-'plans (27122022)'!CH83</f>
        <v>-0.31304794520547946</v>
      </c>
      <c r="CI84" s="179">
        <f>PLĀNS_ar_grozījumiem!CI84-'plans (27122022)'!CI83</f>
        <v>0</v>
      </c>
      <c r="CJ84" s="188" t="e">
        <f>PLĀNS_ar_grozījumiem!CJ84-'plans (27122022)'!CJ83</f>
        <v>#VALUE!</v>
      </c>
      <c r="CK84" s="189" t="e">
        <f>PLĀNS_ar_grozījumiem!CK84-'plans (27122022)'!CK83</f>
        <v>#VALUE!</v>
      </c>
      <c r="CL84" s="100">
        <f>PLĀNS_ar_grozījumiem!CL84-'plans (27122022)'!CL83</f>
        <v>-20.5</v>
      </c>
      <c r="CM84" s="107">
        <f>PLĀNS_ar_grozījumiem!CM84-'plans (27122022)'!CM83</f>
        <v>0</v>
      </c>
      <c r="CN84" s="190" t="e">
        <f>PLĀNS_ar_grozījumiem!CN84-'plans (27122022)'!CN83</f>
        <v>#VALUE!</v>
      </c>
      <c r="CO84" s="189" t="e">
        <f>PLĀNS_ar_grozījumiem!CO84-'plans (27122022)'!CO83</f>
        <v>#VALUE!</v>
      </c>
      <c r="CP84" s="102">
        <f>PLĀNS_ar_grozījumiem!CP84-'plans (27122022)'!CP83</f>
        <v>-20.5</v>
      </c>
      <c r="CQ84" s="97">
        <f>PLĀNS_ar_grozījumiem!CQ84-'plans (27122022)'!CQ83</f>
        <v>0</v>
      </c>
      <c r="CR84" s="188" t="e">
        <f>PLĀNS_ar_grozījumiem!CR84-'plans (27122022)'!CR83</f>
        <v>#VALUE!</v>
      </c>
      <c r="CS84" s="189" t="e">
        <f>PLĀNS_ar_grozījumiem!CS84-'plans (27122022)'!CS83</f>
        <v>#VALUE!</v>
      </c>
      <c r="CT84" s="100">
        <f>PLĀNS_ar_grozījumiem!CT84-'plans (27122022)'!CT83</f>
        <v>0</v>
      </c>
      <c r="CU84" s="97">
        <f>PLĀNS_ar_grozījumiem!CU84-'plans (27122022)'!CU83</f>
        <v>0</v>
      </c>
      <c r="CV84" s="188" t="e">
        <f>PLĀNS_ar_grozījumiem!CV84-'plans (27122022)'!CV83</f>
        <v>#VALUE!</v>
      </c>
      <c r="CW84" s="189" t="e">
        <f>PLĀNS_ar_grozījumiem!CW84-'plans (27122022)'!CW83</f>
        <v>#VALUE!</v>
      </c>
      <c r="CX84" s="100">
        <f>PLĀNS_ar_grozījumiem!CX84-'plans (27122022)'!CX83</f>
        <v>-0.74007220216606306</v>
      </c>
      <c r="CY84" s="174">
        <f>PLĀNS_ar_grozījumiem!CY84-'plans (27122022)'!CY83</f>
        <v>0</v>
      </c>
      <c r="CZ84" s="110">
        <f t="shared" si="22"/>
        <v>13.600000000000001</v>
      </c>
      <c r="DA84" s="111">
        <f t="shared" si="21"/>
        <v>0</v>
      </c>
      <c r="DB84" s="176">
        <f>(CZ84/4343)*100</f>
        <v>0.31314759382915036</v>
      </c>
      <c r="DC84" s="401">
        <f>(DA84/4343)*100</f>
        <v>0</v>
      </c>
      <c r="DD84" s="102">
        <f t="shared" si="23"/>
        <v>173</v>
      </c>
      <c r="DE84" s="102">
        <f t="shared" si="23"/>
        <v>0</v>
      </c>
      <c r="DF84" s="102" t="e">
        <f t="shared" si="23"/>
        <v>#VALUE!</v>
      </c>
      <c r="DG84" s="114" t="e">
        <f t="shared" si="23"/>
        <v>#VALUE!</v>
      </c>
      <c r="DH84" s="100">
        <f t="shared" si="23"/>
        <v>173</v>
      </c>
      <c r="DI84" s="97">
        <f t="shared" si="23"/>
        <v>0</v>
      </c>
      <c r="DJ84" s="97" t="e">
        <f t="shared" si="23"/>
        <v>#VALUE!</v>
      </c>
      <c r="DK84" s="97" t="e">
        <f t="shared" si="23"/>
        <v>#VALUE!</v>
      </c>
      <c r="DL84" s="100">
        <f t="shared" si="23"/>
        <v>0</v>
      </c>
      <c r="DM84" s="97">
        <f t="shared" si="23"/>
        <v>0</v>
      </c>
      <c r="DN84" s="97" t="e">
        <f t="shared" si="23"/>
        <v>#VALUE!</v>
      </c>
      <c r="DO84" s="115" t="e">
        <f t="shared" si="23"/>
        <v>#VALUE!</v>
      </c>
      <c r="DP84" s="376">
        <f t="shared" si="24"/>
        <v>13</v>
      </c>
      <c r="DQ84" s="377" t="e">
        <f t="shared" si="24"/>
        <v>#DIV/0!</v>
      </c>
      <c r="DR84" s="117">
        <f>PLĀNS_ar_grozījumiem!CF84-'plans (27122022)'!CF83</f>
        <v>0</v>
      </c>
      <c r="DS84" s="908">
        <f>DR84/'plans (27122022)'!CF83</f>
        <v>0</v>
      </c>
      <c r="DT84" s="104">
        <f>PLĀNS_ar_grozījumiem!CL84-'plans (27122022)'!CL83</f>
        <v>-20.5</v>
      </c>
      <c r="DU84" s="909">
        <f>DT84/'plans (27122022)'!CL83</f>
        <v>-5.8073654390934842E-2</v>
      </c>
      <c r="DV84" s="120"/>
      <c r="DW84" s="118">
        <f>PLĀNS_ar_grozījumiem!CM84-'plans (27122022)'!CM83</f>
        <v>0</v>
      </c>
      <c r="DX84" s="104">
        <f>PLĀNS_ar_grozījumiem!CP84-'plans (27122022)'!CP83</f>
        <v>-20.5</v>
      </c>
      <c r="DY84" s="909">
        <f>DX84/'plans (27122022)'!CP83</f>
        <v>-5.8073654390934842E-2</v>
      </c>
      <c r="DZ84" s="120"/>
      <c r="EA84" s="118"/>
      <c r="EB84" s="104">
        <f>PLĀNS_ar_grozījumiem!CT84-'plans (27122022)'!CT83</f>
        <v>0</v>
      </c>
      <c r="EC84" s="121"/>
      <c r="ED84" s="120"/>
      <c r="EE84" s="121"/>
      <c r="EF84" s="122">
        <f>PLĀNS_ar_grozījumiem!CX84-'plans (27122022)'!CX83</f>
        <v>-0.74007220216606306</v>
      </c>
      <c r="EG84" s="911">
        <f>EF84/'plans (27122022)'!CX83</f>
        <v>-5.8073654390934704E-2</v>
      </c>
    </row>
    <row r="85" spans="1:137" s="124" customFormat="1" ht="15.75" customHeight="1" x14ac:dyDescent="0.25">
      <c r="A85" s="1070"/>
      <c r="B85" s="90"/>
      <c r="C85" s="1024" t="s">
        <v>46</v>
      </c>
      <c r="D85" s="1005">
        <v>7</v>
      </c>
      <c r="E85" s="93"/>
      <c r="F85" s="93">
        <v>0.32422417786012042</v>
      </c>
      <c r="G85" s="93"/>
      <c r="H85" s="158" t="s">
        <v>44</v>
      </c>
      <c r="I85" s="159" t="s">
        <v>44</v>
      </c>
      <c r="J85" s="122">
        <v>85</v>
      </c>
      <c r="K85" s="101"/>
      <c r="L85" s="188" t="s">
        <v>44</v>
      </c>
      <c r="M85" s="189" t="s">
        <v>44</v>
      </c>
      <c r="N85" s="100">
        <v>85</v>
      </c>
      <c r="O85" s="97"/>
      <c r="P85" s="158" t="s">
        <v>44</v>
      </c>
      <c r="Q85" s="159" t="s">
        <v>44</v>
      </c>
      <c r="R85" s="100">
        <v>0</v>
      </c>
      <c r="S85" s="101"/>
      <c r="T85" s="158" t="s">
        <v>44</v>
      </c>
      <c r="U85" s="159" t="s">
        <v>44</v>
      </c>
      <c r="V85" s="104">
        <v>12</v>
      </c>
      <c r="W85" s="104"/>
      <c r="X85" s="92">
        <v>7.1</v>
      </c>
      <c r="Y85" s="93"/>
      <c r="Z85" s="93">
        <v>0.32509157509157505</v>
      </c>
      <c r="AA85" s="93"/>
      <c r="AB85" s="158" t="s">
        <v>44</v>
      </c>
      <c r="AC85" s="159" t="s">
        <v>44</v>
      </c>
      <c r="AD85" s="122">
        <v>92</v>
      </c>
      <c r="AE85" s="101"/>
      <c r="AF85" s="188" t="s">
        <v>44</v>
      </c>
      <c r="AG85" s="189" t="s">
        <v>44</v>
      </c>
      <c r="AH85" s="100">
        <v>92</v>
      </c>
      <c r="AI85" s="97"/>
      <c r="AJ85" s="158" t="s">
        <v>44</v>
      </c>
      <c r="AK85" s="159" t="s">
        <v>44</v>
      </c>
      <c r="AL85" s="100">
        <v>0</v>
      </c>
      <c r="AM85" s="101"/>
      <c r="AN85" s="158" t="s">
        <v>44</v>
      </c>
      <c r="AO85" s="159" t="s">
        <v>44</v>
      </c>
      <c r="AP85" s="104">
        <v>13</v>
      </c>
      <c r="AQ85" s="104"/>
      <c r="AR85" s="92">
        <v>7.2</v>
      </c>
      <c r="AS85" s="93">
        <f>PLĀNS_ar_grozījumiem!AS85-'plans (27122022)'!AS84</f>
        <v>0</v>
      </c>
      <c r="AT85" s="93">
        <f>PLĀNS_ar_grozījumiem!AT85-'plans (27122022)'!AT84</f>
        <v>-0.32282608695652176</v>
      </c>
      <c r="AU85" s="93">
        <f>PLĀNS_ar_grozījumiem!AU85-'plans (27122022)'!AU84</f>
        <v>0</v>
      </c>
      <c r="AV85" s="158" t="e">
        <f>PLĀNS_ar_grozījumiem!AV85-'plans (27122022)'!AV84</f>
        <v>#VALUE!</v>
      </c>
      <c r="AW85" s="159" t="e">
        <f>PLĀNS_ar_grozījumiem!AW85-'plans (27122022)'!AW84</f>
        <v>#VALUE!</v>
      </c>
      <c r="AX85" s="122">
        <f>PLĀNS_ar_grozījumiem!AX85-'plans (27122022)'!AX84</f>
        <v>0</v>
      </c>
      <c r="AY85" s="101">
        <f>PLĀNS_ar_grozījumiem!AY85-'plans (27122022)'!AY84</f>
        <v>0</v>
      </c>
      <c r="AZ85" s="188" t="e">
        <f>PLĀNS_ar_grozījumiem!AZ85-'plans (27122022)'!AZ84</f>
        <v>#VALUE!</v>
      </c>
      <c r="BA85" s="189" t="e">
        <f>PLĀNS_ar_grozījumiem!BA85-'plans (27122022)'!BA84</f>
        <v>#VALUE!</v>
      </c>
      <c r="BB85" s="100">
        <f>PLĀNS_ar_grozījumiem!BB85-'plans (27122022)'!BB84</f>
        <v>0</v>
      </c>
      <c r="BC85" s="97">
        <f>PLĀNS_ar_grozījumiem!BC85-'plans (27122022)'!BC84</f>
        <v>0</v>
      </c>
      <c r="BD85" s="158" t="e">
        <f>PLĀNS_ar_grozījumiem!BD85-'plans (27122022)'!BD84</f>
        <v>#VALUE!</v>
      </c>
      <c r="BE85" s="159" t="e">
        <f>PLĀNS_ar_grozījumiem!BE85-'plans (27122022)'!BE84</f>
        <v>#VALUE!</v>
      </c>
      <c r="BF85" s="100">
        <f>PLĀNS_ar_grozījumiem!BF85-'plans (27122022)'!BF84</f>
        <v>0</v>
      </c>
      <c r="BG85" s="101">
        <f>PLĀNS_ar_grozījumiem!BG85-'plans (27122022)'!BG84</f>
        <v>0</v>
      </c>
      <c r="BH85" s="158" t="e">
        <f>PLĀNS_ar_grozījumiem!BH85-'plans (27122022)'!BH84</f>
        <v>#VALUE!</v>
      </c>
      <c r="BI85" s="159" t="e">
        <f>PLĀNS_ar_grozījumiem!BI85-'plans (27122022)'!BI84</f>
        <v>#VALUE!</v>
      </c>
      <c r="BJ85" s="104">
        <f>PLĀNS_ar_grozījumiem!BJ85-'plans (27122022)'!BJ84</f>
        <v>-0.22222222222222321</v>
      </c>
      <c r="BK85" s="104">
        <f>PLĀNS_ar_grozījumiem!BK85-'plans (27122022)'!BK84</f>
        <v>0</v>
      </c>
      <c r="BL85" s="92">
        <f>PLĀNS_ar_grozījumiem!BL85-'plans (27122022)'!BL84</f>
        <v>-9.9999999999999645E-2</v>
      </c>
      <c r="BM85" s="93">
        <f>PLĀNS_ar_grozījumiem!BM85-'plans (27122022)'!BM84</f>
        <v>0</v>
      </c>
      <c r="BN85" s="93">
        <f>PLĀNS_ar_grozījumiem!BN85-'plans (27122022)'!BN84</f>
        <v>-0.32272521502942508</v>
      </c>
      <c r="BO85" s="93">
        <f>PLĀNS_ar_grozījumiem!BO85-'plans (27122022)'!BO84</f>
        <v>0</v>
      </c>
      <c r="BP85" s="158" t="e">
        <f>PLĀNS_ar_grozījumiem!BP85-'plans (27122022)'!BP84</f>
        <v>#VALUE!</v>
      </c>
      <c r="BQ85" s="159" t="e">
        <f>PLĀNS_ar_grozījumiem!BQ85-'plans (27122022)'!BQ84</f>
        <v>#VALUE!</v>
      </c>
      <c r="BR85" s="122">
        <f>PLĀNS_ar_grozījumiem!BR85-'plans (27122022)'!BR84</f>
        <v>-20</v>
      </c>
      <c r="BS85" s="101">
        <f>PLĀNS_ar_grozījumiem!BS85-'plans (27122022)'!BS84</f>
        <v>0</v>
      </c>
      <c r="BT85" s="188" t="e">
        <f>PLĀNS_ar_grozījumiem!BT85-'plans (27122022)'!BT84</f>
        <v>#VALUE!</v>
      </c>
      <c r="BU85" s="189" t="e">
        <f>PLĀNS_ar_grozījumiem!BU85-'plans (27122022)'!BU84</f>
        <v>#VALUE!</v>
      </c>
      <c r="BV85" s="100">
        <f>PLĀNS_ar_grozījumiem!BV85-'plans (27122022)'!BV84</f>
        <v>-20</v>
      </c>
      <c r="BW85" s="97">
        <f>PLĀNS_ar_grozījumiem!BW85-'plans (27122022)'!BW84</f>
        <v>0</v>
      </c>
      <c r="BX85" s="158" t="e">
        <f>PLĀNS_ar_grozījumiem!BX85-'plans (27122022)'!BX84</f>
        <v>#VALUE!</v>
      </c>
      <c r="BY85" s="159" t="e">
        <f>PLĀNS_ar_grozījumiem!BY85-'plans (27122022)'!BY84</f>
        <v>#VALUE!</v>
      </c>
      <c r="BZ85" s="100">
        <f>PLĀNS_ar_grozījumiem!BZ85-'plans (27122022)'!BZ84</f>
        <v>0</v>
      </c>
      <c r="CA85" s="101">
        <f>PLĀNS_ar_grozījumiem!CA85-'plans (27122022)'!CA84</f>
        <v>0</v>
      </c>
      <c r="CB85" s="158" t="e">
        <f>PLĀNS_ar_grozījumiem!CB85-'plans (27122022)'!CB84</f>
        <v>#VALUE!</v>
      </c>
      <c r="CC85" s="159" t="e">
        <f>PLĀNS_ar_grozījumiem!CC85-'plans (27122022)'!CC84</f>
        <v>#VALUE!</v>
      </c>
      <c r="CD85" s="104">
        <f>PLĀNS_ar_grozījumiem!CD85-'plans (27122022)'!CD84</f>
        <v>-2.71830985915493</v>
      </c>
      <c r="CE85" s="104">
        <f>PLĀNS_ar_grozījumiem!CE85-'plans (27122022)'!CE84</f>
        <v>0</v>
      </c>
      <c r="CF85" s="103">
        <f>PLĀNS_ar_grozījumiem!CF85-'plans (27122022)'!CF84</f>
        <v>-0.10000000000000142</v>
      </c>
      <c r="CG85" s="102">
        <f>PLĀNS_ar_grozījumiem!CG85-'plans (27122022)'!CG84</f>
        <v>0</v>
      </c>
      <c r="CH85" s="93">
        <f>PLĀNS_ar_grozījumiem!CH85-'plans (27122022)'!CH84</f>
        <v>-0.32210045662100462</v>
      </c>
      <c r="CI85" s="179">
        <f>PLĀNS_ar_grozījumiem!CI85-'plans (27122022)'!CI84</f>
        <v>0</v>
      </c>
      <c r="CJ85" s="188" t="e">
        <f>PLĀNS_ar_grozījumiem!CJ85-'plans (27122022)'!CJ84</f>
        <v>#VALUE!</v>
      </c>
      <c r="CK85" s="189" t="e">
        <f>PLĀNS_ar_grozījumiem!CK85-'plans (27122022)'!CK84</f>
        <v>#VALUE!</v>
      </c>
      <c r="CL85" s="100">
        <f>PLĀNS_ar_grozījumiem!CL85-'plans (27122022)'!CL84</f>
        <v>-20</v>
      </c>
      <c r="CM85" s="107">
        <f>PLĀNS_ar_grozījumiem!CM85-'plans (27122022)'!CM84</f>
        <v>0</v>
      </c>
      <c r="CN85" s="190" t="e">
        <f>PLĀNS_ar_grozījumiem!CN85-'plans (27122022)'!CN84</f>
        <v>#VALUE!</v>
      </c>
      <c r="CO85" s="189" t="e">
        <f>PLĀNS_ar_grozījumiem!CO85-'plans (27122022)'!CO84</f>
        <v>#VALUE!</v>
      </c>
      <c r="CP85" s="102">
        <f>PLĀNS_ar_grozījumiem!CP85-'plans (27122022)'!CP84</f>
        <v>-20</v>
      </c>
      <c r="CQ85" s="97">
        <f>PLĀNS_ar_grozījumiem!CQ85-'plans (27122022)'!CQ84</f>
        <v>0</v>
      </c>
      <c r="CR85" s="188" t="e">
        <f>PLĀNS_ar_grozījumiem!CR85-'plans (27122022)'!CR84</f>
        <v>#VALUE!</v>
      </c>
      <c r="CS85" s="189" t="e">
        <f>PLĀNS_ar_grozījumiem!CS85-'plans (27122022)'!CS84</f>
        <v>#VALUE!</v>
      </c>
      <c r="CT85" s="100">
        <f>PLĀNS_ar_grozījumiem!CT85-'plans (27122022)'!CT84</f>
        <v>0</v>
      </c>
      <c r="CU85" s="97">
        <f>PLĀNS_ar_grozījumiem!CU85-'plans (27122022)'!CU84</f>
        <v>0</v>
      </c>
      <c r="CV85" s="188" t="e">
        <f>PLĀNS_ar_grozījumiem!CV85-'plans (27122022)'!CV84</f>
        <v>#VALUE!</v>
      </c>
      <c r="CW85" s="189" t="e">
        <f>PLĀNS_ar_grozījumiem!CW85-'plans (27122022)'!CW84</f>
        <v>#VALUE!</v>
      </c>
      <c r="CX85" s="100">
        <f>PLĀNS_ar_grozījumiem!CX85-'plans (27122022)'!CX84</f>
        <v>-0.65950086483815085</v>
      </c>
      <c r="CY85" s="174">
        <f>PLĀNS_ar_grozījumiem!CY85-'plans (27122022)'!CY84</f>
        <v>0</v>
      </c>
      <c r="CZ85" s="110">
        <f t="shared" si="22"/>
        <v>14.1</v>
      </c>
      <c r="DA85" s="111">
        <f t="shared" si="21"/>
        <v>0</v>
      </c>
      <c r="DB85" s="176">
        <f t="shared" ref="DB85:DC88" si="27">(CZ85/4343)*100</f>
        <v>0.3246603730140456</v>
      </c>
      <c r="DC85" s="401">
        <f t="shared" si="27"/>
        <v>0</v>
      </c>
      <c r="DD85" s="102">
        <f t="shared" si="23"/>
        <v>177</v>
      </c>
      <c r="DE85" s="102">
        <f t="shared" si="23"/>
        <v>0</v>
      </c>
      <c r="DF85" s="102" t="e">
        <f t="shared" si="23"/>
        <v>#VALUE!</v>
      </c>
      <c r="DG85" s="114" t="e">
        <f t="shared" si="23"/>
        <v>#VALUE!</v>
      </c>
      <c r="DH85" s="100">
        <f t="shared" si="23"/>
        <v>177</v>
      </c>
      <c r="DI85" s="97">
        <f t="shared" si="23"/>
        <v>0</v>
      </c>
      <c r="DJ85" s="97" t="e">
        <f t="shared" si="23"/>
        <v>#VALUE!</v>
      </c>
      <c r="DK85" s="97" t="e">
        <f t="shared" si="23"/>
        <v>#VALUE!</v>
      </c>
      <c r="DL85" s="100">
        <f t="shared" si="23"/>
        <v>0</v>
      </c>
      <c r="DM85" s="97">
        <f t="shared" si="23"/>
        <v>0</v>
      </c>
      <c r="DN85" s="97" t="e">
        <f t="shared" si="23"/>
        <v>#VALUE!</v>
      </c>
      <c r="DO85" s="115" t="e">
        <f t="shared" si="23"/>
        <v>#VALUE!</v>
      </c>
      <c r="DP85" s="376">
        <f t="shared" si="24"/>
        <v>13</v>
      </c>
      <c r="DQ85" s="377" t="e">
        <f t="shared" si="24"/>
        <v>#DIV/0!</v>
      </c>
      <c r="DR85" s="117">
        <f>PLĀNS_ar_grozījumiem!CF85-'plans (27122022)'!CF84</f>
        <v>-0.10000000000000142</v>
      </c>
      <c r="DS85" s="908">
        <f>DR85/'plans (27122022)'!CF84</f>
        <v>-3.5087719298246113E-3</v>
      </c>
      <c r="DT85" s="104">
        <f>PLĀNS_ar_grozījumiem!CL85-'plans (27122022)'!CL84</f>
        <v>-20</v>
      </c>
      <c r="DU85" s="909">
        <f>DT85/'plans (27122022)'!CL84</f>
        <v>-5.5248618784530384E-2</v>
      </c>
      <c r="DV85" s="120"/>
      <c r="DW85" s="118">
        <f>PLĀNS_ar_grozījumiem!CM85-'plans (27122022)'!CM84</f>
        <v>0</v>
      </c>
      <c r="DX85" s="104">
        <f>PLĀNS_ar_grozījumiem!CP85-'plans (27122022)'!CP84</f>
        <v>-20</v>
      </c>
      <c r="DY85" s="909">
        <f>DX85/'plans (27122022)'!CP84</f>
        <v>-5.5248618784530384E-2</v>
      </c>
      <c r="DZ85" s="120"/>
      <c r="EA85" s="118"/>
      <c r="EB85" s="104">
        <f>PLĀNS_ar_grozījumiem!CT85-'plans (27122022)'!CT84</f>
        <v>0</v>
      </c>
      <c r="EC85" s="121"/>
      <c r="ED85" s="120"/>
      <c r="EE85" s="121"/>
      <c r="EF85" s="122">
        <f>PLĀNS_ar_grozījumiem!CX85-'plans (27122022)'!CX84</f>
        <v>-0.65950086483815085</v>
      </c>
      <c r="EG85" s="911">
        <f>EF85/'plans (27122022)'!CX84</f>
        <v>-5.1922029414053314E-2</v>
      </c>
    </row>
    <row r="86" spans="1:137" s="124" customFormat="1" ht="15.75" customHeight="1" x14ac:dyDescent="0.25">
      <c r="A86" s="1070"/>
      <c r="B86" s="90"/>
      <c r="C86" s="1024" t="s">
        <v>47</v>
      </c>
      <c r="D86" s="1005">
        <v>6.9</v>
      </c>
      <c r="E86" s="93"/>
      <c r="F86" s="93">
        <v>0.3195924038906901</v>
      </c>
      <c r="G86" s="93"/>
      <c r="H86" s="158" t="s">
        <v>44</v>
      </c>
      <c r="I86" s="159" t="s">
        <v>44</v>
      </c>
      <c r="J86" s="122">
        <v>84</v>
      </c>
      <c r="K86" s="101"/>
      <c r="L86" s="188" t="s">
        <v>44</v>
      </c>
      <c r="M86" s="189" t="s">
        <v>44</v>
      </c>
      <c r="N86" s="100">
        <v>84</v>
      </c>
      <c r="O86" s="97"/>
      <c r="P86" s="158" t="s">
        <v>44</v>
      </c>
      <c r="Q86" s="159" t="s">
        <v>44</v>
      </c>
      <c r="R86" s="100">
        <v>0</v>
      </c>
      <c r="S86" s="97"/>
      <c r="T86" s="158" t="s">
        <v>44</v>
      </c>
      <c r="U86" s="159" t="s">
        <v>44</v>
      </c>
      <c r="V86" s="104">
        <v>12</v>
      </c>
      <c r="W86" s="104"/>
      <c r="X86" s="92">
        <v>6.9</v>
      </c>
      <c r="Y86" s="93"/>
      <c r="Z86" s="93">
        <v>0.31593406593406592</v>
      </c>
      <c r="AA86" s="93"/>
      <c r="AB86" s="158" t="s">
        <v>44</v>
      </c>
      <c r="AC86" s="159" t="s">
        <v>44</v>
      </c>
      <c r="AD86" s="122">
        <v>89</v>
      </c>
      <c r="AE86" s="101"/>
      <c r="AF86" s="188" t="s">
        <v>44</v>
      </c>
      <c r="AG86" s="189" t="s">
        <v>44</v>
      </c>
      <c r="AH86" s="100">
        <v>89</v>
      </c>
      <c r="AI86" s="97"/>
      <c r="AJ86" s="158" t="s">
        <v>44</v>
      </c>
      <c r="AK86" s="159" t="s">
        <v>44</v>
      </c>
      <c r="AL86" s="100">
        <v>0</v>
      </c>
      <c r="AM86" s="97"/>
      <c r="AN86" s="158" t="s">
        <v>44</v>
      </c>
      <c r="AO86" s="159" t="s">
        <v>44</v>
      </c>
      <c r="AP86" s="104">
        <v>13</v>
      </c>
      <c r="AQ86" s="104"/>
      <c r="AR86" s="92">
        <v>6.9</v>
      </c>
      <c r="AS86" s="93">
        <f>PLĀNS_ar_grozījumiem!AS86-'plans (27122022)'!AS85</f>
        <v>0</v>
      </c>
      <c r="AT86" s="93">
        <f>PLĀNS_ar_grozījumiem!AT86-'plans (27122022)'!AT85</f>
        <v>-0.30960144927536232</v>
      </c>
      <c r="AU86" s="93">
        <f>PLĀNS_ar_grozījumiem!AU86-'plans (27122022)'!AU85</f>
        <v>0</v>
      </c>
      <c r="AV86" s="158" t="e">
        <f>PLĀNS_ar_grozījumiem!AV86-'plans (27122022)'!AV85</f>
        <v>#VALUE!</v>
      </c>
      <c r="AW86" s="159" t="e">
        <f>PLĀNS_ar_grozījumiem!AW86-'plans (27122022)'!AW85</f>
        <v>#VALUE!</v>
      </c>
      <c r="AX86" s="122">
        <f>PLĀNS_ar_grozījumiem!AX86-'plans (27122022)'!AX85</f>
        <v>0</v>
      </c>
      <c r="AY86" s="101">
        <f>PLĀNS_ar_grozījumiem!AY86-'plans (27122022)'!AY85</f>
        <v>0</v>
      </c>
      <c r="AZ86" s="188" t="e">
        <f>PLĀNS_ar_grozījumiem!AZ86-'plans (27122022)'!AZ85</f>
        <v>#VALUE!</v>
      </c>
      <c r="BA86" s="189" t="e">
        <f>PLĀNS_ar_grozījumiem!BA86-'plans (27122022)'!BA85</f>
        <v>#VALUE!</v>
      </c>
      <c r="BB86" s="100">
        <f>PLĀNS_ar_grozījumiem!BB86-'plans (27122022)'!BB85</f>
        <v>0</v>
      </c>
      <c r="BC86" s="97">
        <f>PLĀNS_ar_grozījumiem!BC86-'plans (27122022)'!BC85</f>
        <v>0</v>
      </c>
      <c r="BD86" s="158" t="e">
        <f>PLĀNS_ar_grozījumiem!BD86-'plans (27122022)'!BD85</f>
        <v>#VALUE!</v>
      </c>
      <c r="BE86" s="159" t="e">
        <f>PLĀNS_ar_grozījumiem!BE86-'plans (27122022)'!BE85</f>
        <v>#VALUE!</v>
      </c>
      <c r="BF86" s="100">
        <f>PLĀNS_ar_grozījumiem!BF86-'plans (27122022)'!BF85</f>
        <v>0</v>
      </c>
      <c r="BG86" s="97">
        <f>PLĀNS_ar_grozījumiem!BG86-'plans (27122022)'!BG85</f>
        <v>0</v>
      </c>
      <c r="BH86" s="158" t="e">
        <f>PLĀNS_ar_grozījumiem!BH86-'plans (27122022)'!BH85</f>
        <v>#VALUE!</v>
      </c>
      <c r="BI86" s="159" t="e">
        <f>PLĀNS_ar_grozījumiem!BI86-'plans (27122022)'!BI85</f>
        <v>#VALUE!</v>
      </c>
      <c r="BJ86" s="104">
        <f>PLĀNS_ar_grozījumiem!BJ86-'plans (27122022)'!BJ85</f>
        <v>1.21875</v>
      </c>
      <c r="BK86" s="104">
        <f>PLĀNS_ar_grozījumiem!BK86-'plans (27122022)'!BK85</f>
        <v>0</v>
      </c>
      <c r="BL86" s="92">
        <f>PLĀNS_ar_grozījumiem!BL86-'plans (27122022)'!BL85</f>
        <v>0.40000000000000036</v>
      </c>
      <c r="BM86" s="93">
        <f>PLĀNS_ar_grozījumiem!BM86-'plans (27122022)'!BM85</f>
        <v>0</v>
      </c>
      <c r="BN86" s="93">
        <f>PLĀNS_ar_grozījumiem!BN86-'plans (27122022)'!BN85</f>
        <v>-0.31353553644182891</v>
      </c>
      <c r="BO86" s="93">
        <f>PLĀNS_ar_grozījumiem!BO86-'plans (27122022)'!BO85</f>
        <v>0</v>
      </c>
      <c r="BP86" s="158" t="e">
        <f>PLĀNS_ar_grozījumiem!BP86-'plans (27122022)'!BP85</f>
        <v>#VALUE!</v>
      </c>
      <c r="BQ86" s="159" t="e">
        <f>PLĀNS_ar_grozījumiem!BQ86-'plans (27122022)'!BQ85</f>
        <v>#VALUE!</v>
      </c>
      <c r="BR86" s="122">
        <f>PLĀNS_ar_grozījumiem!BR86-'plans (27122022)'!BR85</f>
        <v>-18</v>
      </c>
      <c r="BS86" s="101">
        <f>PLĀNS_ar_grozījumiem!BS86-'plans (27122022)'!BS85</f>
        <v>0</v>
      </c>
      <c r="BT86" s="188" t="e">
        <f>PLĀNS_ar_grozījumiem!BT86-'plans (27122022)'!BT85</f>
        <v>#VALUE!</v>
      </c>
      <c r="BU86" s="189" t="e">
        <f>PLĀNS_ar_grozījumiem!BU86-'plans (27122022)'!BU85</f>
        <v>#VALUE!</v>
      </c>
      <c r="BV86" s="100">
        <f>PLĀNS_ar_grozījumiem!BV86-'plans (27122022)'!BV85</f>
        <v>-18</v>
      </c>
      <c r="BW86" s="97">
        <f>PLĀNS_ar_grozījumiem!BW86-'plans (27122022)'!BW85</f>
        <v>0</v>
      </c>
      <c r="BX86" s="158" t="e">
        <f>PLĀNS_ar_grozījumiem!BX86-'plans (27122022)'!BX85</f>
        <v>#VALUE!</v>
      </c>
      <c r="BY86" s="159" t="e">
        <f>PLĀNS_ar_grozījumiem!BY86-'plans (27122022)'!BY85</f>
        <v>#VALUE!</v>
      </c>
      <c r="BZ86" s="100">
        <f>PLĀNS_ar_grozījumiem!BZ86-'plans (27122022)'!BZ85</f>
        <v>0</v>
      </c>
      <c r="CA86" s="97">
        <f>PLĀNS_ar_grozījumiem!CA86-'plans (27122022)'!CA85</f>
        <v>0</v>
      </c>
      <c r="CB86" s="158" t="e">
        <f>PLĀNS_ar_grozījumiem!CB86-'plans (27122022)'!CB85</f>
        <v>#VALUE!</v>
      </c>
      <c r="CC86" s="159" t="e">
        <f>PLĀNS_ar_grozījumiem!CC86-'plans (27122022)'!CC85</f>
        <v>#VALUE!</v>
      </c>
      <c r="CD86" s="104">
        <f>PLĀNS_ar_grozījumiem!CD86-'plans (27122022)'!CD85</f>
        <v>-3</v>
      </c>
      <c r="CE86" s="104">
        <f>PLĀNS_ar_grozījumiem!CE86-'plans (27122022)'!CE85</f>
        <v>0</v>
      </c>
      <c r="CF86" s="103">
        <f>PLĀNS_ar_grozījumiem!CF86-'plans (27122022)'!CF85</f>
        <v>-0.10000000000000142</v>
      </c>
      <c r="CG86" s="102">
        <f>PLĀNS_ar_grozījumiem!CG86-'plans (27122022)'!CG85</f>
        <v>0</v>
      </c>
      <c r="CH86" s="93">
        <f>PLĀNS_ar_grozījumiem!CH86-'plans (27122022)'!CH85</f>
        <v>-0.31305936073059365</v>
      </c>
      <c r="CI86" s="179">
        <f>PLĀNS_ar_grozījumiem!CI86-'plans (27122022)'!CI85</f>
        <v>0</v>
      </c>
      <c r="CJ86" s="188" t="e">
        <f>PLĀNS_ar_grozījumiem!CJ86-'plans (27122022)'!CJ85</f>
        <v>#VALUE!</v>
      </c>
      <c r="CK86" s="189" t="e">
        <f>PLĀNS_ar_grozījumiem!CK86-'plans (27122022)'!CK85</f>
        <v>#VALUE!</v>
      </c>
      <c r="CL86" s="100">
        <f>PLĀNS_ar_grozījumiem!CL86-'plans (27122022)'!CL85</f>
        <v>-18</v>
      </c>
      <c r="CM86" s="107">
        <f>PLĀNS_ar_grozījumiem!CM86-'plans (27122022)'!CM85</f>
        <v>0</v>
      </c>
      <c r="CN86" s="190" t="e">
        <f>PLĀNS_ar_grozījumiem!CN86-'plans (27122022)'!CN85</f>
        <v>#VALUE!</v>
      </c>
      <c r="CO86" s="189" t="e">
        <f>PLĀNS_ar_grozījumiem!CO86-'plans (27122022)'!CO85</f>
        <v>#VALUE!</v>
      </c>
      <c r="CP86" s="102">
        <f>PLĀNS_ar_grozījumiem!CP86-'plans (27122022)'!CP85</f>
        <v>-18</v>
      </c>
      <c r="CQ86" s="97">
        <f>PLĀNS_ar_grozījumiem!CQ86-'plans (27122022)'!CQ85</f>
        <v>0</v>
      </c>
      <c r="CR86" s="188" t="e">
        <f>PLĀNS_ar_grozījumiem!CR86-'plans (27122022)'!CR85</f>
        <v>#VALUE!</v>
      </c>
      <c r="CS86" s="189" t="e">
        <f>PLĀNS_ar_grozījumiem!CS86-'plans (27122022)'!CS85</f>
        <v>#VALUE!</v>
      </c>
      <c r="CT86" s="100">
        <f>PLĀNS_ar_grozījumiem!CT86-'plans (27122022)'!CT85</f>
        <v>0</v>
      </c>
      <c r="CU86" s="97">
        <f>PLĀNS_ar_grozījumiem!CU86-'plans (27122022)'!CU85</f>
        <v>0</v>
      </c>
      <c r="CV86" s="188" t="e">
        <f>PLĀNS_ar_grozījumiem!CV86-'plans (27122022)'!CV85</f>
        <v>#VALUE!</v>
      </c>
      <c r="CW86" s="189" t="e">
        <f>PLĀNS_ar_grozījumiem!CW86-'plans (27122022)'!CW85</f>
        <v>#VALUE!</v>
      </c>
      <c r="CX86" s="100">
        <f>PLĀNS_ar_grozījumiem!CX86-'plans (27122022)'!CX85</f>
        <v>-0.6056087479725818</v>
      </c>
      <c r="CY86" s="174">
        <f>PLĀNS_ar_grozījumiem!CY86-'plans (27122022)'!CY85</f>
        <v>0</v>
      </c>
      <c r="CZ86" s="110">
        <f t="shared" si="22"/>
        <v>13.8</v>
      </c>
      <c r="DA86" s="111">
        <f t="shared" si="21"/>
        <v>0</v>
      </c>
      <c r="DB86" s="176">
        <f t="shared" si="27"/>
        <v>0.31775270550310847</v>
      </c>
      <c r="DC86" s="401">
        <f t="shared" si="27"/>
        <v>0</v>
      </c>
      <c r="DD86" s="102">
        <f t="shared" si="23"/>
        <v>173</v>
      </c>
      <c r="DE86" s="102">
        <f t="shared" si="23"/>
        <v>0</v>
      </c>
      <c r="DF86" s="102" t="e">
        <f t="shared" si="23"/>
        <v>#VALUE!</v>
      </c>
      <c r="DG86" s="114" t="e">
        <f t="shared" si="23"/>
        <v>#VALUE!</v>
      </c>
      <c r="DH86" s="100">
        <f t="shared" si="23"/>
        <v>173</v>
      </c>
      <c r="DI86" s="97">
        <f t="shared" si="23"/>
        <v>0</v>
      </c>
      <c r="DJ86" s="97" t="e">
        <f t="shared" si="23"/>
        <v>#VALUE!</v>
      </c>
      <c r="DK86" s="97" t="e">
        <f t="shared" si="23"/>
        <v>#VALUE!</v>
      </c>
      <c r="DL86" s="100">
        <f t="shared" si="23"/>
        <v>0</v>
      </c>
      <c r="DM86" s="97">
        <f t="shared" si="23"/>
        <v>0</v>
      </c>
      <c r="DN86" s="97" t="e">
        <f t="shared" si="23"/>
        <v>#VALUE!</v>
      </c>
      <c r="DO86" s="115" t="e">
        <f t="shared" si="23"/>
        <v>#VALUE!</v>
      </c>
      <c r="DP86" s="376">
        <f t="shared" si="24"/>
        <v>13</v>
      </c>
      <c r="DQ86" s="377" t="e">
        <f t="shared" si="24"/>
        <v>#DIV/0!</v>
      </c>
      <c r="DR86" s="117">
        <f>PLĀNS_ar_grozījumiem!CF86-'plans (27122022)'!CF85</f>
        <v>-0.10000000000000142</v>
      </c>
      <c r="DS86" s="908">
        <f>DR86/'plans (27122022)'!CF85</f>
        <v>-3.6101083032491483E-3</v>
      </c>
      <c r="DT86" s="104">
        <f>PLĀNS_ar_grozījumiem!CL86-'plans (27122022)'!CL85</f>
        <v>-18</v>
      </c>
      <c r="DU86" s="909">
        <f>DT86/'plans (27122022)'!CL85</f>
        <v>-5.0561797752808987E-2</v>
      </c>
      <c r="DV86" s="120"/>
      <c r="DW86" s="118">
        <f>PLĀNS_ar_grozījumiem!CM86-'plans (27122022)'!CM85</f>
        <v>0</v>
      </c>
      <c r="DX86" s="104">
        <f>PLĀNS_ar_grozījumiem!CP86-'plans (27122022)'!CP85</f>
        <v>-18</v>
      </c>
      <c r="DY86" s="909">
        <f>DX86/'plans (27122022)'!CP85</f>
        <v>-5.0561797752808987E-2</v>
      </c>
      <c r="DZ86" s="120"/>
      <c r="EA86" s="118"/>
      <c r="EB86" s="104">
        <f>PLĀNS_ar_grozījumiem!CT86-'plans (27122022)'!CT85</f>
        <v>0</v>
      </c>
      <c r="EC86" s="121"/>
      <c r="ED86" s="120"/>
      <c r="EE86" s="121"/>
      <c r="EF86" s="122">
        <f>PLĀNS_ar_grozījumiem!CX86-'plans (27122022)'!CX85</f>
        <v>-0.6056087479725818</v>
      </c>
      <c r="EG86" s="911">
        <f>EF86/'plans (27122022)'!CX85</f>
        <v>-4.7121804266405949E-2</v>
      </c>
    </row>
    <row r="87" spans="1:137" ht="15.75" customHeight="1" x14ac:dyDescent="0.25">
      <c r="A87" s="1070"/>
      <c r="B87" s="169"/>
      <c r="C87" s="1024" t="s">
        <v>48</v>
      </c>
      <c r="D87" s="1005">
        <v>3.7</v>
      </c>
      <c r="E87" s="93"/>
      <c r="F87" s="93">
        <v>0.17137563686892079</v>
      </c>
      <c r="G87" s="93"/>
      <c r="H87" s="158" t="s">
        <v>44</v>
      </c>
      <c r="I87" s="159" t="s">
        <v>44</v>
      </c>
      <c r="J87" s="122">
        <v>45</v>
      </c>
      <c r="K87" s="101"/>
      <c r="L87" s="188" t="s">
        <v>44</v>
      </c>
      <c r="M87" s="189" t="s">
        <v>44</v>
      </c>
      <c r="N87" s="100">
        <v>45</v>
      </c>
      <c r="O87" s="97"/>
      <c r="P87" s="158" t="s">
        <v>44</v>
      </c>
      <c r="Q87" s="159" t="s">
        <v>44</v>
      </c>
      <c r="R87" s="100">
        <v>0</v>
      </c>
      <c r="S87" s="97"/>
      <c r="T87" s="158" t="s">
        <v>44</v>
      </c>
      <c r="U87" s="159" t="s">
        <v>44</v>
      </c>
      <c r="V87" s="104">
        <v>12</v>
      </c>
      <c r="W87" s="104"/>
      <c r="X87" s="92">
        <v>3.7</v>
      </c>
      <c r="Y87" s="93"/>
      <c r="Z87" s="93">
        <v>0.16941391941391942</v>
      </c>
      <c r="AA87" s="93"/>
      <c r="AB87" s="158" t="s">
        <v>44</v>
      </c>
      <c r="AC87" s="159" t="s">
        <v>44</v>
      </c>
      <c r="AD87" s="122">
        <v>49</v>
      </c>
      <c r="AE87" s="101"/>
      <c r="AF87" s="188" t="s">
        <v>44</v>
      </c>
      <c r="AG87" s="189" t="s">
        <v>44</v>
      </c>
      <c r="AH87" s="100">
        <v>49</v>
      </c>
      <c r="AI87" s="97"/>
      <c r="AJ87" s="158" t="s">
        <v>44</v>
      </c>
      <c r="AK87" s="159" t="s">
        <v>44</v>
      </c>
      <c r="AL87" s="100">
        <v>0</v>
      </c>
      <c r="AM87" s="97"/>
      <c r="AN87" s="158" t="s">
        <v>44</v>
      </c>
      <c r="AO87" s="159" t="s">
        <v>44</v>
      </c>
      <c r="AP87" s="104">
        <v>13</v>
      </c>
      <c r="AQ87" s="104"/>
      <c r="AR87" s="92">
        <v>3.7</v>
      </c>
      <c r="AS87" s="93">
        <f>PLĀNS_ar_grozījumiem!AS87-'plans (27122022)'!AS86</f>
        <v>0</v>
      </c>
      <c r="AT87" s="93">
        <f>PLĀNS_ar_grozījumiem!AT87-'plans (27122022)'!AT86</f>
        <v>-0.16589673913043482</v>
      </c>
      <c r="AU87" s="93">
        <f>PLĀNS_ar_grozījumiem!AU87-'plans (27122022)'!AU86</f>
        <v>0</v>
      </c>
      <c r="AV87" s="158" t="e">
        <f>PLĀNS_ar_grozījumiem!AV87-'plans (27122022)'!AV86</f>
        <v>#VALUE!</v>
      </c>
      <c r="AW87" s="159" t="e">
        <f>PLĀNS_ar_grozījumiem!AW87-'plans (27122022)'!AW86</f>
        <v>#VALUE!</v>
      </c>
      <c r="AX87" s="122">
        <f>PLĀNS_ar_grozījumiem!AX87-'plans (27122022)'!AX86</f>
        <v>0</v>
      </c>
      <c r="AY87" s="101">
        <f>PLĀNS_ar_grozījumiem!AY87-'plans (27122022)'!AY86</f>
        <v>0</v>
      </c>
      <c r="AZ87" s="188" t="e">
        <f>PLĀNS_ar_grozījumiem!AZ87-'plans (27122022)'!AZ86</f>
        <v>#VALUE!</v>
      </c>
      <c r="BA87" s="189" t="e">
        <f>PLĀNS_ar_grozījumiem!BA87-'plans (27122022)'!BA86</f>
        <v>#VALUE!</v>
      </c>
      <c r="BB87" s="100">
        <f>PLĀNS_ar_grozījumiem!BB87-'plans (27122022)'!BB86</f>
        <v>0</v>
      </c>
      <c r="BC87" s="97">
        <f>PLĀNS_ar_grozījumiem!BC87-'plans (27122022)'!BC86</f>
        <v>0</v>
      </c>
      <c r="BD87" s="158" t="e">
        <f>PLĀNS_ar_grozījumiem!BD87-'plans (27122022)'!BD86</f>
        <v>#VALUE!</v>
      </c>
      <c r="BE87" s="159" t="e">
        <f>PLĀNS_ar_grozījumiem!BE87-'plans (27122022)'!BE86</f>
        <v>#VALUE!</v>
      </c>
      <c r="BF87" s="100">
        <f>PLĀNS_ar_grozījumiem!BF87-'plans (27122022)'!BF86</f>
        <v>0</v>
      </c>
      <c r="BG87" s="97">
        <f>PLĀNS_ar_grozījumiem!BG87-'plans (27122022)'!BG86</f>
        <v>0</v>
      </c>
      <c r="BH87" s="158" t="e">
        <f>PLĀNS_ar_grozījumiem!BH87-'plans (27122022)'!BH86</f>
        <v>#VALUE!</v>
      </c>
      <c r="BI87" s="159" t="e">
        <f>PLĀNS_ar_grozījumiem!BI87-'plans (27122022)'!BI86</f>
        <v>#VALUE!</v>
      </c>
      <c r="BJ87" s="104">
        <f>PLĀNS_ar_grozījumiem!BJ87-'plans (27122022)'!BJ86</f>
        <v>-2.7027027027028083E-2</v>
      </c>
      <c r="BK87" s="104">
        <f>PLĀNS_ar_grozījumiem!BK87-'plans (27122022)'!BK86</f>
        <v>0</v>
      </c>
      <c r="BL87" s="92">
        <f>PLĀNS_ar_grozījumiem!BL87-'plans (27122022)'!BL86</f>
        <v>0.29999999999999982</v>
      </c>
      <c r="BM87" s="93">
        <f>PLĀNS_ar_grozījumiem!BM87-'plans (27122022)'!BM86</f>
        <v>0</v>
      </c>
      <c r="BN87" s="93">
        <f>PLĀNS_ar_grozījumiem!BN87-'plans (27122022)'!BN86</f>
        <v>-0.16568583069262111</v>
      </c>
      <c r="BO87" s="93">
        <f>PLĀNS_ar_grozījumiem!BO87-'plans (27122022)'!BO86</f>
        <v>0</v>
      </c>
      <c r="BP87" s="158" t="e">
        <f>PLĀNS_ar_grozījumiem!BP87-'plans (27122022)'!BP86</f>
        <v>#VALUE!</v>
      </c>
      <c r="BQ87" s="159" t="e">
        <f>PLĀNS_ar_grozījumiem!BQ87-'plans (27122022)'!BQ86</f>
        <v>#VALUE!</v>
      </c>
      <c r="BR87" s="122">
        <f>PLĀNS_ar_grozījumiem!BR87-'plans (27122022)'!BR86</f>
        <v>-7</v>
      </c>
      <c r="BS87" s="101">
        <f>PLĀNS_ar_grozījumiem!BS87-'plans (27122022)'!BS86</f>
        <v>0</v>
      </c>
      <c r="BT87" s="188" t="e">
        <f>PLĀNS_ar_grozījumiem!BT87-'plans (27122022)'!BT86</f>
        <v>#VALUE!</v>
      </c>
      <c r="BU87" s="189" t="e">
        <f>PLĀNS_ar_grozījumiem!BU87-'plans (27122022)'!BU86</f>
        <v>#VALUE!</v>
      </c>
      <c r="BV87" s="100">
        <f>PLĀNS_ar_grozījumiem!BV87-'plans (27122022)'!BV86</f>
        <v>-7</v>
      </c>
      <c r="BW87" s="97">
        <f>PLĀNS_ar_grozījumiem!BW87-'plans (27122022)'!BW86</f>
        <v>0</v>
      </c>
      <c r="BX87" s="158" t="e">
        <f>PLĀNS_ar_grozījumiem!BX87-'plans (27122022)'!BX86</f>
        <v>#VALUE!</v>
      </c>
      <c r="BY87" s="159" t="e">
        <f>PLĀNS_ar_grozījumiem!BY87-'plans (27122022)'!BY86</f>
        <v>#VALUE!</v>
      </c>
      <c r="BZ87" s="100">
        <f>PLĀNS_ar_grozījumiem!BZ87-'plans (27122022)'!BZ86</f>
        <v>0</v>
      </c>
      <c r="CA87" s="97">
        <f>PLĀNS_ar_grozījumiem!CA87-'plans (27122022)'!CA86</f>
        <v>0</v>
      </c>
      <c r="CB87" s="158" t="e">
        <f>PLĀNS_ar_grozījumiem!CB87-'plans (27122022)'!CB86</f>
        <v>#VALUE!</v>
      </c>
      <c r="CC87" s="159" t="e">
        <f>PLĀNS_ar_grozījumiem!CC87-'plans (27122022)'!CC86</f>
        <v>#VALUE!</v>
      </c>
      <c r="CD87" s="104">
        <f>PLĀNS_ar_grozījumiem!CD87-'plans (27122022)'!CD86</f>
        <v>-2.5</v>
      </c>
      <c r="CE87" s="104">
        <f>PLĀNS_ar_grozījumiem!CE87-'plans (27122022)'!CE86</f>
        <v>0</v>
      </c>
      <c r="CF87" s="103">
        <f>PLĀNS_ar_grozījumiem!CF87-'plans (27122022)'!CF86</f>
        <v>0.30000000000000071</v>
      </c>
      <c r="CG87" s="102">
        <f>PLĀNS_ar_grozījumiem!CG87-'plans (27122022)'!CG86</f>
        <v>0</v>
      </c>
      <c r="CH87" s="93">
        <f>PLĀNS_ar_grozījumiem!CH87-'plans (27122022)'!CH86</f>
        <v>-0.16722602739726028</v>
      </c>
      <c r="CI87" s="179">
        <f>PLĀNS_ar_grozījumiem!CI87-'plans (27122022)'!CI86</f>
        <v>0</v>
      </c>
      <c r="CJ87" s="188" t="e">
        <f>PLĀNS_ar_grozījumiem!CJ87-'plans (27122022)'!CJ86</f>
        <v>#VALUE!</v>
      </c>
      <c r="CK87" s="189" t="e">
        <f>PLĀNS_ar_grozījumiem!CK87-'plans (27122022)'!CK86</f>
        <v>#VALUE!</v>
      </c>
      <c r="CL87" s="100">
        <f>PLĀNS_ar_grozījumiem!CL87-'plans (27122022)'!CL86</f>
        <v>-7</v>
      </c>
      <c r="CM87" s="107">
        <f>PLĀNS_ar_grozījumiem!CM87-'plans (27122022)'!CM86</f>
        <v>0</v>
      </c>
      <c r="CN87" s="190" t="e">
        <f>PLĀNS_ar_grozījumiem!CN87-'plans (27122022)'!CN86</f>
        <v>#VALUE!</v>
      </c>
      <c r="CO87" s="189" t="e">
        <f>PLĀNS_ar_grozījumiem!CO87-'plans (27122022)'!CO86</f>
        <v>#VALUE!</v>
      </c>
      <c r="CP87" s="102">
        <f>PLĀNS_ar_grozījumiem!CP87-'plans (27122022)'!CP86</f>
        <v>-7</v>
      </c>
      <c r="CQ87" s="97">
        <f>PLĀNS_ar_grozījumiem!CQ87-'plans (27122022)'!CQ86</f>
        <v>0</v>
      </c>
      <c r="CR87" s="188" t="e">
        <f>PLĀNS_ar_grozījumiem!CR87-'plans (27122022)'!CR86</f>
        <v>#VALUE!</v>
      </c>
      <c r="CS87" s="189" t="e">
        <f>PLĀNS_ar_grozījumiem!CS87-'plans (27122022)'!CS86</f>
        <v>#VALUE!</v>
      </c>
      <c r="CT87" s="100">
        <f>PLĀNS_ar_grozījumiem!CT87-'plans (27122022)'!CT86</f>
        <v>0</v>
      </c>
      <c r="CU87" s="97">
        <f>PLĀNS_ar_grozījumiem!CU87-'plans (27122022)'!CU86</f>
        <v>0</v>
      </c>
      <c r="CV87" s="188" t="e">
        <f>PLĀNS_ar_grozījumiem!CV87-'plans (27122022)'!CV86</f>
        <v>#VALUE!</v>
      </c>
      <c r="CW87" s="189" t="e">
        <f>PLĀNS_ar_grozījumiem!CW87-'plans (27122022)'!CW86</f>
        <v>#VALUE!</v>
      </c>
      <c r="CX87" s="100">
        <f>PLĀNS_ar_grozījumiem!CX87-'plans (27122022)'!CX86</f>
        <v>-0.71997494182924804</v>
      </c>
      <c r="CY87" s="174">
        <f>PLĀNS_ar_grozījumiem!CY87-'plans (27122022)'!CY86</f>
        <v>0</v>
      </c>
      <c r="CZ87" s="110">
        <f t="shared" si="22"/>
        <v>7.4</v>
      </c>
      <c r="DA87" s="111">
        <f t="shared" si="21"/>
        <v>0</v>
      </c>
      <c r="DB87" s="176">
        <f t="shared" si="27"/>
        <v>0.17038913193644947</v>
      </c>
      <c r="DC87" s="401">
        <f t="shared" si="27"/>
        <v>0</v>
      </c>
      <c r="DD87" s="102">
        <f t="shared" si="23"/>
        <v>94</v>
      </c>
      <c r="DE87" s="102">
        <f t="shared" si="23"/>
        <v>0</v>
      </c>
      <c r="DF87" s="102" t="e">
        <f t="shared" si="23"/>
        <v>#VALUE!</v>
      </c>
      <c r="DG87" s="114" t="e">
        <f t="shared" si="23"/>
        <v>#VALUE!</v>
      </c>
      <c r="DH87" s="100">
        <f t="shared" si="23"/>
        <v>94</v>
      </c>
      <c r="DI87" s="97">
        <f t="shared" si="23"/>
        <v>0</v>
      </c>
      <c r="DJ87" s="97" t="e">
        <f t="shared" si="23"/>
        <v>#VALUE!</v>
      </c>
      <c r="DK87" s="97" t="e">
        <f t="shared" si="23"/>
        <v>#VALUE!</v>
      </c>
      <c r="DL87" s="100">
        <f t="shared" si="23"/>
        <v>0</v>
      </c>
      <c r="DM87" s="97">
        <f t="shared" si="23"/>
        <v>0</v>
      </c>
      <c r="DN87" s="97" t="e">
        <f t="shared" si="23"/>
        <v>#VALUE!</v>
      </c>
      <c r="DO87" s="115" t="e">
        <f t="shared" si="23"/>
        <v>#VALUE!</v>
      </c>
      <c r="DP87" s="376">
        <f t="shared" si="24"/>
        <v>13</v>
      </c>
      <c r="DQ87" s="377" t="e">
        <f t="shared" si="24"/>
        <v>#DIV/0!</v>
      </c>
      <c r="DR87" s="117">
        <f>PLĀNS_ar_grozījumiem!CF87-'plans (27122022)'!CF86</f>
        <v>0.30000000000000071</v>
      </c>
      <c r="DS87" s="908">
        <f>DR87/'plans (27122022)'!CF86</f>
        <v>2.0270270270270316E-2</v>
      </c>
      <c r="DT87" s="104">
        <f>PLĀNS_ar_grozījumiem!CL87-'plans (27122022)'!CL86</f>
        <v>-7</v>
      </c>
      <c r="DU87" s="909">
        <f>DT87/'plans (27122022)'!CL86</f>
        <v>-3.6649214659685861E-2</v>
      </c>
      <c r="DV87" s="120"/>
      <c r="DW87" s="118">
        <f>PLĀNS_ar_grozījumiem!CM87-'plans (27122022)'!CM86</f>
        <v>0</v>
      </c>
      <c r="DX87" s="104">
        <f>PLĀNS_ar_grozījumiem!CP87-'plans (27122022)'!CP86</f>
        <v>-7</v>
      </c>
      <c r="DY87" s="909">
        <f>DX87/'plans (27122022)'!CP86</f>
        <v>-3.6649214659685861E-2</v>
      </c>
      <c r="DZ87" s="120"/>
      <c r="EA87" s="118"/>
      <c r="EB87" s="104">
        <f>PLĀNS_ar_grozījumiem!CT87-'plans (27122022)'!CT86</f>
        <v>0</v>
      </c>
      <c r="EC87" s="121"/>
      <c r="ED87" s="120"/>
      <c r="EE87" s="121"/>
      <c r="EF87" s="122">
        <f>PLĀNS_ar_grozījumiem!CX87-'plans (27122022)'!CX86</f>
        <v>-0.71997494182924804</v>
      </c>
      <c r="EG87" s="911">
        <f>EF87/'plans (27122022)'!CX86</f>
        <v>-5.5788634235983618E-2</v>
      </c>
    </row>
    <row r="88" spans="1:137" s="410" customFormat="1" ht="15.75" customHeight="1" x14ac:dyDescent="0.25">
      <c r="A88" s="1073"/>
      <c r="B88" s="379"/>
      <c r="C88" s="1033" t="s">
        <v>49</v>
      </c>
      <c r="D88" s="1014">
        <v>0.6</v>
      </c>
      <c r="E88" s="93"/>
      <c r="F88" s="382">
        <v>2.779064381658175E-2</v>
      </c>
      <c r="G88" s="382"/>
      <c r="H88" s="383" t="s">
        <v>44</v>
      </c>
      <c r="I88" s="384" t="s">
        <v>44</v>
      </c>
      <c r="J88" s="385">
        <v>0</v>
      </c>
      <c r="K88" s="386"/>
      <c r="L88" s="188" t="s">
        <v>44</v>
      </c>
      <c r="M88" s="189" t="s">
        <v>44</v>
      </c>
      <c r="N88" s="389">
        <v>0</v>
      </c>
      <c r="O88" s="391"/>
      <c r="P88" s="383" t="s">
        <v>44</v>
      </c>
      <c r="Q88" s="384" t="s">
        <v>44</v>
      </c>
      <c r="R88" s="389">
        <v>0</v>
      </c>
      <c r="S88" s="391"/>
      <c r="T88" s="383" t="s">
        <v>44</v>
      </c>
      <c r="U88" s="384" t="s">
        <v>44</v>
      </c>
      <c r="V88" s="389">
        <v>0</v>
      </c>
      <c r="W88" s="392"/>
      <c r="X88" s="381">
        <v>0.5</v>
      </c>
      <c r="Y88" s="93"/>
      <c r="Z88" s="382">
        <v>2.2893772893772892E-2</v>
      </c>
      <c r="AA88" s="382"/>
      <c r="AB88" s="383" t="s">
        <v>44</v>
      </c>
      <c r="AC88" s="384" t="s">
        <v>44</v>
      </c>
      <c r="AD88" s="385">
        <v>0</v>
      </c>
      <c r="AE88" s="386"/>
      <c r="AF88" s="188" t="s">
        <v>44</v>
      </c>
      <c r="AG88" s="189" t="s">
        <v>44</v>
      </c>
      <c r="AH88" s="389">
        <v>0</v>
      </c>
      <c r="AI88" s="391"/>
      <c r="AJ88" s="383" t="s">
        <v>44</v>
      </c>
      <c r="AK88" s="384" t="s">
        <v>44</v>
      </c>
      <c r="AL88" s="389">
        <v>0</v>
      </c>
      <c r="AM88" s="391"/>
      <c r="AN88" s="383" t="s">
        <v>44</v>
      </c>
      <c r="AO88" s="384" t="s">
        <v>44</v>
      </c>
      <c r="AP88" s="389">
        <v>0</v>
      </c>
      <c r="AQ88" s="392"/>
      <c r="AR88" s="381">
        <v>0.5</v>
      </c>
      <c r="AS88" s="93">
        <f>PLĀNS_ar_grozījumiem!AS88-'plans (27122022)'!AS87</f>
        <v>0</v>
      </c>
      <c r="AT88" s="382">
        <f>PLĀNS_ar_grozījumiem!AT88-'plans (27122022)'!AT87</f>
        <v>-2.2418478260869564E-2</v>
      </c>
      <c r="AU88" s="382">
        <f>PLĀNS_ar_grozījumiem!AU88-'plans (27122022)'!AU87</f>
        <v>0</v>
      </c>
      <c r="AV88" s="383" t="e">
        <f>PLĀNS_ar_grozījumiem!AV88-'plans (27122022)'!AV87</f>
        <v>#VALUE!</v>
      </c>
      <c r="AW88" s="384" t="e">
        <f>PLĀNS_ar_grozījumiem!AW88-'plans (27122022)'!AW87</f>
        <v>#VALUE!</v>
      </c>
      <c r="AX88" s="385">
        <f>PLĀNS_ar_grozījumiem!AX88-'plans (27122022)'!AX87</f>
        <v>0</v>
      </c>
      <c r="AY88" s="386">
        <f>PLĀNS_ar_grozījumiem!AY88-'plans (27122022)'!AY87</f>
        <v>0</v>
      </c>
      <c r="AZ88" s="188" t="e">
        <f>PLĀNS_ar_grozījumiem!AZ88-'plans (27122022)'!AZ87</f>
        <v>#VALUE!</v>
      </c>
      <c r="BA88" s="189" t="e">
        <f>PLĀNS_ar_grozījumiem!BA88-'plans (27122022)'!BA87</f>
        <v>#VALUE!</v>
      </c>
      <c r="BB88" s="389">
        <f>PLĀNS_ar_grozījumiem!BB88-'plans (27122022)'!BB87</f>
        <v>0</v>
      </c>
      <c r="BC88" s="391">
        <f>PLĀNS_ar_grozījumiem!BC88-'plans (27122022)'!BC87</f>
        <v>0</v>
      </c>
      <c r="BD88" s="383" t="e">
        <f>PLĀNS_ar_grozījumiem!BD88-'plans (27122022)'!BD87</f>
        <v>#VALUE!</v>
      </c>
      <c r="BE88" s="384" t="e">
        <f>PLĀNS_ar_grozījumiem!BE88-'plans (27122022)'!BE87</f>
        <v>#VALUE!</v>
      </c>
      <c r="BF88" s="389">
        <f>PLĀNS_ar_grozījumiem!BF88-'plans (27122022)'!BF87</f>
        <v>0</v>
      </c>
      <c r="BG88" s="391">
        <f>PLĀNS_ar_grozījumiem!BG88-'plans (27122022)'!BG87</f>
        <v>0</v>
      </c>
      <c r="BH88" s="383" t="e">
        <f>PLĀNS_ar_grozījumiem!BH88-'plans (27122022)'!BH87</f>
        <v>#VALUE!</v>
      </c>
      <c r="BI88" s="384" t="e">
        <f>PLĀNS_ar_grozījumiem!BI88-'plans (27122022)'!BI87</f>
        <v>#VALUE!</v>
      </c>
      <c r="BJ88" s="389">
        <f>PLĀNS_ar_grozījumiem!BJ88-'plans (27122022)'!BJ87</f>
        <v>0</v>
      </c>
      <c r="BK88" s="392">
        <f>PLĀNS_ar_grozījumiem!BK88-'plans (27122022)'!BK87</f>
        <v>0</v>
      </c>
      <c r="BL88" s="381">
        <f>PLĀNS_ar_grozījumiem!BL88-'plans (27122022)'!BL87</f>
        <v>0.10000000000000009</v>
      </c>
      <c r="BM88" s="93">
        <f>PLĀNS_ar_grozījumiem!BM88-'plans (27122022)'!BM87</f>
        <v>0</v>
      </c>
      <c r="BN88" s="382">
        <f>PLĀNS_ar_grozījumiem!BN88-'plans (27122022)'!BN87</f>
        <v>-2.236306020823902E-2</v>
      </c>
      <c r="BO88" s="382">
        <f>PLĀNS_ar_grozījumiem!BO88-'plans (27122022)'!BO87</f>
        <v>0</v>
      </c>
      <c r="BP88" s="383" t="e">
        <f>PLĀNS_ar_grozījumiem!BP88-'plans (27122022)'!BP87</f>
        <v>#VALUE!</v>
      </c>
      <c r="BQ88" s="384" t="e">
        <f>PLĀNS_ar_grozījumiem!BQ88-'plans (27122022)'!BQ87</f>
        <v>#VALUE!</v>
      </c>
      <c r="BR88" s="385">
        <f>PLĀNS_ar_grozījumiem!BR88-'plans (27122022)'!BR87</f>
        <v>0</v>
      </c>
      <c r="BS88" s="386">
        <f>PLĀNS_ar_grozījumiem!BS88-'plans (27122022)'!BS87</f>
        <v>0</v>
      </c>
      <c r="BT88" s="188" t="e">
        <f>PLĀNS_ar_grozījumiem!BT88-'plans (27122022)'!BT87</f>
        <v>#VALUE!</v>
      </c>
      <c r="BU88" s="189" t="e">
        <f>PLĀNS_ar_grozījumiem!BU88-'plans (27122022)'!BU87</f>
        <v>#VALUE!</v>
      </c>
      <c r="BV88" s="389">
        <f>PLĀNS_ar_grozījumiem!BV88-'plans (27122022)'!BV87</f>
        <v>0</v>
      </c>
      <c r="BW88" s="391">
        <f>PLĀNS_ar_grozījumiem!BW88-'plans (27122022)'!BW87</f>
        <v>0</v>
      </c>
      <c r="BX88" s="383" t="e">
        <f>PLĀNS_ar_grozījumiem!BX88-'plans (27122022)'!BX87</f>
        <v>#VALUE!</v>
      </c>
      <c r="BY88" s="384" t="e">
        <f>PLĀNS_ar_grozījumiem!BY88-'plans (27122022)'!BY87</f>
        <v>#VALUE!</v>
      </c>
      <c r="BZ88" s="389">
        <f>PLĀNS_ar_grozījumiem!BZ88-'plans (27122022)'!BZ87</f>
        <v>0</v>
      </c>
      <c r="CA88" s="391">
        <f>PLĀNS_ar_grozījumiem!CA88-'plans (27122022)'!CA87</f>
        <v>0</v>
      </c>
      <c r="CB88" s="383" t="e">
        <f>PLĀNS_ar_grozījumiem!CB88-'plans (27122022)'!CB87</f>
        <v>#VALUE!</v>
      </c>
      <c r="CC88" s="384" t="e">
        <f>PLĀNS_ar_grozījumiem!CC88-'plans (27122022)'!CC87</f>
        <v>#VALUE!</v>
      </c>
      <c r="CD88" s="389">
        <f>PLĀNS_ar_grozījumiem!CD88-'plans (27122022)'!CD87</f>
        <v>0</v>
      </c>
      <c r="CE88" s="392">
        <f>PLĀNS_ar_grozījumiem!CE88-'plans (27122022)'!CE87</f>
        <v>0</v>
      </c>
      <c r="CF88" s="267">
        <f>PLĀNS_ar_grozījumiem!CF88-'plans (27122022)'!CF87</f>
        <v>0.10000000000000009</v>
      </c>
      <c r="CG88" s="397">
        <f>PLĀNS_ar_grozījumiem!CG88-'plans (27122022)'!CG87</f>
        <v>0</v>
      </c>
      <c r="CH88" s="382">
        <f>PLĀNS_ar_grozījumiem!CH88-'plans (27122022)'!CH87</f>
        <v>-2.3721461187214615E-2</v>
      </c>
      <c r="CI88" s="394">
        <f>PLĀNS_ar_grozījumiem!CI88-'plans (27122022)'!CI87</f>
        <v>0</v>
      </c>
      <c r="CJ88" s="188" t="e">
        <f>PLĀNS_ar_grozījumiem!CJ88-'plans (27122022)'!CJ87</f>
        <v>#VALUE!</v>
      </c>
      <c r="CK88" s="189" t="e">
        <f>PLĀNS_ar_grozījumiem!CK88-'plans (27122022)'!CK87</f>
        <v>#VALUE!</v>
      </c>
      <c r="CL88" s="389">
        <f>PLĀNS_ar_grozījumiem!CL88-'plans (27122022)'!CL87</f>
        <v>0</v>
      </c>
      <c r="CM88" s="395">
        <f>PLĀNS_ar_grozījumiem!CM88-'plans (27122022)'!CM87</f>
        <v>0</v>
      </c>
      <c r="CN88" s="190" t="e">
        <f>PLĀNS_ar_grozījumiem!CN88-'plans (27122022)'!CN87</f>
        <v>#VALUE!</v>
      </c>
      <c r="CO88" s="189" t="e">
        <f>PLĀNS_ar_grozījumiem!CO88-'plans (27122022)'!CO87</f>
        <v>#VALUE!</v>
      </c>
      <c r="CP88" s="397">
        <f>PLĀNS_ar_grozījumiem!CP88-'plans (27122022)'!CP87</f>
        <v>0</v>
      </c>
      <c r="CQ88" s="391">
        <f>PLĀNS_ar_grozījumiem!CQ88-'plans (27122022)'!CQ87</f>
        <v>0</v>
      </c>
      <c r="CR88" s="188" t="e">
        <f>PLĀNS_ar_grozījumiem!CR88-'plans (27122022)'!CR87</f>
        <v>#VALUE!</v>
      </c>
      <c r="CS88" s="189" t="e">
        <f>PLĀNS_ar_grozījumiem!CS88-'plans (27122022)'!CS87</f>
        <v>#VALUE!</v>
      </c>
      <c r="CT88" s="389">
        <f>PLĀNS_ar_grozījumiem!CT88-'plans (27122022)'!CT87</f>
        <v>0</v>
      </c>
      <c r="CU88" s="391">
        <f>PLĀNS_ar_grozījumiem!CU88-'plans (27122022)'!CU87</f>
        <v>0</v>
      </c>
      <c r="CV88" s="188" t="e">
        <f>PLĀNS_ar_grozījumiem!CV88-'plans (27122022)'!CV87</f>
        <v>#VALUE!</v>
      </c>
      <c r="CW88" s="189" t="e">
        <f>PLĀNS_ar_grozījumiem!CW88-'plans (27122022)'!CW87</f>
        <v>#VALUE!</v>
      </c>
      <c r="CX88" s="389">
        <f>PLĀNS_ar_grozījumiem!CX88-'plans (27122022)'!CX87</f>
        <v>0</v>
      </c>
      <c r="CY88" s="398">
        <f>PLĀNS_ar_grozījumiem!CY88-'plans (27122022)'!CY87</f>
        <v>0</v>
      </c>
      <c r="CZ88" s="110">
        <f t="shared" si="22"/>
        <v>1.1000000000000001</v>
      </c>
      <c r="DA88" s="111">
        <f t="shared" si="21"/>
        <v>0</v>
      </c>
      <c r="DB88" s="176">
        <f t="shared" si="27"/>
        <v>2.5328114206769517E-2</v>
      </c>
      <c r="DC88" s="406">
        <f t="shared" si="27"/>
        <v>0</v>
      </c>
      <c r="DD88" s="389">
        <f t="shared" si="23"/>
        <v>0</v>
      </c>
      <c r="DE88" s="397">
        <f t="shared" si="23"/>
        <v>0</v>
      </c>
      <c r="DF88" s="397" t="e">
        <f t="shared" si="23"/>
        <v>#VALUE!</v>
      </c>
      <c r="DG88" s="435" t="e">
        <f t="shared" si="23"/>
        <v>#VALUE!</v>
      </c>
      <c r="DH88" s="389">
        <f t="shared" si="23"/>
        <v>0</v>
      </c>
      <c r="DI88" s="391">
        <f t="shared" si="23"/>
        <v>0</v>
      </c>
      <c r="DJ88" s="391" t="e">
        <f t="shared" si="23"/>
        <v>#VALUE!</v>
      </c>
      <c r="DK88" s="391" t="e">
        <f t="shared" si="23"/>
        <v>#VALUE!</v>
      </c>
      <c r="DL88" s="389">
        <f t="shared" si="23"/>
        <v>0</v>
      </c>
      <c r="DM88" s="391">
        <f t="shared" si="23"/>
        <v>0</v>
      </c>
      <c r="DN88" s="391" t="e">
        <f t="shared" si="23"/>
        <v>#VALUE!</v>
      </c>
      <c r="DO88" s="404" t="e">
        <f t="shared" si="23"/>
        <v>#VALUE!</v>
      </c>
      <c r="DP88" s="389">
        <f t="shared" si="24"/>
        <v>0</v>
      </c>
      <c r="DQ88" s="392" t="e">
        <f t="shared" si="24"/>
        <v>#DIV/0!</v>
      </c>
      <c r="DR88" s="405">
        <f>PLĀNS_ar_grozījumiem!CF88-'plans (27122022)'!CF87</f>
        <v>0.10000000000000009</v>
      </c>
      <c r="DS88" s="934">
        <f>DR88/'plans (27122022)'!CF87</f>
        <v>4.7619047619047658E-2</v>
      </c>
      <c r="DT88" s="397">
        <f>PLĀNS_ar_grozījumiem!CL88-'plans (27122022)'!CL87</f>
        <v>0</v>
      </c>
      <c r="DU88" s="935"/>
      <c r="DV88" s="391"/>
      <c r="DW88" s="406">
        <f>PLĀNS_ar_grozījumiem!CM88-'plans (27122022)'!CM87</f>
        <v>0</v>
      </c>
      <c r="DX88" s="397">
        <f>PLĀNS_ar_grozījumiem!CP88-'plans (27122022)'!CP87</f>
        <v>0</v>
      </c>
      <c r="DY88" s="935"/>
      <c r="DZ88" s="391"/>
      <c r="EA88" s="406"/>
      <c r="EB88" s="397">
        <f>PLĀNS_ar_grozījumiem!CT88-'plans (27122022)'!CT87</f>
        <v>0</v>
      </c>
      <c r="EC88" s="408"/>
      <c r="ED88" s="391"/>
      <c r="EE88" s="408"/>
      <c r="EF88" s="385">
        <f>PLĀNS_ar_grozījumiem!CX88-'plans (27122022)'!CX87</f>
        <v>0</v>
      </c>
      <c r="EG88" s="936"/>
    </row>
    <row r="89" spans="1:137" s="470" customFormat="1" ht="15.75" customHeight="1" thickBot="1" x14ac:dyDescent="0.35">
      <c r="A89" s="436" t="s">
        <v>72</v>
      </c>
      <c r="B89" s="437" t="s">
        <v>73</v>
      </c>
      <c r="C89" s="1034"/>
      <c r="D89" s="1015" t="s">
        <v>44</v>
      </c>
      <c r="E89" s="440" t="s">
        <v>44</v>
      </c>
      <c r="F89" s="441" t="s">
        <v>44</v>
      </c>
      <c r="G89" s="442" t="s">
        <v>44</v>
      </c>
      <c r="H89" s="443" t="s">
        <v>44</v>
      </c>
      <c r="I89" s="444" t="s">
        <v>44</v>
      </c>
      <c r="J89" s="445">
        <v>510029</v>
      </c>
      <c r="K89" s="446"/>
      <c r="L89" s="447" t="s">
        <v>44</v>
      </c>
      <c r="M89" s="448" t="s">
        <v>44</v>
      </c>
      <c r="N89" s="449">
        <v>510029</v>
      </c>
      <c r="O89" s="450"/>
      <c r="P89" s="443" t="s">
        <v>44</v>
      </c>
      <c r="Q89" s="444" t="s">
        <v>44</v>
      </c>
      <c r="R89" s="451">
        <v>0</v>
      </c>
      <c r="S89" s="450"/>
      <c r="T89" s="443" t="s">
        <v>44</v>
      </c>
      <c r="U89" s="444" t="s">
        <v>44</v>
      </c>
      <c r="V89" s="452" t="s">
        <v>44</v>
      </c>
      <c r="W89" s="453"/>
      <c r="X89" s="439" t="s">
        <v>44</v>
      </c>
      <c r="Y89" s="440" t="s">
        <v>44</v>
      </c>
      <c r="Z89" s="441" t="s">
        <v>44</v>
      </c>
      <c r="AA89" s="442" t="s">
        <v>44</v>
      </c>
      <c r="AB89" s="443" t="s">
        <v>44</v>
      </c>
      <c r="AC89" s="444" t="s">
        <v>44</v>
      </c>
      <c r="AD89" s="445">
        <v>510028.7</v>
      </c>
      <c r="AE89" s="446"/>
      <c r="AF89" s="447" t="s">
        <v>44</v>
      </c>
      <c r="AG89" s="448" t="s">
        <v>44</v>
      </c>
      <c r="AH89" s="449">
        <v>510028.7</v>
      </c>
      <c r="AI89" s="450"/>
      <c r="AJ89" s="443" t="s">
        <v>44</v>
      </c>
      <c r="AK89" s="444" t="s">
        <v>44</v>
      </c>
      <c r="AL89" s="451">
        <v>0</v>
      </c>
      <c r="AM89" s="450"/>
      <c r="AN89" s="443" t="s">
        <v>44</v>
      </c>
      <c r="AO89" s="444" t="s">
        <v>44</v>
      </c>
      <c r="AP89" s="452" t="s">
        <v>44</v>
      </c>
      <c r="AQ89" s="453"/>
      <c r="AR89" s="439" t="s">
        <v>44</v>
      </c>
      <c r="AS89" s="440" t="e">
        <f>PLĀNS_ar_grozījumiem!AS89-'plans (27122022)'!AS88</f>
        <v>#VALUE!</v>
      </c>
      <c r="AT89" s="441" t="e">
        <f>PLĀNS_ar_grozījumiem!AT89-'plans (27122022)'!AT88</f>
        <v>#VALUE!</v>
      </c>
      <c r="AU89" s="442" t="e">
        <f>PLĀNS_ar_grozījumiem!AU89-'plans (27122022)'!AU88</f>
        <v>#VALUE!</v>
      </c>
      <c r="AV89" s="443" t="e">
        <f>PLĀNS_ar_grozījumiem!AV89-'plans (27122022)'!AV88</f>
        <v>#VALUE!</v>
      </c>
      <c r="AW89" s="444" t="e">
        <f>PLĀNS_ar_grozījumiem!AW89-'plans (27122022)'!AW88</f>
        <v>#VALUE!</v>
      </c>
      <c r="AX89" s="445">
        <f>PLĀNS_ar_grozījumiem!AX89-'plans (27122022)'!AX88</f>
        <v>0</v>
      </c>
      <c r="AY89" s="446">
        <f>PLĀNS_ar_grozījumiem!AY89-'plans (27122022)'!AY88</f>
        <v>0</v>
      </c>
      <c r="AZ89" s="447" t="e">
        <f>PLĀNS_ar_grozījumiem!AZ89-'plans (27122022)'!AZ88</f>
        <v>#VALUE!</v>
      </c>
      <c r="BA89" s="448" t="e">
        <f>PLĀNS_ar_grozījumiem!BA89-'plans (27122022)'!BA88</f>
        <v>#VALUE!</v>
      </c>
      <c r="BB89" s="449">
        <f>PLĀNS_ar_grozījumiem!BB89-'plans (27122022)'!BB88</f>
        <v>0</v>
      </c>
      <c r="BC89" s="450">
        <f>PLĀNS_ar_grozījumiem!BC89-'plans (27122022)'!BC88</f>
        <v>0</v>
      </c>
      <c r="BD89" s="443" t="e">
        <f>PLĀNS_ar_grozījumiem!BD89-'plans (27122022)'!BD88</f>
        <v>#VALUE!</v>
      </c>
      <c r="BE89" s="444" t="e">
        <f>PLĀNS_ar_grozījumiem!BE89-'plans (27122022)'!BE88</f>
        <v>#VALUE!</v>
      </c>
      <c r="BF89" s="451">
        <f>PLĀNS_ar_grozījumiem!BF89-'plans (27122022)'!BF88</f>
        <v>0</v>
      </c>
      <c r="BG89" s="450">
        <f>PLĀNS_ar_grozījumiem!BG89-'plans (27122022)'!BG88</f>
        <v>0</v>
      </c>
      <c r="BH89" s="443" t="e">
        <f>PLĀNS_ar_grozījumiem!BH89-'plans (27122022)'!BH88</f>
        <v>#VALUE!</v>
      </c>
      <c r="BI89" s="444" t="e">
        <f>PLĀNS_ar_grozījumiem!BI89-'plans (27122022)'!BI88</f>
        <v>#VALUE!</v>
      </c>
      <c r="BJ89" s="452" t="e">
        <f>PLĀNS_ar_grozījumiem!BJ89-'plans (27122022)'!BJ88</f>
        <v>#VALUE!</v>
      </c>
      <c r="BK89" s="453">
        <f>PLĀNS_ar_grozījumiem!BK89-'plans (27122022)'!BK88</f>
        <v>0</v>
      </c>
      <c r="BL89" s="439" t="e">
        <f>PLĀNS_ar_grozījumiem!BL89-'plans (27122022)'!BL88</f>
        <v>#VALUE!</v>
      </c>
      <c r="BM89" s="440" t="e">
        <f>PLĀNS_ar_grozījumiem!BM89-'plans (27122022)'!BM88</f>
        <v>#VALUE!</v>
      </c>
      <c r="BN89" s="441" t="e">
        <f>PLĀNS_ar_grozījumiem!BN89-'plans (27122022)'!BN88</f>
        <v>#VALUE!</v>
      </c>
      <c r="BO89" s="442" t="e">
        <f>PLĀNS_ar_grozījumiem!BO89-'plans (27122022)'!BO88</f>
        <v>#VALUE!</v>
      </c>
      <c r="BP89" s="443" t="e">
        <f>PLĀNS_ar_grozījumiem!BP89-'plans (27122022)'!BP88</f>
        <v>#VALUE!</v>
      </c>
      <c r="BQ89" s="444" t="e">
        <f>PLĀNS_ar_grozījumiem!BQ89-'plans (27122022)'!BQ88</f>
        <v>#VALUE!</v>
      </c>
      <c r="BR89" s="445">
        <f>PLĀNS_ar_grozījumiem!BR89-'plans (27122022)'!BR88</f>
        <v>0</v>
      </c>
      <c r="BS89" s="446">
        <f>PLĀNS_ar_grozījumiem!BS89-'plans (27122022)'!BS88</f>
        <v>0</v>
      </c>
      <c r="BT89" s="447" t="e">
        <f>PLĀNS_ar_grozījumiem!BT89-'plans (27122022)'!BT88</f>
        <v>#VALUE!</v>
      </c>
      <c r="BU89" s="448" t="e">
        <f>PLĀNS_ar_grozījumiem!BU89-'plans (27122022)'!BU88</f>
        <v>#VALUE!</v>
      </c>
      <c r="BV89" s="449">
        <f>PLĀNS_ar_grozījumiem!BV89-'plans (27122022)'!BV88</f>
        <v>0</v>
      </c>
      <c r="BW89" s="450">
        <f>PLĀNS_ar_grozījumiem!BW89-'plans (27122022)'!BW88</f>
        <v>0</v>
      </c>
      <c r="BX89" s="443" t="e">
        <f>PLĀNS_ar_grozījumiem!BX89-'plans (27122022)'!BX88</f>
        <v>#VALUE!</v>
      </c>
      <c r="BY89" s="444" t="e">
        <f>PLĀNS_ar_grozījumiem!BY89-'plans (27122022)'!BY88</f>
        <v>#VALUE!</v>
      </c>
      <c r="BZ89" s="451">
        <f>PLĀNS_ar_grozījumiem!BZ89-'plans (27122022)'!BZ88</f>
        <v>0</v>
      </c>
      <c r="CA89" s="450">
        <f>PLĀNS_ar_grozījumiem!CA89-'plans (27122022)'!CA88</f>
        <v>0</v>
      </c>
      <c r="CB89" s="443" t="e">
        <f>PLĀNS_ar_grozījumiem!CB89-'plans (27122022)'!CB88</f>
        <v>#VALUE!</v>
      </c>
      <c r="CC89" s="444" t="e">
        <f>PLĀNS_ar_grozījumiem!CC89-'plans (27122022)'!CC88</f>
        <v>#VALUE!</v>
      </c>
      <c r="CD89" s="452" t="e">
        <f>PLĀNS_ar_grozījumiem!CD89-'plans (27122022)'!CD88</f>
        <v>#VALUE!</v>
      </c>
      <c r="CE89" s="453">
        <f>PLĀNS_ar_grozījumiem!CE89-'plans (27122022)'!CE88</f>
        <v>0</v>
      </c>
      <c r="CF89" s="439" t="e">
        <f>PLĀNS_ar_grozījumiem!CF89-'plans (27122022)'!CF88</f>
        <v>#VALUE!</v>
      </c>
      <c r="CG89" s="441" t="e">
        <f>PLĀNS_ar_grozījumiem!CG89-'plans (27122022)'!CG88</f>
        <v>#VALUE!</v>
      </c>
      <c r="CH89" s="441" t="e">
        <f>PLĀNS_ar_grozījumiem!CH89-'plans (27122022)'!CH88</f>
        <v>#VALUE!</v>
      </c>
      <c r="CI89" s="442" t="e">
        <f>PLĀNS_ar_grozījumiem!CI89-'plans (27122022)'!CI88</f>
        <v>#VALUE!</v>
      </c>
      <c r="CJ89" s="447" t="e">
        <f>PLĀNS_ar_grozījumiem!CJ89-'plans (27122022)'!CJ88</f>
        <v>#VALUE!</v>
      </c>
      <c r="CK89" s="448" t="e">
        <f>PLĀNS_ar_grozījumiem!CK89-'plans (27122022)'!CK88</f>
        <v>#VALUE!</v>
      </c>
      <c r="CL89" s="454">
        <f>PLĀNS_ar_grozījumiem!CL89-'plans (27122022)'!CL88</f>
        <v>0</v>
      </c>
      <c r="CM89" s="455">
        <f>PLĀNS_ar_grozījumiem!CM89-'plans (27122022)'!CM88</f>
        <v>0</v>
      </c>
      <c r="CN89" s="447" t="e">
        <f>PLĀNS_ar_grozījumiem!CN89-'plans (27122022)'!CN88</f>
        <v>#VALUE!</v>
      </c>
      <c r="CO89" s="448" t="e">
        <f>PLĀNS_ar_grozījumiem!CO89-'plans (27122022)'!CO88</f>
        <v>#VALUE!</v>
      </c>
      <c r="CP89" s="445">
        <f>PLĀNS_ar_grozījumiem!CP89-'plans (27122022)'!CP88</f>
        <v>0</v>
      </c>
      <c r="CQ89" s="450">
        <f>PLĀNS_ar_grozījumiem!CQ89-'plans (27122022)'!CQ88</f>
        <v>0</v>
      </c>
      <c r="CR89" s="447" t="e">
        <f>PLĀNS_ar_grozījumiem!CR89-'plans (27122022)'!CR88</f>
        <v>#VALUE!</v>
      </c>
      <c r="CS89" s="448" t="e">
        <f>PLĀNS_ar_grozījumiem!CS89-'plans (27122022)'!CS88</f>
        <v>#VALUE!</v>
      </c>
      <c r="CT89" s="445">
        <f>PLĀNS_ar_grozījumiem!CT89-'plans (27122022)'!CT88</f>
        <v>0</v>
      </c>
      <c r="CU89" s="450">
        <f>PLĀNS_ar_grozījumiem!CU89-'plans (27122022)'!CU88</f>
        <v>0</v>
      </c>
      <c r="CV89" s="447" t="e">
        <f>PLĀNS_ar_grozījumiem!CV89-'plans (27122022)'!CV88</f>
        <v>#VALUE!</v>
      </c>
      <c r="CW89" s="448" t="e">
        <f>PLĀNS_ar_grozījumiem!CW89-'plans (27122022)'!CW88</f>
        <v>#VALUE!</v>
      </c>
      <c r="CX89" s="456" t="e">
        <f>PLĀNS_ar_grozījumiem!CX89-'plans (27122022)'!CX88</f>
        <v>#VALUE!</v>
      </c>
      <c r="CY89" s="457">
        <f>PLĀNS_ar_grozījumiem!CY89-'plans (27122022)'!CY88</f>
        <v>0</v>
      </c>
      <c r="CZ89" s="439" t="s">
        <v>44</v>
      </c>
      <c r="DA89" s="458" t="s">
        <v>44</v>
      </c>
      <c r="DB89" s="441" t="s">
        <v>44</v>
      </c>
      <c r="DC89" s="442" t="s">
        <v>44</v>
      </c>
      <c r="DD89" s="459">
        <f t="shared" si="23"/>
        <v>1020057.7</v>
      </c>
      <c r="DE89" s="459">
        <f t="shared" si="23"/>
        <v>0</v>
      </c>
      <c r="DF89" s="459" t="e">
        <f t="shared" si="23"/>
        <v>#VALUE!</v>
      </c>
      <c r="DG89" s="7" t="e">
        <f t="shared" si="23"/>
        <v>#VALUE!</v>
      </c>
      <c r="DH89" s="460">
        <f t="shared" si="23"/>
        <v>1020057.7</v>
      </c>
      <c r="DI89" s="461">
        <f t="shared" si="23"/>
        <v>0</v>
      </c>
      <c r="DJ89" s="461" t="e">
        <f t="shared" si="23"/>
        <v>#VALUE!</v>
      </c>
      <c r="DK89" s="462" t="e">
        <f t="shared" si="23"/>
        <v>#VALUE!</v>
      </c>
      <c r="DL89" s="460">
        <f t="shared" si="23"/>
        <v>0</v>
      </c>
      <c r="DM89" s="461">
        <f t="shared" si="23"/>
        <v>0</v>
      </c>
      <c r="DN89" s="461" t="e">
        <f t="shared" si="23"/>
        <v>#VALUE!</v>
      </c>
      <c r="DO89" s="463" t="e">
        <f t="shared" si="23"/>
        <v>#VALUE!</v>
      </c>
      <c r="DP89" s="464" t="s">
        <v>44</v>
      </c>
      <c r="DQ89" s="465" t="s">
        <v>44</v>
      </c>
      <c r="DR89" s="938"/>
      <c r="DS89" s="939"/>
      <c r="DT89" s="459">
        <f>PLĀNS_ar_grozījumiem!CL89-'plans (27122022)'!CL88</f>
        <v>0</v>
      </c>
      <c r="DU89" s="940">
        <f>DT89/'plans (27122022)'!CL88</f>
        <v>0</v>
      </c>
      <c r="DV89" s="468"/>
      <c r="DW89" s="466">
        <f>PLĀNS_ar_grozījumiem!CM89-'plans (27122022)'!CM88</f>
        <v>0</v>
      </c>
      <c r="DX89" s="459">
        <f>PLĀNS_ar_grozījumiem!CP89-'plans (27122022)'!CP88</f>
        <v>0</v>
      </c>
      <c r="DY89" s="940">
        <f>DX89/'plans (27122022)'!CP88</f>
        <v>0</v>
      </c>
      <c r="DZ89" s="468"/>
      <c r="EA89" s="466"/>
      <c r="EB89" s="459">
        <f>PLĀNS_ar_grozījumiem!CT89-'plans (27122022)'!CT88</f>
        <v>0</v>
      </c>
      <c r="EC89" s="469"/>
      <c r="ED89" s="468"/>
      <c r="EE89" s="469"/>
      <c r="EF89" s="941"/>
      <c r="EG89" s="942"/>
    </row>
    <row r="90" spans="1:137" s="493" customFormat="1" ht="15.75" customHeight="1" thickBot="1" x14ac:dyDescent="0.35">
      <c r="A90" s="471"/>
      <c r="B90" s="472" t="s">
        <v>74</v>
      </c>
      <c r="C90" s="1035"/>
      <c r="D90" s="484">
        <v>10876.900000000003</v>
      </c>
      <c r="E90" s="475"/>
      <c r="F90" s="476">
        <v>100.00000000000001</v>
      </c>
      <c r="G90" s="476"/>
      <c r="H90" s="477">
        <v>2597594</v>
      </c>
      <c r="I90" s="478"/>
      <c r="J90" s="477">
        <v>1685479</v>
      </c>
      <c r="K90" s="476"/>
      <c r="L90" s="476">
        <v>912115</v>
      </c>
      <c r="M90" s="479"/>
      <c r="N90" s="477">
        <v>1666667</v>
      </c>
      <c r="O90" s="476"/>
      <c r="P90" s="477">
        <v>886829</v>
      </c>
      <c r="Q90" s="478"/>
      <c r="R90" s="477">
        <v>18812</v>
      </c>
      <c r="S90" s="476"/>
      <c r="T90" s="477">
        <v>25286</v>
      </c>
      <c r="U90" s="478"/>
      <c r="V90" s="477">
        <v>155</v>
      </c>
      <c r="W90" s="480"/>
      <c r="X90" s="474">
        <v>10976.900000000003</v>
      </c>
      <c r="Y90" s="475"/>
      <c r="Z90" s="476">
        <v>100</v>
      </c>
      <c r="AA90" s="476"/>
      <c r="AB90" s="477">
        <v>2891827</v>
      </c>
      <c r="AC90" s="478"/>
      <c r="AD90" s="477">
        <v>1677710</v>
      </c>
      <c r="AE90" s="476"/>
      <c r="AF90" s="476">
        <v>1214117</v>
      </c>
      <c r="AG90" s="479"/>
      <c r="AH90" s="477">
        <v>1662537</v>
      </c>
      <c r="AI90" s="476"/>
      <c r="AJ90" s="477">
        <v>1186421</v>
      </c>
      <c r="AK90" s="478"/>
      <c r="AL90" s="477">
        <v>15173</v>
      </c>
      <c r="AM90" s="476"/>
      <c r="AN90" s="477">
        <v>27696</v>
      </c>
      <c r="AO90" s="478"/>
      <c r="AP90" s="477">
        <v>153</v>
      </c>
      <c r="AQ90" s="480"/>
      <c r="AR90" s="474">
        <v>11091.9</v>
      </c>
      <c r="AS90" s="475">
        <f>PLĀNS_ar_grozījumiem!AS90-'plans (27122022)'!AS89</f>
        <v>0</v>
      </c>
      <c r="AT90" s="476">
        <f>PLĀNS_ar_grozījumiem!AT90-'plans (27122022)'!AT89</f>
        <v>-98.995889059049958</v>
      </c>
      <c r="AU90" s="476">
        <f>PLĀNS_ar_grozījumiem!AU90-'plans (27122022)'!AU89</f>
        <v>0</v>
      </c>
      <c r="AV90" s="477">
        <f>PLĀNS_ar_grozījumiem!AV90-'plans (27122022)'!AV89</f>
        <v>1133778.9531588703</v>
      </c>
      <c r="AW90" s="478">
        <f>PLĀNS_ar_grozījumiem!AW90-'plans (27122022)'!AW89</f>
        <v>0</v>
      </c>
      <c r="AX90" s="477">
        <f>PLĀNS_ar_grozījumiem!AX90-'plans (27122022)'!AX89</f>
        <v>58198.953158870107</v>
      </c>
      <c r="AY90" s="476">
        <f>PLĀNS_ar_grozījumiem!AY90-'plans (27122022)'!AY89</f>
        <v>0</v>
      </c>
      <c r="AZ90" s="476">
        <f>PLĀNS_ar_grozījumiem!AZ90-'plans (27122022)'!AZ89</f>
        <v>1075580</v>
      </c>
      <c r="BA90" s="479">
        <f>PLĀNS_ar_grozījumiem!BA90-'plans (27122022)'!BA89</f>
        <v>0</v>
      </c>
      <c r="BB90" s="477">
        <f>PLĀNS_ar_grozījumiem!BB90-'plans (27122022)'!BB89</f>
        <v>56030.953158870107</v>
      </c>
      <c r="BC90" s="476">
        <f>PLĀNS_ar_grozījumiem!BC90-'plans (27122022)'!BC89</f>
        <v>0</v>
      </c>
      <c r="BD90" s="481">
        <f>PLĀNS_ar_grozījumiem!BD90-'plans (27122022)'!BD89</f>
        <v>895047</v>
      </c>
      <c r="BE90" s="482">
        <f>PLĀNS_ar_grozījumiem!BE90-'plans (27122022)'!BE89</f>
        <v>0</v>
      </c>
      <c r="BF90" s="481">
        <f>PLĀNS_ar_grozījumiem!BF90-'plans (27122022)'!BF89</f>
        <v>2168</v>
      </c>
      <c r="BG90" s="483">
        <f>PLĀNS_ar_grozījumiem!BG90-'plans (27122022)'!BG89</f>
        <v>0</v>
      </c>
      <c r="BH90" s="481">
        <f>PLĀNS_ar_grozījumiem!BH90-'plans (27122022)'!BH89</f>
        <v>180533</v>
      </c>
      <c r="BI90" s="478">
        <f>PLĀNS_ar_grozījumiem!BI90-'plans (27122022)'!BI89</f>
        <v>0</v>
      </c>
      <c r="BJ90" s="477">
        <f>PLĀNS_ar_grozījumiem!BJ90-'plans (27122022)'!BJ89</f>
        <v>4.9784665529683991</v>
      </c>
      <c r="BK90" s="480">
        <f>PLĀNS_ar_grozījumiem!BK90-'plans (27122022)'!BK89</f>
        <v>0</v>
      </c>
      <c r="BL90" s="474">
        <f>PLĀNS_ar_grozījumiem!BL90-'plans (27122022)'!BL89</f>
        <v>0</v>
      </c>
      <c r="BM90" s="475">
        <f>PLĀNS_ar_grozījumiem!BM90-'plans (27122022)'!BM89</f>
        <v>0</v>
      </c>
      <c r="BN90" s="476">
        <f>PLĀNS_ar_grozījumiem!BN90-'plans (27122022)'!BN89</f>
        <v>-99.000000000000028</v>
      </c>
      <c r="BO90" s="476">
        <f>PLĀNS_ar_grozījumiem!BO90-'plans (27122022)'!BO89</f>
        <v>0</v>
      </c>
      <c r="BP90" s="477">
        <f>PLĀNS_ar_grozījumiem!BP90-'plans (27122022)'!BP89</f>
        <v>-192458.55999999959</v>
      </c>
      <c r="BQ90" s="478">
        <f>PLĀNS_ar_grozījumiem!BQ90-'plans (27122022)'!BQ89</f>
        <v>0</v>
      </c>
      <c r="BR90" s="477">
        <f>PLĀNS_ar_grozījumiem!BR90-'plans (27122022)'!BR89</f>
        <v>71468.440000000177</v>
      </c>
      <c r="BS90" s="476">
        <f>PLĀNS_ar_grozījumiem!BS90-'plans (27122022)'!BS89</f>
        <v>0</v>
      </c>
      <c r="BT90" s="483">
        <f>PLĀNS_ar_grozījumiem!BT90-'plans (27122022)'!BT89</f>
        <v>-263927</v>
      </c>
      <c r="BU90" s="479">
        <f>PLĀNS_ar_grozījumiem!BU90-'plans (27122022)'!BU89</f>
        <v>0</v>
      </c>
      <c r="BV90" s="477">
        <f>PLĀNS_ar_grozījumiem!BV90-'plans (27122022)'!BV89</f>
        <v>68971.440000000177</v>
      </c>
      <c r="BW90" s="476">
        <f>PLĀNS_ar_grozījumiem!BW90-'plans (27122022)'!BW89</f>
        <v>0</v>
      </c>
      <c r="BX90" s="481">
        <f>PLĀNS_ar_grozījumiem!BX90-'plans (27122022)'!BX89</f>
        <v>-265295</v>
      </c>
      <c r="BY90" s="478">
        <f>PLĀNS_ar_grozījumiem!BY90-'plans (27122022)'!BY89</f>
        <v>0</v>
      </c>
      <c r="BZ90" s="477">
        <f>PLĀNS_ar_grozījumiem!BZ90-'plans (27122022)'!BZ89</f>
        <v>2497</v>
      </c>
      <c r="CA90" s="476">
        <f>PLĀNS_ar_grozījumiem!CA90-'plans (27122022)'!CA89</f>
        <v>0</v>
      </c>
      <c r="CB90" s="477">
        <f>PLĀNS_ar_grozījumiem!CB90-'plans (27122022)'!CB89</f>
        <v>1368</v>
      </c>
      <c r="CC90" s="478">
        <f>PLĀNS_ar_grozījumiem!CC90-'plans (27122022)'!CC89</f>
        <v>0</v>
      </c>
      <c r="CD90" s="477">
        <f>PLĀNS_ar_grozījumiem!CD90-'plans (27122022)'!CD89</f>
        <v>6.252878487751957</v>
      </c>
      <c r="CE90" s="480">
        <f>PLĀNS_ar_grozījumiem!CE90-'plans (27122022)'!CE89</f>
        <v>0</v>
      </c>
      <c r="CF90" s="484">
        <f>PLĀNS_ar_grozījumiem!CF90-'plans (27122022)'!CF89</f>
        <v>0</v>
      </c>
      <c r="CG90" s="476">
        <f>PLĀNS_ar_grozījumiem!CG90-'plans (27122022)'!CG89</f>
        <v>0</v>
      </c>
      <c r="CH90" s="476">
        <f>PLĀNS_ar_grozījumiem!CH90-'plans (27122022)'!CH89</f>
        <v>-98.999999999999972</v>
      </c>
      <c r="CI90" s="479">
        <f>PLĀNS_ar_grozījumiem!CI90-'plans (27122022)'!CI89</f>
        <v>0</v>
      </c>
      <c r="CJ90" s="476">
        <f>PLĀNS_ar_grozījumiem!CJ90-'plans (27122022)'!CJ89</f>
        <v>941320.39315887168</v>
      </c>
      <c r="CK90" s="479">
        <f>PLĀNS_ar_grozījumiem!CK90-'plans (27122022)'!CK89</f>
        <v>0</v>
      </c>
      <c r="CL90" s="477">
        <f>PLĀNS_ar_grozījumiem!CL90-'plans (27122022)'!CL89</f>
        <v>129667.79552107397</v>
      </c>
      <c r="CM90" s="485">
        <f>PLĀNS_ar_grozījumiem!CM90-'plans (27122022)'!CM89</f>
        <v>0</v>
      </c>
      <c r="CN90" s="476">
        <f>PLĀNS_ar_grozījumiem!CN90-'plans (27122022)'!CN89</f>
        <v>811653</v>
      </c>
      <c r="CO90" s="479">
        <f>PLĀNS_ar_grozījumiem!CO90-'plans (27122022)'!CO89</f>
        <v>0</v>
      </c>
      <c r="CP90" s="477">
        <f>PLĀNS_ar_grozījumiem!CP90-'plans (27122022)'!CP89</f>
        <v>125002.39315886982</v>
      </c>
      <c r="CQ90" s="476">
        <f>PLĀNS_ar_grozījumiem!CQ90-'plans (27122022)'!CQ89</f>
        <v>0</v>
      </c>
      <c r="CR90" s="476">
        <f>PLĀNS_ar_grozījumiem!CR90-'plans (27122022)'!CR89</f>
        <v>629752</v>
      </c>
      <c r="CS90" s="479">
        <f>PLĀNS_ar_grozījumiem!CS90-'plans (27122022)'!CS89</f>
        <v>0</v>
      </c>
      <c r="CT90" s="477">
        <f>PLĀNS_ar_grozījumiem!CT90-'plans (27122022)'!CT89</f>
        <v>4665</v>
      </c>
      <c r="CU90" s="476">
        <f>PLĀNS_ar_grozījumiem!CU90-'plans (27122022)'!CU89</f>
        <v>0</v>
      </c>
      <c r="CV90" s="483">
        <f>PLĀNS_ar_grozījumiem!CV90-'plans (27122022)'!CV89</f>
        <v>181901</v>
      </c>
      <c r="CW90" s="479">
        <f>PLĀNS_ar_grozījumiem!CW90-'plans (27122022)'!CW89</f>
        <v>0</v>
      </c>
      <c r="CX90" s="477">
        <f>PLĀNS_ar_grozījumiem!CX90-'plans (27122022)'!CX89</f>
        <v>2.9401394820503413</v>
      </c>
      <c r="CY90" s="480">
        <f>PLĀNS_ar_grozījumiem!CY90-'plans (27122022)'!CY89</f>
        <v>0</v>
      </c>
      <c r="CZ90" s="486">
        <f>CZ65+CZ71+CZ77+CZ83</f>
        <v>20541.000000000004</v>
      </c>
      <c r="DA90" s="485">
        <f>DA65+DA71+DA77+DA83</f>
        <v>0</v>
      </c>
      <c r="DB90" s="476" t="e">
        <f>DB83+DB77+DB71+DB56+DB50+DB45+DB39+DB33+DB28+DB26+DB19+DB13</f>
        <v>#REF!</v>
      </c>
      <c r="DC90" s="485" t="e">
        <f>DC83+DC77+DC71+DC56+DC50+DC45+DC39+DC33+DC28+DC26+DC19+DC13</f>
        <v>#REF!</v>
      </c>
      <c r="DD90" s="477">
        <f t="shared" si="23"/>
        <v>3363189</v>
      </c>
      <c r="DE90" s="478">
        <f t="shared" si="23"/>
        <v>0</v>
      </c>
      <c r="DF90" s="478">
        <f t="shared" si="23"/>
        <v>2126232</v>
      </c>
      <c r="DG90" s="486">
        <f t="shared" si="23"/>
        <v>0</v>
      </c>
      <c r="DH90" s="477">
        <f t="shared" si="23"/>
        <v>3329204</v>
      </c>
      <c r="DI90" s="477">
        <f t="shared" si="23"/>
        <v>0</v>
      </c>
      <c r="DJ90" s="477">
        <f t="shared" si="23"/>
        <v>2073250</v>
      </c>
      <c r="DK90" s="477">
        <f t="shared" si="23"/>
        <v>0</v>
      </c>
      <c r="DL90" s="477">
        <f t="shared" si="23"/>
        <v>33985</v>
      </c>
      <c r="DM90" s="477">
        <f t="shared" si="23"/>
        <v>0</v>
      </c>
      <c r="DN90" s="477">
        <f t="shared" si="23"/>
        <v>52982</v>
      </c>
      <c r="DO90" s="487">
        <f t="shared" si="23"/>
        <v>0</v>
      </c>
      <c r="DP90" s="477">
        <f>ROUND((DD90/CZ90),0)</f>
        <v>164</v>
      </c>
      <c r="DQ90" s="480" t="e">
        <f>ROUND((DE90/DA90),0)</f>
        <v>#DIV/0!</v>
      </c>
      <c r="DR90" s="488">
        <f>PLĀNS_ar_grozījumiem!CF90-'plans (27122022)'!CF89</f>
        <v>0</v>
      </c>
      <c r="DS90" s="943">
        <f>DR90/'plans (27122022)'!CF89</f>
        <v>0</v>
      </c>
      <c r="DT90" s="478">
        <f>PLĀNS_ar_grozījumiem!CL90-'plans (27122022)'!CL89</f>
        <v>129667.79552107397</v>
      </c>
      <c r="DU90" s="944">
        <f>DT90/'plans (27122022)'!CL89</f>
        <v>1.9364906812222867E-2</v>
      </c>
      <c r="DV90" s="476">
        <f>PLĀNS_ar_grozījumiem!CN90-'plans (27122022)'!CN89</f>
        <v>811653</v>
      </c>
      <c r="DW90" s="944">
        <f>DV90/'plans (27122022)'!CN89</f>
        <v>0.1785012809423619</v>
      </c>
      <c r="DX90" s="478">
        <f>PLĀNS_ar_grozījumiem!CP90-'plans (27122022)'!CP89</f>
        <v>125002.39315886982</v>
      </c>
      <c r="DY90" s="944">
        <f>DX90/'plans (27122022)'!CP89</f>
        <v>1.8854633582124733E-2</v>
      </c>
      <c r="DZ90" s="476">
        <f>PLĀNS_ar_grozījumiem!CR90-'plans (27122022)'!CR89</f>
        <v>629752</v>
      </c>
      <c r="EA90" s="943">
        <f>DZ90/'plans (27122022)'!CR89</f>
        <v>0.14183961397224434</v>
      </c>
      <c r="EB90" s="478">
        <f>PLĀNS_ar_grozījumiem!CT90-'plans (27122022)'!CT89</f>
        <v>4665</v>
      </c>
      <c r="EC90" s="491">
        <f>EB90/'plans (27122022)'!CT89</f>
        <v>7.044380351237485E-2</v>
      </c>
      <c r="ED90" s="476">
        <f>PLĀNS_ar_grozījumiem!CV90-'plans (27122022)'!CV89</f>
        <v>181901</v>
      </c>
      <c r="EE90" s="489"/>
      <c r="EF90" s="487">
        <f>PLĀNS_ar_grozījumiem!CX90-'plans (27122022)'!CX89</f>
        <v>2.9401394820503413</v>
      </c>
      <c r="EG90" s="945">
        <f>EF90/'plans (27122022)'!CX89</f>
        <v>1.936490681222278E-2</v>
      </c>
    </row>
    <row r="91" spans="1:137" s="470" customFormat="1" ht="15.75" customHeight="1" x14ac:dyDescent="0.25">
      <c r="A91" s="494" t="s">
        <v>75</v>
      </c>
      <c r="B91" s="495" t="s">
        <v>76</v>
      </c>
      <c r="C91" s="1036"/>
      <c r="D91" s="1009" t="s">
        <v>44</v>
      </c>
      <c r="E91" s="498" t="s">
        <v>44</v>
      </c>
      <c r="F91" s="499" t="s">
        <v>44</v>
      </c>
      <c r="G91" s="500" t="s">
        <v>44</v>
      </c>
      <c r="H91" s="501">
        <v>255523</v>
      </c>
      <c r="I91" s="233"/>
      <c r="J91" s="502">
        <v>166780</v>
      </c>
      <c r="K91" s="503"/>
      <c r="L91" s="504">
        <v>88743</v>
      </c>
      <c r="M91" s="233"/>
      <c r="N91" s="502">
        <v>166780</v>
      </c>
      <c r="O91" s="503"/>
      <c r="P91" s="501">
        <v>88743</v>
      </c>
      <c r="Q91" s="505"/>
      <c r="R91" s="506">
        <v>0</v>
      </c>
      <c r="S91" s="504"/>
      <c r="T91" s="501">
        <v>0</v>
      </c>
      <c r="U91" s="233"/>
      <c r="V91" s="507" t="s">
        <v>44</v>
      </c>
      <c r="W91" s="508" t="s">
        <v>44</v>
      </c>
      <c r="X91" s="497" t="s">
        <v>44</v>
      </c>
      <c r="Y91" s="498" t="s">
        <v>44</v>
      </c>
      <c r="Z91" s="499" t="s">
        <v>44</v>
      </c>
      <c r="AA91" s="500" t="s">
        <v>44</v>
      </c>
      <c r="AB91" s="501">
        <v>15851</v>
      </c>
      <c r="AC91" s="233"/>
      <c r="AD91" s="502">
        <v>9250</v>
      </c>
      <c r="AE91" s="503"/>
      <c r="AF91" s="504">
        <v>6601</v>
      </c>
      <c r="AG91" s="233"/>
      <c r="AH91" s="502">
        <v>9250</v>
      </c>
      <c r="AI91" s="503"/>
      <c r="AJ91" s="501">
        <v>6601</v>
      </c>
      <c r="AK91" s="505"/>
      <c r="AL91" s="506">
        <v>0</v>
      </c>
      <c r="AM91" s="504"/>
      <c r="AN91" s="501">
        <v>0</v>
      </c>
      <c r="AO91" s="233"/>
      <c r="AP91" s="507" t="s">
        <v>44</v>
      </c>
      <c r="AQ91" s="508" t="s">
        <v>44</v>
      </c>
      <c r="AR91" s="497" t="s">
        <v>44</v>
      </c>
      <c r="AS91" s="498" t="e">
        <f>PLĀNS_ar_grozījumiem!AS91-'plans (27122022)'!AS90</f>
        <v>#VALUE!</v>
      </c>
      <c r="AT91" s="499" t="e">
        <f>PLĀNS_ar_grozījumiem!AT91-'plans (27122022)'!AT90</f>
        <v>#VALUE!</v>
      </c>
      <c r="AU91" s="500" t="e">
        <f>PLĀNS_ar_grozījumiem!AU91-'plans (27122022)'!AU90</f>
        <v>#VALUE!</v>
      </c>
      <c r="AV91" s="245">
        <f>PLĀNS_ar_grozījumiem!AV91-'plans (27122022)'!AV90</f>
        <v>145000</v>
      </c>
      <c r="AW91" s="233">
        <f>PLĀNS_ar_grozījumiem!AW91-'plans (27122022)'!AW90</f>
        <v>0</v>
      </c>
      <c r="AX91" s="502">
        <f>PLĀNS_ar_grozījumiem!AX91-'plans (27122022)'!AX90</f>
        <v>145000</v>
      </c>
      <c r="AY91" s="503">
        <f>PLĀNS_ar_grozījumiem!AY91-'plans (27122022)'!AY90</f>
        <v>0</v>
      </c>
      <c r="AZ91" s="504">
        <f>PLĀNS_ar_grozījumiem!AZ91-'plans (27122022)'!AZ90</f>
        <v>0</v>
      </c>
      <c r="BA91" s="505">
        <f>PLĀNS_ar_grozījumiem!BA91-'plans (27122022)'!BA90</f>
        <v>0</v>
      </c>
      <c r="BB91" s="506">
        <f>PLĀNS_ar_grozījumiem!BB91-'plans (27122022)'!BB90</f>
        <v>0</v>
      </c>
      <c r="BC91" s="504">
        <f>PLĀNS_ar_grozījumiem!BC91-'plans (27122022)'!BC90</f>
        <v>0</v>
      </c>
      <c r="BD91" s="501">
        <f>PLĀNS_ar_grozījumiem!BD91-'plans (27122022)'!BD90</f>
        <v>0</v>
      </c>
      <c r="BE91" s="505">
        <f>PLĀNS_ar_grozījumiem!BE91-'plans (27122022)'!BE90</f>
        <v>0</v>
      </c>
      <c r="BF91" s="506">
        <f>PLĀNS_ar_grozījumiem!BF91-'plans (27122022)'!BF90</f>
        <v>145000</v>
      </c>
      <c r="BG91" s="504">
        <f>PLĀNS_ar_grozījumiem!BG91-'plans (27122022)'!BG90</f>
        <v>0</v>
      </c>
      <c r="BH91" s="501">
        <f>PLĀNS_ar_grozījumiem!BH91-'plans (27122022)'!BH90</f>
        <v>0</v>
      </c>
      <c r="BI91" s="233">
        <f>PLĀNS_ar_grozījumiem!BI91-'plans (27122022)'!BI90</f>
        <v>0</v>
      </c>
      <c r="BJ91" s="507" t="e">
        <f>PLĀNS_ar_grozījumiem!BJ91-'plans (27122022)'!BJ90</f>
        <v>#VALUE!</v>
      </c>
      <c r="BK91" s="508" t="e">
        <f>PLĀNS_ar_grozījumiem!BK91-'plans (27122022)'!BK90</f>
        <v>#VALUE!</v>
      </c>
      <c r="BL91" s="497" t="e">
        <f>PLĀNS_ar_grozījumiem!BL91-'plans (27122022)'!BL90</f>
        <v>#VALUE!</v>
      </c>
      <c r="BM91" s="498" t="e">
        <f>PLĀNS_ar_grozījumiem!BM91-'plans (27122022)'!BM90</f>
        <v>#VALUE!</v>
      </c>
      <c r="BN91" s="499" t="e">
        <f>PLĀNS_ar_grozījumiem!BN91-'plans (27122022)'!BN90</f>
        <v>#VALUE!</v>
      </c>
      <c r="BO91" s="500" t="e">
        <f>PLĀNS_ar_grozījumiem!BO91-'plans (27122022)'!BO90</f>
        <v>#VALUE!</v>
      </c>
      <c r="BP91" s="245">
        <f>PLĀNS_ar_grozījumiem!BP91-'plans (27122022)'!BP90</f>
        <v>0</v>
      </c>
      <c r="BQ91" s="233">
        <f>PLĀNS_ar_grozījumiem!BQ91-'plans (27122022)'!BQ90</f>
        <v>0</v>
      </c>
      <c r="BR91" s="502">
        <f>PLĀNS_ar_grozījumiem!BR91-'plans (27122022)'!BR90</f>
        <v>0</v>
      </c>
      <c r="BS91" s="503">
        <f>PLĀNS_ar_grozījumiem!BS91-'plans (27122022)'!BS90</f>
        <v>0</v>
      </c>
      <c r="BT91" s="504">
        <f>PLĀNS_ar_grozījumiem!BT91-'plans (27122022)'!BT90</f>
        <v>0</v>
      </c>
      <c r="BU91" s="233">
        <f>PLĀNS_ar_grozījumiem!BU91-'plans (27122022)'!BU90</f>
        <v>0</v>
      </c>
      <c r="BV91" s="502">
        <f>PLĀNS_ar_grozījumiem!BV91-'plans (27122022)'!BV90</f>
        <v>0</v>
      </c>
      <c r="BW91" s="509">
        <f>PLĀNS_ar_grozījumiem!BW91-'plans (27122022)'!BW90</f>
        <v>0</v>
      </c>
      <c r="BX91" s="506">
        <f>PLĀNS_ar_grozījumiem!BX91-'plans (27122022)'!BX90</f>
        <v>0</v>
      </c>
      <c r="BY91" s="236">
        <f>PLĀNS_ar_grozījumiem!BY91-'plans (27122022)'!BY90</f>
        <v>0</v>
      </c>
      <c r="BZ91" s="502">
        <f>PLĀNS_ar_grozījumiem!BZ91-'plans (27122022)'!BZ90</f>
        <v>0</v>
      </c>
      <c r="CA91" s="503">
        <f>PLĀNS_ar_grozījumiem!CA91-'plans (27122022)'!CA90</f>
        <v>0</v>
      </c>
      <c r="CB91" s="501">
        <f>PLĀNS_ar_grozījumiem!CB91-'plans (27122022)'!CB90</f>
        <v>0</v>
      </c>
      <c r="CC91" s="233">
        <f>PLĀNS_ar_grozījumiem!CC91-'plans (27122022)'!CC90</f>
        <v>0</v>
      </c>
      <c r="CD91" s="507" t="e">
        <f>PLĀNS_ar_grozījumiem!CD91-'plans (27122022)'!CD90</f>
        <v>#VALUE!</v>
      </c>
      <c r="CE91" s="508" t="e">
        <f>PLĀNS_ar_grozījumiem!CE91-'plans (27122022)'!CE90</f>
        <v>#VALUE!</v>
      </c>
      <c r="CF91" s="497" t="e">
        <f>PLĀNS_ar_grozījumiem!CF91-'plans (27122022)'!CF90</f>
        <v>#VALUE!</v>
      </c>
      <c r="CG91" s="510" t="e">
        <f>PLĀNS_ar_grozījumiem!CG91-'plans (27122022)'!CG90</f>
        <v>#VALUE!</v>
      </c>
      <c r="CH91" s="499" t="e">
        <f>PLĀNS_ar_grozījumiem!CH91-'plans (27122022)'!CH90</f>
        <v>#VALUE!</v>
      </c>
      <c r="CI91" s="500" t="e">
        <f>PLĀNS_ar_grozījumiem!CI91-'plans (27122022)'!CI90</f>
        <v>#VALUE!</v>
      </c>
      <c r="CJ91" s="504">
        <f>PLĀNS_ar_grozījumiem!CJ91-'plans (27122022)'!CJ90</f>
        <v>145000</v>
      </c>
      <c r="CK91" s="233">
        <f>PLĀNS_ar_grozījumiem!CK91-'plans (27122022)'!CK90</f>
        <v>0</v>
      </c>
      <c r="CL91" s="502">
        <f>PLĀNS_ar_grozījumiem!CL91-'plans (27122022)'!CL90</f>
        <v>145000</v>
      </c>
      <c r="CM91" s="511">
        <f>PLĀNS_ar_grozījumiem!CM91-'plans (27122022)'!CM90</f>
        <v>0</v>
      </c>
      <c r="CN91" s="504">
        <f>PLĀNS_ar_grozījumiem!CN91-'plans (27122022)'!CN90</f>
        <v>0</v>
      </c>
      <c r="CO91" s="233">
        <f>PLĀNS_ar_grozījumiem!CO91-'plans (27122022)'!CO90</f>
        <v>0</v>
      </c>
      <c r="CP91" s="512">
        <f>PLĀNS_ar_grozījumiem!CP91-'plans (27122022)'!CP90</f>
        <v>0</v>
      </c>
      <c r="CQ91" s="503">
        <f>PLĀNS_ar_grozījumiem!CQ91-'plans (27122022)'!CQ90</f>
        <v>0</v>
      </c>
      <c r="CR91" s="504">
        <f>PLĀNS_ar_grozījumiem!CR91-'plans (27122022)'!CR90</f>
        <v>0</v>
      </c>
      <c r="CS91" s="233">
        <f>PLĀNS_ar_grozījumiem!CS91-'plans (27122022)'!CS90</f>
        <v>0</v>
      </c>
      <c r="CT91" s="502">
        <f>PLĀNS_ar_grozījumiem!CT91-'plans (27122022)'!CT90</f>
        <v>145000</v>
      </c>
      <c r="CU91" s="266">
        <f>PLĀNS_ar_grozījumiem!CU91-'plans (27122022)'!CU90</f>
        <v>0</v>
      </c>
      <c r="CV91" s="504">
        <f>PLĀNS_ar_grozījumiem!CV91-'plans (27122022)'!CV90</f>
        <v>0</v>
      </c>
      <c r="CW91" s="233">
        <f>PLĀNS_ar_grozījumiem!CW91-'plans (27122022)'!CW90</f>
        <v>0</v>
      </c>
      <c r="CX91" s="507" t="e">
        <f>PLĀNS_ar_grozījumiem!CX91-'plans (27122022)'!CX90</f>
        <v>#VALUE!</v>
      </c>
      <c r="CY91" s="508" t="e">
        <f>PLĀNS_ar_grozījumiem!CY91-'plans (27122022)'!CY90</f>
        <v>#VALUE!</v>
      </c>
      <c r="CZ91" s="497" t="s">
        <v>44</v>
      </c>
      <c r="DA91" s="510" t="s">
        <v>44</v>
      </c>
      <c r="DB91" s="499" t="s">
        <v>44</v>
      </c>
      <c r="DC91" s="500" t="s">
        <v>44</v>
      </c>
      <c r="DD91" s="502">
        <f t="shared" si="23"/>
        <v>176030</v>
      </c>
      <c r="DE91" s="513">
        <f t="shared" si="23"/>
        <v>0</v>
      </c>
      <c r="DF91" s="513">
        <f t="shared" si="23"/>
        <v>95344</v>
      </c>
      <c r="DG91" s="514">
        <f t="shared" si="23"/>
        <v>0</v>
      </c>
      <c r="DH91" s="502">
        <f t="shared" si="23"/>
        <v>176030</v>
      </c>
      <c r="DI91" s="502">
        <f t="shared" si="23"/>
        <v>0</v>
      </c>
      <c r="DJ91" s="502">
        <f t="shared" si="23"/>
        <v>95344</v>
      </c>
      <c r="DK91" s="502">
        <f t="shared" si="23"/>
        <v>0</v>
      </c>
      <c r="DL91" s="502">
        <f t="shared" si="23"/>
        <v>0</v>
      </c>
      <c r="DM91" s="502">
        <f t="shared" si="23"/>
        <v>0</v>
      </c>
      <c r="DN91" s="502">
        <f t="shared" si="23"/>
        <v>0</v>
      </c>
      <c r="DO91" s="515">
        <f t="shared" si="23"/>
        <v>0</v>
      </c>
      <c r="DP91" s="507" t="s">
        <v>44</v>
      </c>
      <c r="DQ91" s="508" t="s">
        <v>44</v>
      </c>
      <c r="DR91" s="946"/>
      <c r="DS91" s="947"/>
      <c r="DT91" s="513">
        <f>PLĀNS_ar_grozījumiem!CL91-'plans (27122022)'!CL90</f>
        <v>145000</v>
      </c>
      <c r="DU91" s="916">
        <f>DT91/'plans (27122022)'!CL90</f>
        <v>0.48627040658913168</v>
      </c>
      <c r="DV91" s="503"/>
      <c r="DW91" s="516">
        <f>DV91/'plans (27122022)'!CN90</f>
        <v>0</v>
      </c>
      <c r="DX91" s="513">
        <f>PLĀNS_ar_grozījumiem!CP91-'plans (27122022)'!CP90</f>
        <v>0</v>
      </c>
      <c r="DY91" s="916">
        <f>DX91/'plans (27122022)'!CP90</f>
        <v>0</v>
      </c>
      <c r="DZ91" s="503">
        <f>PLĀNS_ar_grozījumiem!CR91-'plans (27122022)'!CR90</f>
        <v>0</v>
      </c>
      <c r="EA91" s="516">
        <f>PLĀNS_ar_grozījumiem!CQ91-'plans (27122022)'!CQ90</f>
        <v>0</v>
      </c>
      <c r="EB91" s="513">
        <f>PLĀNS_ar_grozījumiem!CT91-'plans (27122022)'!CT90</f>
        <v>145000</v>
      </c>
      <c r="EC91" s="339"/>
      <c r="ED91" s="503">
        <f>PLĀNS_ar_grozījumiem!CV91-'plans (27122022)'!CV90</f>
        <v>0</v>
      </c>
      <c r="EE91" s="516"/>
      <c r="EF91" s="948"/>
      <c r="EG91" s="917"/>
    </row>
    <row r="92" spans="1:137" s="5" customFormat="1" ht="28.5" customHeight="1" x14ac:dyDescent="0.25">
      <c r="A92" s="1072" t="s">
        <v>77</v>
      </c>
      <c r="B92" s="518" t="s">
        <v>78</v>
      </c>
      <c r="C92" s="519"/>
      <c r="D92" s="1016" t="s">
        <v>44</v>
      </c>
      <c r="E92" s="521" t="s">
        <v>44</v>
      </c>
      <c r="F92" s="452" t="s">
        <v>44</v>
      </c>
      <c r="G92" s="452" t="s">
        <v>44</v>
      </c>
      <c r="H92" s="522" t="s">
        <v>44</v>
      </c>
      <c r="I92" s="95" t="s">
        <v>44</v>
      </c>
      <c r="J92" s="376">
        <v>168976</v>
      </c>
      <c r="K92" s="120"/>
      <c r="L92" s="168" t="s">
        <v>44</v>
      </c>
      <c r="M92" s="95" t="s">
        <v>44</v>
      </c>
      <c r="N92" s="523">
        <v>166426</v>
      </c>
      <c r="O92" s="524"/>
      <c r="P92" s="522" t="s">
        <v>44</v>
      </c>
      <c r="Q92" s="95" t="s">
        <v>44</v>
      </c>
      <c r="R92" s="523">
        <v>2550</v>
      </c>
      <c r="S92" s="524"/>
      <c r="T92" s="522" t="s">
        <v>44</v>
      </c>
      <c r="U92" s="95" t="s">
        <v>44</v>
      </c>
      <c r="V92" s="525" t="s">
        <v>44</v>
      </c>
      <c r="W92" s="457" t="s">
        <v>44</v>
      </c>
      <c r="X92" s="520" t="s">
        <v>44</v>
      </c>
      <c r="Y92" s="521" t="s">
        <v>44</v>
      </c>
      <c r="Z92" s="452" t="s">
        <v>44</v>
      </c>
      <c r="AA92" s="452" t="s">
        <v>44</v>
      </c>
      <c r="AB92" s="522" t="s">
        <v>44</v>
      </c>
      <c r="AC92" s="95" t="s">
        <v>44</v>
      </c>
      <c r="AD92" s="376">
        <v>168976</v>
      </c>
      <c r="AE92" s="120"/>
      <c r="AF92" s="168" t="s">
        <v>44</v>
      </c>
      <c r="AG92" s="95" t="s">
        <v>44</v>
      </c>
      <c r="AH92" s="523">
        <v>166426</v>
      </c>
      <c r="AI92" s="524"/>
      <c r="AJ92" s="522" t="s">
        <v>44</v>
      </c>
      <c r="AK92" s="95" t="s">
        <v>44</v>
      </c>
      <c r="AL92" s="523">
        <v>2550</v>
      </c>
      <c r="AM92" s="524"/>
      <c r="AN92" s="522" t="s">
        <v>44</v>
      </c>
      <c r="AO92" s="95" t="s">
        <v>44</v>
      </c>
      <c r="AP92" s="525" t="s">
        <v>44</v>
      </c>
      <c r="AQ92" s="457" t="s">
        <v>44</v>
      </c>
      <c r="AR92" s="520" t="s">
        <v>44</v>
      </c>
      <c r="AS92" s="521" t="e">
        <f>PLĀNS_ar_grozījumiem!AS92-'plans (27122022)'!AS91</f>
        <v>#VALUE!</v>
      </c>
      <c r="AT92" s="452" t="e">
        <f>PLĀNS_ar_grozījumiem!AT92-'plans (27122022)'!AT91</f>
        <v>#VALUE!</v>
      </c>
      <c r="AU92" s="452" t="e">
        <f>PLĀNS_ar_grozījumiem!AU92-'plans (27122022)'!AU91</f>
        <v>#VALUE!</v>
      </c>
      <c r="AV92" s="522" t="e">
        <f>PLĀNS_ar_grozījumiem!AV92-'plans (27122022)'!AV91</f>
        <v>#VALUE!</v>
      </c>
      <c r="AW92" s="95" t="e">
        <f>PLĀNS_ar_grozījumiem!AW92-'plans (27122022)'!AW91</f>
        <v>#VALUE!</v>
      </c>
      <c r="AX92" s="376">
        <f>PLĀNS_ar_grozījumiem!AX92-'plans (27122022)'!AX91</f>
        <v>8321.3000000000175</v>
      </c>
      <c r="AY92" s="120">
        <f>PLĀNS_ar_grozījumiem!AY92-'plans (27122022)'!AY91</f>
        <v>0</v>
      </c>
      <c r="AZ92" s="168" t="e">
        <f>PLĀNS_ar_grozījumiem!AZ92-'plans (27122022)'!AZ91</f>
        <v>#VALUE!</v>
      </c>
      <c r="BA92" s="95" t="e">
        <f>PLĀNS_ar_grozījumiem!BA92-'plans (27122022)'!BA91</f>
        <v>#VALUE!</v>
      </c>
      <c r="BB92" s="523">
        <f>PLĀNS_ar_grozījumiem!BB92-'plans (27122022)'!BB91</f>
        <v>8321.3000000000175</v>
      </c>
      <c r="BC92" s="524">
        <f>PLĀNS_ar_grozījumiem!BC92-'plans (27122022)'!BC91</f>
        <v>0</v>
      </c>
      <c r="BD92" s="522" t="e">
        <f>PLĀNS_ar_grozījumiem!BD92-'plans (27122022)'!BD91</f>
        <v>#VALUE!</v>
      </c>
      <c r="BE92" s="95" t="e">
        <f>PLĀNS_ar_grozījumiem!BE92-'plans (27122022)'!BE91</f>
        <v>#VALUE!</v>
      </c>
      <c r="BF92" s="523">
        <f>PLĀNS_ar_grozījumiem!BF92-'plans (27122022)'!BF91</f>
        <v>0</v>
      </c>
      <c r="BG92" s="524">
        <f>PLĀNS_ar_grozījumiem!BG92-'plans (27122022)'!BG91</f>
        <v>0</v>
      </c>
      <c r="BH92" s="522" t="e">
        <f>PLĀNS_ar_grozījumiem!BH92-'plans (27122022)'!BH91</f>
        <v>#VALUE!</v>
      </c>
      <c r="BI92" s="95" t="e">
        <f>PLĀNS_ar_grozījumiem!BI92-'plans (27122022)'!BI91</f>
        <v>#VALUE!</v>
      </c>
      <c r="BJ92" s="525" t="e">
        <f>PLĀNS_ar_grozījumiem!BJ92-'plans (27122022)'!BJ91</f>
        <v>#VALUE!</v>
      </c>
      <c r="BK92" s="457" t="e">
        <f>PLĀNS_ar_grozījumiem!BK92-'plans (27122022)'!BK91</f>
        <v>#VALUE!</v>
      </c>
      <c r="BL92" s="520" t="e">
        <f>PLĀNS_ar_grozījumiem!BL92-'plans (27122022)'!BL91</f>
        <v>#VALUE!</v>
      </c>
      <c r="BM92" s="521" t="e">
        <f>PLĀNS_ar_grozījumiem!BM92-'plans (27122022)'!BM91</f>
        <v>#VALUE!</v>
      </c>
      <c r="BN92" s="452" t="e">
        <f>PLĀNS_ar_grozījumiem!BN92-'plans (27122022)'!BN91</f>
        <v>#VALUE!</v>
      </c>
      <c r="BO92" s="452" t="e">
        <f>PLĀNS_ar_grozījumiem!BO92-'plans (27122022)'!BO91</f>
        <v>#VALUE!</v>
      </c>
      <c r="BP92" s="522" t="e">
        <f>PLĀNS_ar_grozījumiem!BP92-'plans (27122022)'!BP91</f>
        <v>#VALUE!</v>
      </c>
      <c r="BQ92" s="95" t="e">
        <f>PLĀNS_ar_grozījumiem!BQ92-'plans (27122022)'!BQ91</f>
        <v>#VALUE!</v>
      </c>
      <c r="BR92" s="376">
        <f>PLĀNS_ar_grozījumiem!BR92-'plans (27122022)'!BR91</f>
        <v>16351.300000000017</v>
      </c>
      <c r="BS92" s="120">
        <f>PLĀNS_ar_grozījumiem!BS92-'plans (27122022)'!BS91</f>
        <v>0</v>
      </c>
      <c r="BT92" s="168" t="e">
        <f>PLĀNS_ar_grozījumiem!BT92-'plans (27122022)'!BT91</f>
        <v>#VALUE!</v>
      </c>
      <c r="BU92" s="95" t="e">
        <f>PLĀNS_ar_grozījumiem!BU92-'plans (27122022)'!BU91</f>
        <v>#VALUE!</v>
      </c>
      <c r="BV92" s="523">
        <f>PLĀNS_ar_grozījumiem!BV92-'plans (27122022)'!BV91</f>
        <v>16351.300000000017</v>
      </c>
      <c r="BW92" s="524">
        <f>PLĀNS_ar_grozījumiem!BW92-'plans (27122022)'!BW91</f>
        <v>0</v>
      </c>
      <c r="BX92" s="522" t="e">
        <f>PLĀNS_ar_grozījumiem!BX92-'plans (27122022)'!BX91</f>
        <v>#VALUE!</v>
      </c>
      <c r="BY92" s="95" t="e">
        <f>PLĀNS_ar_grozījumiem!BY92-'plans (27122022)'!BY91</f>
        <v>#VALUE!</v>
      </c>
      <c r="BZ92" s="523">
        <f>PLĀNS_ar_grozījumiem!BZ92-'plans (27122022)'!BZ91</f>
        <v>0</v>
      </c>
      <c r="CA92" s="524">
        <f>PLĀNS_ar_grozījumiem!CA92-'plans (27122022)'!CA91</f>
        <v>0</v>
      </c>
      <c r="CB92" s="522" t="e">
        <f>PLĀNS_ar_grozījumiem!CB92-'plans (27122022)'!CB91</f>
        <v>#VALUE!</v>
      </c>
      <c r="CC92" s="95" t="e">
        <f>PLĀNS_ar_grozījumiem!CC92-'plans (27122022)'!CC91</f>
        <v>#VALUE!</v>
      </c>
      <c r="CD92" s="525" t="e">
        <f>PLĀNS_ar_grozījumiem!CD92-'plans (27122022)'!CD91</f>
        <v>#VALUE!</v>
      </c>
      <c r="CE92" s="457" t="e">
        <f>PLĀNS_ar_grozījumiem!CE92-'plans (27122022)'!CE91</f>
        <v>#VALUE!</v>
      </c>
      <c r="CF92" s="526" t="e">
        <f>PLĀNS_ar_grozījumiem!CF92-'plans (27122022)'!CF91</f>
        <v>#VALUE!</v>
      </c>
      <c r="CG92" s="452" t="e">
        <f>PLĀNS_ar_grozījumiem!CG92-'plans (27122022)'!CG91</f>
        <v>#VALUE!</v>
      </c>
      <c r="CH92" s="452" t="e">
        <f>PLĀNS_ar_grozījumiem!CH92-'plans (27122022)'!CH91</f>
        <v>#VALUE!</v>
      </c>
      <c r="CI92" s="453" t="e">
        <f>PLĀNS_ar_grozījumiem!CI92-'plans (27122022)'!CI91</f>
        <v>#VALUE!</v>
      </c>
      <c r="CJ92" s="168" t="e">
        <f>PLĀNS_ar_grozījumiem!CJ92-'plans (27122022)'!CJ91</f>
        <v>#VALUE!</v>
      </c>
      <c r="CK92" s="95" t="e">
        <f>PLĀNS_ar_grozījumiem!CK92-'plans (27122022)'!CK91</f>
        <v>#VALUE!</v>
      </c>
      <c r="CL92" s="376">
        <f>PLĀNS_ar_grozījumiem!CL92-'plans (27122022)'!CL91</f>
        <v>24672.600000000093</v>
      </c>
      <c r="CM92" s="527">
        <f>PLĀNS_ar_grozījumiem!CM92-'plans (27122022)'!CM91</f>
        <v>0</v>
      </c>
      <c r="CN92" s="168" t="e">
        <f>PLĀNS_ar_grozījumiem!CN92-'plans (27122022)'!CN91</f>
        <v>#VALUE!</v>
      </c>
      <c r="CO92" s="95" t="e">
        <f>PLĀNS_ar_grozījumiem!CO92-'plans (27122022)'!CO91</f>
        <v>#VALUE!</v>
      </c>
      <c r="CP92" s="376">
        <f>PLĀNS_ar_grozījumiem!CP92-'plans (27122022)'!CP91</f>
        <v>24672.600000000093</v>
      </c>
      <c r="CQ92" s="120">
        <f>PLĀNS_ar_grozījumiem!CQ92-'plans (27122022)'!CQ91</f>
        <v>0</v>
      </c>
      <c r="CR92" s="168" t="e">
        <f>PLĀNS_ar_grozījumiem!CR92-'plans (27122022)'!CR91</f>
        <v>#VALUE!</v>
      </c>
      <c r="CS92" s="95" t="e">
        <f>PLĀNS_ar_grozījumiem!CS92-'plans (27122022)'!CS91</f>
        <v>#VALUE!</v>
      </c>
      <c r="CT92" s="376">
        <f>PLĀNS_ar_grozījumiem!CT92-'plans (27122022)'!CT91</f>
        <v>0</v>
      </c>
      <c r="CU92" s="104">
        <f>PLĀNS_ar_grozījumiem!CU92-'plans (27122022)'!CU91</f>
        <v>0</v>
      </c>
      <c r="CV92" s="168" t="e">
        <f>PLĀNS_ar_grozījumiem!CV92-'plans (27122022)'!CV91</f>
        <v>#VALUE!</v>
      </c>
      <c r="CW92" s="95" t="e">
        <f>PLĀNS_ar_grozījumiem!CW92-'plans (27122022)'!CW91</f>
        <v>#VALUE!</v>
      </c>
      <c r="CX92" s="464" t="e">
        <f>PLĀNS_ar_grozījumiem!CX92-'plans (27122022)'!CX91</f>
        <v>#VALUE!</v>
      </c>
      <c r="CY92" s="457" t="e">
        <f>PLĀNS_ar_grozījumiem!CY92-'plans (27122022)'!CY91</f>
        <v>#VALUE!</v>
      </c>
      <c r="CZ92" s="526" t="s">
        <v>44</v>
      </c>
      <c r="DA92" s="528" t="s">
        <v>44</v>
      </c>
      <c r="DB92" s="452" t="s">
        <v>44</v>
      </c>
      <c r="DC92" s="453" t="s">
        <v>44</v>
      </c>
      <c r="DD92" s="104">
        <f t="shared" si="23"/>
        <v>337952</v>
      </c>
      <c r="DE92" s="104">
        <f t="shared" si="23"/>
        <v>0</v>
      </c>
      <c r="DF92" s="104" t="e">
        <f t="shared" si="23"/>
        <v>#VALUE!</v>
      </c>
      <c r="DG92" s="529" t="e">
        <f t="shared" ref="DG92:DO98" si="28">M92+AG92</f>
        <v>#VALUE!</v>
      </c>
      <c r="DH92" s="523">
        <f t="shared" si="28"/>
        <v>332852</v>
      </c>
      <c r="DI92" s="524">
        <f t="shared" si="28"/>
        <v>0</v>
      </c>
      <c r="DJ92" s="524" t="e">
        <f t="shared" si="28"/>
        <v>#VALUE!</v>
      </c>
      <c r="DK92" s="530" t="e">
        <f t="shared" si="28"/>
        <v>#VALUE!</v>
      </c>
      <c r="DL92" s="523">
        <f t="shared" si="28"/>
        <v>5100</v>
      </c>
      <c r="DM92" s="524">
        <f t="shared" si="28"/>
        <v>0</v>
      </c>
      <c r="DN92" s="524" t="e">
        <f t="shared" si="28"/>
        <v>#VALUE!</v>
      </c>
      <c r="DO92" s="531" t="e">
        <f t="shared" si="28"/>
        <v>#VALUE!</v>
      </c>
      <c r="DP92" s="464" t="s">
        <v>44</v>
      </c>
      <c r="DQ92" s="457" t="s">
        <v>44</v>
      </c>
      <c r="DR92" s="119"/>
      <c r="DS92" s="908"/>
      <c r="DT92" s="104">
        <f>PLĀNS_ar_grozījumiem!CL92-'plans (27122022)'!CL91</f>
        <v>24672.600000000093</v>
      </c>
      <c r="DU92" s="909">
        <f>DT92/'plans (27122022)'!CL91</f>
        <v>3.6611446140696738E-2</v>
      </c>
      <c r="DV92" s="120"/>
      <c r="DW92" s="118"/>
      <c r="DX92" s="104">
        <f>PLĀNS_ar_grozījumiem!CP92-'plans (27122022)'!CP91</f>
        <v>24672.600000000093</v>
      </c>
      <c r="DY92" s="909">
        <f>DX92/'plans (27122022)'!CP91</f>
        <v>3.7174101707990452E-2</v>
      </c>
      <c r="DZ92" s="120"/>
      <c r="EA92" s="118">
        <f>PLĀNS_ar_grozījumiem!CQ92-'plans (27122022)'!CQ91</f>
        <v>0</v>
      </c>
      <c r="EB92" s="104">
        <f>PLĀNS_ar_grozījumiem!CT92-'plans (27122022)'!CT91</f>
        <v>0</v>
      </c>
      <c r="EC92" s="121">
        <f>EB92/'plans (27122022)'!CT91</f>
        <v>0</v>
      </c>
      <c r="ED92" s="120"/>
      <c r="EE92" s="121"/>
      <c r="EF92" s="941"/>
      <c r="EG92" s="927"/>
    </row>
    <row r="93" spans="1:137" s="5" customFormat="1" ht="15.75" customHeight="1" x14ac:dyDescent="0.25">
      <c r="A93" s="1070"/>
      <c r="B93" s="100" t="s">
        <v>79</v>
      </c>
      <c r="C93" s="532"/>
      <c r="D93" s="1017" t="s">
        <v>44</v>
      </c>
      <c r="E93" s="534" t="s">
        <v>44</v>
      </c>
      <c r="F93" s="535" t="s">
        <v>44</v>
      </c>
      <c r="G93" s="535" t="s">
        <v>44</v>
      </c>
      <c r="H93" s="536" t="s">
        <v>44</v>
      </c>
      <c r="I93" s="159" t="s">
        <v>44</v>
      </c>
      <c r="J93" s="108" t="s">
        <v>44</v>
      </c>
      <c r="K93" s="108" t="s">
        <v>44</v>
      </c>
      <c r="L93" s="108" t="s">
        <v>44</v>
      </c>
      <c r="M93" s="159" t="s">
        <v>44</v>
      </c>
      <c r="N93" s="108" t="s">
        <v>44</v>
      </c>
      <c r="O93" s="108" t="s">
        <v>44</v>
      </c>
      <c r="P93" s="536" t="s">
        <v>44</v>
      </c>
      <c r="Q93" s="159" t="s">
        <v>44</v>
      </c>
      <c r="R93" s="108" t="s">
        <v>44</v>
      </c>
      <c r="S93" s="108" t="s">
        <v>44</v>
      </c>
      <c r="T93" s="536" t="s">
        <v>44</v>
      </c>
      <c r="U93" s="159" t="s">
        <v>44</v>
      </c>
      <c r="V93" s="108" t="s">
        <v>44</v>
      </c>
      <c r="W93" s="108" t="s">
        <v>44</v>
      </c>
      <c r="X93" s="533" t="s">
        <v>44</v>
      </c>
      <c r="Y93" s="534" t="s">
        <v>44</v>
      </c>
      <c r="Z93" s="535" t="s">
        <v>44</v>
      </c>
      <c r="AA93" s="535" t="s">
        <v>44</v>
      </c>
      <c r="AB93" s="536" t="s">
        <v>44</v>
      </c>
      <c r="AC93" s="159" t="s">
        <v>44</v>
      </c>
      <c r="AD93" s="108" t="s">
        <v>44</v>
      </c>
      <c r="AE93" s="108" t="s">
        <v>44</v>
      </c>
      <c r="AF93" s="108" t="s">
        <v>44</v>
      </c>
      <c r="AG93" s="159" t="s">
        <v>44</v>
      </c>
      <c r="AH93" s="108" t="s">
        <v>44</v>
      </c>
      <c r="AI93" s="108" t="s">
        <v>44</v>
      </c>
      <c r="AJ93" s="536" t="s">
        <v>44</v>
      </c>
      <c r="AK93" s="159" t="s">
        <v>44</v>
      </c>
      <c r="AL93" s="108" t="s">
        <v>44</v>
      </c>
      <c r="AM93" s="108" t="s">
        <v>44</v>
      </c>
      <c r="AN93" s="536" t="s">
        <v>44</v>
      </c>
      <c r="AO93" s="159" t="s">
        <v>44</v>
      </c>
      <c r="AP93" s="108" t="s">
        <v>44</v>
      </c>
      <c r="AQ93" s="108" t="s">
        <v>44</v>
      </c>
      <c r="AR93" s="533" t="s">
        <v>44</v>
      </c>
      <c r="AS93" s="534" t="e">
        <f>PLĀNS_ar_grozījumiem!AS93-'plans (27122022)'!AS92</f>
        <v>#VALUE!</v>
      </c>
      <c r="AT93" s="535" t="e">
        <f>PLĀNS_ar_grozījumiem!AT93-'plans (27122022)'!AT92</f>
        <v>#VALUE!</v>
      </c>
      <c r="AU93" s="535" t="e">
        <f>PLĀNS_ar_grozījumiem!AU93-'plans (27122022)'!AU92</f>
        <v>#VALUE!</v>
      </c>
      <c r="AV93" s="536" t="e">
        <f>PLĀNS_ar_grozījumiem!AV93-'plans (27122022)'!AV92</f>
        <v>#VALUE!</v>
      </c>
      <c r="AW93" s="159" t="e">
        <f>PLĀNS_ar_grozījumiem!AW93-'plans (27122022)'!AW92</f>
        <v>#VALUE!</v>
      </c>
      <c r="AX93" s="108" t="e">
        <f>PLĀNS_ar_grozījumiem!AX93-'plans (27122022)'!AX92</f>
        <v>#VALUE!</v>
      </c>
      <c r="AY93" s="108" t="e">
        <f>PLĀNS_ar_grozījumiem!AY93-'plans (27122022)'!AY92</f>
        <v>#VALUE!</v>
      </c>
      <c r="AZ93" s="108" t="e">
        <f>PLĀNS_ar_grozījumiem!AZ93-'plans (27122022)'!AZ92</f>
        <v>#VALUE!</v>
      </c>
      <c r="BA93" s="159" t="e">
        <f>PLĀNS_ar_grozījumiem!BA93-'plans (27122022)'!BA92</f>
        <v>#VALUE!</v>
      </c>
      <c r="BB93" s="108" t="e">
        <f>PLĀNS_ar_grozījumiem!BB93-'plans (27122022)'!BB92</f>
        <v>#VALUE!</v>
      </c>
      <c r="BC93" s="108" t="e">
        <f>PLĀNS_ar_grozījumiem!BC93-'plans (27122022)'!BC92</f>
        <v>#VALUE!</v>
      </c>
      <c r="BD93" s="536" t="e">
        <f>PLĀNS_ar_grozījumiem!BD93-'plans (27122022)'!BD92</f>
        <v>#VALUE!</v>
      </c>
      <c r="BE93" s="159" t="e">
        <f>PLĀNS_ar_grozījumiem!BE93-'plans (27122022)'!BE92</f>
        <v>#VALUE!</v>
      </c>
      <c r="BF93" s="108" t="e">
        <f>PLĀNS_ar_grozījumiem!BF93-'plans (27122022)'!BF92</f>
        <v>#VALUE!</v>
      </c>
      <c r="BG93" s="108" t="e">
        <f>PLĀNS_ar_grozījumiem!BG93-'plans (27122022)'!BG92</f>
        <v>#VALUE!</v>
      </c>
      <c r="BH93" s="536" t="e">
        <f>PLĀNS_ar_grozījumiem!BH93-'plans (27122022)'!BH92</f>
        <v>#VALUE!</v>
      </c>
      <c r="BI93" s="159" t="e">
        <f>PLĀNS_ar_grozījumiem!BI93-'plans (27122022)'!BI92</f>
        <v>#VALUE!</v>
      </c>
      <c r="BJ93" s="108" t="e">
        <f>PLĀNS_ar_grozījumiem!BJ93-'plans (27122022)'!BJ92</f>
        <v>#VALUE!</v>
      </c>
      <c r="BK93" s="108" t="e">
        <f>PLĀNS_ar_grozījumiem!BK93-'plans (27122022)'!BK92</f>
        <v>#VALUE!</v>
      </c>
      <c r="BL93" s="533" t="e">
        <f>PLĀNS_ar_grozījumiem!BL93-'plans (27122022)'!BL92</f>
        <v>#VALUE!</v>
      </c>
      <c r="BM93" s="534" t="e">
        <f>PLĀNS_ar_grozījumiem!BM93-'plans (27122022)'!BM92</f>
        <v>#VALUE!</v>
      </c>
      <c r="BN93" s="535" t="e">
        <f>PLĀNS_ar_grozījumiem!BN93-'plans (27122022)'!BN92</f>
        <v>#VALUE!</v>
      </c>
      <c r="BO93" s="535" t="e">
        <f>PLĀNS_ar_grozījumiem!BO93-'plans (27122022)'!BO92</f>
        <v>#VALUE!</v>
      </c>
      <c r="BP93" s="536" t="e">
        <f>PLĀNS_ar_grozījumiem!BP93-'plans (27122022)'!BP92</f>
        <v>#VALUE!</v>
      </c>
      <c r="BQ93" s="159" t="e">
        <f>PLĀNS_ar_grozījumiem!BQ93-'plans (27122022)'!BQ92</f>
        <v>#VALUE!</v>
      </c>
      <c r="BR93" s="108" t="e">
        <f>PLĀNS_ar_grozījumiem!BR93-'plans (27122022)'!BR92</f>
        <v>#VALUE!</v>
      </c>
      <c r="BS93" s="108" t="e">
        <f>PLĀNS_ar_grozījumiem!BS93-'plans (27122022)'!BS92</f>
        <v>#VALUE!</v>
      </c>
      <c r="BT93" s="108" t="e">
        <f>PLĀNS_ar_grozījumiem!BT93-'plans (27122022)'!BT92</f>
        <v>#VALUE!</v>
      </c>
      <c r="BU93" s="159" t="e">
        <f>PLĀNS_ar_grozījumiem!BU93-'plans (27122022)'!BU92</f>
        <v>#VALUE!</v>
      </c>
      <c r="BV93" s="108" t="e">
        <f>PLĀNS_ar_grozījumiem!BV93-'plans (27122022)'!BV92</f>
        <v>#VALUE!</v>
      </c>
      <c r="BW93" s="108" t="e">
        <f>PLĀNS_ar_grozījumiem!BW93-'plans (27122022)'!BW92</f>
        <v>#VALUE!</v>
      </c>
      <c r="BX93" s="536" t="e">
        <f>PLĀNS_ar_grozījumiem!BX93-'plans (27122022)'!BX92</f>
        <v>#VALUE!</v>
      </c>
      <c r="BY93" s="159" t="e">
        <f>PLĀNS_ar_grozījumiem!BY93-'plans (27122022)'!BY92</f>
        <v>#VALUE!</v>
      </c>
      <c r="BZ93" s="108" t="e">
        <f>PLĀNS_ar_grozījumiem!BZ93-'plans (27122022)'!BZ92</f>
        <v>#VALUE!</v>
      </c>
      <c r="CA93" s="108" t="e">
        <f>PLĀNS_ar_grozījumiem!CA93-'plans (27122022)'!CA92</f>
        <v>#VALUE!</v>
      </c>
      <c r="CB93" s="536" t="e">
        <f>PLĀNS_ar_grozījumiem!CB93-'plans (27122022)'!CB92</f>
        <v>#VALUE!</v>
      </c>
      <c r="CC93" s="159" t="e">
        <f>PLĀNS_ar_grozījumiem!CC93-'plans (27122022)'!CC92</f>
        <v>#VALUE!</v>
      </c>
      <c r="CD93" s="108" t="e">
        <f>PLĀNS_ar_grozījumiem!CD93-'plans (27122022)'!CD92</f>
        <v>#VALUE!</v>
      </c>
      <c r="CE93" s="108" t="e">
        <f>PLĀNS_ar_grozījumiem!CE93-'plans (27122022)'!CE92</f>
        <v>#VALUE!</v>
      </c>
      <c r="CF93" s="537" t="e">
        <f>PLĀNS_ar_grozījumiem!CF93-'plans (27122022)'!CF92</f>
        <v>#VALUE!</v>
      </c>
      <c r="CG93" s="535" t="e">
        <f>PLĀNS_ar_grozījumiem!CG93-'plans (27122022)'!CG92</f>
        <v>#VALUE!</v>
      </c>
      <c r="CH93" s="535" t="e">
        <f>PLĀNS_ar_grozījumiem!CH93-'plans (27122022)'!CH92</f>
        <v>#VALUE!</v>
      </c>
      <c r="CI93" s="538" t="e">
        <f>PLĀNS_ar_grozījumiem!CI93-'plans (27122022)'!CI92</f>
        <v>#VALUE!</v>
      </c>
      <c r="CJ93" s="108" t="e">
        <f>PLĀNS_ar_grozījumiem!CJ93-'plans (27122022)'!CJ92</f>
        <v>#VALUE!</v>
      </c>
      <c r="CK93" s="159" t="e">
        <f>PLĀNS_ar_grozījumiem!CK93-'plans (27122022)'!CK92</f>
        <v>#VALUE!</v>
      </c>
      <c r="CL93" s="108" t="e">
        <f>PLĀNS_ar_grozījumiem!CL93-'plans (27122022)'!CL92</f>
        <v>#VALUE!</v>
      </c>
      <c r="CM93" s="108" t="e">
        <f>PLĀNS_ar_grozījumiem!CM93-'plans (27122022)'!CM92</f>
        <v>#VALUE!</v>
      </c>
      <c r="CN93" s="108" t="e">
        <f>PLĀNS_ar_grozījumiem!CN93-'plans (27122022)'!CN92</f>
        <v>#VALUE!</v>
      </c>
      <c r="CO93" s="159" t="e">
        <f>PLĀNS_ar_grozījumiem!CO93-'plans (27122022)'!CO92</f>
        <v>#VALUE!</v>
      </c>
      <c r="CP93" s="108" t="e">
        <f>PLĀNS_ar_grozījumiem!CP93-'plans (27122022)'!CP92</f>
        <v>#VALUE!</v>
      </c>
      <c r="CQ93" s="108" t="e">
        <f>PLĀNS_ar_grozījumiem!CQ93-'plans (27122022)'!CQ92</f>
        <v>#VALUE!</v>
      </c>
      <c r="CR93" s="108" t="e">
        <f>PLĀNS_ar_grozījumiem!CR93-'plans (27122022)'!CR92</f>
        <v>#VALUE!</v>
      </c>
      <c r="CS93" s="159" t="e">
        <f>PLĀNS_ar_grozījumiem!CS93-'plans (27122022)'!CS92</f>
        <v>#VALUE!</v>
      </c>
      <c r="CT93" s="108" t="e">
        <f>PLĀNS_ar_grozījumiem!CT93-'plans (27122022)'!CT92</f>
        <v>#VALUE!</v>
      </c>
      <c r="CU93" s="108" t="e">
        <f>PLĀNS_ar_grozījumiem!CU93-'plans (27122022)'!CU92</f>
        <v>#VALUE!</v>
      </c>
      <c r="CV93" s="108" t="e">
        <f>PLĀNS_ar_grozījumiem!CV93-'plans (27122022)'!CV92</f>
        <v>#VALUE!</v>
      </c>
      <c r="CW93" s="159" t="e">
        <f>PLĀNS_ar_grozījumiem!CW93-'plans (27122022)'!CW92</f>
        <v>#VALUE!</v>
      </c>
      <c r="CX93" s="108" t="e">
        <f>PLĀNS_ar_grozījumiem!CX93-'plans (27122022)'!CX92</f>
        <v>#VALUE!</v>
      </c>
      <c r="CY93" s="539" t="e">
        <f>PLĀNS_ar_grozījumiem!CY93-'plans (27122022)'!CY92</f>
        <v>#VALUE!</v>
      </c>
      <c r="CZ93" s="537" t="s">
        <v>44</v>
      </c>
      <c r="DA93" s="540" t="s">
        <v>44</v>
      </c>
      <c r="DB93" s="535" t="s">
        <v>44</v>
      </c>
      <c r="DC93" s="538" t="s">
        <v>44</v>
      </c>
      <c r="DD93" s="104" t="e">
        <f t="shared" ref="DD93:DF98" si="29">J93+AD93</f>
        <v>#VALUE!</v>
      </c>
      <c r="DE93" s="104" t="e">
        <f t="shared" si="29"/>
        <v>#VALUE!</v>
      </c>
      <c r="DF93" s="104" t="e">
        <f t="shared" si="29"/>
        <v>#VALUE!</v>
      </c>
      <c r="DG93" s="529" t="e">
        <f t="shared" si="28"/>
        <v>#VALUE!</v>
      </c>
      <c r="DH93" s="100" t="e">
        <f t="shared" si="28"/>
        <v>#VALUE!</v>
      </c>
      <c r="DI93" s="97" t="e">
        <f t="shared" si="28"/>
        <v>#VALUE!</v>
      </c>
      <c r="DJ93" s="97" t="e">
        <f t="shared" si="28"/>
        <v>#VALUE!</v>
      </c>
      <c r="DK93" s="127" t="e">
        <f t="shared" si="28"/>
        <v>#VALUE!</v>
      </c>
      <c r="DL93" s="100" t="e">
        <f t="shared" si="28"/>
        <v>#VALUE!</v>
      </c>
      <c r="DM93" s="97" t="e">
        <f t="shared" si="28"/>
        <v>#VALUE!</v>
      </c>
      <c r="DN93" s="97" t="e">
        <f t="shared" si="28"/>
        <v>#VALUE!</v>
      </c>
      <c r="DO93" s="115" t="e">
        <f t="shared" si="28"/>
        <v>#VALUE!</v>
      </c>
      <c r="DP93" s="541" t="s">
        <v>44</v>
      </c>
      <c r="DQ93" s="542" t="s">
        <v>44</v>
      </c>
      <c r="DR93" s="949"/>
      <c r="DS93" s="950"/>
      <c r="DT93" s="104"/>
      <c r="DU93" s="909"/>
      <c r="DV93" s="120"/>
      <c r="DW93" s="118"/>
      <c r="DX93" s="104"/>
      <c r="DY93" s="909"/>
      <c r="DZ93" s="120"/>
      <c r="EA93" s="118"/>
      <c r="EB93" s="104"/>
      <c r="EC93" s="121"/>
      <c r="ED93" s="120"/>
      <c r="EE93" s="121"/>
      <c r="EF93" s="951"/>
      <c r="EG93" s="952"/>
    </row>
    <row r="94" spans="1:137" s="5" customFormat="1" ht="15.75" customHeight="1" x14ac:dyDescent="0.25">
      <c r="A94" s="1070"/>
      <c r="B94" s="100" t="s">
        <v>80</v>
      </c>
      <c r="C94" s="543"/>
      <c r="D94" s="1017" t="s">
        <v>44</v>
      </c>
      <c r="E94" s="534" t="s">
        <v>44</v>
      </c>
      <c r="F94" s="535" t="s">
        <v>44</v>
      </c>
      <c r="G94" s="535" t="s">
        <v>44</v>
      </c>
      <c r="H94" s="544" t="s">
        <v>44</v>
      </c>
      <c r="I94" s="545" t="s">
        <v>44</v>
      </c>
      <c r="J94" s="108" t="s">
        <v>44</v>
      </c>
      <c r="K94" s="108" t="s">
        <v>44</v>
      </c>
      <c r="L94" s="108" t="s">
        <v>44</v>
      </c>
      <c r="M94" s="159" t="s">
        <v>44</v>
      </c>
      <c r="N94" s="108" t="s">
        <v>44</v>
      </c>
      <c r="O94" s="108" t="s">
        <v>44</v>
      </c>
      <c r="P94" s="544" t="s">
        <v>44</v>
      </c>
      <c r="Q94" s="545" t="s">
        <v>44</v>
      </c>
      <c r="R94" s="108" t="s">
        <v>44</v>
      </c>
      <c r="S94" s="108" t="s">
        <v>44</v>
      </c>
      <c r="T94" s="544" t="s">
        <v>44</v>
      </c>
      <c r="U94" s="545" t="s">
        <v>44</v>
      </c>
      <c r="V94" s="108" t="s">
        <v>44</v>
      </c>
      <c r="W94" s="108" t="s">
        <v>44</v>
      </c>
      <c r="X94" s="533" t="s">
        <v>44</v>
      </c>
      <c r="Y94" s="534" t="s">
        <v>44</v>
      </c>
      <c r="Z94" s="535" t="s">
        <v>44</v>
      </c>
      <c r="AA94" s="535" t="s">
        <v>44</v>
      </c>
      <c r="AB94" s="544" t="s">
        <v>44</v>
      </c>
      <c r="AC94" s="545" t="s">
        <v>44</v>
      </c>
      <c r="AD94" s="108" t="s">
        <v>44</v>
      </c>
      <c r="AE94" s="108" t="s">
        <v>44</v>
      </c>
      <c r="AF94" s="108" t="s">
        <v>44</v>
      </c>
      <c r="AG94" s="159" t="s">
        <v>44</v>
      </c>
      <c r="AH94" s="108" t="s">
        <v>44</v>
      </c>
      <c r="AI94" s="108" t="s">
        <v>44</v>
      </c>
      <c r="AJ94" s="544" t="s">
        <v>44</v>
      </c>
      <c r="AK94" s="545" t="s">
        <v>44</v>
      </c>
      <c r="AL94" s="108" t="s">
        <v>44</v>
      </c>
      <c r="AM94" s="108" t="s">
        <v>44</v>
      </c>
      <c r="AN94" s="544" t="s">
        <v>44</v>
      </c>
      <c r="AO94" s="545" t="s">
        <v>44</v>
      </c>
      <c r="AP94" s="108" t="s">
        <v>44</v>
      </c>
      <c r="AQ94" s="108" t="s">
        <v>44</v>
      </c>
      <c r="AR94" s="533" t="s">
        <v>44</v>
      </c>
      <c r="AS94" s="534" t="e">
        <f>PLĀNS_ar_grozījumiem!AS94-'plans (27122022)'!AS93</f>
        <v>#VALUE!</v>
      </c>
      <c r="AT94" s="535" t="e">
        <f>PLĀNS_ar_grozījumiem!AT94-'plans (27122022)'!AT93</f>
        <v>#VALUE!</v>
      </c>
      <c r="AU94" s="535" t="e">
        <f>PLĀNS_ar_grozījumiem!AU94-'plans (27122022)'!AU93</f>
        <v>#VALUE!</v>
      </c>
      <c r="AV94" s="544" t="e">
        <f>PLĀNS_ar_grozījumiem!AV94-'plans (27122022)'!AV93</f>
        <v>#VALUE!</v>
      </c>
      <c r="AW94" s="545" t="e">
        <f>PLĀNS_ar_grozījumiem!AW94-'plans (27122022)'!AW93</f>
        <v>#VALUE!</v>
      </c>
      <c r="AX94" s="108" t="e">
        <f>PLĀNS_ar_grozījumiem!AX94-'plans (27122022)'!AX93</f>
        <v>#VALUE!</v>
      </c>
      <c r="AY94" s="108" t="e">
        <f>PLĀNS_ar_grozījumiem!AY94-'plans (27122022)'!AY93</f>
        <v>#VALUE!</v>
      </c>
      <c r="AZ94" s="108" t="e">
        <f>PLĀNS_ar_grozījumiem!AZ94-'plans (27122022)'!AZ93</f>
        <v>#VALUE!</v>
      </c>
      <c r="BA94" s="159" t="e">
        <f>PLĀNS_ar_grozījumiem!BA94-'plans (27122022)'!BA93</f>
        <v>#VALUE!</v>
      </c>
      <c r="BB94" s="108" t="e">
        <f>PLĀNS_ar_grozījumiem!BB94-'plans (27122022)'!BB93</f>
        <v>#VALUE!</v>
      </c>
      <c r="BC94" s="108" t="e">
        <f>PLĀNS_ar_grozījumiem!BC94-'plans (27122022)'!BC93</f>
        <v>#VALUE!</v>
      </c>
      <c r="BD94" s="544" t="e">
        <f>PLĀNS_ar_grozījumiem!BD94-'plans (27122022)'!BD93</f>
        <v>#VALUE!</v>
      </c>
      <c r="BE94" s="545" t="e">
        <f>PLĀNS_ar_grozījumiem!BE94-'plans (27122022)'!BE93</f>
        <v>#VALUE!</v>
      </c>
      <c r="BF94" s="108" t="e">
        <f>PLĀNS_ar_grozījumiem!BF94-'plans (27122022)'!BF93</f>
        <v>#VALUE!</v>
      </c>
      <c r="BG94" s="108" t="e">
        <f>PLĀNS_ar_grozījumiem!BG94-'plans (27122022)'!BG93</f>
        <v>#VALUE!</v>
      </c>
      <c r="BH94" s="544" t="e">
        <f>PLĀNS_ar_grozījumiem!BH94-'plans (27122022)'!BH93</f>
        <v>#VALUE!</v>
      </c>
      <c r="BI94" s="545" t="e">
        <f>PLĀNS_ar_grozījumiem!BI94-'plans (27122022)'!BI93</f>
        <v>#VALUE!</v>
      </c>
      <c r="BJ94" s="108" t="e">
        <f>PLĀNS_ar_grozījumiem!BJ94-'plans (27122022)'!BJ93</f>
        <v>#VALUE!</v>
      </c>
      <c r="BK94" s="108" t="e">
        <f>PLĀNS_ar_grozījumiem!BK94-'plans (27122022)'!BK93</f>
        <v>#VALUE!</v>
      </c>
      <c r="BL94" s="533" t="e">
        <f>PLĀNS_ar_grozījumiem!BL94-'plans (27122022)'!BL93</f>
        <v>#VALUE!</v>
      </c>
      <c r="BM94" s="534" t="e">
        <f>PLĀNS_ar_grozījumiem!BM94-'plans (27122022)'!BM93</f>
        <v>#VALUE!</v>
      </c>
      <c r="BN94" s="535" t="e">
        <f>PLĀNS_ar_grozījumiem!BN94-'plans (27122022)'!BN93</f>
        <v>#VALUE!</v>
      </c>
      <c r="BO94" s="535" t="e">
        <f>PLĀNS_ar_grozījumiem!BO94-'plans (27122022)'!BO93</f>
        <v>#VALUE!</v>
      </c>
      <c r="BP94" s="544" t="e">
        <f>PLĀNS_ar_grozījumiem!BP94-'plans (27122022)'!BP93</f>
        <v>#VALUE!</v>
      </c>
      <c r="BQ94" s="545" t="e">
        <f>PLĀNS_ar_grozījumiem!BQ94-'plans (27122022)'!BQ93</f>
        <v>#VALUE!</v>
      </c>
      <c r="BR94" s="108" t="e">
        <f>PLĀNS_ar_grozījumiem!BR94-'plans (27122022)'!BR93</f>
        <v>#VALUE!</v>
      </c>
      <c r="BS94" s="108" t="e">
        <f>PLĀNS_ar_grozījumiem!BS94-'plans (27122022)'!BS93</f>
        <v>#VALUE!</v>
      </c>
      <c r="BT94" s="108" t="e">
        <f>PLĀNS_ar_grozījumiem!BT94-'plans (27122022)'!BT93</f>
        <v>#VALUE!</v>
      </c>
      <c r="BU94" s="159" t="e">
        <f>PLĀNS_ar_grozījumiem!BU94-'plans (27122022)'!BU93</f>
        <v>#VALUE!</v>
      </c>
      <c r="BV94" s="108" t="e">
        <f>PLĀNS_ar_grozījumiem!BV94-'plans (27122022)'!BV93</f>
        <v>#VALUE!</v>
      </c>
      <c r="BW94" s="108" t="e">
        <f>PLĀNS_ar_grozījumiem!BW94-'plans (27122022)'!BW93</f>
        <v>#VALUE!</v>
      </c>
      <c r="BX94" s="544" t="e">
        <f>PLĀNS_ar_grozījumiem!BX94-'plans (27122022)'!BX93</f>
        <v>#VALUE!</v>
      </c>
      <c r="BY94" s="545" t="e">
        <f>PLĀNS_ar_grozījumiem!BY94-'plans (27122022)'!BY93</f>
        <v>#VALUE!</v>
      </c>
      <c r="BZ94" s="108" t="e">
        <f>PLĀNS_ar_grozījumiem!BZ94-'plans (27122022)'!BZ93</f>
        <v>#VALUE!</v>
      </c>
      <c r="CA94" s="108" t="e">
        <f>PLĀNS_ar_grozījumiem!CA94-'plans (27122022)'!CA93</f>
        <v>#VALUE!</v>
      </c>
      <c r="CB94" s="544" t="e">
        <f>PLĀNS_ar_grozījumiem!CB94-'plans (27122022)'!CB93</f>
        <v>#VALUE!</v>
      </c>
      <c r="CC94" s="545" t="e">
        <f>PLĀNS_ar_grozījumiem!CC94-'plans (27122022)'!CC93</f>
        <v>#VALUE!</v>
      </c>
      <c r="CD94" s="108" t="e">
        <f>PLĀNS_ar_grozījumiem!CD94-'plans (27122022)'!CD93</f>
        <v>#VALUE!</v>
      </c>
      <c r="CE94" s="108" t="e">
        <f>PLĀNS_ar_grozījumiem!CE94-'plans (27122022)'!CE93</f>
        <v>#VALUE!</v>
      </c>
      <c r="CF94" s="546" t="e">
        <f>PLĀNS_ar_grozījumiem!CF94-'plans (27122022)'!CF93</f>
        <v>#VALUE!</v>
      </c>
      <c r="CG94" s="547" t="e">
        <f>PLĀNS_ar_grozījumiem!CG94-'plans (27122022)'!CG93</f>
        <v>#VALUE!</v>
      </c>
      <c r="CH94" s="547" t="e">
        <f>PLĀNS_ar_grozījumiem!CH94-'plans (27122022)'!CH93</f>
        <v>#VALUE!</v>
      </c>
      <c r="CI94" s="548" t="e">
        <f>PLĀNS_ar_grozījumiem!CI94-'plans (27122022)'!CI93</f>
        <v>#VALUE!</v>
      </c>
      <c r="CJ94" s="108" t="e">
        <f>PLĀNS_ar_grozījumiem!CJ94-'plans (27122022)'!CJ93</f>
        <v>#VALUE!</v>
      </c>
      <c r="CK94" s="159" t="e">
        <f>PLĀNS_ar_grozījumiem!CK94-'plans (27122022)'!CK93</f>
        <v>#VALUE!</v>
      </c>
      <c r="CL94" s="108" t="e">
        <f>PLĀNS_ar_grozījumiem!CL94-'plans (27122022)'!CL93</f>
        <v>#VALUE!</v>
      </c>
      <c r="CM94" s="108" t="e">
        <f>PLĀNS_ar_grozījumiem!CM94-'plans (27122022)'!CM93</f>
        <v>#VALUE!</v>
      </c>
      <c r="CN94" s="108" t="e">
        <f>PLĀNS_ar_grozījumiem!CN94-'plans (27122022)'!CN93</f>
        <v>#VALUE!</v>
      </c>
      <c r="CO94" s="159" t="e">
        <f>PLĀNS_ar_grozījumiem!CO94-'plans (27122022)'!CO93</f>
        <v>#VALUE!</v>
      </c>
      <c r="CP94" s="108" t="e">
        <f>PLĀNS_ar_grozījumiem!CP94-'plans (27122022)'!CP93</f>
        <v>#VALUE!</v>
      </c>
      <c r="CQ94" s="108" t="e">
        <f>PLĀNS_ar_grozījumiem!CQ94-'plans (27122022)'!CQ93</f>
        <v>#VALUE!</v>
      </c>
      <c r="CR94" s="108" t="e">
        <f>PLĀNS_ar_grozījumiem!CR94-'plans (27122022)'!CR93</f>
        <v>#VALUE!</v>
      </c>
      <c r="CS94" s="159" t="e">
        <f>PLĀNS_ar_grozījumiem!CS94-'plans (27122022)'!CS93</f>
        <v>#VALUE!</v>
      </c>
      <c r="CT94" s="108" t="e">
        <f>PLĀNS_ar_grozījumiem!CT94-'plans (27122022)'!CT93</f>
        <v>#VALUE!</v>
      </c>
      <c r="CU94" s="108" t="e">
        <f>PLĀNS_ar_grozījumiem!CU94-'plans (27122022)'!CU93</f>
        <v>#VALUE!</v>
      </c>
      <c r="CV94" s="108" t="e">
        <f>PLĀNS_ar_grozījumiem!CV94-'plans (27122022)'!CV93</f>
        <v>#VALUE!</v>
      </c>
      <c r="CW94" s="159" t="e">
        <f>PLĀNS_ar_grozījumiem!CW94-'plans (27122022)'!CW93</f>
        <v>#VALUE!</v>
      </c>
      <c r="CX94" s="108" t="e">
        <f>PLĀNS_ar_grozījumiem!CX94-'plans (27122022)'!CX93</f>
        <v>#VALUE!</v>
      </c>
      <c r="CY94" s="539" t="e">
        <f>PLĀNS_ar_grozījumiem!CY94-'plans (27122022)'!CY93</f>
        <v>#VALUE!</v>
      </c>
      <c r="CZ94" s="546"/>
      <c r="DA94" s="549"/>
      <c r="DB94" s="547"/>
      <c r="DC94" s="548"/>
      <c r="DD94" s="459"/>
      <c r="DE94" s="459"/>
      <c r="DF94" s="459"/>
      <c r="DG94" s="7"/>
      <c r="DH94" s="550"/>
      <c r="DI94" s="551"/>
      <c r="DJ94" s="551"/>
      <c r="DK94" s="552"/>
      <c r="DL94" s="550"/>
      <c r="DM94" s="551"/>
      <c r="DN94" s="551"/>
      <c r="DO94" s="553"/>
      <c r="DP94" s="554"/>
      <c r="DQ94" s="555"/>
      <c r="DR94" s="953"/>
      <c r="DS94" s="954"/>
      <c r="DT94" s="459"/>
      <c r="DU94" s="940"/>
      <c r="DV94" s="468"/>
      <c r="DW94" s="466"/>
      <c r="DX94" s="459"/>
      <c r="DY94" s="940"/>
      <c r="DZ94" s="468"/>
      <c r="EA94" s="466"/>
      <c r="EB94" s="459"/>
      <c r="EC94" s="469"/>
      <c r="ED94" s="468"/>
      <c r="EE94" s="469"/>
      <c r="EF94" s="955"/>
      <c r="EG94" s="956"/>
    </row>
    <row r="95" spans="1:137" s="5" customFormat="1" ht="15.75" customHeight="1" x14ac:dyDescent="0.25">
      <c r="A95" s="1070"/>
      <c r="B95" s="100" t="s">
        <v>81</v>
      </c>
      <c r="C95" s="543"/>
      <c r="D95" s="1017" t="s">
        <v>44</v>
      </c>
      <c r="E95" s="534" t="s">
        <v>44</v>
      </c>
      <c r="F95" s="535" t="s">
        <v>44</v>
      </c>
      <c r="G95" s="535" t="s">
        <v>44</v>
      </c>
      <c r="H95" s="544" t="s">
        <v>44</v>
      </c>
      <c r="I95" s="545" t="s">
        <v>44</v>
      </c>
      <c r="J95" s="108" t="s">
        <v>44</v>
      </c>
      <c r="K95" s="108" t="s">
        <v>44</v>
      </c>
      <c r="L95" s="108" t="s">
        <v>44</v>
      </c>
      <c r="M95" s="159" t="s">
        <v>44</v>
      </c>
      <c r="N95" s="108" t="s">
        <v>44</v>
      </c>
      <c r="O95" s="108" t="s">
        <v>44</v>
      </c>
      <c r="P95" s="544" t="s">
        <v>44</v>
      </c>
      <c r="Q95" s="545" t="s">
        <v>44</v>
      </c>
      <c r="R95" s="108" t="s">
        <v>44</v>
      </c>
      <c r="S95" s="108" t="s">
        <v>44</v>
      </c>
      <c r="T95" s="544" t="s">
        <v>44</v>
      </c>
      <c r="U95" s="545" t="s">
        <v>44</v>
      </c>
      <c r="V95" s="108" t="s">
        <v>44</v>
      </c>
      <c r="W95" s="108" t="s">
        <v>44</v>
      </c>
      <c r="X95" s="533" t="s">
        <v>44</v>
      </c>
      <c r="Y95" s="534" t="s">
        <v>44</v>
      </c>
      <c r="Z95" s="535" t="s">
        <v>44</v>
      </c>
      <c r="AA95" s="535" t="s">
        <v>44</v>
      </c>
      <c r="AB95" s="544" t="s">
        <v>44</v>
      </c>
      <c r="AC95" s="545" t="s">
        <v>44</v>
      </c>
      <c r="AD95" s="108" t="s">
        <v>44</v>
      </c>
      <c r="AE95" s="108" t="s">
        <v>44</v>
      </c>
      <c r="AF95" s="108" t="s">
        <v>44</v>
      </c>
      <c r="AG95" s="159" t="s">
        <v>44</v>
      </c>
      <c r="AH95" s="108" t="s">
        <v>44</v>
      </c>
      <c r="AI95" s="108" t="s">
        <v>44</v>
      </c>
      <c r="AJ95" s="544" t="s">
        <v>44</v>
      </c>
      <c r="AK95" s="545" t="s">
        <v>44</v>
      </c>
      <c r="AL95" s="108" t="s">
        <v>44</v>
      </c>
      <c r="AM95" s="108" t="s">
        <v>44</v>
      </c>
      <c r="AN95" s="544" t="s">
        <v>44</v>
      </c>
      <c r="AO95" s="545" t="s">
        <v>44</v>
      </c>
      <c r="AP95" s="108" t="s">
        <v>44</v>
      </c>
      <c r="AQ95" s="108" t="s">
        <v>44</v>
      </c>
      <c r="AR95" s="533" t="s">
        <v>44</v>
      </c>
      <c r="AS95" s="534" t="e">
        <f>PLĀNS_ar_grozījumiem!AS95-'plans (27122022)'!AS94</f>
        <v>#VALUE!</v>
      </c>
      <c r="AT95" s="535" t="e">
        <f>PLĀNS_ar_grozījumiem!AT95-'plans (27122022)'!AT94</f>
        <v>#VALUE!</v>
      </c>
      <c r="AU95" s="535" t="e">
        <f>PLĀNS_ar_grozījumiem!AU95-'plans (27122022)'!AU94</f>
        <v>#VALUE!</v>
      </c>
      <c r="AV95" s="544" t="e">
        <f>PLĀNS_ar_grozījumiem!AV95-'plans (27122022)'!AV94</f>
        <v>#VALUE!</v>
      </c>
      <c r="AW95" s="545" t="e">
        <f>PLĀNS_ar_grozījumiem!AW95-'plans (27122022)'!AW94</f>
        <v>#VALUE!</v>
      </c>
      <c r="AX95" s="108" t="e">
        <f>PLĀNS_ar_grozījumiem!AX95-'plans (27122022)'!AX94</f>
        <v>#VALUE!</v>
      </c>
      <c r="AY95" s="108" t="e">
        <f>PLĀNS_ar_grozījumiem!AY95-'plans (27122022)'!AY94</f>
        <v>#VALUE!</v>
      </c>
      <c r="AZ95" s="108" t="e">
        <f>PLĀNS_ar_grozījumiem!AZ95-'plans (27122022)'!AZ94</f>
        <v>#VALUE!</v>
      </c>
      <c r="BA95" s="159" t="e">
        <f>PLĀNS_ar_grozījumiem!BA95-'plans (27122022)'!BA94</f>
        <v>#VALUE!</v>
      </c>
      <c r="BB95" s="108" t="e">
        <f>PLĀNS_ar_grozījumiem!BB95-'plans (27122022)'!BB94</f>
        <v>#VALUE!</v>
      </c>
      <c r="BC95" s="108" t="e">
        <f>PLĀNS_ar_grozījumiem!BC95-'plans (27122022)'!BC94</f>
        <v>#VALUE!</v>
      </c>
      <c r="BD95" s="544" t="e">
        <f>PLĀNS_ar_grozījumiem!BD95-'plans (27122022)'!BD94</f>
        <v>#VALUE!</v>
      </c>
      <c r="BE95" s="545" t="e">
        <f>PLĀNS_ar_grozījumiem!BE95-'plans (27122022)'!BE94</f>
        <v>#VALUE!</v>
      </c>
      <c r="BF95" s="108" t="e">
        <f>PLĀNS_ar_grozījumiem!BF95-'plans (27122022)'!BF94</f>
        <v>#VALUE!</v>
      </c>
      <c r="BG95" s="108" t="e">
        <f>PLĀNS_ar_grozījumiem!BG95-'plans (27122022)'!BG94</f>
        <v>#VALUE!</v>
      </c>
      <c r="BH95" s="544" t="e">
        <f>PLĀNS_ar_grozījumiem!BH95-'plans (27122022)'!BH94</f>
        <v>#VALUE!</v>
      </c>
      <c r="BI95" s="545" t="e">
        <f>PLĀNS_ar_grozījumiem!BI95-'plans (27122022)'!BI94</f>
        <v>#VALUE!</v>
      </c>
      <c r="BJ95" s="108" t="e">
        <f>PLĀNS_ar_grozījumiem!BJ95-'plans (27122022)'!BJ94</f>
        <v>#VALUE!</v>
      </c>
      <c r="BK95" s="108" t="e">
        <f>PLĀNS_ar_grozījumiem!BK95-'plans (27122022)'!BK94</f>
        <v>#VALUE!</v>
      </c>
      <c r="BL95" s="533" t="e">
        <f>PLĀNS_ar_grozījumiem!BL95-'plans (27122022)'!BL94</f>
        <v>#VALUE!</v>
      </c>
      <c r="BM95" s="534" t="e">
        <f>PLĀNS_ar_grozījumiem!BM95-'plans (27122022)'!BM94</f>
        <v>#VALUE!</v>
      </c>
      <c r="BN95" s="535" t="e">
        <f>PLĀNS_ar_grozījumiem!BN95-'plans (27122022)'!BN94</f>
        <v>#VALUE!</v>
      </c>
      <c r="BO95" s="535" t="e">
        <f>PLĀNS_ar_grozījumiem!BO95-'plans (27122022)'!BO94</f>
        <v>#VALUE!</v>
      </c>
      <c r="BP95" s="544" t="e">
        <f>PLĀNS_ar_grozījumiem!BP95-'plans (27122022)'!BP94</f>
        <v>#VALUE!</v>
      </c>
      <c r="BQ95" s="545" t="e">
        <f>PLĀNS_ar_grozījumiem!BQ95-'plans (27122022)'!BQ94</f>
        <v>#VALUE!</v>
      </c>
      <c r="BR95" s="108" t="e">
        <f>PLĀNS_ar_grozījumiem!BR95-'plans (27122022)'!BR94</f>
        <v>#VALUE!</v>
      </c>
      <c r="BS95" s="108" t="e">
        <f>PLĀNS_ar_grozījumiem!BS95-'plans (27122022)'!BS94</f>
        <v>#VALUE!</v>
      </c>
      <c r="BT95" s="108" t="e">
        <f>PLĀNS_ar_grozījumiem!BT95-'plans (27122022)'!BT94</f>
        <v>#VALUE!</v>
      </c>
      <c r="BU95" s="159" t="e">
        <f>PLĀNS_ar_grozījumiem!BU95-'plans (27122022)'!BU94</f>
        <v>#VALUE!</v>
      </c>
      <c r="BV95" s="108" t="e">
        <f>PLĀNS_ar_grozījumiem!BV95-'plans (27122022)'!BV94</f>
        <v>#VALUE!</v>
      </c>
      <c r="BW95" s="108" t="e">
        <f>PLĀNS_ar_grozījumiem!BW95-'plans (27122022)'!BW94</f>
        <v>#VALUE!</v>
      </c>
      <c r="BX95" s="544" t="e">
        <f>PLĀNS_ar_grozījumiem!BX95-'plans (27122022)'!BX94</f>
        <v>#VALUE!</v>
      </c>
      <c r="BY95" s="545" t="e">
        <f>PLĀNS_ar_grozījumiem!BY95-'plans (27122022)'!BY94</f>
        <v>#VALUE!</v>
      </c>
      <c r="BZ95" s="108" t="e">
        <f>PLĀNS_ar_grozījumiem!BZ95-'plans (27122022)'!BZ94</f>
        <v>#VALUE!</v>
      </c>
      <c r="CA95" s="108" t="e">
        <f>PLĀNS_ar_grozījumiem!CA95-'plans (27122022)'!CA94</f>
        <v>#VALUE!</v>
      </c>
      <c r="CB95" s="544" t="e">
        <f>PLĀNS_ar_grozījumiem!CB95-'plans (27122022)'!CB94</f>
        <v>#VALUE!</v>
      </c>
      <c r="CC95" s="545" t="e">
        <f>PLĀNS_ar_grozījumiem!CC95-'plans (27122022)'!CC94</f>
        <v>#VALUE!</v>
      </c>
      <c r="CD95" s="108" t="e">
        <f>PLĀNS_ar_grozījumiem!CD95-'plans (27122022)'!CD94</f>
        <v>#VALUE!</v>
      </c>
      <c r="CE95" s="108" t="e">
        <f>PLĀNS_ar_grozījumiem!CE95-'plans (27122022)'!CE94</f>
        <v>#VALUE!</v>
      </c>
      <c r="CF95" s="546" t="e">
        <f>PLĀNS_ar_grozījumiem!CF95-'plans (27122022)'!CF94</f>
        <v>#VALUE!</v>
      </c>
      <c r="CG95" s="547" t="e">
        <f>PLĀNS_ar_grozījumiem!CG95-'plans (27122022)'!CG94</f>
        <v>#VALUE!</v>
      </c>
      <c r="CH95" s="547" t="e">
        <f>PLĀNS_ar_grozījumiem!CH95-'plans (27122022)'!CH94</f>
        <v>#VALUE!</v>
      </c>
      <c r="CI95" s="548" t="e">
        <f>PLĀNS_ar_grozījumiem!CI95-'plans (27122022)'!CI94</f>
        <v>#VALUE!</v>
      </c>
      <c r="CJ95" s="108" t="e">
        <f>PLĀNS_ar_grozījumiem!CJ95-'plans (27122022)'!CJ94</f>
        <v>#VALUE!</v>
      </c>
      <c r="CK95" s="159" t="e">
        <f>PLĀNS_ar_grozījumiem!CK95-'plans (27122022)'!CK94</f>
        <v>#VALUE!</v>
      </c>
      <c r="CL95" s="108" t="e">
        <f>PLĀNS_ar_grozījumiem!CL95-'plans (27122022)'!CL94</f>
        <v>#VALUE!</v>
      </c>
      <c r="CM95" s="108" t="e">
        <f>PLĀNS_ar_grozījumiem!CM95-'plans (27122022)'!CM94</f>
        <v>#VALUE!</v>
      </c>
      <c r="CN95" s="108" t="e">
        <f>PLĀNS_ar_grozījumiem!CN95-'plans (27122022)'!CN94</f>
        <v>#VALUE!</v>
      </c>
      <c r="CO95" s="159" t="e">
        <f>PLĀNS_ar_grozījumiem!CO95-'plans (27122022)'!CO94</f>
        <v>#VALUE!</v>
      </c>
      <c r="CP95" s="108" t="e">
        <f>PLĀNS_ar_grozījumiem!CP95-'plans (27122022)'!CP94</f>
        <v>#VALUE!</v>
      </c>
      <c r="CQ95" s="108" t="e">
        <f>PLĀNS_ar_grozījumiem!CQ95-'plans (27122022)'!CQ94</f>
        <v>#VALUE!</v>
      </c>
      <c r="CR95" s="108" t="e">
        <f>PLĀNS_ar_grozījumiem!CR95-'plans (27122022)'!CR94</f>
        <v>#VALUE!</v>
      </c>
      <c r="CS95" s="159" t="e">
        <f>PLĀNS_ar_grozījumiem!CS95-'plans (27122022)'!CS94</f>
        <v>#VALUE!</v>
      </c>
      <c r="CT95" s="108" t="e">
        <f>PLĀNS_ar_grozījumiem!CT95-'plans (27122022)'!CT94</f>
        <v>#VALUE!</v>
      </c>
      <c r="CU95" s="108" t="e">
        <f>PLĀNS_ar_grozījumiem!CU95-'plans (27122022)'!CU94</f>
        <v>#VALUE!</v>
      </c>
      <c r="CV95" s="108" t="e">
        <f>PLĀNS_ar_grozījumiem!CV95-'plans (27122022)'!CV94</f>
        <v>#VALUE!</v>
      </c>
      <c r="CW95" s="159" t="e">
        <f>PLĀNS_ar_grozījumiem!CW95-'plans (27122022)'!CW94</f>
        <v>#VALUE!</v>
      </c>
      <c r="CX95" s="108" t="e">
        <f>PLĀNS_ar_grozījumiem!CX95-'plans (27122022)'!CX94</f>
        <v>#VALUE!</v>
      </c>
      <c r="CY95" s="539" t="e">
        <f>PLĀNS_ar_grozījumiem!CY95-'plans (27122022)'!CY94</f>
        <v>#VALUE!</v>
      </c>
      <c r="CZ95" s="546"/>
      <c r="DA95" s="549"/>
      <c r="DB95" s="547"/>
      <c r="DC95" s="548"/>
      <c r="DD95" s="459"/>
      <c r="DE95" s="459"/>
      <c r="DF95" s="459"/>
      <c r="DG95" s="7"/>
      <c r="DH95" s="550"/>
      <c r="DI95" s="551"/>
      <c r="DJ95" s="551"/>
      <c r="DK95" s="552"/>
      <c r="DL95" s="550"/>
      <c r="DM95" s="551"/>
      <c r="DN95" s="551"/>
      <c r="DO95" s="553"/>
      <c r="DP95" s="554"/>
      <c r="DQ95" s="555"/>
      <c r="DR95" s="953"/>
      <c r="DS95" s="954"/>
      <c r="DT95" s="459"/>
      <c r="DU95" s="940"/>
      <c r="DV95" s="468"/>
      <c r="DW95" s="466"/>
      <c r="DX95" s="459"/>
      <c r="DY95" s="940"/>
      <c r="DZ95" s="468"/>
      <c r="EA95" s="466"/>
      <c r="EB95" s="459"/>
      <c r="EC95" s="469"/>
      <c r="ED95" s="468"/>
      <c r="EE95" s="469"/>
      <c r="EF95" s="955"/>
      <c r="EG95" s="956"/>
    </row>
    <row r="96" spans="1:137" s="5" customFormat="1" ht="15.75" customHeight="1" x14ac:dyDescent="0.25">
      <c r="A96" s="1070"/>
      <c r="B96" s="556" t="s">
        <v>82</v>
      </c>
      <c r="C96" s="557"/>
      <c r="D96" s="1018" t="s">
        <v>44</v>
      </c>
      <c r="E96" s="559" t="s">
        <v>44</v>
      </c>
      <c r="F96" s="560" t="s">
        <v>44</v>
      </c>
      <c r="G96" s="561" t="s">
        <v>44</v>
      </c>
      <c r="H96" s="562" t="s">
        <v>44</v>
      </c>
      <c r="I96" s="384" t="s">
        <v>44</v>
      </c>
      <c r="J96" s="563" t="s">
        <v>44</v>
      </c>
      <c r="K96" s="563" t="s">
        <v>44</v>
      </c>
      <c r="L96" s="563" t="s">
        <v>44</v>
      </c>
      <c r="M96" s="384" t="s">
        <v>44</v>
      </c>
      <c r="N96" s="563" t="s">
        <v>44</v>
      </c>
      <c r="O96" s="563" t="s">
        <v>44</v>
      </c>
      <c r="P96" s="562" t="s">
        <v>44</v>
      </c>
      <c r="Q96" s="384" t="s">
        <v>44</v>
      </c>
      <c r="R96" s="563" t="s">
        <v>44</v>
      </c>
      <c r="S96" s="563" t="s">
        <v>44</v>
      </c>
      <c r="T96" s="562" t="s">
        <v>44</v>
      </c>
      <c r="U96" s="384" t="s">
        <v>44</v>
      </c>
      <c r="V96" s="563" t="s">
        <v>44</v>
      </c>
      <c r="W96" s="563" t="s">
        <v>44</v>
      </c>
      <c r="X96" s="558" t="s">
        <v>44</v>
      </c>
      <c r="Y96" s="559" t="s">
        <v>44</v>
      </c>
      <c r="Z96" s="560" t="s">
        <v>44</v>
      </c>
      <c r="AA96" s="561" t="s">
        <v>44</v>
      </c>
      <c r="AB96" s="562" t="s">
        <v>44</v>
      </c>
      <c r="AC96" s="384" t="s">
        <v>44</v>
      </c>
      <c r="AD96" s="563" t="s">
        <v>44</v>
      </c>
      <c r="AE96" s="563" t="s">
        <v>44</v>
      </c>
      <c r="AF96" s="563" t="s">
        <v>44</v>
      </c>
      <c r="AG96" s="384" t="s">
        <v>44</v>
      </c>
      <c r="AH96" s="563" t="s">
        <v>44</v>
      </c>
      <c r="AI96" s="563" t="s">
        <v>44</v>
      </c>
      <c r="AJ96" s="562" t="s">
        <v>44</v>
      </c>
      <c r="AK96" s="384" t="s">
        <v>44</v>
      </c>
      <c r="AL96" s="563" t="s">
        <v>44</v>
      </c>
      <c r="AM96" s="563" t="s">
        <v>44</v>
      </c>
      <c r="AN96" s="562" t="s">
        <v>44</v>
      </c>
      <c r="AO96" s="384" t="s">
        <v>44</v>
      </c>
      <c r="AP96" s="563" t="s">
        <v>44</v>
      </c>
      <c r="AQ96" s="563" t="s">
        <v>44</v>
      </c>
      <c r="AR96" s="558" t="s">
        <v>44</v>
      </c>
      <c r="AS96" s="559" t="e">
        <f>PLĀNS_ar_grozījumiem!AS96-'plans (27122022)'!AS95</f>
        <v>#VALUE!</v>
      </c>
      <c r="AT96" s="560" t="e">
        <f>PLĀNS_ar_grozījumiem!AT96-'plans (27122022)'!AT95</f>
        <v>#VALUE!</v>
      </c>
      <c r="AU96" s="561" t="e">
        <f>PLĀNS_ar_grozījumiem!AU96-'plans (27122022)'!AU95</f>
        <v>#VALUE!</v>
      </c>
      <c r="AV96" s="562" t="e">
        <f>PLĀNS_ar_grozījumiem!AV96-'plans (27122022)'!AV95</f>
        <v>#VALUE!</v>
      </c>
      <c r="AW96" s="384" t="e">
        <f>PLĀNS_ar_grozījumiem!AW96-'plans (27122022)'!AW95</f>
        <v>#VALUE!</v>
      </c>
      <c r="AX96" s="563" t="e">
        <f>PLĀNS_ar_grozījumiem!AX96-'plans (27122022)'!AX95</f>
        <v>#VALUE!</v>
      </c>
      <c r="AY96" s="563" t="e">
        <f>PLĀNS_ar_grozījumiem!AY96-'plans (27122022)'!AY95</f>
        <v>#VALUE!</v>
      </c>
      <c r="AZ96" s="563" t="e">
        <f>PLĀNS_ar_grozījumiem!AZ96-'plans (27122022)'!AZ95</f>
        <v>#VALUE!</v>
      </c>
      <c r="BA96" s="384" t="e">
        <f>PLĀNS_ar_grozījumiem!BA96-'plans (27122022)'!BA95</f>
        <v>#VALUE!</v>
      </c>
      <c r="BB96" s="563" t="e">
        <f>PLĀNS_ar_grozījumiem!BB96-'plans (27122022)'!BB95</f>
        <v>#VALUE!</v>
      </c>
      <c r="BC96" s="563" t="e">
        <f>PLĀNS_ar_grozījumiem!BC96-'plans (27122022)'!BC95</f>
        <v>#VALUE!</v>
      </c>
      <c r="BD96" s="562" t="e">
        <f>PLĀNS_ar_grozījumiem!BD96-'plans (27122022)'!BD95</f>
        <v>#VALUE!</v>
      </c>
      <c r="BE96" s="384" t="e">
        <f>PLĀNS_ar_grozījumiem!BE96-'plans (27122022)'!BE95</f>
        <v>#VALUE!</v>
      </c>
      <c r="BF96" s="563" t="e">
        <f>PLĀNS_ar_grozījumiem!BF96-'plans (27122022)'!BF95</f>
        <v>#VALUE!</v>
      </c>
      <c r="BG96" s="563" t="e">
        <f>PLĀNS_ar_grozījumiem!BG96-'plans (27122022)'!BG95</f>
        <v>#VALUE!</v>
      </c>
      <c r="BH96" s="562" t="e">
        <f>PLĀNS_ar_grozījumiem!BH96-'plans (27122022)'!BH95</f>
        <v>#VALUE!</v>
      </c>
      <c r="BI96" s="384" t="e">
        <f>PLĀNS_ar_grozījumiem!BI96-'plans (27122022)'!BI95</f>
        <v>#VALUE!</v>
      </c>
      <c r="BJ96" s="563" t="e">
        <f>PLĀNS_ar_grozījumiem!BJ96-'plans (27122022)'!BJ95</f>
        <v>#VALUE!</v>
      </c>
      <c r="BK96" s="563" t="e">
        <f>PLĀNS_ar_grozījumiem!BK96-'plans (27122022)'!BK95</f>
        <v>#VALUE!</v>
      </c>
      <c r="BL96" s="558" t="e">
        <f>PLĀNS_ar_grozījumiem!BL96-'plans (27122022)'!BL95</f>
        <v>#VALUE!</v>
      </c>
      <c r="BM96" s="559" t="e">
        <f>PLĀNS_ar_grozījumiem!BM96-'plans (27122022)'!BM95</f>
        <v>#VALUE!</v>
      </c>
      <c r="BN96" s="560" t="e">
        <f>PLĀNS_ar_grozījumiem!BN96-'plans (27122022)'!BN95</f>
        <v>#VALUE!</v>
      </c>
      <c r="BO96" s="561" t="e">
        <f>PLĀNS_ar_grozījumiem!BO96-'plans (27122022)'!BO95</f>
        <v>#VALUE!</v>
      </c>
      <c r="BP96" s="562" t="e">
        <f>PLĀNS_ar_grozījumiem!BP96-'plans (27122022)'!BP95</f>
        <v>#VALUE!</v>
      </c>
      <c r="BQ96" s="384" t="e">
        <f>PLĀNS_ar_grozījumiem!BQ96-'plans (27122022)'!BQ95</f>
        <v>#VALUE!</v>
      </c>
      <c r="BR96" s="563" t="e">
        <f>PLĀNS_ar_grozījumiem!BR96-'plans (27122022)'!BR95</f>
        <v>#VALUE!</v>
      </c>
      <c r="BS96" s="563" t="e">
        <f>PLĀNS_ar_grozījumiem!BS96-'plans (27122022)'!BS95</f>
        <v>#VALUE!</v>
      </c>
      <c r="BT96" s="563" t="e">
        <f>PLĀNS_ar_grozījumiem!BT96-'plans (27122022)'!BT95</f>
        <v>#VALUE!</v>
      </c>
      <c r="BU96" s="384" t="e">
        <f>PLĀNS_ar_grozījumiem!BU96-'plans (27122022)'!BU95</f>
        <v>#VALUE!</v>
      </c>
      <c r="BV96" s="563" t="e">
        <f>PLĀNS_ar_grozījumiem!BV96-'plans (27122022)'!BV95</f>
        <v>#VALUE!</v>
      </c>
      <c r="BW96" s="563" t="e">
        <f>PLĀNS_ar_grozījumiem!BW96-'plans (27122022)'!BW95</f>
        <v>#VALUE!</v>
      </c>
      <c r="BX96" s="562" t="e">
        <f>PLĀNS_ar_grozījumiem!BX96-'plans (27122022)'!BX95</f>
        <v>#VALUE!</v>
      </c>
      <c r="BY96" s="384" t="e">
        <f>PLĀNS_ar_grozījumiem!BY96-'plans (27122022)'!BY95</f>
        <v>#VALUE!</v>
      </c>
      <c r="BZ96" s="563" t="e">
        <f>PLĀNS_ar_grozījumiem!BZ96-'plans (27122022)'!BZ95</f>
        <v>#VALUE!</v>
      </c>
      <c r="CA96" s="563" t="e">
        <f>PLĀNS_ar_grozījumiem!CA96-'plans (27122022)'!CA95</f>
        <v>#VALUE!</v>
      </c>
      <c r="CB96" s="562" t="e">
        <f>PLĀNS_ar_grozījumiem!CB96-'plans (27122022)'!CB95</f>
        <v>#VALUE!</v>
      </c>
      <c r="CC96" s="384" t="e">
        <f>PLĀNS_ar_grozījumiem!CC96-'plans (27122022)'!CC95</f>
        <v>#VALUE!</v>
      </c>
      <c r="CD96" s="563" t="e">
        <f>PLĀNS_ar_grozījumiem!CD96-'plans (27122022)'!CD95</f>
        <v>#VALUE!</v>
      </c>
      <c r="CE96" s="563" t="e">
        <f>PLĀNS_ar_grozījumiem!CE96-'plans (27122022)'!CE95</f>
        <v>#VALUE!</v>
      </c>
      <c r="CF96" s="558" t="e">
        <f>PLĀNS_ar_grozījumiem!CF96-'plans (27122022)'!CF95</f>
        <v>#VALUE!</v>
      </c>
      <c r="CG96" s="560" t="e">
        <f>PLĀNS_ar_grozījumiem!CG96-'plans (27122022)'!CG95</f>
        <v>#VALUE!</v>
      </c>
      <c r="CH96" s="560" t="e">
        <f>PLĀNS_ar_grozījumiem!CH96-'plans (27122022)'!CH95</f>
        <v>#VALUE!</v>
      </c>
      <c r="CI96" s="561" t="e">
        <f>PLĀNS_ar_grozījumiem!CI96-'plans (27122022)'!CI95</f>
        <v>#VALUE!</v>
      </c>
      <c r="CJ96" s="563" t="e">
        <f>PLĀNS_ar_grozījumiem!CJ96-'plans (27122022)'!CJ95</f>
        <v>#VALUE!</v>
      </c>
      <c r="CK96" s="384" t="e">
        <f>PLĀNS_ar_grozījumiem!CK96-'plans (27122022)'!CK95</f>
        <v>#VALUE!</v>
      </c>
      <c r="CL96" s="563" t="e">
        <f>PLĀNS_ar_grozījumiem!CL96-'plans (27122022)'!CL95</f>
        <v>#VALUE!</v>
      </c>
      <c r="CM96" s="563" t="e">
        <f>PLĀNS_ar_grozījumiem!CM96-'plans (27122022)'!CM95</f>
        <v>#VALUE!</v>
      </c>
      <c r="CN96" s="563" t="e">
        <f>PLĀNS_ar_grozījumiem!CN96-'plans (27122022)'!CN95</f>
        <v>#VALUE!</v>
      </c>
      <c r="CO96" s="384" t="e">
        <f>PLĀNS_ar_grozījumiem!CO96-'plans (27122022)'!CO95</f>
        <v>#VALUE!</v>
      </c>
      <c r="CP96" s="563" t="e">
        <f>PLĀNS_ar_grozījumiem!CP96-'plans (27122022)'!CP95</f>
        <v>#VALUE!</v>
      </c>
      <c r="CQ96" s="563" t="e">
        <f>PLĀNS_ar_grozījumiem!CQ96-'plans (27122022)'!CQ95</f>
        <v>#VALUE!</v>
      </c>
      <c r="CR96" s="563" t="e">
        <f>PLĀNS_ar_grozījumiem!CR96-'plans (27122022)'!CR95</f>
        <v>#VALUE!</v>
      </c>
      <c r="CS96" s="384" t="e">
        <f>PLĀNS_ar_grozījumiem!CS96-'plans (27122022)'!CS95</f>
        <v>#VALUE!</v>
      </c>
      <c r="CT96" s="563" t="e">
        <f>PLĀNS_ar_grozījumiem!CT96-'plans (27122022)'!CT95</f>
        <v>#VALUE!</v>
      </c>
      <c r="CU96" s="563" t="e">
        <f>PLĀNS_ar_grozījumiem!CU96-'plans (27122022)'!CU95</f>
        <v>#VALUE!</v>
      </c>
      <c r="CV96" s="563" t="e">
        <f>PLĀNS_ar_grozījumiem!CV96-'plans (27122022)'!CV95</f>
        <v>#VALUE!</v>
      </c>
      <c r="CW96" s="384" t="e">
        <f>PLĀNS_ar_grozījumiem!CW96-'plans (27122022)'!CW95</f>
        <v>#VALUE!</v>
      </c>
      <c r="CX96" s="563" t="e">
        <f>PLĀNS_ar_grozījumiem!CX96-'plans (27122022)'!CX95</f>
        <v>#VALUE!</v>
      </c>
      <c r="CY96" s="564" t="e">
        <f>PLĀNS_ar_grozījumiem!CY96-'plans (27122022)'!CY95</f>
        <v>#VALUE!</v>
      </c>
      <c r="CZ96" s="558" t="s">
        <v>44</v>
      </c>
      <c r="DA96" s="565" t="s">
        <v>44</v>
      </c>
      <c r="DB96" s="560" t="s">
        <v>44</v>
      </c>
      <c r="DC96" s="561" t="s">
        <v>44</v>
      </c>
      <c r="DD96" s="459" t="e">
        <f t="shared" si="29"/>
        <v>#VALUE!</v>
      </c>
      <c r="DE96" s="459" t="e">
        <f t="shared" si="29"/>
        <v>#VALUE!</v>
      </c>
      <c r="DF96" s="459" t="e">
        <f t="shared" si="29"/>
        <v>#VALUE!</v>
      </c>
      <c r="DG96" s="7" t="e">
        <f t="shared" si="28"/>
        <v>#VALUE!</v>
      </c>
      <c r="DH96" s="389" t="e">
        <f t="shared" si="28"/>
        <v>#VALUE!</v>
      </c>
      <c r="DI96" s="391" t="e">
        <f t="shared" si="28"/>
        <v>#VALUE!</v>
      </c>
      <c r="DJ96" s="391" t="e">
        <f t="shared" si="28"/>
        <v>#VALUE!</v>
      </c>
      <c r="DK96" s="566" t="e">
        <f t="shared" si="28"/>
        <v>#VALUE!</v>
      </c>
      <c r="DL96" s="389" t="e">
        <f t="shared" si="28"/>
        <v>#VALUE!</v>
      </c>
      <c r="DM96" s="391" t="e">
        <f t="shared" si="28"/>
        <v>#VALUE!</v>
      </c>
      <c r="DN96" s="391" t="e">
        <f t="shared" si="28"/>
        <v>#VALUE!</v>
      </c>
      <c r="DO96" s="404" t="e">
        <f t="shared" si="28"/>
        <v>#VALUE!</v>
      </c>
      <c r="DP96" s="567" t="s">
        <v>44</v>
      </c>
      <c r="DQ96" s="568" t="s">
        <v>44</v>
      </c>
      <c r="DR96" s="407"/>
      <c r="DS96" s="934"/>
      <c r="DT96" s="397"/>
      <c r="DU96" s="935"/>
      <c r="DV96" s="391"/>
      <c r="DW96" s="406"/>
      <c r="DX96" s="397"/>
      <c r="DY96" s="935"/>
      <c r="DZ96" s="391"/>
      <c r="EA96" s="406"/>
      <c r="EB96" s="397"/>
      <c r="EC96" s="408"/>
      <c r="ED96" s="391"/>
      <c r="EE96" s="406"/>
      <c r="EF96" s="957"/>
      <c r="EG96" s="930"/>
    </row>
    <row r="97" spans="1:138" s="606" customFormat="1" ht="15.75" customHeight="1" thickBot="1" x14ac:dyDescent="0.35">
      <c r="A97" s="569"/>
      <c r="B97" s="570" t="s">
        <v>83</v>
      </c>
      <c r="C97" s="1037"/>
      <c r="D97" s="1019" t="s">
        <v>44</v>
      </c>
      <c r="E97" s="573" t="s">
        <v>44</v>
      </c>
      <c r="F97" s="573" t="s">
        <v>44</v>
      </c>
      <c r="G97" s="574" t="s">
        <v>44</v>
      </c>
      <c r="H97" s="575">
        <v>260958</v>
      </c>
      <c r="I97" s="576"/>
      <c r="J97" s="577">
        <v>168976</v>
      </c>
      <c r="K97" s="578"/>
      <c r="L97" s="579">
        <v>91982</v>
      </c>
      <c r="M97" s="576"/>
      <c r="N97" s="580">
        <v>166426</v>
      </c>
      <c r="O97" s="581"/>
      <c r="P97" s="582">
        <v>88555</v>
      </c>
      <c r="Q97" s="583"/>
      <c r="R97" s="584">
        <v>2550</v>
      </c>
      <c r="S97" s="582"/>
      <c r="T97" s="582">
        <v>3427</v>
      </c>
      <c r="U97" s="585" t="s">
        <v>44</v>
      </c>
      <c r="V97" s="586" t="s">
        <v>44</v>
      </c>
      <c r="W97" s="587" t="s">
        <v>44</v>
      </c>
      <c r="X97" s="572" t="s">
        <v>44</v>
      </c>
      <c r="Y97" s="573" t="s">
        <v>44</v>
      </c>
      <c r="Z97" s="573" t="s">
        <v>44</v>
      </c>
      <c r="AA97" s="574" t="s">
        <v>44</v>
      </c>
      <c r="AB97" s="575">
        <v>292396</v>
      </c>
      <c r="AC97" s="576"/>
      <c r="AD97" s="577">
        <v>168976</v>
      </c>
      <c r="AE97" s="578"/>
      <c r="AF97" s="579">
        <v>123420</v>
      </c>
      <c r="AG97" s="576"/>
      <c r="AH97" s="580">
        <v>166426</v>
      </c>
      <c r="AI97" s="581"/>
      <c r="AJ97" s="582">
        <v>118765</v>
      </c>
      <c r="AK97" s="585"/>
      <c r="AL97" s="584">
        <v>2550</v>
      </c>
      <c r="AM97" s="582"/>
      <c r="AN97" s="582">
        <v>4655</v>
      </c>
      <c r="AO97" s="585"/>
      <c r="AP97" s="586" t="s">
        <v>44</v>
      </c>
      <c r="AQ97" s="587" t="s">
        <v>44</v>
      </c>
      <c r="AR97" s="572" t="s">
        <v>44</v>
      </c>
      <c r="AS97" s="573" t="e">
        <f>PLĀNS_ar_grozījumiem!AS97-'plans (27122022)'!AS96</f>
        <v>#VALUE!</v>
      </c>
      <c r="AT97" s="573" t="e">
        <f>PLĀNS_ar_grozījumiem!AT97-'plans (27122022)'!AT96</f>
        <v>#VALUE!</v>
      </c>
      <c r="AU97" s="574" t="e">
        <f>PLĀNS_ar_grozījumiem!AU97-'plans (27122022)'!AU96</f>
        <v>#VALUE!</v>
      </c>
      <c r="AV97" s="575">
        <f>PLĀNS_ar_grozījumiem!AV97-'plans (27122022)'!AV96</f>
        <v>8321.3000000000466</v>
      </c>
      <c r="AW97" s="576">
        <f>PLĀNS_ar_grozījumiem!AW97-'plans (27122022)'!AW96</f>
        <v>0</v>
      </c>
      <c r="AX97" s="577">
        <f>PLĀNS_ar_grozījumiem!AX97-'plans (27122022)'!AX96</f>
        <v>8321.3000000000175</v>
      </c>
      <c r="AY97" s="578">
        <f>PLĀNS_ar_grozījumiem!AY97-'plans (27122022)'!AY96</f>
        <v>0</v>
      </c>
      <c r="AZ97" s="579">
        <f>PLĀNS_ar_grozījumiem!AZ97-'plans (27122022)'!AZ96</f>
        <v>0</v>
      </c>
      <c r="BA97" s="576">
        <f>PLĀNS_ar_grozījumiem!BA97-'plans (27122022)'!BA96</f>
        <v>0</v>
      </c>
      <c r="BB97" s="580">
        <f>PLĀNS_ar_grozījumiem!BB97-'plans (27122022)'!BB96</f>
        <v>8321.3000000000175</v>
      </c>
      <c r="BC97" s="581">
        <f>PLĀNS_ar_grozījumiem!BC97-'plans (27122022)'!BC96</f>
        <v>0</v>
      </c>
      <c r="BD97" s="582">
        <f>PLĀNS_ar_grozījumiem!BD97-'plans (27122022)'!BD96</f>
        <v>0</v>
      </c>
      <c r="BE97" s="583">
        <f>PLĀNS_ar_grozījumiem!BE97-'plans (27122022)'!BE96</f>
        <v>0</v>
      </c>
      <c r="BF97" s="584">
        <f>PLĀNS_ar_grozījumiem!BF97-'plans (27122022)'!BF96</f>
        <v>0</v>
      </c>
      <c r="BG97" s="582">
        <f>PLĀNS_ar_grozījumiem!BG97-'plans (27122022)'!BG96</f>
        <v>0</v>
      </c>
      <c r="BH97" s="582">
        <f>PLĀNS_ar_grozījumiem!BH97-'plans (27122022)'!BH96</f>
        <v>0</v>
      </c>
      <c r="BI97" s="585">
        <f>PLĀNS_ar_grozījumiem!BI97-'plans (27122022)'!BI96</f>
        <v>0</v>
      </c>
      <c r="BJ97" s="586" t="e">
        <f>PLĀNS_ar_grozījumiem!BJ97-'plans (27122022)'!BJ96</f>
        <v>#VALUE!</v>
      </c>
      <c r="BK97" s="587" t="e">
        <f>PLĀNS_ar_grozījumiem!BK97-'plans (27122022)'!BK96</f>
        <v>#VALUE!</v>
      </c>
      <c r="BL97" s="572" t="e">
        <f>PLĀNS_ar_grozījumiem!BL97-'plans (27122022)'!BL96</f>
        <v>#VALUE!</v>
      </c>
      <c r="BM97" s="573" t="e">
        <f>PLĀNS_ar_grozījumiem!BM97-'plans (27122022)'!BM96</f>
        <v>#VALUE!</v>
      </c>
      <c r="BN97" s="573" t="e">
        <f>PLĀNS_ar_grozījumiem!BN97-'plans (27122022)'!BN96</f>
        <v>#VALUE!</v>
      </c>
      <c r="BO97" s="574" t="e">
        <f>PLĀNS_ar_grozījumiem!BO97-'plans (27122022)'!BO96</f>
        <v>#VALUE!</v>
      </c>
      <c r="BP97" s="575">
        <f>PLĀNS_ar_grozījumiem!BP97-'plans (27122022)'!BP96</f>
        <v>12486.300000000047</v>
      </c>
      <c r="BQ97" s="576">
        <f>PLĀNS_ar_grozījumiem!BQ97-'plans (27122022)'!BQ96</f>
        <v>0</v>
      </c>
      <c r="BR97" s="577">
        <f>PLĀNS_ar_grozījumiem!BR97-'plans (27122022)'!BR96</f>
        <v>16351.300000000017</v>
      </c>
      <c r="BS97" s="578">
        <f>PLĀNS_ar_grozījumiem!BS97-'plans (27122022)'!BS96</f>
        <v>0</v>
      </c>
      <c r="BT97" s="579">
        <f>PLĀNS_ar_grozījumiem!BT97-'plans (27122022)'!BT96</f>
        <v>-3865</v>
      </c>
      <c r="BU97" s="576">
        <f>PLĀNS_ar_grozījumiem!BU97-'plans (27122022)'!BU96</f>
        <v>0</v>
      </c>
      <c r="BV97" s="580">
        <f>PLĀNS_ar_grozījumiem!BV97-'plans (27122022)'!BV96</f>
        <v>16351.300000000017</v>
      </c>
      <c r="BW97" s="581">
        <f>PLĀNS_ar_grozījumiem!BW97-'plans (27122022)'!BW96</f>
        <v>0</v>
      </c>
      <c r="BX97" s="582">
        <f>PLĀNS_ar_grozījumiem!BX97-'plans (27122022)'!BX96</f>
        <v>0</v>
      </c>
      <c r="BY97" s="583">
        <f>PLĀNS_ar_grozījumiem!BY97-'plans (27122022)'!BY96</f>
        <v>0</v>
      </c>
      <c r="BZ97" s="584">
        <f>PLĀNS_ar_grozījumiem!BZ97-'plans (27122022)'!BZ96</f>
        <v>0</v>
      </c>
      <c r="CA97" s="582">
        <f>PLĀNS_ar_grozījumiem!CA97-'plans (27122022)'!CA96</f>
        <v>0</v>
      </c>
      <c r="CB97" s="582">
        <f>PLĀNS_ar_grozījumiem!CB97-'plans (27122022)'!CB96</f>
        <v>-3865</v>
      </c>
      <c r="CC97" s="585">
        <f>PLĀNS_ar_grozījumiem!CC97-'plans (27122022)'!CC96</f>
        <v>0</v>
      </c>
      <c r="CD97" s="586" t="e">
        <f>PLĀNS_ar_grozījumiem!CD97-'plans (27122022)'!CD96</f>
        <v>#VALUE!</v>
      </c>
      <c r="CE97" s="587" t="e">
        <f>PLĀNS_ar_grozījumiem!CE97-'plans (27122022)'!CE96</f>
        <v>#VALUE!</v>
      </c>
      <c r="CF97" s="588" t="e">
        <f>PLĀNS_ar_grozījumiem!CF97-'plans (27122022)'!CF96</f>
        <v>#VALUE!</v>
      </c>
      <c r="CG97" s="589" t="e">
        <f>PLĀNS_ar_grozījumiem!CG97-'plans (27122022)'!CG96</f>
        <v>#VALUE!</v>
      </c>
      <c r="CH97" s="589" t="e">
        <f>PLĀNS_ar_grozījumiem!CH97-'plans (27122022)'!CH96</f>
        <v>#VALUE!</v>
      </c>
      <c r="CI97" s="590" t="e">
        <f>PLĀNS_ar_grozījumiem!CI97-'plans (27122022)'!CI96</f>
        <v>#VALUE!</v>
      </c>
      <c r="CJ97" s="579">
        <f>PLĀNS_ar_grozījumiem!CJ97-'plans (27122022)'!CJ96</f>
        <v>20807.600000000093</v>
      </c>
      <c r="CK97" s="576">
        <f>PLĀNS_ar_grozījumiem!CK97-'plans (27122022)'!CK96</f>
        <v>0</v>
      </c>
      <c r="CL97" s="577">
        <f>PLĀNS_ar_grozījumiem!CL97-'plans (27122022)'!CL96</f>
        <v>24672.600000000093</v>
      </c>
      <c r="CM97" s="591">
        <f>PLĀNS_ar_grozījumiem!CM97-'plans (27122022)'!CM96</f>
        <v>0</v>
      </c>
      <c r="CN97" s="579">
        <f>PLĀNS_ar_grozījumiem!CN97-'plans (27122022)'!CN96</f>
        <v>-3865</v>
      </c>
      <c r="CO97" s="576">
        <f>PLĀNS_ar_grozījumiem!CO97-'plans (27122022)'!CO96</f>
        <v>0</v>
      </c>
      <c r="CP97" s="577">
        <f>PLĀNS_ar_grozījumiem!CP97-'plans (27122022)'!CP96</f>
        <v>24672.600000000093</v>
      </c>
      <c r="CQ97" s="578">
        <f>PLĀNS_ar_grozījumiem!CQ97-'plans (27122022)'!CQ96</f>
        <v>0</v>
      </c>
      <c r="CR97" s="579">
        <f>PLĀNS_ar_grozījumiem!CR97-'plans (27122022)'!CR96</f>
        <v>0</v>
      </c>
      <c r="CS97" s="576">
        <f>PLĀNS_ar_grozījumiem!CS97-'plans (27122022)'!CS96</f>
        <v>0</v>
      </c>
      <c r="CT97" s="577">
        <f>PLĀNS_ar_grozījumiem!CT97-'plans (27122022)'!CT96</f>
        <v>0</v>
      </c>
      <c r="CU97" s="578">
        <f>PLĀNS_ar_grozījumiem!CU97-'plans (27122022)'!CU96</f>
        <v>0</v>
      </c>
      <c r="CV97" s="579">
        <f>PLĀNS_ar_grozījumiem!CV97-'plans (27122022)'!CV96</f>
        <v>-3865</v>
      </c>
      <c r="CW97" s="576">
        <f>PLĀNS_ar_grozījumiem!CW97-'plans (27122022)'!CW96</f>
        <v>0</v>
      </c>
      <c r="CX97" s="586" t="e">
        <f>PLĀNS_ar_grozījumiem!CX97-'plans (27122022)'!CX96</f>
        <v>#VALUE!</v>
      </c>
      <c r="CY97" s="592" t="e">
        <f>PLĀNS_ar_grozījumiem!CY97-'plans (27122022)'!CY96</f>
        <v>#VALUE!</v>
      </c>
      <c r="CZ97" s="593"/>
      <c r="DA97" s="578"/>
      <c r="DB97" s="578"/>
      <c r="DC97" s="594"/>
      <c r="DD97" s="577">
        <f t="shared" si="29"/>
        <v>337952</v>
      </c>
      <c r="DE97" s="595">
        <f t="shared" si="29"/>
        <v>0</v>
      </c>
      <c r="DF97" s="595">
        <f t="shared" si="29"/>
        <v>215402</v>
      </c>
      <c r="DG97" s="596">
        <f t="shared" si="28"/>
        <v>0</v>
      </c>
      <c r="DH97" s="577">
        <f t="shared" si="28"/>
        <v>332852</v>
      </c>
      <c r="DI97" s="578">
        <f t="shared" si="28"/>
        <v>0</v>
      </c>
      <c r="DJ97" s="578">
        <f t="shared" si="28"/>
        <v>207320</v>
      </c>
      <c r="DK97" s="594">
        <f t="shared" si="28"/>
        <v>0</v>
      </c>
      <c r="DL97" s="577">
        <f t="shared" si="28"/>
        <v>5100</v>
      </c>
      <c r="DM97" s="578">
        <f t="shared" si="28"/>
        <v>0</v>
      </c>
      <c r="DN97" s="578">
        <f t="shared" si="28"/>
        <v>8082</v>
      </c>
      <c r="DO97" s="591" t="e">
        <f t="shared" si="28"/>
        <v>#VALUE!</v>
      </c>
      <c r="DP97" s="577"/>
      <c r="DQ97" s="597"/>
      <c r="DR97" s="598"/>
      <c r="DS97" s="958"/>
      <c r="DT97" s="601">
        <f>PLĀNS_ar_grozījumiem!CL97-'plans (27122022)'!CL96</f>
        <v>24672.600000000093</v>
      </c>
      <c r="DU97" s="959">
        <f>DT97/'plans (27122022)'!CL96</f>
        <v>3.6611446140696738E-2</v>
      </c>
      <c r="DV97" s="199">
        <f>PLĀNS_ar_grozījumiem!CN97-'plans (27122022)'!CN96</f>
        <v>-3865</v>
      </c>
      <c r="DW97" s="600">
        <f>DV97/'plans (27122022)'!CN96</f>
        <v>-8.3731772362232535E-3</v>
      </c>
      <c r="DX97" s="601">
        <f>PLĀNS_ar_grozījumiem!CP97-'plans (27122022)'!CP96</f>
        <v>24672.600000000093</v>
      </c>
      <c r="DY97" s="959">
        <f>DX97/'plans (27122022)'!CP96</f>
        <v>3.7174101707990452E-2</v>
      </c>
      <c r="DZ97" s="199">
        <f>PLĀNS_ar_grozījumiem!CR97-'plans (27122022)'!CR96</f>
        <v>0</v>
      </c>
      <c r="EA97" s="600">
        <f>PLĀNS_ar_grozījumiem!CQ97-'plans (27122022)'!CQ96</f>
        <v>0</v>
      </c>
      <c r="EB97" s="601">
        <f>PLĀNS_ar_grozījumiem!CT97-'plans (27122022)'!CT96</f>
        <v>0</v>
      </c>
      <c r="EC97" s="603">
        <f>EB97/'plans (27122022)'!CT96</f>
        <v>0</v>
      </c>
      <c r="ED97" s="199">
        <f>PLĀNS_ar_grozījumiem!CV97-'plans (27122022)'!CV96</f>
        <v>-3865</v>
      </c>
      <c r="EE97" s="603">
        <f>PLĀNS_ar_grozījumiem!CU97-'plans (27122022)'!CU96</f>
        <v>0</v>
      </c>
      <c r="EF97" s="604"/>
      <c r="EG97" s="960"/>
    </row>
    <row r="98" spans="1:138" s="628" customFormat="1" ht="17.25" customHeight="1" thickTop="1" thickBot="1" x14ac:dyDescent="0.35">
      <c r="A98" s="607"/>
      <c r="B98" s="608" t="s">
        <v>84</v>
      </c>
      <c r="C98" s="1035"/>
      <c r="D98" s="610"/>
      <c r="E98" s="610"/>
      <c r="F98" s="473"/>
      <c r="G98" s="611"/>
      <c r="H98" s="612">
        <v>3114075</v>
      </c>
      <c r="I98" s="613"/>
      <c r="J98" s="612">
        <v>2021235</v>
      </c>
      <c r="K98" s="614"/>
      <c r="L98" s="614">
        <v>1092840</v>
      </c>
      <c r="M98" s="613"/>
      <c r="N98" s="612">
        <v>1999873</v>
      </c>
      <c r="O98" s="614"/>
      <c r="P98" s="614">
        <v>1064127</v>
      </c>
      <c r="Q98" s="613"/>
      <c r="R98" s="612">
        <v>21362</v>
      </c>
      <c r="S98" s="614"/>
      <c r="T98" s="614">
        <v>28713</v>
      </c>
      <c r="U98" s="613"/>
      <c r="V98" s="615"/>
      <c r="W98" s="616"/>
      <c r="X98" s="609"/>
      <c r="Y98" s="610"/>
      <c r="Z98" s="473"/>
      <c r="AA98" s="611"/>
      <c r="AB98" s="612">
        <v>3200074</v>
      </c>
      <c r="AC98" s="613"/>
      <c r="AD98" s="612">
        <v>1855936</v>
      </c>
      <c r="AE98" s="614"/>
      <c r="AF98" s="614">
        <v>1344138</v>
      </c>
      <c r="AG98" s="613"/>
      <c r="AH98" s="612">
        <v>1838213</v>
      </c>
      <c r="AI98" s="614"/>
      <c r="AJ98" s="614">
        <v>1311787</v>
      </c>
      <c r="AK98" s="613"/>
      <c r="AL98" s="612">
        <v>17723</v>
      </c>
      <c r="AM98" s="614"/>
      <c r="AN98" s="614">
        <v>32351</v>
      </c>
      <c r="AO98" s="613"/>
      <c r="AP98" s="615"/>
      <c r="AQ98" s="616"/>
      <c r="AR98" s="609"/>
      <c r="AS98" s="610">
        <f>PLĀNS_ar_grozījumiem!AS98-'plans (27122022)'!AS97</f>
        <v>0</v>
      </c>
      <c r="AT98" s="473">
        <f>PLĀNS_ar_grozījumiem!AT98-'plans (27122022)'!AT97</f>
        <v>0</v>
      </c>
      <c r="AU98" s="611">
        <f>PLĀNS_ar_grozījumiem!AU98-'plans (27122022)'!AU97</f>
        <v>0</v>
      </c>
      <c r="AV98" s="612">
        <f>PLĀNS_ar_grozījumiem!AV98-'plans (27122022)'!AV97</f>
        <v>1287100.2531588702</v>
      </c>
      <c r="AW98" s="613">
        <f>PLĀNS_ar_grozījumiem!AW98-'plans (27122022)'!AW97</f>
        <v>0</v>
      </c>
      <c r="AX98" s="612">
        <f>PLĀNS_ar_grozījumiem!AX98-'plans (27122022)'!AX97</f>
        <v>211520.25315887015</v>
      </c>
      <c r="AY98" s="614">
        <f>PLĀNS_ar_grozījumiem!AY98-'plans (27122022)'!AY97</f>
        <v>0</v>
      </c>
      <c r="AZ98" s="614">
        <f>PLĀNS_ar_grozījumiem!AZ98-'plans (27122022)'!AZ97</f>
        <v>1075580</v>
      </c>
      <c r="BA98" s="613">
        <f>PLĀNS_ar_grozījumiem!BA98-'plans (27122022)'!BA97</f>
        <v>0</v>
      </c>
      <c r="BB98" s="612">
        <f>PLĀNS_ar_grozījumiem!BB98-'plans (27122022)'!BB97</f>
        <v>64352.253158870153</v>
      </c>
      <c r="BC98" s="614">
        <f>PLĀNS_ar_grozījumiem!BC98-'plans (27122022)'!BC97</f>
        <v>0</v>
      </c>
      <c r="BD98" s="614">
        <f>PLĀNS_ar_grozījumiem!BD98-'plans (27122022)'!BD97</f>
        <v>895047</v>
      </c>
      <c r="BE98" s="613">
        <f>PLĀNS_ar_grozījumiem!BE98-'plans (27122022)'!BE97</f>
        <v>0</v>
      </c>
      <c r="BF98" s="612">
        <f>PLĀNS_ar_grozījumiem!BF98-'plans (27122022)'!BF97</f>
        <v>147168</v>
      </c>
      <c r="BG98" s="614">
        <f>PLĀNS_ar_grozījumiem!BG98-'plans (27122022)'!BG97</f>
        <v>0</v>
      </c>
      <c r="BH98" s="614">
        <f>PLĀNS_ar_grozījumiem!BH98-'plans (27122022)'!BH97</f>
        <v>180533</v>
      </c>
      <c r="BI98" s="613">
        <f>PLĀNS_ar_grozījumiem!BI98-'plans (27122022)'!BI97</f>
        <v>0</v>
      </c>
      <c r="BJ98" s="615">
        <f>PLĀNS_ar_grozījumiem!BJ98-'plans (27122022)'!BJ97</f>
        <v>0</v>
      </c>
      <c r="BK98" s="616">
        <f>PLĀNS_ar_grozījumiem!BK98-'plans (27122022)'!BK97</f>
        <v>0</v>
      </c>
      <c r="BL98" s="609">
        <f>PLĀNS_ar_grozījumiem!BL98-'plans (27122022)'!BL97</f>
        <v>0</v>
      </c>
      <c r="BM98" s="610">
        <f>PLĀNS_ar_grozījumiem!BM98-'plans (27122022)'!BM97</f>
        <v>0</v>
      </c>
      <c r="BN98" s="473">
        <f>PLĀNS_ar_grozījumiem!BN98-'plans (27122022)'!BN97</f>
        <v>0</v>
      </c>
      <c r="BO98" s="611">
        <f>PLĀNS_ar_grozījumiem!BO98-'plans (27122022)'!BO97</f>
        <v>0</v>
      </c>
      <c r="BP98" s="612">
        <f>PLĀNS_ar_grozījumiem!BP98-'plans (27122022)'!BP97</f>
        <v>-179972.25999999978</v>
      </c>
      <c r="BQ98" s="613">
        <f>PLĀNS_ar_grozījumiem!BQ98-'plans (27122022)'!BQ97</f>
        <v>0</v>
      </c>
      <c r="BR98" s="612">
        <f>PLĀNS_ar_grozījumiem!BR98-'plans (27122022)'!BR97</f>
        <v>87819.740000000224</v>
      </c>
      <c r="BS98" s="614">
        <f>PLĀNS_ar_grozījumiem!BS98-'plans (27122022)'!BS97</f>
        <v>0</v>
      </c>
      <c r="BT98" s="614">
        <f>PLĀNS_ar_grozījumiem!BT98-'plans (27122022)'!BT97</f>
        <v>-267792</v>
      </c>
      <c r="BU98" s="613">
        <f>PLĀNS_ar_grozījumiem!BU98-'plans (27122022)'!BU97</f>
        <v>0</v>
      </c>
      <c r="BV98" s="612">
        <f>PLĀNS_ar_grozījumiem!BV98-'plans (27122022)'!BV97</f>
        <v>85322.740000000224</v>
      </c>
      <c r="BW98" s="614">
        <f>PLĀNS_ar_grozījumiem!BW98-'plans (27122022)'!BW97</f>
        <v>0</v>
      </c>
      <c r="BX98" s="614">
        <f>PLĀNS_ar_grozījumiem!BX98-'plans (27122022)'!BX97</f>
        <v>-265295</v>
      </c>
      <c r="BY98" s="613">
        <f>PLĀNS_ar_grozījumiem!BY98-'plans (27122022)'!BY97</f>
        <v>0</v>
      </c>
      <c r="BZ98" s="612">
        <f>PLĀNS_ar_grozījumiem!BZ98-'plans (27122022)'!BZ97</f>
        <v>2497</v>
      </c>
      <c r="CA98" s="614">
        <f>PLĀNS_ar_grozījumiem!CA98-'plans (27122022)'!CA97</f>
        <v>0</v>
      </c>
      <c r="CB98" s="614">
        <f>PLĀNS_ar_grozījumiem!CB98-'plans (27122022)'!CB97</f>
        <v>-2497</v>
      </c>
      <c r="CC98" s="613">
        <f>PLĀNS_ar_grozījumiem!CC98-'plans (27122022)'!CC97</f>
        <v>0</v>
      </c>
      <c r="CD98" s="615">
        <f>PLĀNS_ar_grozījumiem!CD98-'plans (27122022)'!CD97</f>
        <v>0</v>
      </c>
      <c r="CE98" s="616">
        <f>PLĀNS_ar_grozījumiem!CE98-'plans (27122022)'!CE97</f>
        <v>0</v>
      </c>
      <c r="CF98" s="617">
        <f>PLĀNS_ar_grozījumiem!CF98-'plans (27122022)'!CF97</f>
        <v>0</v>
      </c>
      <c r="CG98" s="618">
        <f>PLĀNS_ar_grozījumiem!CG98-'plans (27122022)'!CG97</f>
        <v>0</v>
      </c>
      <c r="CH98" s="618">
        <f>PLĀNS_ar_grozījumiem!CH98-'plans (27122022)'!CH97</f>
        <v>0</v>
      </c>
      <c r="CI98" s="619">
        <f>PLĀNS_ar_grozījumiem!CI98-'plans (27122022)'!CI97</f>
        <v>0</v>
      </c>
      <c r="CJ98" s="614">
        <f>PLĀNS_ar_grozījumiem!CJ98-'plans (27122022)'!CJ97</f>
        <v>1107127.9931588694</v>
      </c>
      <c r="CK98" s="613">
        <f>PLĀNS_ar_grozījumiem!CK98-'plans (27122022)'!CK97</f>
        <v>0</v>
      </c>
      <c r="CL98" s="612">
        <f>PLĀNS_ar_grozījumiem!CL98-'plans (27122022)'!CL97</f>
        <v>299340.39552107453</v>
      </c>
      <c r="CM98" s="620">
        <f>PLĀNS_ar_grozījumiem!CM98-'plans (27122022)'!CM97</f>
        <v>0</v>
      </c>
      <c r="CN98" s="614">
        <f>PLĀNS_ar_grozījumiem!CN98-'plans (27122022)'!CN97</f>
        <v>807788</v>
      </c>
      <c r="CO98" s="613">
        <f>PLĀNS_ar_grozījumiem!CO98-'plans (27122022)'!CO97</f>
        <v>0</v>
      </c>
      <c r="CP98" s="612">
        <f>PLĀNS_ar_grozījumiem!CP98-'plans (27122022)'!CP97</f>
        <v>149674.99315887038</v>
      </c>
      <c r="CQ98" s="614">
        <f>PLĀNS_ar_grozījumiem!CQ98-'plans (27122022)'!CQ97</f>
        <v>0</v>
      </c>
      <c r="CR98" s="614">
        <f>PLĀNS_ar_grozījumiem!CR98-'plans (27122022)'!CR97</f>
        <v>629752</v>
      </c>
      <c r="CS98" s="613">
        <f>PLĀNS_ar_grozījumiem!CS98-'plans (27122022)'!CS97</f>
        <v>0</v>
      </c>
      <c r="CT98" s="612">
        <f>PLĀNS_ar_grozījumiem!CT98-'plans (27122022)'!CT97</f>
        <v>149665</v>
      </c>
      <c r="CU98" s="614">
        <f>PLĀNS_ar_grozījumiem!CU98-'plans (27122022)'!CU97</f>
        <v>0</v>
      </c>
      <c r="CV98" s="614">
        <f>PLĀNS_ar_grozījumiem!CV98-'plans (27122022)'!CV97</f>
        <v>178036</v>
      </c>
      <c r="CW98" s="613">
        <f>PLĀNS_ar_grozījumiem!CW98-'plans (27122022)'!CW97</f>
        <v>0</v>
      </c>
      <c r="CX98" s="612">
        <f>PLĀNS_ar_grozījumiem!CX98-'plans (27122022)'!CX97</f>
        <v>0</v>
      </c>
      <c r="CY98" s="616">
        <f>PLĀNS_ar_grozījumiem!CY98-'plans (27122022)'!CY97</f>
        <v>0</v>
      </c>
      <c r="CZ98" s="621"/>
      <c r="DA98" s="614"/>
      <c r="DB98" s="614"/>
      <c r="DC98" s="613"/>
      <c r="DD98" s="612">
        <f t="shared" si="29"/>
        <v>3877171</v>
      </c>
      <c r="DE98" s="622">
        <f t="shared" si="29"/>
        <v>0</v>
      </c>
      <c r="DF98" s="622">
        <f t="shared" si="29"/>
        <v>2436978</v>
      </c>
      <c r="DG98" s="618">
        <f t="shared" si="28"/>
        <v>0</v>
      </c>
      <c r="DH98" s="612">
        <f t="shared" si="28"/>
        <v>3838086</v>
      </c>
      <c r="DI98" s="614">
        <f t="shared" si="28"/>
        <v>0</v>
      </c>
      <c r="DJ98" s="614">
        <f t="shared" si="28"/>
        <v>2375914</v>
      </c>
      <c r="DK98" s="613">
        <f t="shared" si="28"/>
        <v>0</v>
      </c>
      <c r="DL98" s="612">
        <f t="shared" si="28"/>
        <v>39085</v>
      </c>
      <c r="DM98" s="614">
        <f t="shared" si="28"/>
        <v>0</v>
      </c>
      <c r="DN98" s="614">
        <f t="shared" si="28"/>
        <v>61064</v>
      </c>
      <c r="DO98" s="620">
        <f t="shared" si="28"/>
        <v>0</v>
      </c>
      <c r="DP98" s="612"/>
      <c r="DQ98" s="616"/>
      <c r="DR98" s="621"/>
      <c r="DS98" s="961"/>
      <c r="DT98" s="622">
        <f>PLĀNS_ar_grozījumiem!CL98-'plans (27122022)'!CL97</f>
        <v>299340.39552107453</v>
      </c>
      <c r="DU98" s="962">
        <f>DT98/'plans (27122022)'!CL97</f>
        <v>3.9037042133461909E-2</v>
      </c>
      <c r="DV98" s="614">
        <f>PLĀNS_ar_grozījumiem!CN98-'plans (27122022)'!CN97</f>
        <v>807788</v>
      </c>
      <c r="DW98" s="1061">
        <f>DV98/'plans (27122022)'!CN97</f>
        <v>0.15569835934126935</v>
      </c>
      <c r="DX98" s="622">
        <f>PLĀNS_ar_grozījumiem!CP98-'plans (27122022)'!CP97</f>
        <v>149674.99315887038</v>
      </c>
      <c r="DY98" s="962">
        <f>DX98/'plans (27122022)'!CP97</f>
        <v>1.9715638135185776E-2</v>
      </c>
      <c r="DZ98" s="614">
        <f>PLĀNS_ar_grozījumiem!CR98-'plans (27122022)'!CR97</f>
        <v>629752</v>
      </c>
      <c r="EA98" s="1061">
        <f>DZ98/'plans (27122022)'!CR97</f>
        <v>0.12435163588771878</v>
      </c>
      <c r="EB98" s="622">
        <f>PLĀNS_ar_grozījumiem!CT98-'plans (27122022)'!CT97</f>
        <v>149665</v>
      </c>
      <c r="EC98" s="1062">
        <f>EB98/'plans (27122022)'!CT97</f>
        <v>1.9583764050089634</v>
      </c>
      <c r="ED98" s="614">
        <f>PLĀNS_ar_grozījumiem!CV98-'plans (27122022)'!CV97</f>
        <v>178036</v>
      </c>
      <c r="EE98" s="623">
        <f>PLĀNS_ar_grozījumiem!CU98-'plans (27122022)'!CU97</f>
        <v>0</v>
      </c>
      <c r="EF98" s="626"/>
      <c r="EG98" s="963"/>
    </row>
    <row r="99" spans="1:138" s="636" customFormat="1" ht="18.75" hidden="1" customHeight="1" thickBot="1" x14ac:dyDescent="0.35">
      <c r="A99" s="893"/>
      <c r="B99" s="630"/>
      <c r="C99" s="1038"/>
      <c r="D99" s="632"/>
      <c r="E99" s="632"/>
      <c r="F99" s="631"/>
      <c r="G99" s="631"/>
      <c r="H99" s="633"/>
      <c r="I99" s="633"/>
      <c r="J99" s="633"/>
      <c r="K99" s="633"/>
      <c r="L99" s="633"/>
      <c r="M99" s="633"/>
      <c r="N99" s="633"/>
      <c r="O99" s="633"/>
      <c r="P99" s="633"/>
      <c r="Q99" s="633"/>
      <c r="R99" s="633"/>
      <c r="S99" s="633"/>
      <c r="T99" s="633"/>
      <c r="U99" s="633"/>
      <c r="V99" s="634"/>
      <c r="W99" s="634"/>
      <c r="X99" s="632"/>
      <c r="Y99" s="632"/>
      <c r="Z99" s="631"/>
      <c r="AA99" s="631"/>
      <c r="AB99" s="633"/>
      <c r="AC99" s="633"/>
      <c r="AD99" s="633"/>
      <c r="AE99" s="633"/>
      <c r="AF99" s="633"/>
      <c r="AG99" s="633"/>
      <c r="AH99" s="633"/>
      <c r="AI99" s="633"/>
      <c r="AJ99" s="633"/>
      <c r="AK99" s="633"/>
      <c r="AL99" s="633"/>
      <c r="AM99" s="633"/>
      <c r="AN99" s="633"/>
      <c r="AO99" s="633"/>
      <c r="AP99" s="634"/>
      <c r="AQ99" s="634"/>
      <c r="AR99" s="632"/>
      <c r="AS99" s="632">
        <f>PLĀNS_ar_grozījumiem!AS99-'plans (27122022)'!AS98</f>
        <v>0</v>
      </c>
      <c r="AT99" s="631">
        <f>PLĀNS_ar_grozījumiem!AT99-'plans (27122022)'!AT98</f>
        <v>0</v>
      </c>
      <c r="AU99" s="631">
        <f>PLĀNS_ar_grozījumiem!AU99-'plans (27122022)'!AU98</f>
        <v>0</v>
      </c>
      <c r="AV99" s="633">
        <f>PLĀNS_ar_grozījumiem!AV99-'plans (27122022)'!AV98</f>
        <v>0</v>
      </c>
      <c r="AW99" s="633">
        <f>PLĀNS_ar_grozījumiem!AW99-'plans (27122022)'!AW98</f>
        <v>0</v>
      </c>
      <c r="AX99" s="633">
        <f>PLĀNS_ar_grozījumiem!AX99-'plans (27122022)'!AX98</f>
        <v>0</v>
      </c>
      <c r="AY99" s="633">
        <f>PLĀNS_ar_grozījumiem!AY99-'plans (27122022)'!AY98</f>
        <v>0</v>
      </c>
      <c r="AZ99" s="633">
        <f>PLĀNS_ar_grozījumiem!AZ99-'plans (27122022)'!AZ98</f>
        <v>0</v>
      </c>
      <c r="BA99" s="633">
        <f>PLĀNS_ar_grozījumiem!BA99-'plans (27122022)'!BA98</f>
        <v>0</v>
      </c>
      <c r="BB99" s="633">
        <f>PLĀNS_ar_grozījumiem!BB99-'plans (27122022)'!BB98</f>
        <v>0</v>
      </c>
      <c r="BC99" s="633">
        <f>PLĀNS_ar_grozījumiem!BC99-'plans (27122022)'!BC98</f>
        <v>0</v>
      </c>
      <c r="BD99" s="633">
        <f>PLĀNS_ar_grozījumiem!BD99-'plans (27122022)'!BD98</f>
        <v>0</v>
      </c>
      <c r="BE99" s="633">
        <f>PLĀNS_ar_grozījumiem!BE99-'plans (27122022)'!BE98</f>
        <v>0</v>
      </c>
      <c r="BF99" s="633">
        <f>PLĀNS_ar_grozījumiem!BF99-'plans (27122022)'!BF98</f>
        <v>0</v>
      </c>
      <c r="BG99" s="633">
        <f>PLĀNS_ar_grozījumiem!BG99-'plans (27122022)'!BG98</f>
        <v>0</v>
      </c>
      <c r="BH99" s="633">
        <f>PLĀNS_ar_grozījumiem!BH99-'plans (27122022)'!BH98</f>
        <v>0</v>
      </c>
      <c r="BI99" s="633">
        <f>PLĀNS_ar_grozījumiem!BI99-'plans (27122022)'!BI98</f>
        <v>0</v>
      </c>
      <c r="BJ99" s="634">
        <f>PLĀNS_ar_grozījumiem!BJ99-'plans (27122022)'!BJ98</f>
        <v>0</v>
      </c>
      <c r="BK99" s="634">
        <f>PLĀNS_ar_grozījumiem!BK99-'plans (27122022)'!BK98</f>
        <v>0</v>
      </c>
      <c r="BL99" s="632">
        <f>PLĀNS_ar_grozījumiem!BL99-'plans (27122022)'!BL98</f>
        <v>0</v>
      </c>
      <c r="BM99" s="632">
        <f>PLĀNS_ar_grozījumiem!BM99-'plans (27122022)'!BM98</f>
        <v>0</v>
      </c>
      <c r="BN99" s="631">
        <f>PLĀNS_ar_grozījumiem!BN99-'plans (27122022)'!BN98</f>
        <v>0</v>
      </c>
      <c r="BO99" s="631">
        <f>PLĀNS_ar_grozījumiem!BO99-'plans (27122022)'!BO98</f>
        <v>0</v>
      </c>
      <c r="BP99" s="633">
        <f>PLĀNS_ar_grozījumiem!BP99-'plans (27122022)'!BP98</f>
        <v>0</v>
      </c>
      <c r="BQ99" s="633">
        <f>PLĀNS_ar_grozījumiem!BQ99-'plans (27122022)'!BQ98</f>
        <v>0</v>
      </c>
      <c r="BR99" s="633">
        <f>PLĀNS_ar_grozījumiem!BR99-'plans (27122022)'!BR98</f>
        <v>0</v>
      </c>
      <c r="BS99" s="633">
        <f>PLĀNS_ar_grozījumiem!BS99-'plans (27122022)'!BS98</f>
        <v>0</v>
      </c>
      <c r="BT99" s="633">
        <f>PLĀNS_ar_grozījumiem!BT99-'plans (27122022)'!BT98</f>
        <v>0</v>
      </c>
      <c r="BU99" s="633">
        <f>PLĀNS_ar_grozījumiem!BU99-'plans (27122022)'!BU98</f>
        <v>0</v>
      </c>
      <c r="BV99" s="633">
        <f>PLĀNS_ar_grozījumiem!BV99-'plans (27122022)'!BV98</f>
        <v>0</v>
      </c>
      <c r="BW99" s="633">
        <f>PLĀNS_ar_grozījumiem!BW99-'plans (27122022)'!BW98</f>
        <v>0</v>
      </c>
      <c r="BX99" s="633">
        <f>PLĀNS_ar_grozījumiem!BX99-'plans (27122022)'!BX98</f>
        <v>0</v>
      </c>
      <c r="BY99" s="633">
        <f>PLĀNS_ar_grozījumiem!BY99-'plans (27122022)'!BY98</f>
        <v>0</v>
      </c>
      <c r="BZ99" s="633">
        <f>PLĀNS_ar_grozījumiem!BZ99-'plans (27122022)'!BZ98</f>
        <v>0</v>
      </c>
      <c r="CA99" s="633">
        <f>PLĀNS_ar_grozījumiem!CA99-'plans (27122022)'!CA98</f>
        <v>0</v>
      </c>
      <c r="CB99" s="633">
        <f>PLĀNS_ar_grozījumiem!CB99-'plans (27122022)'!CB98</f>
        <v>0</v>
      </c>
      <c r="CC99" s="633">
        <f>PLĀNS_ar_grozījumiem!CC99-'plans (27122022)'!CC98</f>
        <v>0</v>
      </c>
      <c r="CD99" s="634">
        <f>PLĀNS_ar_grozījumiem!CD99-'plans (27122022)'!CD98</f>
        <v>0</v>
      </c>
      <c r="CE99" s="634">
        <f>PLĀNS_ar_grozījumiem!CE99-'plans (27122022)'!CE98</f>
        <v>0</v>
      </c>
      <c r="CF99" s="635">
        <f>PLĀNS_ar_grozījumiem!CF99-'plans (27122022)'!CF98</f>
        <v>0</v>
      </c>
      <c r="CG99" s="633">
        <f>PLĀNS_ar_grozījumiem!CG99-'plans (27122022)'!CG98</f>
        <v>0</v>
      </c>
      <c r="CH99" s="633">
        <f>PLĀNS_ar_grozījumiem!CH99-'plans (27122022)'!CH98</f>
        <v>0</v>
      </c>
      <c r="CI99" s="633">
        <f>PLĀNS_ar_grozījumiem!CI99-'plans (27122022)'!CI98</f>
        <v>0</v>
      </c>
      <c r="CJ99" s="633">
        <f>PLĀNS_ar_grozījumiem!CJ99-'plans (27122022)'!CJ98</f>
        <v>0</v>
      </c>
      <c r="CK99" s="633">
        <f>PLĀNS_ar_grozījumiem!CK99-'plans (27122022)'!CK98</f>
        <v>0</v>
      </c>
      <c r="CL99" s="633">
        <f>PLĀNS_ar_grozījumiem!CL99-'plans (27122022)'!CL98</f>
        <v>0</v>
      </c>
      <c r="CM99" s="633">
        <f>PLĀNS_ar_grozījumiem!CM99-'plans (27122022)'!CM98</f>
        <v>0</v>
      </c>
      <c r="CN99" s="633">
        <f>PLĀNS_ar_grozījumiem!CN99-'plans (27122022)'!CN98</f>
        <v>0</v>
      </c>
      <c r="CO99" s="633">
        <f>PLĀNS_ar_grozījumiem!CO99-'plans (27122022)'!CO98</f>
        <v>0</v>
      </c>
      <c r="CP99" s="633">
        <f>PLĀNS_ar_grozījumiem!CP99-'plans (27122022)'!CP98</f>
        <v>0</v>
      </c>
      <c r="CQ99" s="631">
        <f>PLĀNS_ar_grozījumiem!CQ99-'plans (27122022)'!CQ98</f>
        <v>0</v>
      </c>
      <c r="CR99" s="633">
        <f>PLĀNS_ar_grozījumiem!CR99-'plans (27122022)'!CR98</f>
        <v>0</v>
      </c>
      <c r="CS99" s="633">
        <f>PLĀNS_ar_grozījumiem!CS99-'plans (27122022)'!CS98</f>
        <v>0</v>
      </c>
      <c r="CT99" s="633">
        <f>PLĀNS_ar_grozījumiem!CT99-'plans (27122022)'!CT98</f>
        <v>0</v>
      </c>
      <c r="CU99" s="631">
        <f>PLĀNS_ar_grozījumiem!CU99-'plans (27122022)'!CU98</f>
        <v>0</v>
      </c>
      <c r="CV99" s="633">
        <f>PLĀNS_ar_grozījumiem!CV99-'plans (27122022)'!CV98</f>
        <v>0</v>
      </c>
      <c r="CW99" s="633">
        <f>PLĀNS_ar_grozījumiem!CW99-'plans (27122022)'!CW98</f>
        <v>0</v>
      </c>
      <c r="CX99" s="634">
        <f>PLĀNS_ar_grozījumiem!CX99-'plans (27122022)'!CX98</f>
        <v>0</v>
      </c>
      <c r="CY99" s="634">
        <f>PLĀNS_ar_grozījumiem!CY99-'plans (27122022)'!CY98</f>
        <v>0</v>
      </c>
      <c r="CZ99" s="629"/>
      <c r="DA99" s="632"/>
      <c r="DD99" s="637"/>
      <c r="DE99" s="637"/>
      <c r="DF99" s="637"/>
      <c r="DG99" s="637"/>
      <c r="DH99" s="637"/>
      <c r="DI99" s="637"/>
      <c r="DJ99" s="637"/>
      <c r="DK99" s="637"/>
      <c r="DL99" s="637"/>
      <c r="DM99" s="637"/>
      <c r="DN99" s="637"/>
      <c r="DO99" s="637"/>
      <c r="DP99" s="634"/>
      <c r="DQ99" s="634"/>
      <c r="DR99" s="638">
        <f>PLĀNS_ar_grozījumiem!CF99-'plans (27122022)'!CF98</f>
        <v>0</v>
      </c>
      <c r="DS99" s="964" t="e">
        <f>DR99/'plans (27122022)'!CF98</f>
        <v>#DIV/0!</v>
      </c>
      <c r="DT99" s="636">
        <f>PLĀNS_ar_grozījumiem!CL99-'plans (27122022)'!CL98</f>
        <v>0</v>
      </c>
      <c r="DU99" s="965" t="e">
        <f>DT99/'plans (27122022)'!CL98</f>
        <v>#DIV/0!</v>
      </c>
      <c r="DX99" s="636">
        <f>PLĀNS_ar_grozījumiem!CP99-'plans (27122022)'!CP98</f>
        <v>0</v>
      </c>
      <c r="DY99" s="965" t="e">
        <f>DX99/'plans (27122022)'!CP98</f>
        <v>#DIV/0!</v>
      </c>
      <c r="DZ99" s="636">
        <f>PLĀNS_ar_grozījumiem!CR99-'plans (27122022)'!CR98</f>
        <v>0</v>
      </c>
      <c r="EA99" s="636">
        <f>PLĀNS_ar_grozījumiem!CQ99-'plans (27122022)'!CQ98</f>
        <v>0</v>
      </c>
      <c r="EB99" s="636">
        <f>PLĀNS_ar_grozījumiem!CT99-'plans (27122022)'!CT98</f>
        <v>0</v>
      </c>
      <c r="EC99" s="636" t="e">
        <f>EB99/'plans (27122022)'!CT98</f>
        <v>#DIV/0!</v>
      </c>
      <c r="ED99" s="636">
        <f>PLĀNS_ar_grozījumiem!CV99-'plans (27122022)'!CV98</f>
        <v>0</v>
      </c>
      <c r="EE99" s="636">
        <f>PLĀNS_ar_grozījumiem!CU99-'plans (27122022)'!CU98</f>
        <v>0</v>
      </c>
      <c r="EF99" s="629">
        <f>PLĀNS_ar_grozījumiem!CX99-'plans (27122022)'!CX98</f>
        <v>0</v>
      </c>
      <c r="EG99" s="966" t="e">
        <f>EF99/'plans (27122022)'!CX98</f>
        <v>#DIV/0!</v>
      </c>
    </row>
    <row r="100" spans="1:138" s="5" customFormat="1" ht="15.75" customHeight="1" x14ac:dyDescent="0.3">
      <c r="A100" s="640"/>
      <c r="B100" s="641" t="s">
        <v>85</v>
      </c>
      <c r="C100" s="1039"/>
      <c r="D100" s="643"/>
      <c r="E100" s="643"/>
      <c r="F100" s="642"/>
      <c r="G100" s="642"/>
      <c r="H100" s="644"/>
      <c r="I100" s="644"/>
      <c r="J100" s="644"/>
      <c r="K100" s="644"/>
      <c r="L100" s="644"/>
      <c r="M100" s="644"/>
      <c r="N100" s="644"/>
      <c r="O100" s="644"/>
      <c r="P100" s="644"/>
      <c r="Q100" s="644"/>
      <c r="R100" s="644"/>
      <c r="S100" s="644"/>
      <c r="T100" s="644"/>
      <c r="U100" s="645"/>
      <c r="V100" s="646"/>
      <c r="W100" s="647"/>
      <c r="X100" s="643"/>
      <c r="Y100" s="643"/>
      <c r="Z100" s="642"/>
      <c r="AA100" s="642"/>
      <c r="AB100" s="644"/>
      <c r="AC100" s="644"/>
      <c r="AD100" s="644"/>
      <c r="AE100" s="644"/>
      <c r="AF100" s="644"/>
      <c r="AG100" s="644"/>
      <c r="AH100" s="644"/>
      <c r="AI100" s="644"/>
      <c r="AJ100" s="644"/>
      <c r="AK100" s="644"/>
      <c r="AL100" s="644"/>
      <c r="AM100" s="644"/>
      <c r="AN100" s="644"/>
      <c r="AO100" s="645"/>
      <c r="AP100" s="646"/>
      <c r="AQ100" s="647"/>
      <c r="AR100" s="643"/>
      <c r="AS100" s="643">
        <f>PLĀNS_ar_grozījumiem!AS100-'plans (27122022)'!AS99</f>
        <v>0</v>
      </c>
      <c r="AT100" s="642">
        <f>PLĀNS_ar_grozījumiem!AT100-'plans (27122022)'!AT99</f>
        <v>0</v>
      </c>
      <c r="AU100" s="642">
        <f>PLĀNS_ar_grozījumiem!AU100-'plans (27122022)'!AU99</f>
        <v>0</v>
      </c>
      <c r="AV100" s="644">
        <f>PLĀNS_ar_grozījumiem!AV100-'plans (27122022)'!AV99</f>
        <v>0</v>
      </c>
      <c r="AW100" s="644">
        <f>PLĀNS_ar_grozījumiem!AW100-'plans (27122022)'!AW99</f>
        <v>0</v>
      </c>
      <c r="AX100" s="644">
        <f>PLĀNS_ar_grozījumiem!AX100-'plans (27122022)'!AX99</f>
        <v>0</v>
      </c>
      <c r="AY100" s="644">
        <f>PLĀNS_ar_grozījumiem!AY100-'plans (27122022)'!AY99</f>
        <v>0</v>
      </c>
      <c r="AZ100" s="644">
        <f>PLĀNS_ar_grozījumiem!AZ100-'plans (27122022)'!AZ99</f>
        <v>0</v>
      </c>
      <c r="BA100" s="644">
        <f>PLĀNS_ar_grozījumiem!BA100-'plans (27122022)'!BA99</f>
        <v>0</v>
      </c>
      <c r="BB100" s="644">
        <f>PLĀNS_ar_grozījumiem!BB100-'plans (27122022)'!BB99</f>
        <v>0</v>
      </c>
      <c r="BC100" s="644">
        <f>PLĀNS_ar_grozījumiem!BC100-'plans (27122022)'!BC99</f>
        <v>0</v>
      </c>
      <c r="BD100" s="644">
        <f>PLĀNS_ar_grozījumiem!BD100-'plans (27122022)'!BD99</f>
        <v>0</v>
      </c>
      <c r="BE100" s="644">
        <f>PLĀNS_ar_grozījumiem!BE100-'plans (27122022)'!BE99</f>
        <v>0</v>
      </c>
      <c r="BF100" s="644">
        <f>PLĀNS_ar_grozījumiem!BF100-'plans (27122022)'!BF99</f>
        <v>0</v>
      </c>
      <c r="BG100" s="644">
        <f>PLĀNS_ar_grozījumiem!BG100-'plans (27122022)'!BG99</f>
        <v>0</v>
      </c>
      <c r="BH100" s="644">
        <f>PLĀNS_ar_grozījumiem!BH100-'plans (27122022)'!BH99</f>
        <v>0</v>
      </c>
      <c r="BI100" s="645">
        <f>PLĀNS_ar_grozījumiem!BI100-'plans (27122022)'!BI99</f>
        <v>0</v>
      </c>
      <c r="BJ100" s="646">
        <f>PLĀNS_ar_grozījumiem!BJ100-'plans (27122022)'!BJ99</f>
        <v>0</v>
      </c>
      <c r="BK100" s="647">
        <f>PLĀNS_ar_grozījumiem!BK100-'plans (27122022)'!BK99</f>
        <v>0</v>
      </c>
      <c r="BL100" s="643">
        <f>PLĀNS_ar_grozījumiem!BL100-'plans (27122022)'!BL99</f>
        <v>0</v>
      </c>
      <c r="BM100" s="643">
        <f>PLĀNS_ar_grozījumiem!BM100-'plans (27122022)'!BM99</f>
        <v>0</v>
      </c>
      <c r="BN100" s="642">
        <f>PLĀNS_ar_grozījumiem!BN100-'plans (27122022)'!BN99</f>
        <v>0</v>
      </c>
      <c r="BO100" s="642">
        <f>PLĀNS_ar_grozījumiem!BO100-'plans (27122022)'!BO99</f>
        <v>0</v>
      </c>
      <c r="BP100" s="644">
        <f>PLĀNS_ar_grozījumiem!BP100-'plans (27122022)'!BP99</f>
        <v>0</v>
      </c>
      <c r="BQ100" s="644">
        <f>PLĀNS_ar_grozījumiem!BQ100-'plans (27122022)'!BQ99</f>
        <v>0</v>
      </c>
      <c r="BR100" s="644">
        <f>PLĀNS_ar_grozījumiem!BR100-'plans (27122022)'!BR99</f>
        <v>0</v>
      </c>
      <c r="BS100" s="644">
        <f>PLĀNS_ar_grozījumiem!BS100-'plans (27122022)'!BS99</f>
        <v>0</v>
      </c>
      <c r="BT100" s="644">
        <f>PLĀNS_ar_grozījumiem!BT100-'plans (27122022)'!BT99</f>
        <v>0</v>
      </c>
      <c r="BU100" s="644">
        <f>PLĀNS_ar_grozījumiem!BU100-'plans (27122022)'!BU99</f>
        <v>0</v>
      </c>
      <c r="BV100" s="644">
        <f>PLĀNS_ar_grozījumiem!BV100-'plans (27122022)'!BV99</f>
        <v>0</v>
      </c>
      <c r="BW100" s="644">
        <f>PLĀNS_ar_grozījumiem!BW100-'plans (27122022)'!BW99</f>
        <v>0</v>
      </c>
      <c r="BX100" s="644">
        <f>PLĀNS_ar_grozījumiem!BX100-'plans (27122022)'!BX99</f>
        <v>0</v>
      </c>
      <c r="BY100" s="644">
        <f>PLĀNS_ar_grozījumiem!BY100-'plans (27122022)'!BY99</f>
        <v>0</v>
      </c>
      <c r="BZ100" s="644">
        <f>PLĀNS_ar_grozījumiem!BZ100-'plans (27122022)'!BZ99</f>
        <v>0</v>
      </c>
      <c r="CA100" s="644">
        <f>PLĀNS_ar_grozījumiem!CA100-'plans (27122022)'!CA99</f>
        <v>0</v>
      </c>
      <c r="CB100" s="644">
        <f>PLĀNS_ar_grozījumiem!CB100-'plans (27122022)'!CB99</f>
        <v>0</v>
      </c>
      <c r="CC100" s="645">
        <f>PLĀNS_ar_grozījumiem!CC100-'plans (27122022)'!CC99</f>
        <v>0</v>
      </c>
      <c r="CD100" s="646">
        <f>PLĀNS_ar_grozījumiem!CD100-'plans (27122022)'!CD99</f>
        <v>0</v>
      </c>
      <c r="CE100" s="647">
        <f>PLĀNS_ar_grozījumiem!CE100-'plans (27122022)'!CE99</f>
        <v>0</v>
      </c>
      <c r="CF100" s="648">
        <f>PLĀNS_ar_grozījumiem!CF100-'plans (27122022)'!CF99</f>
        <v>0</v>
      </c>
      <c r="CG100" s="649">
        <f>PLĀNS_ar_grozījumiem!CG100-'plans (27122022)'!CG99</f>
        <v>0</v>
      </c>
      <c r="CH100" s="649">
        <f>PLĀNS_ar_grozījumiem!CH100-'plans (27122022)'!CH99</f>
        <v>0</v>
      </c>
      <c r="CI100" s="649">
        <f>PLĀNS_ar_grozījumiem!CI100-'plans (27122022)'!CI99</f>
        <v>0</v>
      </c>
      <c r="CJ100" s="644">
        <f>PLĀNS_ar_grozījumiem!CJ100-'plans (27122022)'!CJ99</f>
        <v>0</v>
      </c>
      <c r="CK100" s="644">
        <f>PLĀNS_ar_grozījumiem!CK100-'plans (27122022)'!CK99</f>
        <v>0</v>
      </c>
      <c r="CL100" s="649">
        <f>PLĀNS_ar_grozījumiem!CL100-'plans (27122022)'!CL99</f>
        <v>0</v>
      </c>
      <c r="CM100" s="649">
        <f>PLĀNS_ar_grozījumiem!CM100-'plans (27122022)'!CM99</f>
        <v>0</v>
      </c>
      <c r="CN100" s="644">
        <f>PLĀNS_ar_grozījumiem!CN100-'plans (27122022)'!CN99</f>
        <v>0</v>
      </c>
      <c r="CO100" s="644">
        <f>PLĀNS_ar_grozījumiem!CO100-'plans (27122022)'!CO99</f>
        <v>0</v>
      </c>
      <c r="CP100" s="649">
        <f>PLĀNS_ar_grozījumiem!CP100-'plans (27122022)'!CP99</f>
        <v>0</v>
      </c>
      <c r="CQ100" s="650">
        <f>PLĀNS_ar_grozījumiem!CQ100-'plans (27122022)'!CQ99</f>
        <v>0</v>
      </c>
      <c r="CR100" s="644">
        <f>PLĀNS_ar_grozījumiem!CR100-'plans (27122022)'!CR99</f>
        <v>0</v>
      </c>
      <c r="CS100" s="644">
        <f>PLĀNS_ar_grozījumiem!CS100-'plans (27122022)'!CS99</f>
        <v>0</v>
      </c>
      <c r="CT100" s="649">
        <f>PLĀNS_ar_grozījumiem!CT100-'plans (27122022)'!CT99</f>
        <v>0</v>
      </c>
      <c r="CU100" s="650">
        <f>PLĀNS_ar_grozījumiem!CU100-'plans (27122022)'!CU99</f>
        <v>0</v>
      </c>
      <c r="CV100" s="644">
        <f>PLĀNS_ar_grozījumiem!CV100-'plans (27122022)'!CV99</f>
        <v>0</v>
      </c>
      <c r="CW100" s="644">
        <f>PLĀNS_ar_grozījumiem!CW100-'plans (27122022)'!CW99</f>
        <v>0</v>
      </c>
      <c r="CX100" s="646">
        <f>PLĀNS_ar_grozījumiem!CX100-'plans (27122022)'!CX99</f>
        <v>0</v>
      </c>
      <c r="CY100" s="647">
        <f>PLĀNS_ar_grozījumiem!CY100-'plans (27122022)'!CY99</f>
        <v>0</v>
      </c>
      <c r="CZ100" s="651"/>
      <c r="DA100" s="643"/>
      <c r="DB100" s="652"/>
      <c r="DC100" s="652"/>
      <c r="DD100" s="650"/>
      <c r="DE100" s="650"/>
      <c r="DF100" s="650"/>
      <c r="DG100" s="650"/>
      <c r="DH100" s="650"/>
      <c r="DI100" s="650"/>
      <c r="DJ100" s="650"/>
      <c r="DK100" s="650"/>
      <c r="DL100" s="650"/>
      <c r="DM100" s="650"/>
      <c r="DN100" s="650"/>
      <c r="DO100" s="650"/>
      <c r="DP100" s="646"/>
      <c r="DQ100" s="647"/>
      <c r="DR100" s="653"/>
      <c r="DS100" s="967"/>
      <c r="DT100" s="652"/>
      <c r="DU100" s="968"/>
      <c r="DV100" s="652"/>
      <c r="DW100" s="652"/>
      <c r="DX100" s="652"/>
      <c r="DY100" s="968"/>
      <c r="DZ100" s="652"/>
      <c r="EA100" s="652"/>
      <c r="EB100" s="652"/>
      <c r="EC100" s="652"/>
      <c r="ED100" s="652"/>
      <c r="EE100" s="652"/>
      <c r="EF100" s="656"/>
      <c r="EG100" s="969"/>
    </row>
    <row r="101" spans="1:138" s="667" customFormat="1" ht="15.75" customHeight="1" x14ac:dyDescent="0.25">
      <c r="A101" s="657"/>
      <c r="B101" s="658" t="s">
        <v>45</v>
      </c>
      <c r="C101" s="532"/>
      <c r="D101" s="1020">
        <v>2159</v>
      </c>
      <c r="E101" s="93"/>
      <c r="F101" s="176">
        <v>100</v>
      </c>
      <c r="G101" s="97"/>
      <c r="H101" s="108" t="s">
        <v>44</v>
      </c>
      <c r="I101" s="108" t="s">
        <v>44</v>
      </c>
      <c r="J101" s="97">
        <v>631038</v>
      </c>
      <c r="K101" s="97"/>
      <c r="L101" s="108" t="s">
        <v>44</v>
      </c>
      <c r="M101" s="159" t="s">
        <v>44</v>
      </c>
      <c r="N101" s="102">
        <v>621148</v>
      </c>
      <c r="O101" s="97"/>
      <c r="P101" s="108" t="s">
        <v>44</v>
      </c>
      <c r="Q101" s="159" t="s">
        <v>44</v>
      </c>
      <c r="R101" s="97">
        <v>9890</v>
      </c>
      <c r="S101" s="97"/>
      <c r="T101" s="108" t="s">
        <v>44</v>
      </c>
      <c r="U101" s="159" t="s">
        <v>44</v>
      </c>
      <c r="V101" s="659">
        <v>292</v>
      </c>
      <c r="W101" s="660"/>
      <c r="X101" s="93">
        <v>2184.0000000000005</v>
      </c>
      <c r="Y101" s="93"/>
      <c r="Z101" s="176">
        <v>100</v>
      </c>
      <c r="AA101" s="97"/>
      <c r="AB101" s="108" t="s">
        <v>44</v>
      </c>
      <c r="AC101" s="108" t="s">
        <v>44</v>
      </c>
      <c r="AD101" s="97">
        <v>638374</v>
      </c>
      <c r="AE101" s="97"/>
      <c r="AF101" s="108" t="s">
        <v>44</v>
      </c>
      <c r="AG101" s="159" t="s">
        <v>44</v>
      </c>
      <c r="AH101" s="102">
        <v>628420</v>
      </c>
      <c r="AI101" s="97"/>
      <c r="AJ101" s="108" t="s">
        <v>44</v>
      </c>
      <c r="AK101" s="159" t="s">
        <v>44</v>
      </c>
      <c r="AL101" s="97">
        <v>9954</v>
      </c>
      <c r="AM101" s="97"/>
      <c r="AN101" s="108" t="s">
        <v>44</v>
      </c>
      <c r="AO101" s="159" t="s">
        <v>44</v>
      </c>
      <c r="AP101" s="659">
        <v>292</v>
      </c>
      <c r="AQ101" s="660"/>
      <c r="AR101" s="803">
        <v>2208</v>
      </c>
      <c r="AS101" s="93">
        <f>PLĀNS_ar_grozījumiem!AS101-'plans (27122022)'!AS100</f>
        <v>0</v>
      </c>
      <c r="AT101" s="176">
        <f>PLĀNS_ar_grozījumiem!AT101-'plans (27122022)'!AT100</f>
        <v>-99</v>
      </c>
      <c r="AU101" s="97">
        <f>PLĀNS_ar_grozījumiem!AU101-'plans (27122022)'!AU100</f>
        <v>0</v>
      </c>
      <c r="AV101" s="108" t="e">
        <f>PLĀNS_ar_grozījumiem!AV101-'plans (27122022)'!AV100</f>
        <v>#VALUE!</v>
      </c>
      <c r="AW101" s="108" t="e">
        <f>PLĀNS_ar_grozījumiem!AW101-'plans (27122022)'!AW100</f>
        <v>#VALUE!</v>
      </c>
      <c r="AX101" s="97">
        <f>PLĀNS_ar_grozījumiem!AX101-'plans (27122022)'!AX100</f>
        <v>34808.95000000007</v>
      </c>
      <c r="AY101" s="97">
        <f>PLĀNS_ar_grozījumiem!AY101-'plans (27122022)'!AY100</f>
        <v>0</v>
      </c>
      <c r="AZ101" s="108" t="e">
        <f>PLĀNS_ar_grozījumiem!AZ101-'plans (27122022)'!AZ100</f>
        <v>#VALUE!</v>
      </c>
      <c r="BA101" s="159" t="e">
        <f>PLĀNS_ar_grozījumiem!BA101-'plans (27122022)'!BA100</f>
        <v>#VALUE!</v>
      </c>
      <c r="BB101" s="102">
        <f>PLĀNS_ar_grozījumiem!BB101-'plans (27122022)'!BB100</f>
        <v>32640.95000000007</v>
      </c>
      <c r="BC101" s="97">
        <f>PLĀNS_ar_grozījumiem!BC101-'plans (27122022)'!BC100</f>
        <v>0</v>
      </c>
      <c r="BD101" s="108" t="e">
        <f>PLĀNS_ar_grozījumiem!BD101-'plans (27122022)'!BD100</f>
        <v>#VALUE!</v>
      </c>
      <c r="BE101" s="159" t="e">
        <f>PLĀNS_ar_grozījumiem!BE101-'plans (27122022)'!BE100</f>
        <v>#VALUE!</v>
      </c>
      <c r="BF101" s="97">
        <f>PLĀNS_ar_grozījumiem!BF101-'plans (27122022)'!BF100</f>
        <v>2168</v>
      </c>
      <c r="BG101" s="97">
        <f>PLĀNS_ar_grozījumiem!BG101-'plans (27122022)'!BG100</f>
        <v>0</v>
      </c>
      <c r="BH101" s="108" t="e">
        <f>PLĀNS_ar_grozījumiem!BH101-'plans (27122022)'!BH100</f>
        <v>#VALUE!</v>
      </c>
      <c r="BI101" s="159" t="e">
        <f>PLĀNS_ar_grozījumiem!BI101-'plans (27122022)'!BI100</f>
        <v>#VALUE!</v>
      </c>
      <c r="BJ101" s="659">
        <f>PLĀNS_ar_grozījumiem!BJ101-'plans (27122022)'!BJ100</f>
        <v>15.738201992753659</v>
      </c>
      <c r="BK101" s="660">
        <f>PLĀNS_ar_grozījumiem!BK101-'plans (27122022)'!BK100</f>
        <v>0</v>
      </c>
      <c r="BL101" s="93">
        <f>PLĀNS_ar_grozījumiem!BL101-'plans (27122022)'!BL100</f>
        <v>0</v>
      </c>
      <c r="BM101" s="93">
        <f>PLĀNS_ar_grozījumiem!BM101-'plans (27122022)'!BM100</f>
        <v>0</v>
      </c>
      <c r="BN101" s="176">
        <f>PLĀNS_ar_grozījumiem!BN101-'plans (27122022)'!BN100</f>
        <v>-90.004979628791318</v>
      </c>
      <c r="BO101" s="97">
        <f>PLĀNS_ar_grozījumiem!BO101-'plans (27122022)'!BO100</f>
        <v>0</v>
      </c>
      <c r="BP101" s="108" t="e">
        <f>PLĀNS_ar_grozījumiem!BP101-'plans (27122022)'!BP100</f>
        <v>#VALUE!</v>
      </c>
      <c r="BQ101" s="108" t="e">
        <f>PLĀNS_ar_grozījumiem!BQ101-'plans (27122022)'!BQ100</f>
        <v>#VALUE!</v>
      </c>
      <c r="BR101" s="97">
        <f>PLĀNS_ar_grozījumiem!BR101-'plans (27122022)'!BR100</f>
        <v>43266.909999999916</v>
      </c>
      <c r="BS101" s="97">
        <f>PLĀNS_ar_grozījumiem!BS101-'plans (27122022)'!BS100</f>
        <v>0</v>
      </c>
      <c r="BT101" s="108" t="e">
        <f>PLĀNS_ar_grozījumiem!BT101-'plans (27122022)'!BT100</f>
        <v>#VALUE!</v>
      </c>
      <c r="BU101" s="159" t="e">
        <f>PLĀNS_ar_grozījumiem!BU101-'plans (27122022)'!BU100</f>
        <v>#VALUE!</v>
      </c>
      <c r="BV101" s="102">
        <f>PLĀNS_ar_grozījumiem!BV101-'plans (27122022)'!BV100</f>
        <v>41386.909999999916</v>
      </c>
      <c r="BW101" s="97">
        <f>PLĀNS_ar_grozījumiem!BW101-'plans (27122022)'!BW100</f>
        <v>0</v>
      </c>
      <c r="BX101" s="108" t="e">
        <f>PLĀNS_ar_grozījumiem!BX101-'plans (27122022)'!BX100</f>
        <v>#VALUE!</v>
      </c>
      <c r="BY101" s="159" t="e">
        <f>PLĀNS_ar_grozījumiem!BY101-'plans (27122022)'!BY100</f>
        <v>#VALUE!</v>
      </c>
      <c r="BZ101" s="97">
        <f>PLĀNS_ar_grozījumiem!BZ101-'plans (27122022)'!BZ100</f>
        <v>1880</v>
      </c>
      <c r="CA101" s="97">
        <f>PLĀNS_ar_grozījumiem!CA101-'plans (27122022)'!CA100</f>
        <v>0</v>
      </c>
      <c r="CB101" s="108" t="e">
        <f>PLĀNS_ar_grozījumiem!CB101-'plans (27122022)'!CB100</f>
        <v>#VALUE!</v>
      </c>
      <c r="CC101" s="159" t="e">
        <f>PLĀNS_ar_grozījumiem!CC101-'plans (27122022)'!CC100</f>
        <v>#VALUE!</v>
      </c>
      <c r="CD101" s="659">
        <f>PLĀNS_ar_grozījumiem!CD101-'plans (27122022)'!CD100</f>
        <v>19.522367587143492</v>
      </c>
      <c r="CE101" s="660">
        <f>PLĀNS_ar_grozījumiem!CE101-'plans (27122022)'!CE100</f>
        <v>0</v>
      </c>
      <c r="CF101" s="92">
        <f>PLĀNS_ar_grozījumiem!CF101-'plans (27122022)'!CF100</f>
        <v>0</v>
      </c>
      <c r="CG101" s="97">
        <f>PLĀNS_ar_grozījumiem!CG101-'plans (27122022)'!CG100</f>
        <v>0</v>
      </c>
      <c r="CH101" s="93">
        <f>PLĀNS_ar_grozījumiem!CH101-'plans (27122022)'!CH100</f>
        <v>-99</v>
      </c>
      <c r="CI101" s="97">
        <f>PLĀNS_ar_grozījumiem!CI101-'plans (27122022)'!CI100</f>
        <v>0</v>
      </c>
      <c r="CJ101" s="108" t="e">
        <f>PLĀNS_ar_grozījumiem!CJ101-'plans (27122022)'!CJ100</f>
        <v>#VALUE!</v>
      </c>
      <c r="CK101" s="159" t="e">
        <f>PLĀNS_ar_grozījumiem!CK101-'plans (27122022)'!CK100</f>
        <v>#VALUE!</v>
      </c>
      <c r="CL101" s="97">
        <f>PLĀNS_ar_grozījumiem!CL101-'plans (27122022)'!CL100</f>
        <v>78075.85999999987</v>
      </c>
      <c r="CM101" s="97">
        <f>PLĀNS_ar_grozījumiem!CM101-'plans (27122022)'!CM100</f>
        <v>0</v>
      </c>
      <c r="CN101" s="108" t="e">
        <f>PLĀNS_ar_grozījumiem!CN101-'plans (27122022)'!CN100</f>
        <v>#VALUE!</v>
      </c>
      <c r="CO101" s="159" t="e">
        <f>PLĀNS_ar_grozījumiem!CO101-'plans (27122022)'!CO100</f>
        <v>#VALUE!</v>
      </c>
      <c r="CP101" s="97">
        <f>PLĀNS_ar_grozījumiem!CP101-'plans (27122022)'!CP100</f>
        <v>74027.85999999987</v>
      </c>
      <c r="CQ101" s="97">
        <f>PLĀNS_ar_grozījumiem!CQ101-'plans (27122022)'!CQ100</f>
        <v>0</v>
      </c>
      <c r="CR101" s="108" t="e">
        <f>PLĀNS_ar_grozījumiem!CR101-'plans (27122022)'!CR100</f>
        <v>#VALUE!</v>
      </c>
      <c r="CS101" s="159" t="e">
        <f>PLĀNS_ar_grozījumiem!CS101-'plans (27122022)'!CS100</f>
        <v>#VALUE!</v>
      </c>
      <c r="CT101" s="97">
        <f>PLĀNS_ar_grozījumiem!CT101-'plans (27122022)'!CT100</f>
        <v>4048</v>
      </c>
      <c r="CU101" s="97">
        <f>PLĀNS_ar_grozījumiem!CU101-'plans (27122022)'!CU100</f>
        <v>0</v>
      </c>
      <c r="CV101" s="108" t="e">
        <f>PLĀNS_ar_grozījumiem!CV101-'plans (27122022)'!CV100</f>
        <v>#VALUE!</v>
      </c>
      <c r="CW101" s="159" t="e">
        <f>PLĀNS_ar_grozījumiem!CW101-'plans (27122022)'!CW100</f>
        <v>#VALUE!</v>
      </c>
      <c r="CX101" s="659">
        <f>PLĀNS_ar_grozījumiem!CX101-'plans (27122022)'!CX100</f>
        <v>8.9127694063926697</v>
      </c>
      <c r="CY101" s="174">
        <f>PLĀNS_ar_grozījumiem!CY101-'plans (27122022)'!CY100</f>
        <v>0</v>
      </c>
      <c r="CZ101" s="661">
        <f t="shared" ref="CZ101:DA107" si="30">D101+X101</f>
        <v>4343</v>
      </c>
      <c r="DA101" s="97">
        <f t="shared" si="30"/>
        <v>0</v>
      </c>
      <c r="DB101" s="93">
        <f>DB14+DB20+DB29+DB34+DB40+DB46+DB51+DB72+DB78+DB57+DB27+DB84</f>
        <v>89.905595210683856</v>
      </c>
      <c r="DC101" s="111">
        <f>DC14+DC20+DC29+DC34+DC40+DC46+DC51+DC72+DC78+DC57+DC27+DC84</f>
        <v>0</v>
      </c>
      <c r="DD101" s="100">
        <f t="shared" ref="DD101:DO107" si="31">J101+AD101</f>
        <v>1269412</v>
      </c>
      <c r="DE101" s="120">
        <f t="shared" si="31"/>
        <v>0</v>
      </c>
      <c r="DF101" s="120" t="e">
        <f t="shared" si="31"/>
        <v>#VALUE!</v>
      </c>
      <c r="DG101" s="107" t="e">
        <f t="shared" si="31"/>
        <v>#VALUE!</v>
      </c>
      <c r="DH101" s="100">
        <f t="shared" si="31"/>
        <v>1249568</v>
      </c>
      <c r="DI101" s="120">
        <f t="shared" si="31"/>
        <v>0</v>
      </c>
      <c r="DJ101" s="120" t="e">
        <f t="shared" si="31"/>
        <v>#VALUE!</v>
      </c>
      <c r="DK101" s="107" t="e">
        <f t="shared" si="31"/>
        <v>#VALUE!</v>
      </c>
      <c r="DL101" s="100">
        <f t="shared" si="31"/>
        <v>19844</v>
      </c>
      <c r="DM101" s="107">
        <f t="shared" si="31"/>
        <v>0</v>
      </c>
      <c r="DN101" s="97" t="e">
        <f t="shared" si="31"/>
        <v>#VALUE!</v>
      </c>
      <c r="DO101" s="120" t="e">
        <f t="shared" si="31"/>
        <v>#VALUE!</v>
      </c>
      <c r="DP101" s="662">
        <f>ROUND((DD101/CZ101),0)</f>
        <v>292</v>
      </c>
      <c r="DQ101" s="663" t="e">
        <f>ROUND((DE101/DA101),0)</f>
        <v>#DIV/0!</v>
      </c>
      <c r="DR101" s="117">
        <f>PLĀNS_ar_grozījumiem!CF101-'plans (27122022)'!CF100</f>
        <v>0</v>
      </c>
      <c r="DS101" s="970">
        <f>DR101/'plans (27122022)'!CF100</f>
        <v>0</v>
      </c>
      <c r="DT101" s="102">
        <f>PLĀNS_ar_grozījumiem!CL101-'plans (27122022)'!CL100</f>
        <v>78075.85999999987</v>
      </c>
      <c r="DU101" s="928">
        <f>DT101/'plans (27122022)'!CL100</f>
        <v>3.0937661348577863E-2</v>
      </c>
      <c r="DV101" s="97"/>
      <c r="DW101" s="401"/>
      <c r="DX101" s="102">
        <f>PLĀNS_ar_grozījumiem!CP101-'plans (27122022)'!CP100</f>
        <v>74027.85999999987</v>
      </c>
      <c r="DY101" s="928">
        <f>DX101/'plans (27122022)'!CP100</f>
        <v>2.9781374335702826E-2</v>
      </c>
      <c r="DZ101" s="97"/>
      <c r="EA101" s="401">
        <f>PLĀNS_ar_grozījumiem!CQ101-'plans (27122022)'!CQ100</f>
        <v>0</v>
      </c>
      <c r="EB101" s="102">
        <f>PLĀNS_ar_grozījumiem!CT101-'plans (27122022)'!CT100</f>
        <v>4048</v>
      </c>
      <c r="EC101" s="176"/>
      <c r="ED101" s="97"/>
      <c r="EE101" s="113"/>
      <c r="EF101" s="664">
        <f>PLĀNS_ar_grozījumiem!CX101-'plans (27122022)'!CX100</f>
        <v>8.9127694063926697</v>
      </c>
      <c r="EG101" s="929">
        <f>EF101/'plans (27122022)'!CX100</f>
        <v>3.0937661348577825E-2</v>
      </c>
      <c r="EH101" s="666"/>
    </row>
    <row r="102" spans="1:138" s="667" customFormat="1" ht="15.75" customHeight="1" x14ac:dyDescent="0.25">
      <c r="A102" s="657"/>
      <c r="B102" s="658" t="s">
        <v>86</v>
      </c>
      <c r="C102" s="532"/>
      <c r="D102" s="1020">
        <v>11.9</v>
      </c>
      <c r="E102" s="93"/>
      <c r="F102" s="176">
        <v>100</v>
      </c>
      <c r="G102" s="668"/>
      <c r="H102" s="108" t="s">
        <v>44</v>
      </c>
      <c r="I102" s="108" t="s">
        <v>44</v>
      </c>
      <c r="J102" s="97">
        <v>5526</v>
      </c>
      <c r="K102" s="97"/>
      <c r="L102" s="108" t="s">
        <v>44</v>
      </c>
      <c r="M102" s="159" t="s">
        <v>44</v>
      </c>
      <c r="N102" s="102">
        <v>5526</v>
      </c>
      <c r="O102" s="97"/>
      <c r="P102" s="108" t="s">
        <v>44</v>
      </c>
      <c r="Q102" s="159" t="s">
        <v>44</v>
      </c>
      <c r="R102" s="97">
        <v>0</v>
      </c>
      <c r="S102" s="97"/>
      <c r="T102" s="108" t="s">
        <v>44</v>
      </c>
      <c r="U102" s="159" t="s">
        <v>44</v>
      </c>
      <c r="V102" s="659">
        <v>464</v>
      </c>
      <c r="W102" s="660"/>
      <c r="X102" s="93">
        <v>11.9</v>
      </c>
      <c r="Y102" s="93"/>
      <c r="Z102" s="176">
        <v>100</v>
      </c>
      <c r="AA102" s="668"/>
      <c r="AB102" s="108" t="s">
        <v>44</v>
      </c>
      <c r="AC102" s="108" t="s">
        <v>44</v>
      </c>
      <c r="AD102" s="97">
        <v>5127</v>
      </c>
      <c r="AE102" s="97"/>
      <c r="AF102" s="108" t="s">
        <v>44</v>
      </c>
      <c r="AG102" s="159" t="s">
        <v>44</v>
      </c>
      <c r="AH102" s="102">
        <v>5127</v>
      </c>
      <c r="AI102" s="97"/>
      <c r="AJ102" s="108" t="s">
        <v>44</v>
      </c>
      <c r="AK102" s="159" t="s">
        <v>44</v>
      </c>
      <c r="AL102" s="97">
        <v>0</v>
      </c>
      <c r="AM102" s="97"/>
      <c r="AN102" s="108" t="s">
        <v>44</v>
      </c>
      <c r="AO102" s="159" t="s">
        <v>44</v>
      </c>
      <c r="AP102" s="659">
        <v>431</v>
      </c>
      <c r="AQ102" s="660"/>
      <c r="AR102" s="803">
        <v>11.9</v>
      </c>
      <c r="AS102" s="93">
        <f>PLĀNS_ar_grozījumiem!AS102-'plans (27122022)'!AS101</f>
        <v>0</v>
      </c>
      <c r="AT102" s="176">
        <f>PLĀNS_ar_grozījumiem!AT102-'plans (27122022)'!AT101</f>
        <v>-99</v>
      </c>
      <c r="AU102" s="668">
        <f>PLĀNS_ar_grozījumiem!AU102-'plans (27122022)'!AU101</f>
        <v>0</v>
      </c>
      <c r="AV102" s="108" t="e">
        <f>PLĀNS_ar_grozījumiem!AV102-'plans (27122022)'!AV101</f>
        <v>#VALUE!</v>
      </c>
      <c r="AW102" s="108" t="e">
        <f>PLĀNS_ar_grozījumiem!AW102-'plans (27122022)'!AW101</f>
        <v>#VALUE!</v>
      </c>
      <c r="AX102" s="97">
        <f>PLĀNS_ar_grozījumiem!AX102-'plans (27122022)'!AX101</f>
        <v>0</v>
      </c>
      <c r="AY102" s="97">
        <f>PLĀNS_ar_grozījumiem!AY102-'plans (27122022)'!AY101</f>
        <v>0</v>
      </c>
      <c r="AZ102" s="108" t="e">
        <f>PLĀNS_ar_grozījumiem!AZ102-'plans (27122022)'!AZ101</f>
        <v>#VALUE!</v>
      </c>
      <c r="BA102" s="159" t="e">
        <f>PLĀNS_ar_grozījumiem!BA102-'plans (27122022)'!BA101</f>
        <v>#VALUE!</v>
      </c>
      <c r="BB102" s="102">
        <f>PLĀNS_ar_grozījumiem!BB102-'plans (27122022)'!BB101</f>
        <v>0</v>
      </c>
      <c r="BC102" s="97">
        <f>PLĀNS_ar_grozījumiem!BC102-'plans (27122022)'!BC101</f>
        <v>0</v>
      </c>
      <c r="BD102" s="108" t="e">
        <f>PLĀNS_ar_grozījumiem!BD102-'plans (27122022)'!BD101</f>
        <v>#VALUE!</v>
      </c>
      <c r="BE102" s="159" t="e">
        <f>PLĀNS_ar_grozījumiem!BE102-'plans (27122022)'!BE101</f>
        <v>#VALUE!</v>
      </c>
      <c r="BF102" s="97">
        <f>PLĀNS_ar_grozījumiem!BF102-'plans (27122022)'!BF101</f>
        <v>0</v>
      </c>
      <c r="BG102" s="97">
        <f>PLĀNS_ar_grozījumiem!BG102-'plans (27122022)'!BG101</f>
        <v>0</v>
      </c>
      <c r="BH102" s="108" t="e">
        <f>PLĀNS_ar_grozījumiem!BH102-'plans (27122022)'!BH101</f>
        <v>#VALUE!</v>
      </c>
      <c r="BI102" s="159" t="e">
        <f>PLĀNS_ar_grozījumiem!BI102-'plans (27122022)'!BI101</f>
        <v>#VALUE!</v>
      </c>
      <c r="BJ102" s="659">
        <f>PLĀNS_ar_grozījumiem!BJ102-'plans (27122022)'!BJ101</f>
        <v>-0.20168067226893527</v>
      </c>
      <c r="BK102" s="660">
        <f>PLĀNS_ar_grozījumiem!BK102-'plans (27122022)'!BK101</f>
        <v>0</v>
      </c>
      <c r="BL102" s="93">
        <f>PLĀNS_ar_grozījumiem!BL102-'plans (27122022)'!BL101</f>
        <v>0</v>
      </c>
      <c r="BM102" s="93">
        <f>PLĀNS_ar_grozījumiem!BM102-'plans (27122022)'!BM101</f>
        <v>0</v>
      </c>
      <c r="BN102" s="176">
        <f>PLĀNS_ar_grozījumiem!BN102-'plans (27122022)'!BN101</f>
        <v>-99</v>
      </c>
      <c r="BO102" s="668">
        <f>PLĀNS_ar_grozījumiem!BO102-'plans (27122022)'!BO101</f>
        <v>0</v>
      </c>
      <c r="BP102" s="108" t="e">
        <f>PLĀNS_ar_grozījumiem!BP102-'plans (27122022)'!BP101</f>
        <v>#VALUE!</v>
      </c>
      <c r="BQ102" s="108" t="e">
        <f>PLĀNS_ar_grozījumiem!BQ102-'plans (27122022)'!BQ101</f>
        <v>#VALUE!</v>
      </c>
      <c r="BR102" s="97">
        <f>PLĀNS_ar_grozījumiem!BR102-'plans (27122022)'!BR101</f>
        <v>0</v>
      </c>
      <c r="BS102" s="97">
        <f>PLĀNS_ar_grozījumiem!BS102-'plans (27122022)'!BS101</f>
        <v>0</v>
      </c>
      <c r="BT102" s="108" t="e">
        <f>PLĀNS_ar_grozījumiem!BT102-'plans (27122022)'!BT101</f>
        <v>#VALUE!</v>
      </c>
      <c r="BU102" s="159" t="e">
        <f>PLĀNS_ar_grozījumiem!BU102-'plans (27122022)'!BU101</f>
        <v>#VALUE!</v>
      </c>
      <c r="BV102" s="102">
        <f>PLĀNS_ar_grozījumiem!BV102-'plans (27122022)'!BV101</f>
        <v>0</v>
      </c>
      <c r="BW102" s="97">
        <f>PLĀNS_ar_grozījumiem!BW102-'plans (27122022)'!BW101</f>
        <v>0</v>
      </c>
      <c r="BX102" s="108" t="e">
        <f>PLĀNS_ar_grozījumiem!BX102-'plans (27122022)'!BX101</f>
        <v>#VALUE!</v>
      </c>
      <c r="BY102" s="159" t="e">
        <f>PLĀNS_ar_grozījumiem!BY102-'plans (27122022)'!BY101</f>
        <v>#VALUE!</v>
      </c>
      <c r="BZ102" s="97">
        <f>PLĀNS_ar_grozījumiem!BZ102-'plans (27122022)'!BZ101</f>
        <v>0</v>
      </c>
      <c r="CA102" s="97">
        <f>PLĀNS_ar_grozījumiem!CA102-'plans (27122022)'!CA101</f>
        <v>0</v>
      </c>
      <c r="CB102" s="108" t="e">
        <f>PLĀNS_ar_grozījumiem!CB102-'plans (27122022)'!CB101</f>
        <v>#VALUE!</v>
      </c>
      <c r="CC102" s="159" t="e">
        <f>PLĀNS_ar_grozījumiem!CC102-'plans (27122022)'!CC101</f>
        <v>#VALUE!</v>
      </c>
      <c r="CD102" s="659">
        <f>PLĀNS_ar_grozījumiem!CD102-'plans (27122022)'!CD101</f>
        <v>-0.41176470588237635</v>
      </c>
      <c r="CE102" s="660">
        <f>PLĀNS_ar_grozījumiem!CE102-'plans (27122022)'!CE101</f>
        <v>0</v>
      </c>
      <c r="CF102" s="92">
        <f>PLĀNS_ar_grozījumiem!CF102-'plans (27122022)'!CF101</f>
        <v>0</v>
      </c>
      <c r="CG102" s="97">
        <f>PLĀNS_ar_grozījumiem!CG102-'plans (27122022)'!CG101</f>
        <v>0</v>
      </c>
      <c r="CH102" s="93">
        <f>PLĀNS_ar_grozījumiem!CH102-'plans (27122022)'!CH101</f>
        <v>-99</v>
      </c>
      <c r="CI102" s="97">
        <f>PLĀNS_ar_grozījumiem!CI102-'plans (27122022)'!CI101</f>
        <v>0</v>
      </c>
      <c r="CJ102" s="108" t="e">
        <f>PLĀNS_ar_grozījumiem!CJ102-'plans (27122022)'!CJ101</f>
        <v>#VALUE!</v>
      </c>
      <c r="CK102" s="159" t="e">
        <f>PLĀNS_ar_grozījumiem!CK102-'plans (27122022)'!CK101</f>
        <v>#VALUE!</v>
      </c>
      <c r="CL102" s="97">
        <f>PLĀNS_ar_grozījumiem!CL102-'plans (27122022)'!CL101</f>
        <v>0</v>
      </c>
      <c r="CM102" s="97">
        <f>PLĀNS_ar_grozījumiem!CM102-'plans (27122022)'!CM101</f>
        <v>0</v>
      </c>
      <c r="CN102" s="108" t="e">
        <f>PLĀNS_ar_grozījumiem!CN102-'plans (27122022)'!CN101</f>
        <v>#VALUE!</v>
      </c>
      <c r="CO102" s="159" t="e">
        <f>PLĀNS_ar_grozījumiem!CO102-'plans (27122022)'!CO101</f>
        <v>#VALUE!</v>
      </c>
      <c r="CP102" s="97">
        <f>PLĀNS_ar_grozījumiem!CP102-'plans (27122022)'!CP101</f>
        <v>0</v>
      </c>
      <c r="CQ102" s="97">
        <f>PLĀNS_ar_grozījumiem!CQ102-'plans (27122022)'!CQ101</f>
        <v>0</v>
      </c>
      <c r="CR102" s="108" t="e">
        <f>PLĀNS_ar_grozījumiem!CR102-'plans (27122022)'!CR101</f>
        <v>#VALUE!</v>
      </c>
      <c r="CS102" s="159" t="e">
        <f>PLĀNS_ar_grozījumiem!CS102-'plans (27122022)'!CS101</f>
        <v>#VALUE!</v>
      </c>
      <c r="CT102" s="97">
        <f>PLĀNS_ar_grozījumiem!CT102-'plans (27122022)'!CT101</f>
        <v>0</v>
      </c>
      <c r="CU102" s="97">
        <f>PLĀNS_ar_grozījumiem!CU102-'plans (27122022)'!CU101</f>
        <v>0</v>
      </c>
      <c r="CV102" s="108" t="e">
        <f>PLĀNS_ar_grozījumiem!CV102-'plans (27122022)'!CV101</f>
        <v>#VALUE!</v>
      </c>
      <c r="CW102" s="159" t="e">
        <f>PLĀNS_ar_grozījumiem!CW102-'plans (27122022)'!CW101</f>
        <v>#VALUE!</v>
      </c>
      <c r="CX102" s="659">
        <f>PLĀNS_ar_grozījumiem!CX102-'plans (27122022)'!CX101</f>
        <v>0</v>
      </c>
      <c r="CY102" s="174">
        <f>PLĀNS_ar_grozījumiem!CY102-'plans (27122022)'!CY101</f>
        <v>0</v>
      </c>
      <c r="CZ102" s="92">
        <f t="shared" si="30"/>
        <v>23.8</v>
      </c>
      <c r="DA102" s="93">
        <f t="shared" si="30"/>
        <v>0</v>
      </c>
      <c r="DB102" s="93">
        <f>DB25</f>
        <v>96.069868995633186</v>
      </c>
      <c r="DC102" s="111">
        <f>DC25</f>
        <v>0</v>
      </c>
      <c r="DD102" s="376">
        <f t="shared" si="31"/>
        <v>10653</v>
      </c>
      <c r="DE102" s="120">
        <f t="shared" si="31"/>
        <v>0</v>
      </c>
      <c r="DF102" s="120" t="e">
        <f t="shared" si="31"/>
        <v>#VALUE!</v>
      </c>
      <c r="DG102" s="107" t="e">
        <f t="shared" si="31"/>
        <v>#VALUE!</v>
      </c>
      <c r="DH102" s="376">
        <f t="shared" si="31"/>
        <v>10653</v>
      </c>
      <c r="DI102" s="120">
        <f t="shared" si="31"/>
        <v>0</v>
      </c>
      <c r="DJ102" s="120" t="e">
        <f t="shared" si="31"/>
        <v>#VALUE!</v>
      </c>
      <c r="DK102" s="107" t="e">
        <f t="shared" si="31"/>
        <v>#VALUE!</v>
      </c>
      <c r="DL102" s="376">
        <f t="shared" si="31"/>
        <v>0</v>
      </c>
      <c r="DM102" s="107">
        <f t="shared" si="31"/>
        <v>0</v>
      </c>
      <c r="DN102" s="120" t="e">
        <f t="shared" si="31"/>
        <v>#VALUE!</v>
      </c>
      <c r="DO102" s="120" t="e">
        <f t="shared" si="31"/>
        <v>#VALUE!</v>
      </c>
      <c r="DP102" s="662">
        <f>ROUND((DD102/CZ102),0)</f>
        <v>448</v>
      </c>
      <c r="DQ102" s="663" t="e">
        <f t="shared" ref="DQ102:DQ107" si="32">ROUND((DE102/DA102),0)</f>
        <v>#DIV/0!</v>
      </c>
      <c r="DR102" s="117">
        <f>PLĀNS_ar_grozījumiem!CF102-'plans (27122022)'!CF101</f>
        <v>0</v>
      </c>
      <c r="DS102" s="970">
        <f>DR102/'plans (27122022)'!CF101</f>
        <v>0</v>
      </c>
      <c r="DT102" s="102">
        <f>PLĀNS_ar_grozījumiem!CL102-'plans (27122022)'!CL101</f>
        <v>0</v>
      </c>
      <c r="DU102" s="928">
        <f>DT102/'plans (27122022)'!CL101</f>
        <v>0</v>
      </c>
      <c r="DV102" s="97"/>
      <c r="DW102" s="401"/>
      <c r="DX102" s="102">
        <f>PLĀNS_ar_grozījumiem!CP102-'plans (27122022)'!CP101</f>
        <v>0</v>
      </c>
      <c r="DY102" s="928">
        <f>DX102/'plans (27122022)'!CP101</f>
        <v>0</v>
      </c>
      <c r="DZ102" s="97"/>
      <c r="EA102" s="401">
        <f>PLĀNS_ar_grozījumiem!CQ102-'plans (27122022)'!CQ101</f>
        <v>0</v>
      </c>
      <c r="EB102" s="102">
        <f>PLĀNS_ar_grozījumiem!CT102-'plans (27122022)'!CT101</f>
        <v>0</v>
      </c>
      <c r="EC102" s="176"/>
      <c r="ED102" s="97"/>
      <c r="EE102" s="113"/>
      <c r="EF102" s="664">
        <f>PLĀNS_ar_grozījumiem!CX102-'plans (27122022)'!CX101</f>
        <v>0</v>
      </c>
      <c r="EG102" s="929">
        <f>EF102/'plans (27122022)'!CX101</f>
        <v>0</v>
      </c>
      <c r="EH102" s="666"/>
    </row>
    <row r="103" spans="1:138" s="667" customFormat="1" ht="15.75" customHeight="1" x14ac:dyDescent="0.25">
      <c r="A103" s="657"/>
      <c r="B103" s="658" t="s">
        <v>46</v>
      </c>
      <c r="C103" s="532"/>
      <c r="D103" s="1020">
        <v>2159</v>
      </c>
      <c r="E103" s="93"/>
      <c r="F103" s="176">
        <v>99.999999999999986</v>
      </c>
      <c r="G103" s="97"/>
      <c r="H103" s="108" t="s">
        <v>44</v>
      </c>
      <c r="I103" s="108" t="s">
        <v>44</v>
      </c>
      <c r="J103" s="97">
        <v>86185</v>
      </c>
      <c r="K103" s="97"/>
      <c r="L103" s="108" t="s">
        <v>44</v>
      </c>
      <c r="M103" s="159" t="s">
        <v>44</v>
      </c>
      <c r="N103" s="102">
        <v>86185</v>
      </c>
      <c r="O103" s="97"/>
      <c r="P103" s="108" t="s">
        <v>44</v>
      </c>
      <c r="Q103" s="159" t="s">
        <v>44</v>
      </c>
      <c r="R103" s="97">
        <v>0</v>
      </c>
      <c r="S103" s="97"/>
      <c r="T103" s="108" t="s">
        <v>44</v>
      </c>
      <c r="U103" s="159" t="s">
        <v>44</v>
      </c>
      <c r="V103" s="659">
        <v>40</v>
      </c>
      <c r="W103" s="660"/>
      <c r="X103" s="93">
        <v>2184</v>
      </c>
      <c r="Y103" s="93"/>
      <c r="Z103" s="176">
        <v>100</v>
      </c>
      <c r="AA103" s="97"/>
      <c r="AB103" s="108" t="s">
        <v>44</v>
      </c>
      <c r="AC103" s="108" t="s">
        <v>44</v>
      </c>
      <c r="AD103" s="97">
        <v>89646</v>
      </c>
      <c r="AE103" s="97"/>
      <c r="AF103" s="108" t="s">
        <v>44</v>
      </c>
      <c r="AG103" s="159" t="s">
        <v>44</v>
      </c>
      <c r="AH103" s="102">
        <v>89646</v>
      </c>
      <c r="AI103" s="97"/>
      <c r="AJ103" s="108" t="s">
        <v>44</v>
      </c>
      <c r="AK103" s="159" t="s">
        <v>44</v>
      </c>
      <c r="AL103" s="97">
        <v>0</v>
      </c>
      <c r="AM103" s="97"/>
      <c r="AN103" s="108" t="s">
        <v>44</v>
      </c>
      <c r="AO103" s="159" t="s">
        <v>44</v>
      </c>
      <c r="AP103" s="659">
        <v>41</v>
      </c>
      <c r="AQ103" s="660"/>
      <c r="AR103" s="803">
        <v>2207.9999999999995</v>
      </c>
      <c r="AS103" s="93">
        <f>PLĀNS_ar_grozījumiem!AS103-'plans (27122022)'!AS102</f>
        <v>0</v>
      </c>
      <c r="AT103" s="176">
        <f>PLĀNS_ar_grozījumiem!AT103-'plans (27122022)'!AT102</f>
        <v>-98.999999999999986</v>
      </c>
      <c r="AU103" s="97">
        <f>PLĀNS_ar_grozījumiem!AU103-'plans (27122022)'!AU102</f>
        <v>0</v>
      </c>
      <c r="AV103" s="108" t="e">
        <f>PLĀNS_ar_grozījumiem!AV103-'plans (27122022)'!AV102</f>
        <v>#VALUE!</v>
      </c>
      <c r="AW103" s="108" t="e">
        <f>PLĀNS_ar_grozījumiem!AW103-'plans (27122022)'!AW102</f>
        <v>#VALUE!</v>
      </c>
      <c r="AX103" s="97">
        <f>PLĀNS_ar_grozījumiem!AX103-'plans (27122022)'!AX102</f>
        <v>10931.150000000009</v>
      </c>
      <c r="AY103" s="97">
        <f>PLĀNS_ar_grozījumiem!AY103-'plans (27122022)'!AY102</f>
        <v>0</v>
      </c>
      <c r="AZ103" s="108" t="e">
        <f>PLĀNS_ar_grozījumiem!AZ103-'plans (27122022)'!AZ102</f>
        <v>#VALUE!</v>
      </c>
      <c r="BA103" s="159" t="e">
        <f>PLĀNS_ar_grozījumiem!BA103-'plans (27122022)'!BA102</f>
        <v>#VALUE!</v>
      </c>
      <c r="BB103" s="102">
        <f>PLĀNS_ar_grozījumiem!BB103-'plans (27122022)'!BB102</f>
        <v>10931.150000000009</v>
      </c>
      <c r="BC103" s="97">
        <f>PLĀNS_ar_grozījumiem!BC103-'plans (27122022)'!BC102</f>
        <v>0</v>
      </c>
      <c r="BD103" s="108" t="e">
        <f>PLĀNS_ar_grozījumiem!BD103-'plans (27122022)'!BD102</f>
        <v>#VALUE!</v>
      </c>
      <c r="BE103" s="159" t="e">
        <f>PLĀNS_ar_grozījumiem!BE103-'plans (27122022)'!BE102</f>
        <v>#VALUE!</v>
      </c>
      <c r="BF103" s="97">
        <f>PLĀNS_ar_grozījumiem!BF103-'plans (27122022)'!BF102</f>
        <v>0</v>
      </c>
      <c r="BG103" s="97">
        <f>PLĀNS_ar_grozījumiem!BG103-'plans (27122022)'!BG102</f>
        <v>0</v>
      </c>
      <c r="BH103" s="108" t="e">
        <f>PLĀNS_ar_grozījumiem!BH103-'plans (27122022)'!BH102</f>
        <v>#VALUE!</v>
      </c>
      <c r="BI103" s="159" t="e">
        <f>PLĀNS_ar_grozījumiem!BI103-'plans (27122022)'!BI102</f>
        <v>#VALUE!</v>
      </c>
      <c r="BJ103" s="659">
        <f>PLĀNS_ar_grozījumiem!BJ103-'plans (27122022)'!BJ102</f>
        <v>4.6164628623188548</v>
      </c>
      <c r="BK103" s="660">
        <f>PLĀNS_ar_grozījumiem!BK103-'plans (27122022)'!BK102</f>
        <v>0</v>
      </c>
      <c r="BL103" s="93">
        <f>PLĀNS_ar_grozījumiem!BL103-'plans (27122022)'!BL102</f>
        <v>0</v>
      </c>
      <c r="BM103" s="93">
        <f>PLĀNS_ar_grozījumiem!BM103-'plans (27122022)'!BM102</f>
        <v>0</v>
      </c>
      <c r="BN103" s="176">
        <f>PLĀNS_ar_grozījumiem!BN103-'plans (27122022)'!BN102</f>
        <v>-98.999999999999986</v>
      </c>
      <c r="BO103" s="97">
        <f>PLĀNS_ar_grozījumiem!BO103-'plans (27122022)'!BO102</f>
        <v>0</v>
      </c>
      <c r="BP103" s="108" t="e">
        <f>PLĀNS_ar_grozījumiem!BP103-'plans (27122022)'!BP102</f>
        <v>#VALUE!</v>
      </c>
      <c r="BQ103" s="108" t="e">
        <f>PLĀNS_ar_grozījumiem!BQ103-'plans (27122022)'!BQ102</f>
        <v>#VALUE!</v>
      </c>
      <c r="BR103" s="97">
        <f>PLĀNS_ar_grozījumiem!BR103-'plans (27122022)'!BR102</f>
        <v>9242.7000000000116</v>
      </c>
      <c r="BS103" s="97">
        <f>PLĀNS_ar_grozījumiem!BS103-'plans (27122022)'!BS102</f>
        <v>0</v>
      </c>
      <c r="BT103" s="108" t="e">
        <f>PLĀNS_ar_grozījumiem!BT103-'plans (27122022)'!BT102</f>
        <v>#VALUE!</v>
      </c>
      <c r="BU103" s="159" t="e">
        <f>PLĀNS_ar_grozījumiem!BU103-'plans (27122022)'!BU102</f>
        <v>#VALUE!</v>
      </c>
      <c r="BV103" s="102">
        <f>PLĀNS_ar_grozījumiem!BV103-'plans (27122022)'!BV102</f>
        <v>9242.7000000000116</v>
      </c>
      <c r="BW103" s="97">
        <f>PLĀNS_ar_grozījumiem!BW103-'plans (27122022)'!BW102</f>
        <v>0</v>
      </c>
      <c r="BX103" s="108" t="e">
        <f>PLĀNS_ar_grozījumiem!BX103-'plans (27122022)'!BX102</f>
        <v>#VALUE!</v>
      </c>
      <c r="BY103" s="159" t="e">
        <f>PLĀNS_ar_grozījumiem!BY103-'plans (27122022)'!BY102</f>
        <v>#VALUE!</v>
      </c>
      <c r="BZ103" s="97">
        <f>PLĀNS_ar_grozījumiem!BZ103-'plans (27122022)'!BZ102</f>
        <v>0</v>
      </c>
      <c r="CA103" s="97">
        <f>PLĀNS_ar_grozījumiem!CA103-'plans (27122022)'!CA102</f>
        <v>0</v>
      </c>
      <c r="CB103" s="108" t="e">
        <f>PLĀNS_ar_grozījumiem!CB103-'plans (27122022)'!CB102</f>
        <v>#VALUE!</v>
      </c>
      <c r="CC103" s="159" t="e">
        <f>PLĀNS_ar_grozījumiem!CC103-'plans (27122022)'!CC102</f>
        <v>#VALUE!</v>
      </c>
      <c r="CD103" s="659">
        <f>PLĀNS_ar_grozījumiem!CD103-'plans (27122022)'!CD102</f>
        <v>4.0292892711634352</v>
      </c>
      <c r="CE103" s="660">
        <f>PLĀNS_ar_grozījumiem!CE103-'plans (27122022)'!CE102</f>
        <v>0</v>
      </c>
      <c r="CF103" s="92">
        <f>PLĀNS_ar_grozījumiem!CF103-'plans (27122022)'!CF102</f>
        <v>0</v>
      </c>
      <c r="CG103" s="97">
        <f>PLĀNS_ar_grozījumiem!CG103-'plans (27122022)'!CG102</f>
        <v>0</v>
      </c>
      <c r="CH103" s="93">
        <f>PLĀNS_ar_grozījumiem!CH103-'plans (27122022)'!CH102</f>
        <v>-99.000000000000014</v>
      </c>
      <c r="CI103" s="97">
        <f>PLĀNS_ar_grozījumiem!CI103-'plans (27122022)'!CI102</f>
        <v>0</v>
      </c>
      <c r="CJ103" s="108" t="e">
        <f>PLĀNS_ar_grozījumiem!CJ103-'plans (27122022)'!CJ102</f>
        <v>#VALUE!</v>
      </c>
      <c r="CK103" s="159" t="e">
        <f>PLĀNS_ar_grozījumiem!CK103-'plans (27122022)'!CK102</f>
        <v>#VALUE!</v>
      </c>
      <c r="CL103" s="97">
        <f>PLĀNS_ar_grozījumiem!CL103-'plans (27122022)'!CL102</f>
        <v>20173.850000000035</v>
      </c>
      <c r="CM103" s="97">
        <f>PLĀNS_ar_grozījumiem!CM103-'plans (27122022)'!CM102</f>
        <v>0</v>
      </c>
      <c r="CN103" s="108" t="e">
        <f>PLĀNS_ar_grozījumiem!CN103-'plans (27122022)'!CN102</f>
        <v>#VALUE!</v>
      </c>
      <c r="CO103" s="159" t="e">
        <f>PLĀNS_ar_grozījumiem!CO103-'plans (27122022)'!CO102</f>
        <v>#VALUE!</v>
      </c>
      <c r="CP103" s="97">
        <f>PLĀNS_ar_grozījumiem!CP103-'plans (27122022)'!CP102</f>
        <v>20173.850000000035</v>
      </c>
      <c r="CQ103" s="97">
        <f>PLĀNS_ar_grozījumiem!CQ103-'plans (27122022)'!CQ102</f>
        <v>0</v>
      </c>
      <c r="CR103" s="108" t="e">
        <f>PLĀNS_ar_grozījumiem!CR103-'plans (27122022)'!CR102</f>
        <v>#VALUE!</v>
      </c>
      <c r="CS103" s="159" t="e">
        <f>PLĀNS_ar_grozījumiem!CS103-'plans (27122022)'!CS102</f>
        <v>#VALUE!</v>
      </c>
      <c r="CT103" s="97">
        <f>PLĀNS_ar_grozījumiem!CT103-'plans (27122022)'!CT102</f>
        <v>0</v>
      </c>
      <c r="CU103" s="97">
        <f>PLĀNS_ar_grozījumiem!CU103-'plans (27122022)'!CU102</f>
        <v>0</v>
      </c>
      <c r="CV103" s="108" t="e">
        <f>PLĀNS_ar_grozījumiem!CV103-'plans (27122022)'!CV102</f>
        <v>#VALUE!</v>
      </c>
      <c r="CW103" s="159" t="e">
        <f>PLĀNS_ar_grozījumiem!CW103-'plans (27122022)'!CW102</f>
        <v>#VALUE!</v>
      </c>
      <c r="CX103" s="659">
        <f>PLĀNS_ar_grozījumiem!CX103-'plans (27122022)'!CX102</f>
        <v>2.3029509132420216</v>
      </c>
      <c r="CY103" s="174">
        <f>PLĀNS_ar_grozījumiem!CY103-'plans (27122022)'!CY102</f>
        <v>0</v>
      </c>
      <c r="CZ103" s="661">
        <f t="shared" si="30"/>
        <v>4343</v>
      </c>
      <c r="DA103" s="97">
        <f t="shared" si="30"/>
        <v>0</v>
      </c>
      <c r="DB103" s="93">
        <f>DB15+DB21+DB30+DB41+DB47+DB52+DB58+DB73+DB79+DB85+DB35</f>
        <v>99.999999999999986</v>
      </c>
      <c r="DC103" s="111">
        <f>DC15+DC21+DC30+DC41+DC47+DC52+DC58+DC73+DC79+DC85+DC35</f>
        <v>0</v>
      </c>
      <c r="DD103" s="376">
        <f t="shared" si="31"/>
        <v>175831</v>
      </c>
      <c r="DE103" s="120">
        <f t="shared" si="31"/>
        <v>0</v>
      </c>
      <c r="DF103" s="120" t="e">
        <f t="shared" si="31"/>
        <v>#VALUE!</v>
      </c>
      <c r="DG103" s="107" t="e">
        <f t="shared" si="31"/>
        <v>#VALUE!</v>
      </c>
      <c r="DH103" s="376">
        <f t="shared" si="31"/>
        <v>175831</v>
      </c>
      <c r="DI103" s="120">
        <f t="shared" si="31"/>
        <v>0</v>
      </c>
      <c r="DJ103" s="120" t="e">
        <f t="shared" si="31"/>
        <v>#VALUE!</v>
      </c>
      <c r="DK103" s="107" t="e">
        <f t="shared" si="31"/>
        <v>#VALUE!</v>
      </c>
      <c r="DL103" s="376">
        <f t="shared" si="31"/>
        <v>0</v>
      </c>
      <c r="DM103" s="107">
        <f t="shared" si="31"/>
        <v>0</v>
      </c>
      <c r="DN103" s="120" t="e">
        <f t="shared" si="31"/>
        <v>#VALUE!</v>
      </c>
      <c r="DO103" s="120" t="e">
        <f t="shared" si="31"/>
        <v>#VALUE!</v>
      </c>
      <c r="DP103" s="662">
        <f t="shared" ref="DP103:DP107" si="33">ROUND((DD103/CZ103),0)</f>
        <v>40</v>
      </c>
      <c r="DQ103" s="663" t="e">
        <f t="shared" si="32"/>
        <v>#DIV/0!</v>
      </c>
      <c r="DR103" s="117">
        <f>PLĀNS_ar_grozījumiem!CF103-'plans (27122022)'!CF102</f>
        <v>0</v>
      </c>
      <c r="DS103" s="970">
        <f>DR103/'plans (27122022)'!CF102</f>
        <v>0</v>
      </c>
      <c r="DT103" s="102">
        <f>PLĀNS_ar_grozījumiem!CL103-'plans (27122022)'!CL102</f>
        <v>20173.850000000035</v>
      </c>
      <c r="DU103" s="928">
        <f>DT103/'plans (27122022)'!CL102</f>
        <v>5.7046451324656036E-2</v>
      </c>
      <c r="DV103" s="97"/>
      <c r="DW103" s="401"/>
      <c r="DX103" s="102">
        <f>PLĀNS_ar_grozījumiem!CP103-'plans (27122022)'!CP102</f>
        <v>20173.850000000035</v>
      </c>
      <c r="DY103" s="928">
        <f>DX103/'plans (27122022)'!CP102</f>
        <v>5.7046451324656036E-2</v>
      </c>
      <c r="DZ103" s="97"/>
      <c r="EA103" s="401">
        <f>PLĀNS_ar_grozījumiem!CQ103-'plans (27122022)'!CQ102</f>
        <v>0</v>
      </c>
      <c r="EB103" s="102">
        <f>PLĀNS_ar_grozījumiem!CT103-'plans (27122022)'!CT102</f>
        <v>0</v>
      </c>
      <c r="EC103" s="176"/>
      <c r="ED103" s="97"/>
      <c r="EE103" s="113"/>
      <c r="EF103" s="664">
        <f>PLĀNS_ar_grozījumiem!CX103-'plans (27122022)'!CX102</f>
        <v>2.3029509132420216</v>
      </c>
      <c r="EG103" s="929">
        <f>EF103/'plans (27122022)'!CX102</f>
        <v>5.7046451324656258E-2</v>
      </c>
      <c r="EH103" s="666"/>
    </row>
    <row r="104" spans="1:138" s="667" customFormat="1" ht="15.75" customHeight="1" x14ac:dyDescent="0.25">
      <c r="A104" s="657"/>
      <c r="B104" s="658" t="s">
        <v>47</v>
      </c>
      <c r="C104" s="532"/>
      <c r="D104" s="1020">
        <v>2159.0000000000005</v>
      </c>
      <c r="E104" s="93"/>
      <c r="F104" s="176">
        <v>100.00000000000001</v>
      </c>
      <c r="G104" s="97"/>
      <c r="H104" s="108" t="s">
        <v>44</v>
      </c>
      <c r="I104" s="108" t="s">
        <v>44</v>
      </c>
      <c r="J104" s="97">
        <v>147111</v>
      </c>
      <c r="K104" s="97"/>
      <c r="L104" s="108" t="s">
        <v>44</v>
      </c>
      <c r="M104" s="159" t="s">
        <v>44</v>
      </c>
      <c r="N104" s="102">
        <v>147111</v>
      </c>
      <c r="O104" s="97"/>
      <c r="P104" s="108" t="s">
        <v>44</v>
      </c>
      <c r="Q104" s="159" t="s">
        <v>44</v>
      </c>
      <c r="R104" s="97">
        <v>0</v>
      </c>
      <c r="S104" s="97"/>
      <c r="T104" s="108" t="s">
        <v>44</v>
      </c>
      <c r="U104" s="159" t="s">
        <v>44</v>
      </c>
      <c r="V104" s="659">
        <v>68</v>
      </c>
      <c r="W104" s="660"/>
      <c r="X104" s="93">
        <v>2184.0000000000005</v>
      </c>
      <c r="Y104" s="93"/>
      <c r="Z104" s="176">
        <v>100</v>
      </c>
      <c r="AA104" s="97"/>
      <c r="AB104" s="108" t="s">
        <v>44</v>
      </c>
      <c r="AC104" s="108" t="s">
        <v>44</v>
      </c>
      <c r="AD104" s="97">
        <v>134580</v>
      </c>
      <c r="AE104" s="97"/>
      <c r="AF104" s="108" t="s">
        <v>44</v>
      </c>
      <c r="AG104" s="159" t="s">
        <v>44</v>
      </c>
      <c r="AH104" s="102">
        <v>134580</v>
      </c>
      <c r="AI104" s="97"/>
      <c r="AJ104" s="108" t="s">
        <v>44</v>
      </c>
      <c r="AK104" s="159" t="s">
        <v>44</v>
      </c>
      <c r="AL104" s="97">
        <v>0</v>
      </c>
      <c r="AM104" s="97"/>
      <c r="AN104" s="108" t="s">
        <v>44</v>
      </c>
      <c r="AO104" s="159" t="s">
        <v>44</v>
      </c>
      <c r="AP104" s="659">
        <v>62</v>
      </c>
      <c r="AQ104" s="660"/>
      <c r="AR104" s="803">
        <v>2208.0000000000005</v>
      </c>
      <c r="AS104" s="93">
        <f>PLĀNS_ar_grozījumiem!AS104-'plans (27122022)'!AS103</f>
        <v>0</v>
      </c>
      <c r="AT104" s="176">
        <f>PLĀNS_ar_grozījumiem!AT104-'plans (27122022)'!AT103</f>
        <v>-99</v>
      </c>
      <c r="AU104" s="97">
        <f>PLĀNS_ar_grozījumiem!AU104-'plans (27122022)'!AU103</f>
        <v>0</v>
      </c>
      <c r="AV104" s="108" t="e">
        <f>PLĀNS_ar_grozījumiem!AV104-'plans (27122022)'!AV103</f>
        <v>#VALUE!</v>
      </c>
      <c r="AW104" s="108" t="e">
        <f>PLĀNS_ar_grozījumiem!AW104-'plans (27122022)'!AW103</f>
        <v>#VALUE!</v>
      </c>
      <c r="AX104" s="97">
        <f>PLĀNS_ar_grozījumiem!AX104-'plans (27122022)'!AX103</f>
        <v>12791.649999999994</v>
      </c>
      <c r="AY104" s="97">
        <f>PLĀNS_ar_grozījumiem!AY104-'plans (27122022)'!AY103</f>
        <v>0</v>
      </c>
      <c r="AZ104" s="108" t="e">
        <f>PLĀNS_ar_grozījumiem!AZ104-'plans (27122022)'!AZ103</f>
        <v>#VALUE!</v>
      </c>
      <c r="BA104" s="159" t="e">
        <f>PLĀNS_ar_grozījumiem!BA104-'plans (27122022)'!BA103</f>
        <v>#VALUE!</v>
      </c>
      <c r="BB104" s="102">
        <f>PLĀNS_ar_grozījumiem!BB104-'plans (27122022)'!BB103</f>
        <v>12791.649999999994</v>
      </c>
      <c r="BC104" s="97">
        <f>PLĀNS_ar_grozījumiem!BC104-'plans (27122022)'!BC103</f>
        <v>0</v>
      </c>
      <c r="BD104" s="108" t="e">
        <f>PLĀNS_ar_grozījumiem!BD104-'plans (27122022)'!BD103</f>
        <v>#VALUE!</v>
      </c>
      <c r="BE104" s="159" t="e">
        <f>PLĀNS_ar_grozījumiem!BE104-'plans (27122022)'!BE103</f>
        <v>#VALUE!</v>
      </c>
      <c r="BF104" s="97">
        <f>PLĀNS_ar_grozījumiem!BF104-'plans (27122022)'!BF103</f>
        <v>0</v>
      </c>
      <c r="BG104" s="97">
        <f>PLĀNS_ar_grozījumiem!BG104-'plans (27122022)'!BG103</f>
        <v>0</v>
      </c>
      <c r="BH104" s="108" t="e">
        <f>PLĀNS_ar_grozījumiem!BH104-'plans (27122022)'!BH103</f>
        <v>#VALUE!</v>
      </c>
      <c r="BI104" s="159" t="e">
        <f>PLĀNS_ar_grozījumiem!BI104-'plans (27122022)'!BI103</f>
        <v>#VALUE!</v>
      </c>
      <c r="BJ104" s="659">
        <f>PLĀNS_ar_grozījumiem!BJ104-'plans (27122022)'!BJ103</f>
        <v>5.9690443840579661</v>
      </c>
      <c r="BK104" s="660">
        <f>PLĀNS_ar_grozījumiem!BK104-'plans (27122022)'!BK103</f>
        <v>0</v>
      </c>
      <c r="BL104" s="93">
        <f>PLĀNS_ar_grozījumiem!BL104-'plans (27122022)'!BL103</f>
        <v>0</v>
      </c>
      <c r="BM104" s="93">
        <f>PLĀNS_ar_grozījumiem!BM104-'plans (27122022)'!BM103</f>
        <v>0</v>
      </c>
      <c r="BN104" s="176">
        <f>PLĀNS_ar_grozījumiem!BN104-'plans (27122022)'!BN103</f>
        <v>-85.405613399728395</v>
      </c>
      <c r="BO104" s="97">
        <f>PLĀNS_ar_grozījumiem!BO104-'plans (27122022)'!BO103</f>
        <v>0</v>
      </c>
      <c r="BP104" s="108" t="e">
        <f>PLĀNS_ar_grozījumiem!BP104-'plans (27122022)'!BP103</f>
        <v>#VALUE!</v>
      </c>
      <c r="BQ104" s="108" t="e">
        <f>PLĀNS_ar_grozījumiem!BQ104-'plans (27122022)'!BQ103</f>
        <v>#VALUE!</v>
      </c>
      <c r="BR104" s="97">
        <f>PLĀNS_ar_grozījumiem!BR104-'plans (27122022)'!BR103</f>
        <v>15431.49000000002</v>
      </c>
      <c r="BS104" s="97">
        <f>PLĀNS_ar_grozījumiem!BS104-'plans (27122022)'!BS103</f>
        <v>0</v>
      </c>
      <c r="BT104" s="108" t="e">
        <f>PLĀNS_ar_grozījumiem!BT104-'plans (27122022)'!BT103</f>
        <v>#VALUE!</v>
      </c>
      <c r="BU104" s="159" t="e">
        <f>PLĀNS_ar_grozījumiem!BU104-'plans (27122022)'!BU103</f>
        <v>#VALUE!</v>
      </c>
      <c r="BV104" s="102">
        <f>PLĀNS_ar_grozījumiem!BV104-'plans (27122022)'!BV103</f>
        <v>15431.49000000002</v>
      </c>
      <c r="BW104" s="97">
        <f>PLĀNS_ar_grozījumiem!BW104-'plans (27122022)'!BW103</f>
        <v>0</v>
      </c>
      <c r="BX104" s="108" t="e">
        <f>PLĀNS_ar_grozījumiem!BX104-'plans (27122022)'!BX103</f>
        <v>#VALUE!</v>
      </c>
      <c r="BY104" s="159" t="e">
        <f>PLĀNS_ar_grozījumiem!BY104-'plans (27122022)'!BY103</f>
        <v>#VALUE!</v>
      </c>
      <c r="BZ104" s="97">
        <f>PLĀNS_ar_grozījumiem!BZ104-'plans (27122022)'!BZ103</f>
        <v>0</v>
      </c>
      <c r="CA104" s="97">
        <f>PLĀNS_ar_grozījumiem!CA104-'plans (27122022)'!CA103</f>
        <v>0</v>
      </c>
      <c r="CB104" s="108" t="e">
        <f>PLĀNS_ar_grozījumiem!CB104-'plans (27122022)'!CB103</f>
        <v>#VALUE!</v>
      </c>
      <c r="CC104" s="159" t="e">
        <f>PLĀNS_ar_grozījumiem!CC104-'plans (27122022)'!CC103</f>
        <v>#VALUE!</v>
      </c>
      <c r="CD104" s="659">
        <f>PLĀNS_ar_grozījumiem!CD104-'plans (27122022)'!CD103</f>
        <v>6.6806201901312932</v>
      </c>
      <c r="CE104" s="660">
        <f>PLĀNS_ar_grozījumiem!CE104-'plans (27122022)'!CE103</f>
        <v>0</v>
      </c>
      <c r="CF104" s="92">
        <f>PLĀNS_ar_grozījumiem!CF104-'plans (27122022)'!CF103</f>
        <v>0</v>
      </c>
      <c r="CG104" s="97">
        <f>PLĀNS_ar_grozījumiem!CG104-'plans (27122022)'!CG103</f>
        <v>0</v>
      </c>
      <c r="CH104" s="93">
        <f>PLĀNS_ar_grozījumiem!CH104-'plans (27122022)'!CH103</f>
        <v>-99</v>
      </c>
      <c r="CI104" s="97">
        <f>PLĀNS_ar_grozījumiem!CI104-'plans (27122022)'!CI103</f>
        <v>0</v>
      </c>
      <c r="CJ104" s="108" t="e">
        <f>PLĀNS_ar_grozījumiem!CJ104-'plans (27122022)'!CJ103</f>
        <v>#VALUE!</v>
      </c>
      <c r="CK104" s="159" t="e">
        <f>PLĀNS_ar_grozījumiem!CK104-'plans (27122022)'!CK103</f>
        <v>#VALUE!</v>
      </c>
      <c r="CL104" s="97">
        <f>PLĀNS_ar_grozījumiem!CL104-'plans (27122022)'!CL103</f>
        <v>28223.140000000014</v>
      </c>
      <c r="CM104" s="97">
        <f>PLĀNS_ar_grozījumiem!CM104-'plans (27122022)'!CM103</f>
        <v>0</v>
      </c>
      <c r="CN104" s="108" t="e">
        <f>PLĀNS_ar_grozījumiem!CN104-'plans (27122022)'!CN103</f>
        <v>#VALUE!</v>
      </c>
      <c r="CO104" s="159" t="e">
        <f>PLĀNS_ar_grozījumiem!CO104-'plans (27122022)'!CO103</f>
        <v>#VALUE!</v>
      </c>
      <c r="CP104" s="97">
        <f>PLĀNS_ar_grozījumiem!CP104-'plans (27122022)'!CP103</f>
        <v>28223.140000000014</v>
      </c>
      <c r="CQ104" s="97">
        <f>PLĀNS_ar_grozījumiem!CQ104-'plans (27122022)'!CQ103</f>
        <v>0</v>
      </c>
      <c r="CR104" s="108" t="e">
        <f>PLĀNS_ar_grozījumiem!CR104-'plans (27122022)'!CR103</f>
        <v>#VALUE!</v>
      </c>
      <c r="CS104" s="159" t="e">
        <f>PLĀNS_ar_grozījumiem!CS104-'plans (27122022)'!CS103</f>
        <v>#VALUE!</v>
      </c>
      <c r="CT104" s="97">
        <f>PLĀNS_ar_grozījumiem!CT104-'plans (27122022)'!CT103</f>
        <v>0</v>
      </c>
      <c r="CU104" s="97">
        <f>PLĀNS_ar_grozījumiem!CU104-'plans (27122022)'!CU103</f>
        <v>0</v>
      </c>
      <c r="CV104" s="108" t="e">
        <f>PLĀNS_ar_grozījumiem!CV104-'plans (27122022)'!CV103</f>
        <v>#VALUE!</v>
      </c>
      <c r="CW104" s="159" t="e">
        <f>PLĀNS_ar_grozījumiem!CW104-'plans (27122022)'!CW103</f>
        <v>#VALUE!</v>
      </c>
      <c r="CX104" s="659">
        <f>PLĀNS_ar_grozījumiem!CX104-'plans (27122022)'!CX103</f>
        <v>3.221819634703202</v>
      </c>
      <c r="CY104" s="174">
        <f>PLĀNS_ar_grozījumiem!CY104-'plans (27122022)'!CY103</f>
        <v>0</v>
      </c>
      <c r="CZ104" s="661">
        <f t="shared" si="30"/>
        <v>4343.0000000000009</v>
      </c>
      <c r="DA104" s="97">
        <f t="shared" si="30"/>
        <v>0</v>
      </c>
      <c r="DB104" s="93">
        <f>DB16+DB36+DB42+DB53+DB59+DB74+DB80+DB22+DB86</f>
        <v>82.954179138844125</v>
      </c>
      <c r="DC104" s="111">
        <f>DC16+DC36+DC42+DC53+DC59+DC74+DC80+DC22+DC86</f>
        <v>0</v>
      </c>
      <c r="DD104" s="376">
        <f t="shared" si="31"/>
        <v>281691</v>
      </c>
      <c r="DE104" s="120">
        <f t="shared" si="31"/>
        <v>0</v>
      </c>
      <c r="DF104" s="120" t="e">
        <f t="shared" si="31"/>
        <v>#VALUE!</v>
      </c>
      <c r="DG104" s="107" t="e">
        <f t="shared" si="31"/>
        <v>#VALUE!</v>
      </c>
      <c r="DH104" s="376">
        <f t="shared" si="31"/>
        <v>281691</v>
      </c>
      <c r="DI104" s="120">
        <f t="shared" si="31"/>
        <v>0</v>
      </c>
      <c r="DJ104" s="120" t="e">
        <f t="shared" si="31"/>
        <v>#VALUE!</v>
      </c>
      <c r="DK104" s="107" t="e">
        <f t="shared" si="31"/>
        <v>#VALUE!</v>
      </c>
      <c r="DL104" s="376">
        <f t="shared" si="31"/>
        <v>0</v>
      </c>
      <c r="DM104" s="107">
        <f t="shared" si="31"/>
        <v>0</v>
      </c>
      <c r="DN104" s="120" t="e">
        <f t="shared" si="31"/>
        <v>#VALUE!</v>
      </c>
      <c r="DO104" s="120" t="e">
        <f t="shared" si="31"/>
        <v>#VALUE!</v>
      </c>
      <c r="DP104" s="662">
        <f t="shared" si="33"/>
        <v>65</v>
      </c>
      <c r="DQ104" s="663" t="e">
        <f t="shared" si="32"/>
        <v>#DIV/0!</v>
      </c>
      <c r="DR104" s="117">
        <f>PLĀNS_ar_grozījumiem!CF104-'plans (27122022)'!CF103</f>
        <v>0</v>
      </c>
      <c r="DS104" s="970">
        <f>DR104/'plans (27122022)'!CF103</f>
        <v>0</v>
      </c>
      <c r="DT104" s="102">
        <f>PLĀNS_ar_grozījumiem!CL104-'plans (27122022)'!CL103</f>
        <v>28223.140000000014</v>
      </c>
      <c r="DU104" s="928">
        <f>DT104/'plans (27122022)'!CL103</f>
        <v>5.2284051248230864E-2</v>
      </c>
      <c r="DV104" s="97"/>
      <c r="DW104" s="401"/>
      <c r="DX104" s="102">
        <f>PLĀNS_ar_grozījumiem!CP104-'plans (27122022)'!CP103</f>
        <v>28223.140000000014</v>
      </c>
      <c r="DY104" s="928">
        <f>DX104/'plans (27122022)'!CP103</f>
        <v>5.2284051248230864E-2</v>
      </c>
      <c r="DZ104" s="97"/>
      <c r="EA104" s="401">
        <f>PLĀNS_ar_grozījumiem!CQ104-'plans (27122022)'!CQ103</f>
        <v>0</v>
      </c>
      <c r="EB104" s="102">
        <f>PLĀNS_ar_grozījumiem!CT104-'plans (27122022)'!CT103</f>
        <v>0</v>
      </c>
      <c r="EC104" s="176"/>
      <c r="ED104" s="97"/>
      <c r="EE104" s="113"/>
      <c r="EF104" s="664">
        <f>PLĀNS_ar_grozījumiem!CX104-'plans (27122022)'!CX103</f>
        <v>3.221819634703202</v>
      </c>
      <c r="EG104" s="929">
        <f>EF104/'plans (27122022)'!CX103</f>
        <v>5.2284051248230927E-2</v>
      </c>
      <c r="EH104" s="666"/>
    </row>
    <row r="105" spans="1:138" s="667" customFormat="1" ht="15.75" customHeight="1" x14ac:dyDescent="0.25">
      <c r="A105" s="657"/>
      <c r="B105" s="658" t="s">
        <v>48</v>
      </c>
      <c r="C105" s="532"/>
      <c r="D105" s="1020">
        <v>2158.9999999999995</v>
      </c>
      <c r="E105" s="93"/>
      <c r="F105" s="176">
        <v>99.999999999999986</v>
      </c>
      <c r="G105" s="97"/>
      <c r="H105" s="108" t="s">
        <v>44</v>
      </c>
      <c r="I105" s="108" t="s">
        <v>44</v>
      </c>
      <c r="J105" s="97">
        <v>258907</v>
      </c>
      <c r="K105" s="97"/>
      <c r="L105" s="108" t="s">
        <v>44</v>
      </c>
      <c r="M105" s="159" t="s">
        <v>44</v>
      </c>
      <c r="N105" s="102">
        <v>249985</v>
      </c>
      <c r="O105" s="97"/>
      <c r="P105" s="108" t="s">
        <v>44</v>
      </c>
      <c r="Q105" s="159" t="s">
        <v>44</v>
      </c>
      <c r="R105" s="97">
        <v>8922</v>
      </c>
      <c r="S105" s="97"/>
      <c r="T105" s="108" t="s">
        <v>44</v>
      </c>
      <c r="U105" s="159" t="s">
        <v>44</v>
      </c>
      <c r="V105" s="659">
        <v>120</v>
      </c>
      <c r="W105" s="660"/>
      <c r="X105" s="93">
        <v>2184</v>
      </c>
      <c r="Y105" s="93"/>
      <c r="Z105" s="176">
        <v>100</v>
      </c>
      <c r="AA105" s="97"/>
      <c r="AB105" s="108" t="s">
        <v>44</v>
      </c>
      <c r="AC105" s="108" t="s">
        <v>44</v>
      </c>
      <c r="AD105" s="97">
        <v>257039</v>
      </c>
      <c r="AE105" s="97"/>
      <c r="AF105" s="108" t="s">
        <v>44</v>
      </c>
      <c r="AG105" s="159" t="s">
        <v>44</v>
      </c>
      <c r="AH105" s="102">
        <v>251820</v>
      </c>
      <c r="AI105" s="97"/>
      <c r="AJ105" s="108" t="s">
        <v>44</v>
      </c>
      <c r="AK105" s="159" t="s">
        <v>44</v>
      </c>
      <c r="AL105" s="97">
        <v>5219</v>
      </c>
      <c r="AM105" s="97"/>
      <c r="AN105" s="108" t="s">
        <v>44</v>
      </c>
      <c r="AO105" s="159" t="s">
        <v>44</v>
      </c>
      <c r="AP105" s="659">
        <v>118</v>
      </c>
      <c r="AQ105" s="660"/>
      <c r="AR105" s="803">
        <v>2207.9999999999995</v>
      </c>
      <c r="AS105" s="93">
        <f>PLĀNS_ar_grozījumiem!AS105-'plans (27122022)'!AS104</f>
        <v>0</v>
      </c>
      <c r="AT105" s="176">
        <f>PLĀNS_ar_grozījumiem!AT105-'plans (27122022)'!AT104</f>
        <v>-99</v>
      </c>
      <c r="AU105" s="97">
        <f>PLĀNS_ar_grozījumiem!AU105-'plans (27122022)'!AU104</f>
        <v>0</v>
      </c>
      <c r="AV105" s="108" t="e">
        <f>PLĀNS_ar_grozījumiem!AV105-'plans (27122022)'!AV104</f>
        <v>#VALUE!</v>
      </c>
      <c r="AW105" s="108" t="e">
        <f>PLĀNS_ar_grozījumiem!AW105-'plans (27122022)'!AW104</f>
        <v>#VALUE!</v>
      </c>
      <c r="AX105" s="97">
        <f>PLĀNS_ar_grozījumiem!AX105-'plans (27122022)'!AX104</f>
        <v>7650.2800000000279</v>
      </c>
      <c r="AY105" s="97">
        <f>PLĀNS_ar_grozījumiem!AY105-'plans (27122022)'!AY104</f>
        <v>0</v>
      </c>
      <c r="AZ105" s="108" t="e">
        <f>PLĀNS_ar_grozījumiem!AZ105-'plans (27122022)'!AZ104</f>
        <v>#VALUE!</v>
      </c>
      <c r="BA105" s="159" t="e">
        <f>PLĀNS_ar_grozījumiem!BA105-'plans (27122022)'!BA104</f>
        <v>#VALUE!</v>
      </c>
      <c r="BB105" s="102">
        <f>PLĀNS_ar_grozījumiem!BB105-'plans (27122022)'!BB104</f>
        <v>7650.2800000000279</v>
      </c>
      <c r="BC105" s="97">
        <f>PLĀNS_ar_grozījumiem!BC105-'plans (27122022)'!BC104</f>
        <v>0</v>
      </c>
      <c r="BD105" s="108" t="e">
        <f>PLĀNS_ar_grozījumiem!BD105-'plans (27122022)'!BD104</f>
        <v>#VALUE!</v>
      </c>
      <c r="BE105" s="159" t="e">
        <f>PLĀNS_ar_grozījumiem!BE105-'plans (27122022)'!BE104</f>
        <v>#VALUE!</v>
      </c>
      <c r="BF105" s="97">
        <f>PLĀNS_ar_grozījumiem!BF105-'plans (27122022)'!BF104</f>
        <v>0</v>
      </c>
      <c r="BG105" s="97">
        <f>PLĀNS_ar_grozījumiem!BG105-'plans (27122022)'!BG104</f>
        <v>0</v>
      </c>
      <c r="BH105" s="108" t="e">
        <f>PLĀNS_ar_grozījumiem!BH105-'plans (27122022)'!BH104</f>
        <v>#VALUE!</v>
      </c>
      <c r="BI105" s="159" t="e">
        <f>PLĀNS_ar_grozījumiem!BI105-'plans (27122022)'!BI104</f>
        <v>#VALUE!</v>
      </c>
      <c r="BJ105" s="659">
        <f>PLĀNS_ar_grozījumiem!BJ105-'plans (27122022)'!BJ104</f>
        <v>3.4842753623188827</v>
      </c>
      <c r="BK105" s="660">
        <f>PLĀNS_ar_grozījumiem!BK105-'plans (27122022)'!BK104</f>
        <v>0</v>
      </c>
      <c r="BL105" s="93">
        <f>PLĀNS_ar_grozījumiem!BL105-'plans (27122022)'!BL104</f>
        <v>0</v>
      </c>
      <c r="BM105" s="93">
        <f>PLĀNS_ar_grozījumiem!BM105-'plans (27122022)'!BM104</f>
        <v>0</v>
      </c>
      <c r="BN105" s="176">
        <f>PLĀNS_ar_grozījumiem!BN105-'plans (27122022)'!BN104</f>
        <v>-95.717971933001351</v>
      </c>
      <c r="BO105" s="97">
        <f>PLĀNS_ar_grozījumiem!BO105-'plans (27122022)'!BO104</f>
        <v>0</v>
      </c>
      <c r="BP105" s="108" t="e">
        <f>PLĀNS_ar_grozījumiem!BP105-'plans (27122022)'!BP104</f>
        <v>#VALUE!</v>
      </c>
      <c r="BQ105" s="108" t="e">
        <f>PLĀNS_ar_grozījumiem!BQ105-'plans (27122022)'!BQ104</f>
        <v>#VALUE!</v>
      </c>
      <c r="BR105" s="97">
        <f>PLĀNS_ar_grozījumiem!BR105-'plans (27122022)'!BR104</f>
        <v>3674.539999999979</v>
      </c>
      <c r="BS105" s="97">
        <f>PLĀNS_ar_grozījumiem!BS105-'plans (27122022)'!BS104</f>
        <v>0</v>
      </c>
      <c r="BT105" s="108" t="e">
        <f>PLĀNS_ar_grozījumiem!BT105-'plans (27122022)'!BT104</f>
        <v>#VALUE!</v>
      </c>
      <c r="BU105" s="159" t="e">
        <f>PLĀNS_ar_grozījumiem!BU105-'plans (27122022)'!BU104</f>
        <v>#VALUE!</v>
      </c>
      <c r="BV105" s="102">
        <f>PLĀNS_ar_grozījumiem!BV105-'plans (27122022)'!BV104</f>
        <v>3057.539999999979</v>
      </c>
      <c r="BW105" s="97">
        <f>PLĀNS_ar_grozījumiem!BW105-'plans (27122022)'!BW104</f>
        <v>0</v>
      </c>
      <c r="BX105" s="108" t="e">
        <f>PLĀNS_ar_grozījumiem!BX105-'plans (27122022)'!BX104</f>
        <v>#VALUE!</v>
      </c>
      <c r="BY105" s="159" t="e">
        <f>PLĀNS_ar_grozījumiem!BY105-'plans (27122022)'!BY104</f>
        <v>#VALUE!</v>
      </c>
      <c r="BZ105" s="97">
        <f>PLĀNS_ar_grozījumiem!BZ105-'plans (27122022)'!BZ104</f>
        <v>617</v>
      </c>
      <c r="CA105" s="97">
        <f>PLĀNS_ar_grozījumiem!CA105-'plans (27122022)'!CA104</f>
        <v>0</v>
      </c>
      <c r="CB105" s="108" t="e">
        <f>PLĀNS_ar_grozījumiem!CB105-'plans (27122022)'!CB104</f>
        <v>#VALUE!</v>
      </c>
      <c r="CC105" s="159" t="e">
        <f>PLĀNS_ar_grozījumiem!CC105-'plans (27122022)'!CC104</f>
        <v>#VALUE!</v>
      </c>
      <c r="CD105" s="659">
        <f>PLĀNS_ar_grozījumiem!CD105-'plans (27122022)'!CD104</f>
        <v>1.963123585332724</v>
      </c>
      <c r="CE105" s="660">
        <f>PLĀNS_ar_grozījumiem!CE105-'plans (27122022)'!CE104</f>
        <v>0</v>
      </c>
      <c r="CF105" s="92">
        <f>PLĀNS_ar_grozījumiem!CF105-'plans (27122022)'!CF104</f>
        <v>0</v>
      </c>
      <c r="CG105" s="97">
        <f>PLĀNS_ar_grozījumiem!CG105-'plans (27122022)'!CG104</f>
        <v>0</v>
      </c>
      <c r="CH105" s="93">
        <f>PLĀNS_ar_grozījumiem!CH105-'plans (27122022)'!CH104</f>
        <v>-99</v>
      </c>
      <c r="CI105" s="97">
        <f>PLĀNS_ar_grozījumiem!CI105-'plans (27122022)'!CI104</f>
        <v>0</v>
      </c>
      <c r="CJ105" s="108" t="e">
        <f>PLĀNS_ar_grozījumiem!CJ105-'plans (27122022)'!CJ104</f>
        <v>#VALUE!</v>
      </c>
      <c r="CK105" s="159" t="e">
        <f>PLĀNS_ar_grozījumiem!CK105-'plans (27122022)'!CK104</f>
        <v>#VALUE!</v>
      </c>
      <c r="CL105" s="97">
        <f>PLĀNS_ar_grozījumiem!CL105-'plans (27122022)'!CL104</f>
        <v>11324.820000000065</v>
      </c>
      <c r="CM105" s="97">
        <f>PLĀNS_ar_grozījumiem!CM105-'plans (27122022)'!CM104</f>
        <v>0</v>
      </c>
      <c r="CN105" s="108" t="e">
        <f>PLĀNS_ar_grozījumiem!CN105-'plans (27122022)'!CN104</f>
        <v>#VALUE!</v>
      </c>
      <c r="CO105" s="159" t="e">
        <f>PLĀNS_ar_grozījumiem!CO105-'plans (27122022)'!CO104</f>
        <v>#VALUE!</v>
      </c>
      <c r="CP105" s="97">
        <f>PLĀNS_ar_grozījumiem!CP105-'plans (27122022)'!CP104</f>
        <v>10707.820000000065</v>
      </c>
      <c r="CQ105" s="97">
        <f>PLĀNS_ar_grozījumiem!CQ105-'plans (27122022)'!CQ104</f>
        <v>0</v>
      </c>
      <c r="CR105" s="108" t="e">
        <f>PLĀNS_ar_grozījumiem!CR105-'plans (27122022)'!CR104</f>
        <v>#VALUE!</v>
      </c>
      <c r="CS105" s="159" t="e">
        <f>PLĀNS_ar_grozījumiem!CS105-'plans (27122022)'!CS104</f>
        <v>#VALUE!</v>
      </c>
      <c r="CT105" s="97">
        <f>PLĀNS_ar_grozījumiem!CT105-'plans (27122022)'!CT104</f>
        <v>617</v>
      </c>
      <c r="CU105" s="97">
        <f>PLĀNS_ar_grozījumiem!CU105-'plans (27122022)'!CU104</f>
        <v>0</v>
      </c>
      <c r="CV105" s="108" t="e">
        <f>PLĀNS_ar_grozījumiem!CV105-'plans (27122022)'!CV104</f>
        <v>#VALUE!</v>
      </c>
      <c r="CW105" s="159" t="e">
        <f>PLĀNS_ar_grozījumiem!CW105-'plans (27122022)'!CW104</f>
        <v>#VALUE!</v>
      </c>
      <c r="CX105" s="659">
        <f>PLĀNS_ar_grozījumiem!CX105-'plans (27122022)'!CX104</f>
        <v>1.2927876712328725</v>
      </c>
      <c r="CY105" s="174">
        <f>PLĀNS_ar_grozījumiem!CY105-'plans (27122022)'!CY104</f>
        <v>0</v>
      </c>
      <c r="CZ105" s="661">
        <f t="shared" si="30"/>
        <v>4343</v>
      </c>
      <c r="DA105" s="97">
        <f t="shared" si="30"/>
        <v>0</v>
      </c>
      <c r="DB105" s="93">
        <f>DB17+DB23+DB31+DB37+DB43+DB48+DB54+DB60+DB75+DB81+DB87</f>
        <v>96.953718627676722</v>
      </c>
      <c r="DC105" s="111">
        <f>DC17+DC23+DC31+DC37+DC43+DC48+DC54+DC60+DC75+DC81+DC87</f>
        <v>0</v>
      </c>
      <c r="DD105" s="376">
        <f t="shared" si="31"/>
        <v>515946</v>
      </c>
      <c r="DE105" s="120">
        <f t="shared" si="31"/>
        <v>0</v>
      </c>
      <c r="DF105" s="120" t="e">
        <f t="shared" si="31"/>
        <v>#VALUE!</v>
      </c>
      <c r="DG105" s="107" t="e">
        <f t="shared" si="31"/>
        <v>#VALUE!</v>
      </c>
      <c r="DH105" s="376">
        <f t="shared" si="31"/>
        <v>501805</v>
      </c>
      <c r="DI105" s="120">
        <f t="shared" si="31"/>
        <v>0</v>
      </c>
      <c r="DJ105" s="120" t="e">
        <f t="shared" si="31"/>
        <v>#VALUE!</v>
      </c>
      <c r="DK105" s="107" t="e">
        <f t="shared" si="31"/>
        <v>#VALUE!</v>
      </c>
      <c r="DL105" s="376">
        <f t="shared" si="31"/>
        <v>14141</v>
      </c>
      <c r="DM105" s="107">
        <f t="shared" si="31"/>
        <v>0</v>
      </c>
      <c r="DN105" s="120" t="e">
        <f t="shared" si="31"/>
        <v>#VALUE!</v>
      </c>
      <c r="DO105" s="120" t="e">
        <f t="shared" si="31"/>
        <v>#VALUE!</v>
      </c>
      <c r="DP105" s="662">
        <f t="shared" si="33"/>
        <v>119</v>
      </c>
      <c r="DQ105" s="663" t="e">
        <f t="shared" si="32"/>
        <v>#DIV/0!</v>
      </c>
      <c r="DR105" s="117">
        <f>PLĀNS_ar_grozījumiem!CF105-'plans (27122022)'!CF104</f>
        <v>0</v>
      </c>
      <c r="DS105" s="970">
        <f>DR105/'plans (27122022)'!CF104</f>
        <v>0</v>
      </c>
      <c r="DT105" s="102">
        <f>PLĀNS_ar_grozījumiem!CL105-'plans (27122022)'!CL104</f>
        <v>11324.820000000065</v>
      </c>
      <c r="DU105" s="928">
        <f>DT105/'plans (27122022)'!CL104</f>
        <v>1.0888548526200779E-2</v>
      </c>
      <c r="DV105" s="97"/>
      <c r="DW105" s="401"/>
      <c r="DX105" s="102">
        <f>PLĀNS_ar_grozījumiem!CP105-'plans (27122022)'!CP104</f>
        <v>10707.820000000065</v>
      </c>
      <c r="DY105" s="928">
        <f>DX105/'plans (27122022)'!CP104</f>
        <v>1.0583098187856179E-2</v>
      </c>
      <c r="DZ105" s="97"/>
      <c r="EA105" s="401">
        <f>PLĀNS_ar_grozījumiem!CQ105-'plans (27122022)'!CQ104</f>
        <v>0</v>
      </c>
      <c r="EB105" s="102">
        <f>PLĀNS_ar_grozījumiem!CT105-'plans (27122022)'!CT104</f>
        <v>617</v>
      </c>
      <c r="EC105" s="176"/>
      <c r="ED105" s="97"/>
      <c r="EE105" s="113"/>
      <c r="EF105" s="664">
        <f>PLĀNS_ar_grozījumiem!CX105-'plans (27122022)'!CX104</f>
        <v>1.2927876712328725</v>
      </c>
      <c r="EG105" s="929">
        <f>EF105/'plans (27122022)'!CX104</f>
        <v>1.088854852620068E-2</v>
      </c>
      <c r="EH105" s="666"/>
    </row>
    <row r="106" spans="1:138" s="667" customFormat="1" ht="15.75" customHeight="1" x14ac:dyDescent="0.25">
      <c r="A106" s="657"/>
      <c r="B106" s="658" t="s">
        <v>49</v>
      </c>
      <c r="C106" s="532"/>
      <c r="D106" s="1020">
        <v>2159</v>
      </c>
      <c r="E106" s="93"/>
      <c r="F106" s="176">
        <v>100.00000000000001</v>
      </c>
      <c r="G106" s="97"/>
      <c r="H106" s="108" t="s">
        <v>44</v>
      </c>
      <c r="I106" s="108" t="s">
        <v>44</v>
      </c>
      <c r="J106" s="97">
        <v>46595</v>
      </c>
      <c r="K106" s="97"/>
      <c r="L106" s="108" t="s">
        <v>44</v>
      </c>
      <c r="M106" s="159" t="s">
        <v>44</v>
      </c>
      <c r="N106" s="102">
        <v>46595</v>
      </c>
      <c r="O106" s="97"/>
      <c r="P106" s="108" t="s">
        <v>44</v>
      </c>
      <c r="Q106" s="159" t="s">
        <v>44</v>
      </c>
      <c r="R106" s="97">
        <v>0</v>
      </c>
      <c r="S106" s="97"/>
      <c r="T106" s="108" t="s">
        <v>44</v>
      </c>
      <c r="U106" s="159" t="s">
        <v>44</v>
      </c>
      <c r="V106" s="659">
        <v>22</v>
      </c>
      <c r="W106" s="660"/>
      <c r="X106" s="93">
        <v>2184</v>
      </c>
      <c r="Y106" s="93"/>
      <c r="Z106" s="176">
        <v>99.999999999999986</v>
      </c>
      <c r="AA106" s="97"/>
      <c r="AB106" s="108" t="s">
        <v>44</v>
      </c>
      <c r="AC106" s="108" t="s">
        <v>44</v>
      </c>
      <c r="AD106" s="97">
        <v>42859</v>
      </c>
      <c r="AE106" s="97"/>
      <c r="AF106" s="108" t="s">
        <v>44</v>
      </c>
      <c r="AG106" s="159" t="s">
        <v>44</v>
      </c>
      <c r="AH106" s="102">
        <v>42859</v>
      </c>
      <c r="AI106" s="97"/>
      <c r="AJ106" s="108" t="s">
        <v>44</v>
      </c>
      <c r="AK106" s="159" t="s">
        <v>44</v>
      </c>
      <c r="AL106" s="97">
        <v>0</v>
      </c>
      <c r="AM106" s="97"/>
      <c r="AN106" s="108" t="s">
        <v>44</v>
      </c>
      <c r="AO106" s="159" t="s">
        <v>44</v>
      </c>
      <c r="AP106" s="659">
        <v>20</v>
      </c>
      <c r="AQ106" s="660"/>
      <c r="AR106" s="93">
        <v>2208</v>
      </c>
      <c r="AS106" s="93">
        <f>PLĀNS_ar_grozījumiem!AS106-'plans (27122022)'!AS105</f>
        <v>0</v>
      </c>
      <c r="AT106" s="176">
        <f>PLĀNS_ar_grozījumiem!AT106-'plans (27122022)'!AT105</f>
        <v>-99</v>
      </c>
      <c r="AU106" s="97">
        <f>PLĀNS_ar_grozījumiem!AU106-'plans (27122022)'!AU105</f>
        <v>0</v>
      </c>
      <c r="AV106" s="108" t="e">
        <f>PLĀNS_ar_grozījumiem!AV106-'plans (27122022)'!AV105</f>
        <v>#VALUE!</v>
      </c>
      <c r="AW106" s="108" t="e">
        <f>PLĀNS_ar_grozījumiem!AW106-'plans (27122022)'!AW105</f>
        <v>#VALUE!</v>
      </c>
      <c r="AX106" s="97">
        <f>PLĀNS_ar_grozījumiem!AX106-'plans (27122022)'!AX105</f>
        <v>-7983.0999999999985</v>
      </c>
      <c r="AY106" s="97">
        <f>PLĀNS_ar_grozījumiem!AY106-'plans (27122022)'!AY105</f>
        <v>0</v>
      </c>
      <c r="AZ106" s="108" t="e">
        <f>PLĀNS_ar_grozījumiem!AZ106-'plans (27122022)'!AZ105</f>
        <v>#VALUE!</v>
      </c>
      <c r="BA106" s="159" t="e">
        <f>PLĀNS_ar_grozījumiem!BA106-'plans (27122022)'!BA105</f>
        <v>#VALUE!</v>
      </c>
      <c r="BB106" s="102">
        <f>PLĀNS_ar_grozījumiem!BB106-'plans (27122022)'!BB105</f>
        <v>-7983.0999999999985</v>
      </c>
      <c r="BC106" s="97">
        <f>PLĀNS_ar_grozījumiem!BC106-'plans (27122022)'!BC105</f>
        <v>0</v>
      </c>
      <c r="BD106" s="108" t="e">
        <f>PLĀNS_ar_grozījumiem!BD106-'plans (27122022)'!BD105</f>
        <v>#VALUE!</v>
      </c>
      <c r="BE106" s="159" t="e">
        <f>PLĀNS_ar_grozījumiem!BE106-'plans (27122022)'!BE105</f>
        <v>#VALUE!</v>
      </c>
      <c r="BF106" s="97">
        <f>PLĀNS_ar_grozījumiem!BF106-'plans (27122022)'!BF105</f>
        <v>0</v>
      </c>
      <c r="BG106" s="97">
        <f>PLĀNS_ar_grozījumiem!BG106-'plans (27122022)'!BG105</f>
        <v>0</v>
      </c>
      <c r="BH106" s="108" t="e">
        <f>PLĀNS_ar_grozījumiem!BH106-'plans (27122022)'!BH105</f>
        <v>#VALUE!</v>
      </c>
      <c r="BI106" s="159" t="e">
        <f>PLĀNS_ar_grozījumiem!BI106-'plans (27122022)'!BI105</f>
        <v>#VALUE!</v>
      </c>
      <c r="BJ106" s="659">
        <f>PLĀNS_ar_grozījumiem!BJ106-'plans (27122022)'!BJ105</f>
        <v>-3.7061141304347807</v>
      </c>
      <c r="BK106" s="660">
        <f>PLĀNS_ar_grozījumiem!BK106-'plans (27122022)'!BK105</f>
        <v>0</v>
      </c>
      <c r="BL106" s="93">
        <f>PLĀNS_ar_grozījumiem!BL106-'plans (27122022)'!BL105</f>
        <v>0</v>
      </c>
      <c r="BM106" s="93">
        <f>PLĀNS_ar_grozījumiem!BM106-'plans (27122022)'!BM105</f>
        <v>0</v>
      </c>
      <c r="BN106" s="176">
        <f>PLĀNS_ar_grozījumiem!BN106-'plans (27122022)'!BN105</f>
        <v>-99</v>
      </c>
      <c r="BO106" s="97">
        <f>PLĀNS_ar_grozījumiem!BO106-'plans (27122022)'!BO105</f>
        <v>0</v>
      </c>
      <c r="BP106" s="108" t="e">
        <f>PLĀNS_ar_grozījumiem!BP106-'plans (27122022)'!BP105</f>
        <v>#VALUE!</v>
      </c>
      <c r="BQ106" s="108" t="e">
        <f>PLĀNS_ar_grozījumiem!BQ106-'plans (27122022)'!BQ105</f>
        <v>#VALUE!</v>
      </c>
      <c r="BR106" s="97">
        <f>PLĀNS_ar_grozījumiem!BR106-'plans (27122022)'!BR105</f>
        <v>-147.19999999999709</v>
      </c>
      <c r="BS106" s="97">
        <f>PLĀNS_ar_grozījumiem!BS106-'plans (27122022)'!BS105</f>
        <v>0</v>
      </c>
      <c r="BT106" s="108" t="e">
        <f>PLĀNS_ar_grozījumiem!BT106-'plans (27122022)'!BT105</f>
        <v>#VALUE!</v>
      </c>
      <c r="BU106" s="159" t="e">
        <f>PLĀNS_ar_grozījumiem!BU106-'plans (27122022)'!BU105</f>
        <v>#VALUE!</v>
      </c>
      <c r="BV106" s="102">
        <f>PLĀNS_ar_grozījumiem!BV106-'plans (27122022)'!BV105</f>
        <v>-147.19999999999709</v>
      </c>
      <c r="BW106" s="97">
        <f>PLĀNS_ar_grozījumiem!BW106-'plans (27122022)'!BW105</f>
        <v>0</v>
      </c>
      <c r="BX106" s="108" t="e">
        <f>PLĀNS_ar_grozījumiem!BX106-'plans (27122022)'!BX105</f>
        <v>#VALUE!</v>
      </c>
      <c r="BY106" s="159" t="e">
        <f>PLĀNS_ar_grozījumiem!BY106-'plans (27122022)'!BY105</f>
        <v>#VALUE!</v>
      </c>
      <c r="BZ106" s="97">
        <f>PLĀNS_ar_grozījumiem!BZ106-'plans (27122022)'!BZ105</f>
        <v>0</v>
      </c>
      <c r="CA106" s="97">
        <f>PLĀNS_ar_grozījumiem!CA106-'plans (27122022)'!CA105</f>
        <v>0</v>
      </c>
      <c r="CB106" s="108" t="e">
        <f>PLĀNS_ar_grozījumiem!CB106-'plans (27122022)'!CB105</f>
        <v>#VALUE!</v>
      </c>
      <c r="CC106" s="159" t="e">
        <f>PLĀNS_ar_grozījumiem!CC106-'plans (27122022)'!CC105</f>
        <v>#VALUE!</v>
      </c>
      <c r="CD106" s="659">
        <f>PLĀNS_ar_grozījumiem!CD106-'plans (27122022)'!CD105</f>
        <v>-0.34232684472611652</v>
      </c>
      <c r="CE106" s="660">
        <f>PLĀNS_ar_grozījumiem!CE106-'plans (27122022)'!CE105</f>
        <v>0</v>
      </c>
      <c r="CF106" s="92">
        <f>PLĀNS_ar_grozījumiem!CF106-'plans (27122022)'!CF105</f>
        <v>0</v>
      </c>
      <c r="CG106" s="97">
        <f>PLĀNS_ar_grozījumiem!CG106-'plans (27122022)'!CG105</f>
        <v>0</v>
      </c>
      <c r="CH106" s="93">
        <f>PLĀNS_ar_grozījumiem!CH106-'plans (27122022)'!CH105</f>
        <v>-99.000000000000014</v>
      </c>
      <c r="CI106" s="97">
        <f>PLĀNS_ar_grozījumiem!CI106-'plans (27122022)'!CI105</f>
        <v>0</v>
      </c>
      <c r="CJ106" s="108" t="e">
        <f>PLĀNS_ar_grozījumiem!CJ106-'plans (27122022)'!CJ105</f>
        <v>#VALUE!</v>
      </c>
      <c r="CK106" s="159" t="e">
        <f>PLĀNS_ar_grozījumiem!CK106-'plans (27122022)'!CK105</f>
        <v>#VALUE!</v>
      </c>
      <c r="CL106" s="97">
        <f>PLĀNS_ar_grozījumiem!CL106-'plans (27122022)'!CL105</f>
        <v>-8130.2999999999884</v>
      </c>
      <c r="CM106" s="97">
        <f>PLĀNS_ar_grozījumiem!CM106-'plans (27122022)'!CM105</f>
        <v>0</v>
      </c>
      <c r="CN106" s="108" t="e">
        <f>PLĀNS_ar_grozījumiem!CN106-'plans (27122022)'!CN105</f>
        <v>#VALUE!</v>
      </c>
      <c r="CO106" s="159" t="e">
        <f>PLĀNS_ar_grozījumiem!CO106-'plans (27122022)'!CO105</f>
        <v>#VALUE!</v>
      </c>
      <c r="CP106" s="97">
        <f>PLĀNS_ar_grozījumiem!CP106-'plans (27122022)'!CP105</f>
        <v>-8130.2999999999884</v>
      </c>
      <c r="CQ106" s="97">
        <f>PLĀNS_ar_grozījumiem!CQ106-'plans (27122022)'!CQ105</f>
        <v>0</v>
      </c>
      <c r="CR106" s="108" t="e">
        <f>PLĀNS_ar_grozījumiem!CR106-'plans (27122022)'!CR105</f>
        <v>#VALUE!</v>
      </c>
      <c r="CS106" s="159" t="e">
        <f>PLĀNS_ar_grozījumiem!CS106-'plans (27122022)'!CS105</f>
        <v>#VALUE!</v>
      </c>
      <c r="CT106" s="97">
        <f>PLĀNS_ar_grozījumiem!CT106-'plans (27122022)'!CT105</f>
        <v>0</v>
      </c>
      <c r="CU106" s="97">
        <f>PLĀNS_ar_grozījumiem!CU106-'plans (27122022)'!CU105</f>
        <v>0</v>
      </c>
      <c r="CV106" s="108" t="e">
        <f>PLĀNS_ar_grozījumiem!CV106-'plans (27122022)'!CV105</f>
        <v>#VALUE!</v>
      </c>
      <c r="CW106" s="159" t="e">
        <f>PLĀNS_ar_grozījumiem!CW106-'plans (27122022)'!CW105</f>
        <v>#VALUE!</v>
      </c>
      <c r="CX106" s="659">
        <f>PLĀNS_ar_grozījumiem!CX106-'plans (27122022)'!CX105</f>
        <v>-0.92811643835616309</v>
      </c>
      <c r="CY106" s="174">
        <f>PLĀNS_ar_grozījumiem!CY106-'plans (27122022)'!CY105</f>
        <v>0</v>
      </c>
      <c r="CZ106" s="661">
        <f t="shared" si="30"/>
        <v>4343</v>
      </c>
      <c r="DA106" s="97">
        <f t="shared" si="30"/>
        <v>0</v>
      </c>
      <c r="DB106" s="93">
        <f>DB18+DB24+DB32+DB38+DB44+DB49+DB55+DB61+DB76+DB82+DB88</f>
        <v>100.00000000000001</v>
      </c>
      <c r="DC106" s="111">
        <f>DC18+DC24+DC32+DC38+DC44+DC49+DC55+DC61+DC76+DC82+DC88</f>
        <v>0</v>
      </c>
      <c r="DD106" s="100">
        <f t="shared" si="31"/>
        <v>89454</v>
      </c>
      <c r="DE106" s="97">
        <f t="shared" si="31"/>
        <v>0</v>
      </c>
      <c r="DF106" s="97" t="e">
        <f t="shared" si="31"/>
        <v>#VALUE!</v>
      </c>
      <c r="DG106" s="115" t="e">
        <f t="shared" si="31"/>
        <v>#VALUE!</v>
      </c>
      <c r="DH106" s="100">
        <f t="shared" si="31"/>
        <v>89454</v>
      </c>
      <c r="DI106" s="97">
        <f t="shared" si="31"/>
        <v>0</v>
      </c>
      <c r="DJ106" s="97" t="e">
        <f t="shared" si="31"/>
        <v>#VALUE!</v>
      </c>
      <c r="DK106" s="115" t="e">
        <f t="shared" si="31"/>
        <v>#VALUE!</v>
      </c>
      <c r="DL106" s="100">
        <f t="shared" si="31"/>
        <v>0</v>
      </c>
      <c r="DM106" s="115">
        <f t="shared" si="31"/>
        <v>0</v>
      </c>
      <c r="DN106" s="97" t="e">
        <f t="shared" si="31"/>
        <v>#VALUE!</v>
      </c>
      <c r="DO106" s="115" t="e">
        <f t="shared" si="31"/>
        <v>#VALUE!</v>
      </c>
      <c r="DP106" s="669">
        <f t="shared" si="33"/>
        <v>21</v>
      </c>
      <c r="DQ106" s="663" t="e">
        <f t="shared" si="32"/>
        <v>#DIV/0!</v>
      </c>
      <c r="DR106" s="117">
        <f>PLĀNS_ar_grozījumiem!CF106-'plans (27122022)'!CF105</f>
        <v>0</v>
      </c>
      <c r="DS106" s="970">
        <f>DR106/'plans (27122022)'!CF105</f>
        <v>0</v>
      </c>
      <c r="DT106" s="100">
        <f>PLĀNS_ar_grozījumiem!CL106-'plans (27122022)'!CL105</f>
        <v>-8130.2999999999884</v>
      </c>
      <c r="DU106" s="928">
        <f>DT106/'plans (27122022)'!CL105</f>
        <v>-4.5937791338248941E-2</v>
      </c>
      <c r="DV106" s="97"/>
      <c r="DW106" s="401"/>
      <c r="DX106" s="102">
        <f>PLĀNS_ar_grozījumiem!CP106-'plans (27122022)'!CP105</f>
        <v>-8130.2999999999884</v>
      </c>
      <c r="DY106" s="928">
        <f>DX106/'plans (27122022)'!CP105</f>
        <v>-4.5937791338248941E-2</v>
      </c>
      <c r="DZ106" s="97"/>
      <c r="EA106" s="401">
        <f>PLĀNS_ar_grozījumiem!CQ106-'plans (27122022)'!CQ105</f>
        <v>0</v>
      </c>
      <c r="EB106" s="102">
        <f>PLĀNS_ar_grozījumiem!CT106-'plans (27122022)'!CT105</f>
        <v>0</v>
      </c>
      <c r="EC106" s="176"/>
      <c r="ED106" s="97"/>
      <c r="EE106" s="401"/>
      <c r="EF106" s="664">
        <f>PLĀNS_ar_grozījumiem!CX106-'plans (27122022)'!CX105</f>
        <v>-0.92811643835616309</v>
      </c>
      <c r="EG106" s="929">
        <f>EF106/'plans (27122022)'!CX105</f>
        <v>-4.5937791338248934E-2</v>
      </c>
      <c r="EH106" s="666"/>
    </row>
    <row r="107" spans="1:138" s="667" customFormat="1" ht="15.75" customHeight="1" thickBot="1" x14ac:dyDescent="0.3">
      <c r="A107" s="670"/>
      <c r="B107" s="671" t="s">
        <v>63</v>
      </c>
      <c r="C107" s="1040"/>
      <c r="D107" s="1021">
        <v>70</v>
      </c>
      <c r="E107" s="673"/>
      <c r="F107" s="674">
        <v>100</v>
      </c>
      <c r="G107" s="672"/>
      <c r="H107" s="675" t="s">
        <v>44</v>
      </c>
      <c r="I107" s="675" t="s">
        <v>44</v>
      </c>
      <c r="J107" s="672">
        <v>87.540528022232522</v>
      </c>
      <c r="K107" s="672"/>
      <c r="L107" s="675" t="s">
        <v>44</v>
      </c>
      <c r="M107" s="676" t="s">
        <v>44</v>
      </c>
      <c r="N107" s="677">
        <v>87.540528022232522</v>
      </c>
      <c r="O107" s="672"/>
      <c r="P107" s="675" t="s">
        <v>44</v>
      </c>
      <c r="Q107" s="676" t="s">
        <v>44</v>
      </c>
      <c r="R107" s="672">
        <v>0</v>
      </c>
      <c r="S107" s="672"/>
      <c r="T107" s="675" t="s">
        <v>44</v>
      </c>
      <c r="U107" s="676" t="s">
        <v>44</v>
      </c>
      <c r="V107" s="678">
        <v>1</v>
      </c>
      <c r="W107" s="679"/>
      <c r="X107" s="673">
        <v>45</v>
      </c>
      <c r="Y107" s="673"/>
      <c r="Z107" s="674">
        <v>100</v>
      </c>
      <c r="AA107" s="672"/>
      <c r="AB107" s="675" t="s">
        <v>44</v>
      </c>
      <c r="AC107" s="675" t="s">
        <v>44</v>
      </c>
      <c r="AD107" s="672">
        <v>56.276053728578049</v>
      </c>
      <c r="AE107" s="672"/>
      <c r="AF107" s="675" t="s">
        <v>44</v>
      </c>
      <c r="AG107" s="676" t="s">
        <v>44</v>
      </c>
      <c r="AH107" s="677">
        <v>56.276053728578049</v>
      </c>
      <c r="AI107" s="672"/>
      <c r="AJ107" s="675" t="s">
        <v>44</v>
      </c>
      <c r="AK107" s="676" t="s">
        <v>44</v>
      </c>
      <c r="AL107" s="672">
        <v>0</v>
      </c>
      <c r="AM107" s="672"/>
      <c r="AN107" s="675" t="s">
        <v>44</v>
      </c>
      <c r="AO107" s="676" t="s">
        <v>44</v>
      </c>
      <c r="AP107" s="678">
        <v>1</v>
      </c>
      <c r="AQ107" s="679"/>
      <c r="AR107" s="673">
        <v>40</v>
      </c>
      <c r="AS107" s="673">
        <f>PLĀNS_ar_grozījumiem!AS107-'plans (27122022)'!AS106</f>
        <v>0</v>
      </c>
      <c r="AT107" s="674">
        <f>PLĀNS_ar_grozījumiem!AT107-'plans (27122022)'!AT106</f>
        <v>-99</v>
      </c>
      <c r="AU107" s="672">
        <f>PLĀNS_ar_grozījumiem!AU107-'plans (27122022)'!AU106</f>
        <v>0</v>
      </c>
      <c r="AV107" s="675" t="e">
        <f>PLĀNS_ar_grozījumiem!AV107-'plans (27122022)'!AV106</f>
        <v>#VALUE!</v>
      </c>
      <c r="AW107" s="675" t="e">
        <f>PLĀNS_ar_grozījumiem!AW107-'plans (27122022)'!AW106</f>
        <v>#VALUE!</v>
      </c>
      <c r="AX107" s="672">
        <f>PLĀNS_ar_grozījumiem!AX107-'plans (27122022)'!AX106</f>
        <v>0</v>
      </c>
      <c r="AY107" s="672">
        <f>PLĀNS_ar_grozījumiem!AY107-'plans (27122022)'!AY106</f>
        <v>0</v>
      </c>
      <c r="AZ107" s="675" t="e">
        <f>PLĀNS_ar_grozījumiem!AZ107-'plans (27122022)'!AZ106</f>
        <v>#VALUE!</v>
      </c>
      <c r="BA107" s="676" t="e">
        <f>PLĀNS_ar_grozījumiem!BA107-'plans (27122022)'!BA106</f>
        <v>#VALUE!</v>
      </c>
      <c r="BB107" s="677">
        <f>PLĀNS_ar_grozījumiem!BB107-'plans (27122022)'!BB106</f>
        <v>0</v>
      </c>
      <c r="BC107" s="672">
        <f>PLĀNS_ar_grozījumiem!BC107-'plans (27122022)'!BC106</f>
        <v>0</v>
      </c>
      <c r="BD107" s="675" t="e">
        <f>PLĀNS_ar_grozījumiem!BD107-'plans (27122022)'!BD106</f>
        <v>#VALUE!</v>
      </c>
      <c r="BE107" s="676" t="e">
        <f>PLĀNS_ar_grozījumiem!BE107-'plans (27122022)'!BE106</f>
        <v>#VALUE!</v>
      </c>
      <c r="BF107" s="672">
        <f>PLĀNS_ar_grozījumiem!BF107-'plans (27122022)'!BF106</f>
        <v>0</v>
      </c>
      <c r="BG107" s="672">
        <f>PLĀNS_ar_grozījumiem!BG107-'plans (27122022)'!BG106</f>
        <v>0</v>
      </c>
      <c r="BH107" s="675" t="e">
        <f>PLĀNS_ar_grozījumiem!BH107-'plans (27122022)'!BH106</f>
        <v>#VALUE!</v>
      </c>
      <c r="BI107" s="676" t="e">
        <f>PLĀNS_ar_grozījumiem!BI107-'plans (27122022)'!BI106</f>
        <v>#VALUE!</v>
      </c>
      <c r="BJ107" s="678">
        <f>PLĀNS_ar_grozījumiem!BJ107-'plans (27122022)'!BJ106</f>
        <v>0.25057897174617882</v>
      </c>
      <c r="BK107" s="679">
        <f>PLĀNS_ar_grozījumiem!BK107-'plans (27122022)'!BK106</f>
        <v>0</v>
      </c>
      <c r="BL107" s="673">
        <f>PLĀNS_ar_grozījumiem!BL107-'plans (27122022)'!BL106</f>
        <v>0</v>
      </c>
      <c r="BM107" s="673">
        <f>PLĀNS_ar_grozījumiem!BM107-'plans (27122022)'!BM106</f>
        <v>0</v>
      </c>
      <c r="BN107" s="674">
        <f>PLĀNS_ar_grozījumiem!BN107-'plans (27122022)'!BN106</f>
        <v>-99</v>
      </c>
      <c r="BO107" s="672">
        <f>PLĀNS_ar_grozījumiem!BO107-'plans (27122022)'!BO106</f>
        <v>0</v>
      </c>
      <c r="BP107" s="675" t="e">
        <f>PLĀNS_ar_grozījumiem!BP107-'plans (27122022)'!BP106</f>
        <v>#VALUE!</v>
      </c>
      <c r="BQ107" s="675" t="e">
        <f>PLĀNS_ar_grozījumiem!BQ107-'plans (27122022)'!BQ106</f>
        <v>#VALUE!</v>
      </c>
      <c r="BR107" s="672">
        <f>PLĀNS_ar_grozījumiem!BR107-'plans (27122022)'!BR106</f>
        <v>-5.7897174617878022E-2</v>
      </c>
      <c r="BS107" s="672">
        <f>PLĀNS_ar_grozījumiem!BS107-'plans (27122022)'!BS106</f>
        <v>0</v>
      </c>
      <c r="BT107" s="675" t="e">
        <f>PLĀNS_ar_grozījumiem!BT107-'plans (27122022)'!BT106</f>
        <v>#VALUE!</v>
      </c>
      <c r="BU107" s="676" t="e">
        <f>PLĀNS_ar_grozījumiem!BU107-'plans (27122022)'!BU106</f>
        <v>#VALUE!</v>
      </c>
      <c r="BV107" s="677">
        <f>PLĀNS_ar_grozījumiem!BV107-'plans (27122022)'!BV106</f>
        <v>-5.7897174617878022E-2</v>
      </c>
      <c r="BW107" s="672">
        <f>PLĀNS_ar_grozījumiem!BW107-'plans (27122022)'!BW106</f>
        <v>0</v>
      </c>
      <c r="BX107" s="675" t="e">
        <f>PLĀNS_ar_grozījumiem!BX107-'plans (27122022)'!BX106</f>
        <v>#VALUE!</v>
      </c>
      <c r="BY107" s="676" t="e">
        <f>PLĀNS_ar_grozījumiem!BY107-'plans (27122022)'!BY106</f>
        <v>#VALUE!</v>
      </c>
      <c r="BZ107" s="672">
        <f>PLĀNS_ar_grozījumiem!BZ107-'plans (27122022)'!BZ106</f>
        <v>0</v>
      </c>
      <c r="CA107" s="672">
        <f>PLĀNS_ar_grozījumiem!CA107-'plans (27122022)'!CA106</f>
        <v>0</v>
      </c>
      <c r="CB107" s="675" t="e">
        <f>PLĀNS_ar_grozījumiem!CB107-'plans (27122022)'!CB106</f>
        <v>#VALUE!</v>
      </c>
      <c r="CC107" s="676" t="e">
        <f>PLĀNS_ar_grozījumiem!CC107-'plans (27122022)'!CC106</f>
        <v>#VALUE!</v>
      </c>
      <c r="CD107" s="678">
        <f>PLĀNS_ar_grozījumiem!CD107-'plans (27122022)'!CD106</f>
        <v>0.25</v>
      </c>
      <c r="CE107" s="679">
        <f>PLĀNS_ar_grozījumiem!CE107-'plans (27122022)'!CE106</f>
        <v>0</v>
      </c>
      <c r="CF107" s="680">
        <f>PLĀNS_ar_grozījumiem!CF107-'plans (27122022)'!CF106</f>
        <v>0</v>
      </c>
      <c r="CG107" s="672">
        <f>PLĀNS_ar_grozījumiem!CG107-'plans (27122022)'!CG106</f>
        <v>0</v>
      </c>
      <c r="CH107" s="673">
        <f>PLĀNS_ar_grozījumiem!CH107-'plans (27122022)'!CH106</f>
        <v>-99</v>
      </c>
      <c r="CI107" s="672">
        <f>PLĀNS_ar_grozījumiem!CI107-'plans (27122022)'!CI106</f>
        <v>0</v>
      </c>
      <c r="CJ107" s="675" t="e">
        <f>PLĀNS_ar_grozījumiem!CJ107-'plans (27122022)'!CJ106</f>
        <v>#VALUE!</v>
      </c>
      <c r="CK107" s="676" t="e">
        <f>PLĀNS_ar_grozījumiem!CK107-'plans (27122022)'!CK106</f>
        <v>#VALUE!</v>
      </c>
      <c r="CL107" s="672">
        <f>PLĀNS_ar_grozījumiem!CL107-'plans (27122022)'!CL106</f>
        <v>-5.7897174617892233E-2</v>
      </c>
      <c r="CM107" s="672">
        <f>PLĀNS_ar_grozījumiem!CM107-'plans (27122022)'!CM106</f>
        <v>0</v>
      </c>
      <c r="CN107" s="675" t="e">
        <f>PLĀNS_ar_grozījumiem!CN107-'plans (27122022)'!CN106</f>
        <v>#VALUE!</v>
      </c>
      <c r="CO107" s="676" t="e">
        <f>PLĀNS_ar_grozījumiem!CO107-'plans (27122022)'!CO106</f>
        <v>#VALUE!</v>
      </c>
      <c r="CP107" s="672">
        <f>PLĀNS_ar_grozījumiem!CP107-'plans (27122022)'!CP106</f>
        <v>-5.7897174617892233E-2</v>
      </c>
      <c r="CQ107" s="672">
        <f>PLĀNS_ar_grozījumiem!CQ107-'plans (27122022)'!CQ106</f>
        <v>0</v>
      </c>
      <c r="CR107" s="675" t="e">
        <f>PLĀNS_ar_grozījumiem!CR107-'plans (27122022)'!CR106</f>
        <v>#VALUE!</v>
      </c>
      <c r="CS107" s="676" t="e">
        <f>PLĀNS_ar_grozījumiem!CS107-'plans (27122022)'!CS106</f>
        <v>#VALUE!</v>
      </c>
      <c r="CT107" s="672">
        <f>PLĀNS_ar_grozījumiem!CT107-'plans (27122022)'!CT106</f>
        <v>0</v>
      </c>
      <c r="CU107" s="672">
        <f>PLĀNS_ar_grozījumiem!CU107-'plans (27122022)'!CU106</f>
        <v>0</v>
      </c>
      <c r="CV107" s="675" t="e">
        <f>PLĀNS_ar_grozījumiem!CV107-'plans (27122022)'!CV106</f>
        <v>#VALUE!</v>
      </c>
      <c r="CW107" s="676" t="e">
        <f>PLĀNS_ar_grozījumiem!CW107-'plans (27122022)'!CW106</f>
        <v>#VALUE!</v>
      </c>
      <c r="CX107" s="678">
        <f>PLĀNS_ar_grozījumiem!CX107-'plans (27122022)'!CX106</f>
        <v>-2.2704774359949553E-4</v>
      </c>
      <c r="CY107" s="681">
        <f>PLĀNS_ar_grozījumiem!CY107-'plans (27122022)'!CY106</f>
        <v>0</v>
      </c>
      <c r="CZ107" s="682">
        <f t="shared" si="30"/>
        <v>115</v>
      </c>
      <c r="DA107" s="673">
        <f t="shared" si="30"/>
        <v>0</v>
      </c>
      <c r="DB107" s="683"/>
      <c r="DC107" s="684"/>
      <c r="DD107" s="685">
        <f t="shared" si="31"/>
        <v>143.81658175081057</v>
      </c>
      <c r="DE107" s="686">
        <f t="shared" si="31"/>
        <v>0</v>
      </c>
      <c r="DF107" s="686" t="e">
        <f t="shared" si="31"/>
        <v>#VALUE!</v>
      </c>
      <c r="DG107" s="687" t="e">
        <f t="shared" si="31"/>
        <v>#VALUE!</v>
      </c>
      <c r="DH107" s="685">
        <f t="shared" si="31"/>
        <v>143.81658175081057</v>
      </c>
      <c r="DI107" s="686">
        <f t="shared" si="31"/>
        <v>0</v>
      </c>
      <c r="DJ107" s="686" t="e">
        <f t="shared" si="31"/>
        <v>#VALUE!</v>
      </c>
      <c r="DK107" s="687" t="e">
        <f t="shared" si="31"/>
        <v>#VALUE!</v>
      </c>
      <c r="DL107" s="685">
        <f t="shared" si="31"/>
        <v>0</v>
      </c>
      <c r="DM107" s="687">
        <f t="shared" si="31"/>
        <v>0</v>
      </c>
      <c r="DN107" s="686" t="e">
        <f t="shared" si="31"/>
        <v>#VALUE!</v>
      </c>
      <c r="DO107" s="687" t="e">
        <f t="shared" si="31"/>
        <v>#VALUE!</v>
      </c>
      <c r="DP107" s="688">
        <f t="shared" si="33"/>
        <v>1</v>
      </c>
      <c r="DQ107" s="689" t="e">
        <f t="shared" si="32"/>
        <v>#DIV/0!</v>
      </c>
      <c r="DR107" s="690">
        <f>PLĀNS_ar_grozījumiem!CF107-'plans (27122022)'!CF106</f>
        <v>0</v>
      </c>
      <c r="DS107" s="971">
        <f>DR107/'plans (27122022)'!CF106</f>
        <v>0</v>
      </c>
      <c r="DT107" s="692">
        <f>PLĀNS_ar_grozījumiem!CL107-'plans (27122022)'!CL106</f>
        <v>-5.7897174617892233E-2</v>
      </c>
      <c r="DU107" s="972">
        <f>DT107/'plans (27122022)'!CL106</f>
        <v>-1.8155410312277316E-4</v>
      </c>
      <c r="DV107" s="672"/>
      <c r="DW107" s="691"/>
      <c r="DX107" s="677">
        <f>PLĀNS_ar_grozījumiem!CP107-'plans (27122022)'!CP106</f>
        <v>-5.7897174617892233E-2</v>
      </c>
      <c r="DY107" s="972">
        <f>DX107/'plans (27122022)'!CP106</f>
        <v>-1.8155410312277316E-4</v>
      </c>
      <c r="DZ107" s="672"/>
      <c r="EA107" s="691">
        <f>PLĀNS_ar_grozījumiem!CQ107-'plans (27122022)'!CQ106</f>
        <v>0</v>
      </c>
      <c r="EB107" s="677">
        <f>PLĀNS_ar_grozījumiem!CT107-'plans (27122022)'!CT106</f>
        <v>0</v>
      </c>
      <c r="EC107" s="674"/>
      <c r="ED107" s="672"/>
      <c r="EE107" s="691"/>
      <c r="EF107" s="693">
        <f>PLĀNS_ar_grozījumiem!CX107-'plans (27122022)'!CX106</f>
        <v>-2.2704774359949553E-4</v>
      </c>
      <c r="EG107" s="973">
        <f>EF107/'plans (27122022)'!CX106</f>
        <v>-1.8155410312270772E-4</v>
      </c>
      <c r="EH107" s="666"/>
    </row>
    <row r="108" spans="1:138" s="5" customFormat="1" ht="15.75" customHeight="1" x14ac:dyDescent="0.25">
      <c r="B108" s="791"/>
      <c r="C108" s="7"/>
      <c r="D108" s="8"/>
      <c r="E108" s="8"/>
      <c r="F108" s="9"/>
      <c r="G108" s="7"/>
      <c r="H108" s="792"/>
      <c r="I108" s="792"/>
      <c r="J108" s="7"/>
      <c r="K108" s="7"/>
      <c r="L108" s="792"/>
      <c r="M108" s="792"/>
      <c r="N108" s="7"/>
      <c r="O108" s="7"/>
      <c r="P108" s="792"/>
      <c r="Q108" s="792"/>
      <c r="R108" s="7"/>
      <c r="S108" s="7"/>
      <c r="T108" s="792"/>
      <c r="U108" s="792"/>
      <c r="V108" s="793"/>
      <c r="W108" s="793"/>
      <c r="X108" s="8"/>
      <c r="Y108" s="8"/>
      <c r="Z108" s="9"/>
      <c r="AA108" s="7"/>
      <c r="AB108" s="792"/>
      <c r="AC108" s="792"/>
      <c r="AD108" s="7"/>
      <c r="AE108" s="7"/>
      <c r="AF108" s="792"/>
      <c r="AG108" s="792"/>
      <c r="AH108" s="7"/>
      <c r="AI108" s="7"/>
      <c r="AJ108" s="792"/>
      <c r="AK108" s="792"/>
      <c r="AL108" s="7"/>
      <c r="AM108" s="7"/>
      <c r="AN108" s="792"/>
      <c r="AO108" s="792"/>
      <c r="AP108" s="793"/>
      <c r="AQ108" s="793"/>
      <c r="AR108" s="8"/>
      <c r="AS108" s="8"/>
      <c r="AT108" s="9"/>
      <c r="AU108" s="7"/>
      <c r="AV108" s="792"/>
      <c r="AW108" s="792"/>
      <c r="AX108" s="7"/>
      <c r="AY108" s="7"/>
      <c r="AZ108" s="792"/>
      <c r="BA108" s="792"/>
      <c r="BB108" s="7"/>
      <c r="BC108" s="7"/>
      <c r="BD108" s="792"/>
      <c r="BE108" s="792"/>
      <c r="BF108" s="7"/>
      <c r="BG108" s="7"/>
      <c r="BH108" s="792"/>
      <c r="BI108" s="792"/>
      <c r="BJ108" s="793"/>
      <c r="BK108" s="793"/>
      <c r="BL108" s="8"/>
      <c r="BM108" s="8"/>
      <c r="BN108" s="9"/>
      <c r="BO108" s="7"/>
      <c r="BP108" s="792"/>
      <c r="BQ108" s="792"/>
      <c r="BR108" s="7"/>
      <c r="BS108" s="7"/>
      <c r="BT108" s="792"/>
      <c r="BU108" s="792"/>
      <c r="BV108" s="7"/>
      <c r="BW108" s="7"/>
      <c r="BX108" s="792"/>
      <c r="BY108" s="792"/>
      <c r="BZ108" s="7"/>
      <c r="CA108" s="7"/>
      <c r="CB108" s="792"/>
      <c r="CC108" s="792"/>
      <c r="CD108" s="793"/>
      <c r="CE108" s="793"/>
      <c r="CF108" s="8"/>
      <c r="CG108" s="7"/>
      <c r="CH108" s="8"/>
      <c r="CI108" s="7"/>
      <c r="CJ108" s="792"/>
      <c r="CK108" s="792"/>
      <c r="CL108" s="7"/>
      <c r="CM108" s="7"/>
      <c r="CN108" s="792"/>
      <c r="CO108" s="792"/>
      <c r="CP108" s="7"/>
      <c r="CQ108" s="7"/>
      <c r="CR108" s="792"/>
      <c r="CS108" s="792"/>
      <c r="CT108" s="7"/>
      <c r="CU108" s="7"/>
      <c r="CV108" s="792"/>
      <c r="CW108" s="792"/>
      <c r="CX108" s="793"/>
      <c r="CY108"/>
      <c r="CZ108" s="7"/>
      <c r="DA108" s="8"/>
      <c r="DD108" s="7"/>
      <c r="DE108" s="7"/>
      <c r="DF108" s="7"/>
      <c r="DG108" s="7"/>
      <c r="DH108" s="7"/>
      <c r="DI108" s="7"/>
      <c r="DJ108" s="7"/>
      <c r="DK108" s="7"/>
      <c r="DL108" s="7"/>
      <c r="DM108" s="7"/>
      <c r="DN108" s="7"/>
      <c r="DO108" s="7"/>
      <c r="DP108" s="697"/>
      <c r="DQ108" s="697"/>
      <c r="DR108" s="9"/>
      <c r="DS108" s="9"/>
      <c r="DT108" s="7"/>
      <c r="DU108" s="9"/>
      <c r="DV108" s="7"/>
      <c r="DW108" s="9"/>
      <c r="DX108" s="7"/>
      <c r="DY108" s="9"/>
      <c r="DZ108" s="7"/>
      <c r="EA108" s="9"/>
      <c r="EB108" s="7"/>
      <c r="EC108" s="9"/>
      <c r="ED108" s="7"/>
      <c r="EE108" s="9"/>
      <c r="EF108" s="794"/>
      <c r="EG108" s="9"/>
    </row>
    <row r="109" spans="1:138" s="5" customFormat="1" ht="15.75" customHeight="1" x14ac:dyDescent="0.25">
      <c r="B109" s="791"/>
      <c r="C109" s="7"/>
      <c r="D109" s="8"/>
      <c r="E109" s="8"/>
      <c r="F109" s="9"/>
      <c r="G109" s="7"/>
      <c r="H109" s="792"/>
      <c r="I109" s="792"/>
      <c r="J109" s="7"/>
      <c r="K109" s="7"/>
      <c r="L109" s="792"/>
      <c r="M109" s="792"/>
      <c r="N109" s="7"/>
      <c r="O109" s="7"/>
      <c r="P109" s="792"/>
      <c r="Q109" s="792"/>
      <c r="R109" s="7"/>
      <c r="S109" s="7"/>
      <c r="T109" s="792"/>
      <c r="U109" s="792"/>
      <c r="V109" s="793"/>
      <c r="W109" s="793"/>
      <c r="X109" s="8"/>
      <c r="Y109" s="8"/>
      <c r="Z109" s="9"/>
      <c r="AA109" s="7"/>
      <c r="AB109" s="792"/>
      <c r="AC109" s="792"/>
      <c r="AD109" s="7"/>
      <c r="AE109" s="7"/>
      <c r="AF109" s="792"/>
      <c r="AG109" s="792"/>
      <c r="AH109" s="7"/>
      <c r="AI109" s="7"/>
      <c r="AJ109" s="792"/>
      <c r="AK109" s="792"/>
      <c r="AL109" s="7"/>
      <c r="AM109" s="7"/>
      <c r="AN109" s="792"/>
      <c r="AO109" s="792"/>
      <c r="AP109" s="793"/>
      <c r="AQ109" s="793"/>
      <c r="AR109" s="8"/>
      <c r="AS109" s="8"/>
      <c r="AT109" s="9"/>
      <c r="AU109" s="7"/>
      <c r="AV109" s="792"/>
      <c r="AW109" s="792"/>
      <c r="AX109" s="7"/>
      <c r="AY109" s="7"/>
      <c r="AZ109" s="792"/>
      <c r="BA109" s="792"/>
      <c r="BB109" s="7"/>
      <c r="BC109" s="7"/>
      <c r="BD109" s="792"/>
      <c r="BE109" s="792"/>
      <c r="BF109" s="7"/>
      <c r="BG109" s="7"/>
      <c r="BH109" s="792"/>
      <c r="BI109" s="792"/>
      <c r="BJ109" s="793"/>
      <c r="BK109" s="793"/>
      <c r="BL109" s="8"/>
      <c r="BM109" s="8"/>
      <c r="BN109" s="9"/>
      <c r="BO109" s="7"/>
      <c r="BP109" s="792"/>
      <c r="BQ109" s="792"/>
      <c r="BR109" s="7"/>
      <c r="BS109" s="7"/>
      <c r="BT109" s="792"/>
      <c r="BU109" s="792"/>
      <c r="BV109" s="7"/>
      <c r="BW109" s="7"/>
      <c r="BX109" s="792"/>
      <c r="BY109" s="792"/>
      <c r="BZ109" s="7"/>
      <c r="CA109" s="7"/>
      <c r="CB109" s="792"/>
      <c r="CC109" s="792"/>
      <c r="CD109" s="793"/>
      <c r="CE109" s="793"/>
      <c r="CF109" s="8"/>
      <c r="CG109" s="7"/>
      <c r="CH109" s="8"/>
      <c r="CI109" s="7"/>
      <c r="CJ109" s="792"/>
      <c r="CK109" s="792"/>
      <c r="CL109" s="7"/>
      <c r="CM109" s="7"/>
      <c r="CN109" s="792"/>
      <c r="CO109" s="792"/>
      <c r="CP109" s="7"/>
      <c r="CQ109" s="7"/>
      <c r="CR109" s="792"/>
      <c r="CS109" s="792"/>
      <c r="CT109" s="7"/>
      <c r="CU109" s="7"/>
      <c r="CV109" s="792"/>
      <c r="CW109" s="792"/>
      <c r="CX109" s="793"/>
      <c r="CY109"/>
      <c r="CZ109" s="7"/>
      <c r="DA109" s="8"/>
      <c r="DD109" s="7"/>
      <c r="DE109" s="7"/>
      <c r="DF109" s="7"/>
      <c r="DG109" s="7"/>
      <c r="DH109" s="7"/>
      <c r="DI109" s="7"/>
      <c r="DJ109" s="7"/>
      <c r="DK109" s="7"/>
      <c r="DL109" s="7"/>
      <c r="DM109" s="7"/>
      <c r="DN109" s="7"/>
      <c r="DO109" s="7"/>
      <c r="DP109" s="697"/>
      <c r="DQ109" s="697"/>
      <c r="DR109" s="9"/>
      <c r="DS109" s="9"/>
      <c r="DT109" s="7"/>
      <c r="DU109" s="9"/>
      <c r="DV109" s="7"/>
      <c r="DW109" s="9"/>
      <c r="DX109" s="7"/>
      <c r="DY109" s="9"/>
      <c r="DZ109" s="7"/>
      <c r="EA109" s="9"/>
      <c r="EB109" s="7"/>
      <c r="EC109" s="9"/>
      <c r="ED109" s="7"/>
      <c r="EE109" s="9"/>
      <c r="EF109" s="794"/>
      <c r="EG109" s="9"/>
    </row>
    <row r="110" spans="1:138" s="5" customFormat="1" ht="15.75" customHeight="1" x14ac:dyDescent="0.25">
      <c r="B110" s="791"/>
      <c r="C110" s="7"/>
      <c r="D110" s="8"/>
      <c r="E110" s="8"/>
      <c r="F110" s="9"/>
      <c r="G110" s="7"/>
      <c r="H110" s="792"/>
      <c r="I110" s="792"/>
      <c r="J110" s="7"/>
      <c r="K110" s="7"/>
      <c r="L110" s="792"/>
      <c r="M110" s="792"/>
      <c r="N110" s="7"/>
      <c r="O110" s="7"/>
      <c r="P110" s="792"/>
      <c r="Q110" s="792"/>
      <c r="R110" s="7"/>
      <c r="S110" s="7"/>
      <c r="T110" s="792"/>
      <c r="U110" s="792"/>
      <c r="V110" s="793"/>
      <c r="W110" s="793"/>
      <c r="X110" s="8"/>
      <c r="Y110" s="8"/>
      <c r="Z110" s="9"/>
      <c r="AA110" s="7"/>
      <c r="AB110" s="792"/>
      <c r="AC110" s="792"/>
      <c r="AD110" s="7"/>
      <c r="AE110" s="7"/>
      <c r="AF110" s="792"/>
      <c r="AG110" s="792"/>
      <c r="AH110" s="7"/>
      <c r="AI110" s="7"/>
      <c r="AJ110" s="792"/>
      <c r="AK110" s="792"/>
      <c r="AL110" s="7"/>
      <c r="AM110" s="7"/>
      <c r="AN110" s="792"/>
      <c r="AO110" s="792"/>
      <c r="AP110" s="793"/>
      <c r="AQ110" s="793"/>
      <c r="AR110" s="8"/>
      <c r="AS110" s="8"/>
      <c r="AT110" s="9"/>
      <c r="AU110" s="7"/>
      <c r="AV110" s="792"/>
      <c r="AW110" s="792"/>
      <c r="AX110" s="7"/>
      <c r="AY110" s="7"/>
      <c r="AZ110" s="792"/>
      <c r="BA110" s="792"/>
      <c r="BB110" s="7"/>
      <c r="BC110" s="7"/>
      <c r="BD110" s="792"/>
      <c r="BE110" s="792"/>
      <c r="BF110" s="7"/>
      <c r="BG110" s="7"/>
      <c r="BH110" s="792"/>
      <c r="BI110" s="792"/>
      <c r="BJ110" s="793"/>
      <c r="BK110" s="793"/>
      <c r="BL110" s="8"/>
      <c r="BM110" s="8"/>
      <c r="BN110" s="9"/>
      <c r="BO110" s="7"/>
      <c r="BP110" s="792"/>
      <c r="BQ110" s="792"/>
      <c r="BR110" s="7"/>
      <c r="BS110" s="7"/>
      <c r="BT110" s="792"/>
      <c r="BU110" s="792"/>
      <c r="BV110" s="7"/>
      <c r="BW110" s="7"/>
      <c r="BX110" s="792"/>
      <c r="BY110" s="792"/>
      <c r="BZ110" s="7"/>
      <c r="CA110" s="7"/>
      <c r="CB110" s="792"/>
      <c r="CC110" s="792"/>
      <c r="CD110" s="793"/>
      <c r="CE110" s="793"/>
      <c r="CF110" s="8"/>
      <c r="CG110" s="7"/>
      <c r="CH110" s="8"/>
      <c r="CI110" s="7"/>
      <c r="CJ110" s="792"/>
      <c r="CK110" s="792"/>
      <c r="CL110" s="7"/>
      <c r="CM110" s="7"/>
      <c r="CN110" s="792"/>
      <c r="CO110" s="792"/>
      <c r="CP110" s="7"/>
      <c r="CQ110" s="7"/>
      <c r="CR110" s="792"/>
      <c r="CS110" s="792"/>
      <c r="CT110" s="7"/>
      <c r="CU110" s="7"/>
      <c r="CV110" s="792"/>
      <c r="CW110" s="792"/>
      <c r="CX110" s="793"/>
      <c r="CY110"/>
      <c r="CZ110" s="7"/>
      <c r="DA110" s="8"/>
      <c r="DD110" s="7"/>
      <c r="DE110" s="7"/>
      <c r="DF110" s="7"/>
      <c r="DG110" s="7"/>
      <c r="DH110" s="7"/>
      <c r="DI110" s="7"/>
      <c r="DJ110" s="7"/>
      <c r="DK110" s="7"/>
      <c r="DL110" s="7"/>
      <c r="DM110" s="7"/>
      <c r="DN110" s="7"/>
      <c r="DO110" s="7"/>
      <c r="DP110" s="697"/>
      <c r="DQ110" s="697"/>
      <c r="DR110" s="9"/>
      <c r="DS110" s="9"/>
      <c r="DT110" s="7"/>
      <c r="DU110" s="9"/>
      <c r="DV110" s="7"/>
      <c r="DW110" s="9"/>
      <c r="DX110" s="7"/>
      <c r="DY110" s="9"/>
      <c r="DZ110" s="7"/>
      <c r="EA110" s="9"/>
      <c r="EB110" s="7"/>
      <c r="EC110" s="9"/>
      <c r="ED110" s="7"/>
      <c r="EE110" s="9"/>
      <c r="EF110" s="794"/>
      <c r="EG110" s="9"/>
    </row>
    <row r="111" spans="1:138" s="5" customFormat="1" ht="15.75" customHeight="1" x14ac:dyDescent="0.25">
      <c r="B111" s="791"/>
      <c r="C111" s="7"/>
      <c r="D111" s="8"/>
      <c r="E111" s="8"/>
      <c r="F111" s="9"/>
      <c r="G111" s="7"/>
      <c r="H111" s="792"/>
      <c r="I111" s="792"/>
      <c r="J111" s="7"/>
      <c r="K111" s="7"/>
      <c r="L111" s="792"/>
      <c r="M111" s="792"/>
      <c r="N111" s="7"/>
      <c r="O111" s="7"/>
      <c r="P111" s="792"/>
      <c r="Q111" s="792"/>
      <c r="R111" s="7"/>
      <c r="S111" s="7"/>
      <c r="T111" s="792"/>
      <c r="U111" s="792"/>
      <c r="V111" s="793"/>
      <c r="W111" s="793"/>
      <c r="X111" s="8"/>
      <c r="Y111" s="8"/>
      <c r="Z111" s="9"/>
      <c r="AA111" s="7"/>
      <c r="AB111" s="792"/>
      <c r="AC111" s="792"/>
      <c r="AD111" s="7"/>
      <c r="AE111" s="7"/>
      <c r="AF111" s="792"/>
      <c r="AG111" s="792"/>
      <c r="AH111" s="7"/>
      <c r="AI111" s="7"/>
      <c r="AJ111" s="792"/>
      <c r="AK111" s="792"/>
      <c r="AL111" s="7"/>
      <c r="AM111" s="7"/>
      <c r="AN111" s="792"/>
      <c r="AO111" s="792"/>
      <c r="AP111" s="793"/>
      <c r="AQ111" s="793"/>
      <c r="AR111" s="8"/>
      <c r="AS111" s="8"/>
      <c r="AT111" s="9"/>
      <c r="AU111" s="7"/>
      <c r="AV111" s="792"/>
      <c r="AW111" s="792"/>
      <c r="AX111" s="7"/>
      <c r="AY111" s="7"/>
      <c r="AZ111" s="792"/>
      <c r="BA111" s="792"/>
      <c r="BB111" s="7"/>
      <c r="BC111" s="7"/>
      <c r="BD111" s="792"/>
      <c r="BE111" s="792"/>
      <c r="BF111" s="7"/>
      <c r="BG111" s="7"/>
      <c r="BH111" s="792"/>
      <c r="BI111" s="792"/>
      <c r="BJ111" s="793"/>
      <c r="BK111" s="793"/>
      <c r="BL111" s="8"/>
      <c r="BM111" s="8"/>
      <c r="BN111" s="9"/>
      <c r="BO111" s="7"/>
      <c r="BP111" s="792"/>
      <c r="BQ111" s="792"/>
      <c r="BR111" s="7"/>
      <c r="BS111" s="7"/>
      <c r="BT111" s="792"/>
      <c r="BU111" s="792"/>
      <c r="BV111" s="7"/>
      <c r="BW111" s="7"/>
      <c r="BX111" s="792"/>
      <c r="BY111" s="792"/>
      <c r="BZ111" s="7"/>
      <c r="CA111" s="7"/>
      <c r="CB111" s="792"/>
      <c r="CC111" s="792"/>
      <c r="CD111" s="793"/>
      <c r="CE111" s="793"/>
      <c r="CF111" s="8"/>
      <c r="CG111" s="7"/>
      <c r="CH111" s="8"/>
      <c r="CI111" s="7"/>
      <c r="CJ111" s="792"/>
      <c r="CK111" s="792"/>
      <c r="CL111" s="7"/>
      <c r="CM111" s="7"/>
      <c r="CN111" s="792"/>
      <c r="CO111" s="792"/>
      <c r="CP111" s="7"/>
      <c r="CQ111" s="7"/>
      <c r="CR111" s="792"/>
      <c r="CS111" s="792"/>
      <c r="CT111" s="7"/>
      <c r="CU111" s="7"/>
      <c r="CV111" s="792"/>
      <c r="CW111" s="792"/>
      <c r="CX111" s="793"/>
      <c r="CY111"/>
      <c r="CZ111" s="7"/>
      <c r="DA111" s="8"/>
      <c r="DD111" s="7"/>
      <c r="DE111" s="7"/>
      <c r="DF111" s="7"/>
      <c r="DG111" s="7"/>
      <c r="DH111" s="7"/>
      <c r="DI111" s="7"/>
      <c r="DJ111" s="7"/>
      <c r="DK111" s="7"/>
      <c r="DL111" s="7"/>
      <c r="DM111" s="7"/>
      <c r="DN111" s="7"/>
      <c r="DO111" s="7"/>
      <c r="DP111" s="697"/>
      <c r="DQ111" s="697"/>
      <c r="DR111" s="9"/>
      <c r="DS111" s="9"/>
      <c r="DT111" s="7"/>
      <c r="DU111" s="9"/>
      <c r="DV111" s="7"/>
      <c r="DW111" s="9"/>
      <c r="DX111" s="7"/>
      <c r="DY111" s="9"/>
      <c r="DZ111" s="7"/>
      <c r="EA111" s="9"/>
      <c r="EB111" s="7"/>
      <c r="EC111" s="9"/>
      <c r="ED111" s="7"/>
      <c r="EE111" s="9"/>
      <c r="EF111" s="794"/>
      <c r="EG111" s="9"/>
    </row>
    <row r="112" spans="1:138" ht="13.5" customHeight="1" x14ac:dyDescent="0.25">
      <c r="B112" s="5" t="s">
        <v>106</v>
      </c>
      <c r="D112" s="8"/>
      <c r="E112" s="8"/>
      <c r="I112" s="697"/>
      <c r="J112" s="697"/>
      <c r="K112" s="697"/>
      <c r="L112" s="697"/>
      <c r="M112" s="697"/>
      <c r="N112" s="697"/>
      <c r="P112" s="697"/>
      <c r="Q112" s="697"/>
      <c r="R112" s="697"/>
      <c r="S112" s="697"/>
      <c r="T112" s="697"/>
      <c r="V112" s="697"/>
      <c r="W112" s="697"/>
      <c r="X112" s="7"/>
      <c r="Y112" s="7"/>
      <c r="Z112" s="697"/>
      <c r="AA112" s="697"/>
      <c r="AB112" s="697"/>
      <c r="AC112" s="697"/>
      <c r="AD112" s="697"/>
      <c r="AE112" s="697"/>
      <c r="AF112" s="697"/>
      <c r="AG112" s="697"/>
      <c r="AJ112" s="697"/>
      <c r="AK112" s="697"/>
      <c r="AL112" s="697"/>
      <c r="AM112" s="697"/>
      <c r="AN112" s="697"/>
      <c r="AP112" s="697"/>
      <c r="AQ112" s="697"/>
      <c r="AR112" s="697"/>
      <c r="AS112" s="697"/>
      <c r="AT112" s="697"/>
      <c r="AU112" s="697"/>
      <c r="AV112" s="697"/>
      <c r="AW112" s="697"/>
      <c r="AX112" s="697"/>
      <c r="AY112" s="697"/>
      <c r="AZ112" s="697"/>
      <c r="BA112" s="697"/>
      <c r="BD112" s="697"/>
      <c r="BE112" s="697"/>
      <c r="BF112" s="697"/>
      <c r="BG112" s="697"/>
      <c r="BH112" s="697"/>
      <c r="BJ112" s="697"/>
      <c r="BK112" s="697"/>
      <c r="BL112" s="697"/>
      <c r="BM112" s="697"/>
      <c r="BN112" s="697"/>
      <c r="BO112" s="697"/>
      <c r="BP112" s="697"/>
      <c r="BQ112" s="697"/>
      <c r="BR112" s="697"/>
      <c r="BS112" s="697"/>
      <c r="BT112" s="697"/>
      <c r="BU112" s="697"/>
      <c r="BW112" s="697"/>
      <c r="BX112" s="697"/>
      <c r="BY112" s="697"/>
      <c r="BZ112" s="697"/>
      <c r="CA112" s="697"/>
      <c r="CB112" s="697"/>
      <c r="CC112" s="697"/>
      <c r="CD112" s="697"/>
      <c r="CE112" s="697"/>
      <c r="CG112" s="697"/>
      <c r="CH112" s="697"/>
      <c r="CI112" s="697"/>
      <c r="CJ112" s="697"/>
      <c r="CK112" s="697"/>
      <c r="CL112" s="697"/>
      <c r="CM112" s="697"/>
      <c r="CN112" s="697"/>
      <c r="CO112" s="697"/>
      <c r="CZ112" s="698"/>
      <c r="DA112" s="698"/>
      <c r="DD112" s="7"/>
      <c r="DE112" s="7"/>
      <c r="DF112" s="7"/>
      <c r="DG112" s="7"/>
      <c r="DH112" s="7"/>
      <c r="DI112" s="7"/>
      <c r="DJ112" s="7"/>
      <c r="DK112" s="7"/>
      <c r="DL112" s="7"/>
      <c r="DM112" s="7"/>
      <c r="DN112" s="7"/>
      <c r="DO112" s="7"/>
      <c r="DP112" s="697"/>
      <c r="DQ112" s="697"/>
    </row>
    <row r="113" spans="1:111" s="705" customFormat="1" ht="13" x14ac:dyDescent="0.3">
      <c r="A113" s="703"/>
      <c r="B113" s="704" t="s">
        <v>109</v>
      </c>
      <c r="K113" s="706"/>
      <c r="AD113" s="706"/>
      <c r="AE113" s="706"/>
      <c r="AI113" s="707"/>
      <c r="CF113" s="708"/>
    </row>
    <row r="114" spans="1:111" s="705" customFormat="1" ht="41.25" customHeight="1" x14ac:dyDescent="0.3">
      <c r="A114" s="703"/>
      <c r="B114" s="705" t="s">
        <v>110</v>
      </c>
      <c r="CF114" s="708"/>
      <c r="CZ114" s="710" t="s">
        <v>92</v>
      </c>
      <c r="DA114" s="711">
        <f>DA101-DA72-DA78-DA84</f>
        <v>0</v>
      </c>
      <c r="DB114" s="711"/>
      <c r="DC114" s="711"/>
      <c r="DD114" s="711" t="s">
        <v>93</v>
      </c>
      <c r="DE114" s="711">
        <f>DE101-DE72-DE78-DE84</f>
        <v>0</v>
      </c>
      <c r="DF114" s="708"/>
      <c r="DG114" s="708"/>
    </row>
    <row r="115" spans="1:111" s="705" customFormat="1" ht="13" x14ac:dyDescent="0.3">
      <c r="A115" s="703"/>
      <c r="CF115" s="708"/>
      <c r="CZ115" s="710"/>
      <c r="DA115" s="711"/>
      <c r="DB115" s="710"/>
      <c r="DC115" s="710"/>
      <c r="DD115" s="710"/>
      <c r="DE115" s="711"/>
    </row>
    <row r="116" spans="1:111" s="705" customFormat="1" ht="13" x14ac:dyDescent="0.3">
      <c r="A116" s="703"/>
      <c r="B116" s="705" t="s">
        <v>94</v>
      </c>
      <c r="CF116" s="708"/>
      <c r="CZ116" s="710"/>
      <c r="DA116" s="711">
        <f>DA103-DA73-DA79-DA85</f>
        <v>0</v>
      </c>
      <c r="DB116" s="710"/>
      <c r="DC116" s="710"/>
      <c r="DD116" s="710"/>
      <c r="DE116" s="711">
        <f>DE103-DE73-DE79-DE85</f>
        <v>0</v>
      </c>
    </row>
    <row r="117" spans="1:111" s="705" customFormat="1" ht="13" x14ac:dyDescent="0.3">
      <c r="A117" s="703"/>
      <c r="CF117" s="708"/>
      <c r="CZ117" s="710"/>
      <c r="DA117" s="711">
        <f>DA104-DA74-DA80-DA86</f>
        <v>0</v>
      </c>
      <c r="DB117" s="710"/>
      <c r="DC117" s="710"/>
      <c r="DD117" s="710"/>
      <c r="DE117" s="711">
        <f>DE104-DE74-DE80-DE86</f>
        <v>0</v>
      </c>
    </row>
    <row r="118" spans="1:111" s="705" customFormat="1" ht="13" x14ac:dyDescent="0.3">
      <c r="A118" s="703"/>
      <c r="B118" s="712" t="s">
        <v>95</v>
      </c>
      <c r="C118" s="712"/>
      <c r="D118" s="712"/>
      <c r="E118" s="712"/>
      <c r="F118" s="712"/>
      <c r="G118" s="712"/>
      <c r="H118" s="712"/>
      <c r="I118" s="712"/>
      <c r="J118" s="712"/>
      <c r="K118" s="712"/>
      <c r="L118" s="712"/>
      <c r="M118" s="712"/>
      <c r="N118" s="712"/>
      <c r="O118" s="712"/>
      <c r="P118" s="712"/>
      <c r="Q118" s="712"/>
      <c r="R118" s="712"/>
      <c r="S118" s="712"/>
      <c r="T118" s="712"/>
      <c r="U118" s="712"/>
      <c r="V118" s="712"/>
      <c r="W118" s="712"/>
      <c r="X118" s="712"/>
      <c r="CF118" s="708"/>
    </row>
    <row r="119" spans="1:111" s="705" customFormat="1" ht="12.75" customHeight="1" x14ac:dyDescent="0.3">
      <c r="A119" s="703"/>
      <c r="B119" s="1074" t="s">
        <v>96</v>
      </c>
      <c r="C119" s="1074"/>
      <c r="D119" s="1074"/>
      <c r="E119" s="1074"/>
      <c r="F119" s="1074"/>
      <c r="G119" s="1074"/>
      <c r="H119" s="1074"/>
      <c r="I119" s="1074"/>
      <c r="J119" s="1074"/>
      <c r="K119" s="1074"/>
      <c r="L119" s="1074"/>
      <c r="M119" s="1074"/>
      <c r="N119" s="1074"/>
      <c r="O119" s="1074"/>
      <c r="P119" s="712"/>
      <c r="Q119" s="712"/>
      <c r="R119" s="712"/>
      <c r="S119" s="712"/>
      <c r="T119" s="712"/>
      <c r="U119" s="712"/>
      <c r="V119" s="712"/>
      <c r="W119" s="712"/>
      <c r="X119" s="712"/>
      <c r="CF119" s="708"/>
    </row>
    <row r="120" spans="1:111" s="714" customFormat="1" ht="12.75" customHeight="1" x14ac:dyDescent="0.3">
      <c r="A120" s="713"/>
      <c r="B120" s="1064" t="s">
        <v>97</v>
      </c>
      <c r="C120" s="1064"/>
      <c r="D120" s="1064"/>
      <c r="E120" s="1064"/>
      <c r="F120" s="1064"/>
      <c r="G120" s="1064"/>
      <c r="H120" s="1064"/>
      <c r="I120" s="1064"/>
      <c r="J120" s="1064"/>
      <c r="K120" s="1064"/>
      <c r="L120" s="1064"/>
      <c r="M120" s="1064"/>
      <c r="N120" s="1064"/>
      <c r="O120" s="1064"/>
      <c r="P120" s="1064"/>
      <c r="Q120" s="1064"/>
      <c r="R120" s="1064"/>
      <c r="S120" s="1064"/>
      <c r="T120" s="1064"/>
      <c r="U120" s="1064"/>
      <c r="V120" s="1064"/>
      <c r="W120" s="1064"/>
      <c r="X120" s="1064"/>
      <c r="CF120" s="715"/>
    </row>
    <row r="121" spans="1:111" s="705" customFormat="1" ht="12.75" customHeight="1" x14ac:dyDescent="0.3">
      <c r="A121" s="703"/>
      <c r="B121" s="1065" t="s">
        <v>98</v>
      </c>
      <c r="C121" s="1065"/>
      <c r="D121" s="1065"/>
      <c r="E121" s="1065"/>
      <c r="F121" s="1065"/>
      <c r="G121" s="1065"/>
      <c r="H121" s="1065"/>
      <c r="I121" s="1065"/>
      <c r="J121" s="1065"/>
      <c r="K121" s="717"/>
      <c r="L121" s="717"/>
      <c r="M121" s="717"/>
      <c r="N121" s="717"/>
      <c r="O121" s="717"/>
      <c r="P121" s="717"/>
      <c r="Q121" s="717"/>
      <c r="R121" s="717"/>
      <c r="S121" s="717"/>
      <c r="T121" s="717"/>
      <c r="U121" s="717"/>
      <c r="V121" s="717"/>
      <c r="W121" s="717"/>
      <c r="X121" s="717"/>
      <c r="CF121" s="708"/>
    </row>
    <row r="122" spans="1:111" s="714" customFormat="1" ht="14.5" x14ac:dyDescent="0.3">
      <c r="A122" s="713"/>
      <c r="B122" s="718" t="s">
        <v>99</v>
      </c>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CF122" s="715"/>
    </row>
    <row r="123" spans="1:111" s="705" customFormat="1" ht="13" x14ac:dyDescent="0.3">
      <c r="A123" s="703"/>
      <c r="B123" s="1066" t="s">
        <v>100</v>
      </c>
      <c r="C123" s="1066"/>
      <c r="D123" s="1066"/>
      <c r="E123" s="1066"/>
      <c r="F123" s="1066"/>
      <c r="G123" s="1066"/>
      <c r="H123" s="1066"/>
      <c r="I123" s="1066"/>
      <c r="J123" s="1066"/>
      <c r="K123" s="1066"/>
      <c r="L123" s="1066"/>
      <c r="M123" s="1066"/>
      <c r="N123" s="1066"/>
      <c r="O123" s="1066"/>
      <c r="P123" s="712"/>
      <c r="Q123" s="712"/>
      <c r="R123" s="712"/>
      <c r="S123" s="712"/>
      <c r="T123" s="712"/>
      <c r="U123" s="712"/>
      <c r="V123" s="712"/>
      <c r="W123" s="712"/>
      <c r="X123" s="712"/>
      <c r="CF123" s="708"/>
    </row>
    <row r="124" spans="1:111" s="705" customFormat="1" ht="15.75" customHeight="1" x14ac:dyDescent="0.3">
      <c r="A124" s="703"/>
      <c r="B124" s="1066" t="s">
        <v>101</v>
      </c>
      <c r="C124" s="1066"/>
      <c r="D124" s="1066"/>
      <c r="E124" s="1066"/>
      <c r="F124" s="1066"/>
      <c r="G124" s="719"/>
      <c r="H124" s="719"/>
      <c r="I124" s="716"/>
      <c r="J124" s="716"/>
      <c r="K124" s="716"/>
      <c r="L124" s="716"/>
      <c r="M124" s="716"/>
      <c r="N124" s="716"/>
      <c r="O124" s="716"/>
      <c r="P124" s="712"/>
      <c r="Q124" s="712"/>
      <c r="R124" s="712"/>
      <c r="S124" s="712"/>
      <c r="T124" s="712"/>
      <c r="U124" s="712"/>
      <c r="V124" s="712"/>
      <c r="W124" s="712"/>
      <c r="X124" s="712"/>
      <c r="CF124" s="708"/>
    </row>
    <row r="125" spans="1:111" s="705" customFormat="1" ht="14.25" customHeight="1" x14ac:dyDescent="0.3">
      <c r="A125" s="703"/>
      <c r="B125" s="1065" t="s">
        <v>102</v>
      </c>
      <c r="C125" s="1065"/>
      <c r="D125" s="1065"/>
      <c r="E125" s="1065"/>
      <c r="F125" s="1065"/>
      <c r="G125" s="716"/>
      <c r="H125" s="716"/>
      <c r="I125" s="716"/>
      <c r="J125" s="716"/>
      <c r="K125" s="716"/>
      <c r="L125" s="716"/>
      <c r="M125" s="716"/>
      <c r="N125" s="716"/>
      <c r="O125" s="716"/>
      <c r="P125" s="712"/>
      <c r="Q125" s="712"/>
      <c r="R125" s="712"/>
      <c r="S125" s="712"/>
      <c r="T125" s="712"/>
      <c r="U125" s="712"/>
      <c r="V125" s="712"/>
      <c r="W125" s="712"/>
      <c r="X125" s="712"/>
      <c r="CF125" s="708"/>
    </row>
    <row r="126" spans="1:111" s="705" customFormat="1" ht="13.15" customHeight="1" x14ac:dyDescent="0.3">
      <c r="A126" s="703"/>
      <c r="B126" s="1065" t="s">
        <v>103</v>
      </c>
      <c r="C126" s="1065"/>
      <c r="D126" s="1065"/>
      <c r="E126" s="1065"/>
      <c r="F126" s="1065"/>
      <c r="G126" s="716"/>
      <c r="H126" s="716"/>
      <c r="CF126" s="708"/>
    </row>
    <row r="127" spans="1:111" s="714" customFormat="1" ht="13.5" x14ac:dyDescent="0.3">
      <c r="A127" s="713"/>
      <c r="B127" s="1063" t="s">
        <v>104</v>
      </c>
      <c r="C127" s="1063"/>
      <c r="D127" s="1063"/>
      <c r="E127" s="1063"/>
      <c r="F127" s="1063"/>
      <c r="CF127" s="715"/>
    </row>
    <row r="128" spans="1:111" s="705" customFormat="1" ht="13" x14ac:dyDescent="0.3">
      <c r="A128" s="703"/>
      <c r="B128" s="716"/>
      <c r="C128" s="716"/>
      <c r="D128" s="716"/>
      <c r="E128" s="716"/>
      <c r="F128" s="716"/>
      <c r="CF128" s="708"/>
    </row>
  </sheetData>
  <mergeCells count="131">
    <mergeCell ref="CF7:CI8"/>
    <mergeCell ref="CJ7:CO8"/>
    <mergeCell ref="CP7:CY7"/>
    <mergeCell ref="CZ7:DC7"/>
    <mergeCell ref="B127:F127"/>
    <mergeCell ref="CN9:CO9"/>
    <mergeCell ref="CP9:CQ9"/>
    <mergeCell ref="CR9:CS9"/>
    <mergeCell ref="CT9:CU9"/>
    <mergeCell ref="CV9:CW9"/>
    <mergeCell ref="X7:AA8"/>
    <mergeCell ref="D9:E9"/>
    <mergeCell ref="F9:G9"/>
    <mergeCell ref="H9:I9"/>
    <mergeCell ref="J9:K9"/>
    <mergeCell ref="L9:M9"/>
    <mergeCell ref="B124:F124"/>
    <mergeCell ref="B125:F125"/>
    <mergeCell ref="B126:F126"/>
    <mergeCell ref="A77:A88"/>
    <mergeCell ref="A92:A96"/>
    <mergeCell ref="B119:O119"/>
    <mergeCell ref="AR7:AU8"/>
    <mergeCell ref="AV7:BA8"/>
    <mergeCell ref="AH8:AK8"/>
    <mergeCell ref="AL8:AO8"/>
    <mergeCell ref="DN9:DO9"/>
    <mergeCell ref="DX9:DY9"/>
    <mergeCell ref="DZ9:EA9"/>
    <mergeCell ref="EB9:EC9"/>
    <mergeCell ref="DR10:DS10"/>
    <mergeCell ref="DT10:DW10"/>
    <mergeCell ref="B120:X120"/>
    <mergeCell ref="B121:J121"/>
    <mergeCell ref="B123:O123"/>
    <mergeCell ref="EF10:EG10"/>
    <mergeCell ref="A13:A62"/>
    <mergeCell ref="A63:A65"/>
    <mergeCell ref="DR7:DS9"/>
    <mergeCell ref="DT7:EE7"/>
    <mergeCell ref="BJ8:BK9"/>
    <mergeCell ref="BV8:BY8"/>
    <mergeCell ref="P9:Q9"/>
    <mergeCell ref="R9:S9"/>
    <mergeCell ref="DL8:DO8"/>
    <mergeCell ref="DT8:DU9"/>
    <mergeCell ref="DV8:DW9"/>
    <mergeCell ref="AR9:AS9"/>
    <mergeCell ref="AT9:AU9"/>
    <mergeCell ref="AV9:AW9"/>
    <mergeCell ref="AX9:AY9"/>
    <mergeCell ref="AZ9:BA9"/>
    <mergeCell ref="BB9:BC9"/>
    <mergeCell ref="BT9:BU9"/>
    <mergeCell ref="ED9:EE9"/>
    <mergeCell ref="DX10:DY10"/>
    <mergeCell ref="DZ10:EA10"/>
    <mergeCell ref="EB10:EC10"/>
    <mergeCell ref="ED10:EE10"/>
    <mergeCell ref="EF7:EG9"/>
    <mergeCell ref="N8:Q8"/>
    <mergeCell ref="R8:U8"/>
    <mergeCell ref="V8:W9"/>
    <mergeCell ref="AR6:BJ6"/>
    <mergeCell ref="BL6:CC6"/>
    <mergeCell ref="CF6:CW6"/>
    <mergeCell ref="DX8:EA8"/>
    <mergeCell ref="EB8:EE8"/>
    <mergeCell ref="BZ8:CC8"/>
    <mergeCell ref="CD8:CE9"/>
    <mergeCell ref="CP8:CS8"/>
    <mergeCell ref="CT8:CW8"/>
    <mergeCell ref="CX8:CY9"/>
    <mergeCell ref="CZ8:DA9"/>
    <mergeCell ref="CF9:CG9"/>
    <mergeCell ref="CH9:CI9"/>
    <mergeCell ref="CJ9:CK9"/>
    <mergeCell ref="CL9:CM9"/>
    <mergeCell ref="DP7:DQ9"/>
    <mergeCell ref="CZ6:DO6"/>
    <mergeCell ref="DR6:EG6"/>
    <mergeCell ref="BZ9:CA9"/>
    <mergeCell ref="DD7:DG7"/>
    <mergeCell ref="DH7:DO7"/>
    <mergeCell ref="DB8:DC9"/>
    <mergeCell ref="DD8:DE9"/>
    <mergeCell ref="BB7:BK7"/>
    <mergeCell ref="BL7:BO8"/>
    <mergeCell ref="BP7:BU8"/>
    <mergeCell ref="CB9:CC9"/>
    <mergeCell ref="BD9:BE9"/>
    <mergeCell ref="BF9:BG9"/>
    <mergeCell ref="BH9:BI9"/>
    <mergeCell ref="BL9:BM9"/>
    <mergeCell ref="BV7:CE7"/>
    <mergeCell ref="BV9:BW9"/>
    <mergeCell ref="BX9:BY9"/>
    <mergeCell ref="BB8:BE8"/>
    <mergeCell ref="BF8:BI8"/>
    <mergeCell ref="DH8:DK8"/>
    <mergeCell ref="DH9:DI9"/>
    <mergeCell ref="BR9:BS9"/>
    <mergeCell ref="BN9:BO9"/>
    <mergeCell ref="BP9:BQ9"/>
    <mergeCell ref="DF8:DG9"/>
    <mergeCell ref="DJ9:DK9"/>
    <mergeCell ref="DL9:DM9"/>
    <mergeCell ref="A2:S2"/>
    <mergeCell ref="A4:C4"/>
    <mergeCell ref="B6:B11"/>
    <mergeCell ref="C6:C11"/>
    <mergeCell ref="D6:W6"/>
    <mergeCell ref="X6:AQ6"/>
    <mergeCell ref="AB7:AG8"/>
    <mergeCell ref="AH7:AQ7"/>
    <mergeCell ref="AP8:AQ9"/>
    <mergeCell ref="N9:O9"/>
    <mergeCell ref="T9:U9"/>
    <mergeCell ref="X9:Y9"/>
    <mergeCell ref="Z9:AA9"/>
    <mergeCell ref="AB9:AC9"/>
    <mergeCell ref="AD9:AE9"/>
    <mergeCell ref="AF9:AG9"/>
    <mergeCell ref="AH9:AI9"/>
    <mergeCell ref="AJ9:AK9"/>
    <mergeCell ref="AL9:AM9"/>
    <mergeCell ref="AN9:AO9"/>
    <mergeCell ref="A7:A11"/>
    <mergeCell ref="D7:G8"/>
    <mergeCell ref="H7:M8"/>
    <mergeCell ref="N7:W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plans (27122022)</vt:lpstr>
      <vt:lpstr>PLĀNS_ar_grozījumiem</vt:lpstr>
      <vt:lpstr>Izmaiņas</vt:lpstr>
      <vt:lpstr>'plans (27122022)'!Print_Area</vt:lpstr>
      <vt:lpstr>'plans (27122022)'!Print_Titles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Irkle</dc:creator>
  <cp:lastModifiedBy>Solvita Batarāga</cp:lastModifiedBy>
  <dcterms:created xsi:type="dcterms:W3CDTF">2022-12-29T07:35:39Z</dcterms:created>
  <dcterms:modified xsi:type="dcterms:W3CDTF">2023-09-29T06:44:40Z</dcterms:modified>
</cp:coreProperties>
</file>