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olvita.bataraga\Desktop\Leemumi Padomes sedei\SP grozijumi\LR\"/>
    </mc:Choice>
  </mc:AlternateContent>
  <xr:revisionPtr revIDLastSave="0" documentId="8_{F875BE29-D2AE-403B-BF19-0E89FA684845}" xr6:coauthVersionLast="47" xr6:coauthVersionMax="47" xr10:uidLastSave="{00000000-0000-0000-0000-000000000000}"/>
  <bookViews>
    <workbookView xWindow="-110" yWindow="-110" windowWidth="19420" windowHeight="10420" xr2:uid="{00000000-000D-0000-FFFF-FFFF00000000}"/>
  </bookViews>
  <sheets>
    <sheet name="202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 i="1" l="1"/>
  <c r="P13" i="1"/>
  <c r="P14" i="1"/>
  <c r="P15" i="1"/>
  <c r="P16" i="1"/>
  <c r="P17" i="1"/>
  <c r="P18" i="1"/>
  <c r="P19" i="1"/>
  <c r="P20" i="1"/>
  <c r="P21" i="1"/>
  <c r="P22" i="1"/>
  <c r="P23" i="1"/>
  <c r="P24" i="1"/>
  <c r="P25" i="1"/>
  <c r="P28" i="1"/>
  <c r="P29" i="1"/>
  <c r="P31" i="1"/>
  <c r="P33" i="1"/>
  <c r="P34" i="1"/>
  <c r="P35" i="1"/>
  <c r="P36" i="1"/>
  <c r="P37" i="1"/>
  <c r="P38" i="1"/>
  <c r="P39" i="1"/>
  <c r="P40" i="1"/>
  <c r="P41" i="1"/>
  <c r="P42" i="1"/>
  <c r="P43" i="1"/>
  <c r="P44" i="1"/>
  <c r="P45" i="1"/>
  <c r="P46" i="1"/>
  <c r="P47" i="1"/>
  <c r="P48" i="1"/>
  <c r="P49" i="1"/>
  <c r="P50" i="1"/>
  <c r="P51" i="1"/>
  <c r="P52" i="1"/>
  <c r="P54" i="1"/>
  <c r="P55" i="1"/>
  <c r="P56" i="1"/>
  <c r="P57" i="1"/>
  <c r="P58" i="1"/>
  <c r="P60" i="1"/>
  <c r="P61" i="1"/>
  <c r="P63" i="1"/>
  <c r="P64" i="1"/>
  <c r="P65" i="1"/>
  <c r="P66" i="1"/>
  <c r="P67" i="1"/>
  <c r="P68" i="1"/>
  <c r="P69" i="1"/>
  <c r="P70" i="1"/>
  <c r="P71" i="1"/>
  <c r="P72" i="1"/>
  <c r="P73" i="1"/>
  <c r="P74" i="1"/>
  <c r="P75" i="1"/>
  <c r="P76" i="1"/>
  <c r="P78" i="1"/>
  <c r="P79" i="1"/>
  <c r="P80" i="1"/>
  <c r="P81" i="1"/>
  <c r="P82" i="1"/>
  <c r="P83" i="1"/>
  <c r="P84" i="1"/>
  <c r="P85" i="1"/>
  <c r="P87" i="1"/>
  <c r="P88" i="1"/>
  <c r="P90" i="1"/>
  <c r="P95" i="1"/>
  <c r="P96" i="1"/>
  <c r="P98" i="1"/>
  <c r="P99" i="1"/>
  <c r="P100" i="1"/>
  <c r="P101" i="1"/>
  <c r="P102" i="1"/>
  <c r="P103" i="1"/>
  <c r="P108" i="1"/>
  <c r="P109" i="1"/>
  <c r="P110" i="1"/>
  <c r="P111" i="1"/>
  <c r="P113" i="1"/>
  <c r="P115" i="1"/>
  <c r="P116" i="1"/>
  <c r="P117" i="1"/>
  <c r="P118" i="1"/>
  <c r="P10" i="1"/>
  <c r="I11" i="1" l="1"/>
  <c r="I22" i="1"/>
  <c r="G11" i="1"/>
  <c r="G22" i="1"/>
  <c r="L131" i="1" l="1"/>
  <c r="K131" i="1"/>
  <c r="L130" i="1"/>
  <c r="K130" i="1"/>
  <c r="K128" i="1"/>
  <c r="G128" i="1"/>
  <c r="C128" i="1"/>
  <c r="J127" i="1"/>
  <c r="I127" i="1"/>
  <c r="H127" i="1"/>
  <c r="G127" i="1"/>
  <c r="F127" i="1"/>
  <c r="E127" i="1"/>
  <c r="D127" i="1"/>
  <c r="C127" i="1"/>
  <c r="J126" i="1"/>
  <c r="H126" i="1"/>
  <c r="G126" i="1"/>
  <c r="G125" i="1" s="1"/>
  <c r="F126" i="1"/>
  <c r="E126" i="1"/>
  <c r="D126" i="1"/>
  <c r="C126" i="1"/>
  <c r="C125" i="1" s="1"/>
  <c r="K122" i="1"/>
  <c r="E122" i="1"/>
  <c r="L119" i="1"/>
  <c r="K119" i="1"/>
  <c r="L118" i="1"/>
  <c r="K118" i="1"/>
  <c r="N118" i="1" s="1"/>
  <c r="G118" i="1"/>
  <c r="L117" i="1"/>
  <c r="K117" i="1"/>
  <c r="N117" i="1" s="1"/>
  <c r="L116" i="1"/>
  <c r="K116" i="1"/>
  <c r="N116" i="1" s="1"/>
  <c r="N115" i="1"/>
  <c r="L115" i="1"/>
  <c r="K115" i="1"/>
  <c r="G115" i="1"/>
  <c r="L114" i="1"/>
  <c r="L113" i="1" s="1"/>
  <c r="L111" i="1" s="1"/>
  <c r="K114" i="1"/>
  <c r="K113" i="1"/>
  <c r="K111" i="1" s="1"/>
  <c r="N111" i="1" s="1"/>
  <c r="J113" i="1"/>
  <c r="I113" i="1"/>
  <c r="I111" i="1" s="1"/>
  <c r="I108" i="1" s="1"/>
  <c r="H113" i="1"/>
  <c r="G113" i="1"/>
  <c r="G111" i="1" s="1"/>
  <c r="F113" i="1"/>
  <c r="E113" i="1"/>
  <c r="E111" i="1" s="1"/>
  <c r="E108" i="1" s="1"/>
  <c r="D113" i="1"/>
  <c r="C113" i="1"/>
  <c r="C111" i="1" s="1"/>
  <c r="C108" i="1" s="1"/>
  <c r="L112" i="1"/>
  <c r="K112" i="1"/>
  <c r="J111" i="1"/>
  <c r="H111" i="1"/>
  <c r="F111" i="1"/>
  <c r="D111" i="1"/>
  <c r="L110" i="1"/>
  <c r="K110" i="1"/>
  <c r="K109" i="1" s="1"/>
  <c r="I110" i="1"/>
  <c r="G110" i="1"/>
  <c r="G109" i="1" s="1"/>
  <c r="L109" i="1"/>
  <c r="L108" i="1" s="1"/>
  <c r="J109" i="1"/>
  <c r="J108" i="1" s="1"/>
  <c r="I109" i="1"/>
  <c r="H109" i="1"/>
  <c r="H108" i="1" s="1"/>
  <c r="F109" i="1"/>
  <c r="F108" i="1" s="1"/>
  <c r="E109" i="1"/>
  <c r="D109" i="1"/>
  <c r="D108" i="1" s="1"/>
  <c r="C109" i="1"/>
  <c r="L107" i="1"/>
  <c r="L106" i="1" s="1"/>
  <c r="L105" i="1" s="1"/>
  <c r="K107" i="1"/>
  <c r="K106" i="1"/>
  <c r="J106" i="1"/>
  <c r="I106" i="1"/>
  <c r="G106" i="1"/>
  <c r="E106" i="1"/>
  <c r="D106" i="1"/>
  <c r="C106" i="1"/>
  <c r="K105" i="1"/>
  <c r="J105" i="1"/>
  <c r="I105" i="1"/>
  <c r="G105" i="1"/>
  <c r="E105" i="1"/>
  <c r="D105" i="1"/>
  <c r="C105" i="1"/>
  <c r="L104" i="1"/>
  <c r="K104" i="1"/>
  <c r="L103" i="1"/>
  <c r="K103" i="1"/>
  <c r="N103" i="1" s="1"/>
  <c r="N102" i="1"/>
  <c r="L102" i="1"/>
  <c r="K102" i="1"/>
  <c r="L101" i="1"/>
  <c r="K101" i="1"/>
  <c r="N101" i="1" s="1"/>
  <c r="L100" i="1"/>
  <c r="K100" i="1"/>
  <c r="K99" i="1" s="1"/>
  <c r="I100" i="1"/>
  <c r="G100" i="1"/>
  <c r="G99" i="1" s="1"/>
  <c r="G98" i="1" s="1"/>
  <c r="L99" i="1"/>
  <c r="L98" i="1" s="1"/>
  <c r="J99" i="1"/>
  <c r="I99" i="1"/>
  <c r="H99" i="1"/>
  <c r="H98" i="1" s="1"/>
  <c r="F99" i="1"/>
  <c r="E99" i="1"/>
  <c r="D99" i="1"/>
  <c r="D98" i="1" s="1"/>
  <c r="C99" i="1"/>
  <c r="J98" i="1"/>
  <c r="I98" i="1"/>
  <c r="F98" i="1"/>
  <c r="E98" i="1"/>
  <c r="C98" i="1"/>
  <c r="L97" i="1"/>
  <c r="K97" i="1"/>
  <c r="L96" i="1"/>
  <c r="K96" i="1"/>
  <c r="N96" i="1" s="1"/>
  <c r="I96" i="1"/>
  <c r="L95" i="1"/>
  <c r="K95" i="1"/>
  <c r="N95" i="1" s="1"/>
  <c r="L94" i="1"/>
  <c r="K94" i="1"/>
  <c r="L93" i="1"/>
  <c r="K93" i="1"/>
  <c r="J93" i="1"/>
  <c r="I93" i="1"/>
  <c r="H93" i="1"/>
  <c r="H82" i="1" s="1"/>
  <c r="G93" i="1"/>
  <c r="F93" i="1"/>
  <c r="E93" i="1"/>
  <c r="D93" i="1"/>
  <c r="C93" i="1"/>
  <c r="L92" i="1"/>
  <c r="K92" i="1"/>
  <c r="L91" i="1"/>
  <c r="K91" i="1"/>
  <c r="L90" i="1"/>
  <c r="K90" i="1"/>
  <c r="N90" i="1" s="1"/>
  <c r="I90" i="1"/>
  <c r="G90" i="1"/>
  <c r="L89" i="1"/>
  <c r="L88" i="1" s="1"/>
  <c r="K89" i="1"/>
  <c r="K88" i="1" s="1"/>
  <c r="N88" i="1" s="1"/>
  <c r="J88" i="1"/>
  <c r="J82" i="1" s="1"/>
  <c r="I88" i="1"/>
  <c r="H88" i="1"/>
  <c r="G88" i="1"/>
  <c r="F88" i="1"/>
  <c r="F82" i="1" s="1"/>
  <c r="E88" i="1"/>
  <c r="D88" i="1"/>
  <c r="C88" i="1"/>
  <c r="L87" i="1"/>
  <c r="I87" i="1"/>
  <c r="K87" i="1" s="1"/>
  <c r="N87" i="1" s="1"/>
  <c r="L86" i="1"/>
  <c r="L83" i="1" s="1"/>
  <c r="K86" i="1"/>
  <c r="L85" i="1"/>
  <c r="K85" i="1"/>
  <c r="N85" i="1" s="1"/>
  <c r="L84" i="1"/>
  <c r="K84" i="1"/>
  <c r="N84" i="1" s="1"/>
  <c r="J83" i="1"/>
  <c r="I83" i="1"/>
  <c r="I82" i="1" s="1"/>
  <c r="H83" i="1"/>
  <c r="G83" i="1"/>
  <c r="F83" i="1"/>
  <c r="E83" i="1"/>
  <c r="E82" i="1" s="1"/>
  <c r="D83" i="1"/>
  <c r="C83" i="1"/>
  <c r="L82" i="1"/>
  <c r="G82" i="1"/>
  <c r="D82" i="1"/>
  <c r="C82" i="1"/>
  <c r="L81" i="1"/>
  <c r="K81" i="1"/>
  <c r="I81" i="1"/>
  <c r="I80" i="1" s="1"/>
  <c r="G81" i="1"/>
  <c r="L80" i="1"/>
  <c r="J80" i="1"/>
  <c r="H80" i="1"/>
  <c r="G80" i="1"/>
  <c r="F80" i="1"/>
  <c r="E80" i="1"/>
  <c r="D80" i="1"/>
  <c r="C80" i="1"/>
  <c r="L79" i="1"/>
  <c r="K79" i="1"/>
  <c r="N79" i="1" s="1"/>
  <c r="I79" i="1"/>
  <c r="L78" i="1"/>
  <c r="K78" i="1"/>
  <c r="N78" i="1" s="1"/>
  <c r="I78" i="1"/>
  <c r="L77" i="1"/>
  <c r="K77" i="1"/>
  <c r="L76" i="1"/>
  <c r="I76" i="1"/>
  <c r="K76" i="1" s="1"/>
  <c r="K74" i="1" s="1"/>
  <c r="N74" i="1" s="1"/>
  <c r="N75" i="1"/>
  <c r="L75" i="1"/>
  <c r="K75" i="1"/>
  <c r="L74" i="1"/>
  <c r="J74" i="1"/>
  <c r="I74" i="1"/>
  <c r="H74" i="1"/>
  <c r="G74" i="1"/>
  <c r="F74" i="1"/>
  <c r="E74" i="1"/>
  <c r="D74" i="1"/>
  <c r="C74" i="1"/>
  <c r="L73" i="1"/>
  <c r="K73" i="1"/>
  <c r="L72" i="1"/>
  <c r="L71" i="1" s="1"/>
  <c r="K72" i="1"/>
  <c r="N72" i="1" s="1"/>
  <c r="J71" i="1"/>
  <c r="I71" i="1"/>
  <c r="H71" i="1"/>
  <c r="G71" i="1"/>
  <c r="F71" i="1"/>
  <c r="E71" i="1"/>
  <c r="D71" i="1"/>
  <c r="C71" i="1"/>
  <c r="L70" i="1"/>
  <c r="G70" i="1"/>
  <c r="K70" i="1" s="1"/>
  <c r="N70" i="1" s="1"/>
  <c r="L69" i="1"/>
  <c r="K69" i="1"/>
  <c r="N69" i="1" s="1"/>
  <c r="L68" i="1"/>
  <c r="K68" i="1"/>
  <c r="N68" i="1" s="1"/>
  <c r="L67" i="1"/>
  <c r="K67" i="1"/>
  <c r="N67" i="1" s="1"/>
  <c r="L66" i="1"/>
  <c r="I66" i="1"/>
  <c r="K66" i="1" s="1"/>
  <c r="K64" i="1" s="1"/>
  <c r="N64" i="1" s="1"/>
  <c r="N65" i="1"/>
  <c r="L65" i="1"/>
  <c r="K65" i="1"/>
  <c r="L64" i="1"/>
  <c r="J64" i="1"/>
  <c r="I64" i="1"/>
  <c r="H64" i="1"/>
  <c r="G64" i="1"/>
  <c r="F64" i="1"/>
  <c r="E64" i="1"/>
  <c r="D64" i="1"/>
  <c r="C64" i="1"/>
  <c r="L63" i="1"/>
  <c r="K63" i="1"/>
  <c r="N63" i="1" s="1"/>
  <c r="I63" i="1"/>
  <c r="G63" i="1"/>
  <c r="L62" i="1"/>
  <c r="K62" i="1"/>
  <c r="L61" i="1"/>
  <c r="K61" i="1"/>
  <c r="N61" i="1" s="1"/>
  <c r="N60" i="1"/>
  <c r="L60" i="1"/>
  <c r="K60" i="1"/>
  <c r="L59" i="1"/>
  <c r="K59" i="1"/>
  <c r="L58" i="1"/>
  <c r="K58" i="1"/>
  <c r="N58" i="1" s="1"/>
  <c r="N57" i="1"/>
  <c r="L57" i="1"/>
  <c r="G57" i="1"/>
  <c r="K57" i="1" s="1"/>
  <c r="L56" i="1"/>
  <c r="I56" i="1"/>
  <c r="G56" i="1"/>
  <c r="L55" i="1"/>
  <c r="J55" i="1"/>
  <c r="J47" i="1" s="1"/>
  <c r="J39" i="1" s="1"/>
  <c r="I55" i="1"/>
  <c r="H55" i="1"/>
  <c r="F55" i="1"/>
  <c r="F47" i="1" s="1"/>
  <c r="F39" i="1" s="1"/>
  <c r="E55" i="1"/>
  <c r="D55" i="1"/>
  <c r="C55" i="1"/>
  <c r="N54" i="1"/>
  <c r="L54" i="1"/>
  <c r="K54" i="1"/>
  <c r="L53" i="1"/>
  <c r="K53" i="1"/>
  <c r="L52" i="1"/>
  <c r="G52" i="1"/>
  <c r="L51" i="1"/>
  <c r="K51" i="1"/>
  <c r="N51" i="1" s="1"/>
  <c r="N50" i="1"/>
  <c r="L50" i="1"/>
  <c r="K50" i="1"/>
  <c r="I50" i="1"/>
  <c r="L49" i="1"/>
  <c r="J49" i="1"/>
  <c r="I49" i="1"/>
  <c r="H49" i="1"/>
  <c r="F49" i="1"/>
  <c r="E49" i="1"/>
  <c r="D49" i="1"/>
  <c r="C49" i="1"/>
  <c r="L48" i="1"/>
  <c r="L47" i="1" s="1"/>
  <c r="I48" i="1"/>
  <c r="K48" i="1" s="1"/>
  <c r="H47" i="1"/>
  <c r="D47" i="1"/>
  <c r="C47" i="1"/>
  <c r="L46" i="1"/>
  <c r="K46" i="1"/>
  <c r="I46" i="1"/>
  <c r="G46" i="1"/>
  <c r="L45" i="1"/>
  <c r="L44" i="1" s="1"/>
  <c r="L40" i="1" s="1"/>
  <c r="K45" i="1"/>
  <c r="N45" i="1" s="1"/>
  <c r="I45" i="1"/>
  <c r="J44" i="1"/>
  <c r="I44" i="1"/>
  <c r="H44" i="1"/>
  <c r="H40" i="1" s="1"/>
  <c r="H39" i="1" s="1"/>
  <c r="G44" i="1"/>
  <c r="F44" i="1"/>
  <c r="E44" i="1"/>
  <c r="D44" i="1"/>
  <c r="D40" i="1" s="1"/>
  <c r="D39" i="1" s="1"/>
  <c r="C44" i="1"/>
  <c r="L43" i="1"/>
  <c r="K43" i="1"/>
  <c r="L42" i="1"/>
  <c r="K42" i="1"/>
  <c r="N42" i="1" s="1"/>
  <c r="L41" i="1"/>
  <c r="J41" i="1"/>
  <c r="I41" i="1"/>
  <c r="I40" i="1" s="1"/>
  <c r="H41" i="1"/>
  <c r="G41" i="1"/>
  <c r="F41" i="1"/>
  <c r="E41" i="1"/>
  <c r="E40" i="1" s="1"/>
  <c r="D41" i="1"/>
  <c r="C41" i="1"/>
  <c r="J40" i="1"/>
  <c r="G40" i="1"/>
  <c r="F40" i="1"/>
  <c r="C40" i="1"/>
  <c r="C39" i="1"/>
  <c r="N38" i="1"/>
  <c r="L38" i="1"/>
  <c r="K38" i="1"/>
  <c r="N37" i="1"/>
  <c r="L37" i="1"/>
  <c r="K37" i="1"/>
  <c r="G37" i="1"/>
  <c r="N36" i="1"/>
  <c r="L36" i="1"/>
  <c r="K36" i="1"/>
  <c r="G36" i="1"/>
  <c r="N35" i="1"/>
  <c r="L35" i="1"/>
  <c r="K35" i="1"/>
  <c r="J35" i="1"/>
  <c r="I35" i="1"/>
  <c r="H35" i="1"/>
  <c r="G35" i="1"/>
  <c r="F35" i="1"/>
  <c r="E35" i="1"/>
  <c r="D35" i="1"/>
  <c r="C35" i="1"/>
  <c r="L34" i="1"/>
  <c r="L33" i="1" s="1"/>
  <c r="K34" i="1"/>
  <c r="K33" i="1" s="1"/>
  <c r="I34" i="1"/>
  <c r="G34" i="1"/>
  <c r="N33" i="1"/>
  <c r="J33" i="1"/>
  <c r="I33" i="1"/>
  <c r="H33" i="1"/>
  <c r="G33" i="1"/>
  <c r="F33" i="1"/>
  <c r="E33" i="1"/>
  <c r="E19" i="1" s="1"/>
  <c r="D33" i="1"/>
  <c r="C33" i="1"/>
  <c r="L32" i="1"/>
  <c r="K32" i="1"/>
  <c r="L31" i="1"/>
  <c r="I31" i="1"/>
  <c r="G31" i="1"/>
  <c r="L30" i="1"/>
  <c r="K30" i="1"/>
  <c r="N29" i="1"/>
  <c r="L29" i="1"/>
  <c r="K29" i="1"/>
  <c r="L28" i="1"/>
  <c r="K28" i="1"/>
  <c r="N28" i="1" s="1"/>
  <c r="I28" i="1"/>
  <c r="G28" i="1"/>
  <c r="L27" i="1"/>
  <c r="L23" i="1" s="1"/>
  <c r="K27" i="1"/>
  <c r="L26" i="1"/>
  <c r="K26" i="1"/>
  <c r="N25" i="1"/>
  <c r="L25" i="1"/>
  <c r="K25" i="1"/>
  <c r="G25" i="1"/>
  <c r="N24" i="1"/>
  <c r="L24" i="1"/>
  <c r="K24" i="1"/>
  <c r="K23" i="1"/>
  <c r="N23" i="1" s="1"/>
  <c r="J23" i="1"/>
  <c r="I23" i="1"/>
  <c r="H23" i="1"/>
  <c r="G23" i="1"/>
  <c r="F23" i="1"/>
  <c r="E23" i="1"/>
  <c r="D23" i="1"/>
  <c r="C23" i="1"/>
  <c r="L22" i="1"/>
  <c r="K22" i="1"/>
  <c r="I21" i="1"/>
  <c r="L21" i="1"/>
  <c r="J21" i="1"/>
  <c r="H21" i="1"/>
  <c r="H20" i="1" s="1"/>
  <c r="H19" i="1" s="1"/>
  <c r="G21" i="1"/>
  <c r="G20" i="1" s="1"/>
  <c r="G19" i="1" s="1"/>
  <c r="F21" i="1"/>
  <c r="E21" i="1"/>
  <c r="D21" i="1"/>
  <c r="D20" i="1" s="1"/>
  <c r="D19" i="1" s="1"/>
  <c r="C21" i="1"/>
  <c r="C20" i="1" s="1"/>
  <c r="C19" i="1" s="1"/>
  <c r="C18" i="1" s="1"/>
  <c r="C17" i="1" s="1"/>
  <c r="C16" i="1" s="1"/>
  <c r="C129" i="1" s="1"/>
  <c r="J20" i="1"/>
  <c r="F20" i="1"/>
  <c r="E20" i="1"/>
  <c r="J19" i="1"/>
  <c r="F19" i="1"/>
  <c r="F18" i="1" s="1"/>
  <c r="F17" i="1" s="1"/>
  <c r="F16" i="1" s="1"/>
  <c r="N15" i="1"/>
  <c r="L15" i="1"/>
  <c r="K15" i="1"/>
  <c r="N14" i="1"/>
  <c r="L14" i="1"/>
  <c r="K14" i="1"/>
  <c r="L13" i="1"/>
  <c r="L128" i="1" s="1"/>
  <c r="K13" i="1"/>
  <c r="N13" i="1" s="1"/>
  <c r="J13" i="1"/>
  <c r="J128" i="1" s="1"/>
  <c r="J125" i="1" s="1"/>
  <c r="I13" i="1"/>
  <c r="I128" i="1" s="1"/>
  <c r="H13" i="1"/>
  <c r="H128" i="1" s="1"/>
  <c r="H125" i="1" s="1"/>
  <c r="G13" i="1"/>
  <c r="F13" i="1"/>
  <c r="F128" i="1" s="1"/>
  <c r="F125" i="1" s="1"/>
  <c r="E13" i="1"/>
  <c r="E128" i="1" s="1"/>
  <c r="E125" i="1" s="1"/>
  <c r="D13" i="1"/>
  <c r="D128" i="1" s="1"/>
  <c r="D125" i="1" s="1"/>
  <c r="C13" i="1"/>
  <c r="L12" i="1"/>
  <c r="L127" i="1" s="1"/>
  <c r="K12" i="1"/>
  <c r="L11" i="1"/>
  <c r="L126" i="1" s="1"/>
  <c r="L125" i="1" s="1"/>
  <c r="K11" i="1"/>
  <c r="I126" i="1"/>
  <c r="L10" i="1"/>
  <c r="J10" i="1"/>
  <c r="G10" i="1"/>
  <c r="F10" i="1"/>
  <c r="E10" i="1"/>
  <c r="C10" i="1"/>
  <c r="F6" i="1"/>
  <c r="L39" i="1" l="1"/>
  <c r="L20" i="1"/>
  <c r="L19" i="1" s="1"/>
  <c r="L18" i="1" s="1"/>
  <c r="L17" i="1" s="1"/>
  <c r="L16" i="1" s="1"/>
  <c r="L129" i="1" s="1"/>
  <c r="G49" i="1"/>
  <c r="K52" i="1"/>
  <c r="K108" i="1"/>
  <c r="N108" i="1" s="1"/>
  <c r="N109" i="1"/>
  <c r="L121" i="1"/>
  <c r="N43" i="1"/>
  <c r="K41" i="1"/>
  <c r="K127" i="1"/>
  <c r="N12" i="1"/>
  <c r="J18" i="1"/>
  <c r="J17" i="1" s="1"/>
  <c r="J16" i="1" s="1"/>
  <c r="H18" i="1"/>
  <c r="H17" i="1" s="1"/>
  <c r="H16" i="1" s="1"/>
  <c r="H129" i="1" s="1"/>
  <c r="I20" i="1"/>
  <c r="I19" i="1" s="1"/>
  <c r="K80" i="1"/>
  <c r="N80" i="1" s="1"/>
  <c r="N81" i="1"/>
  <c r="G108" i="1"/>
  <c r="O11" i="1"/>
  <c r="K10" i="1"/>
  <c r="N11" i="1"/>
  <c r="K126" i="1"/>
  <c r="K125" i="1" s="1"/>
  <c r="F121" i="1"/>
  <c r="F129" i="1"/>
  <c r="K44" i="1"/>
  <c r="N44" i="1" s="1"/>
  <c r="N46" i="1"/>
  <c r="C121" i="1"/>
  <c r="D18" i="1"/>
  <c r="D17" i="1" s="1"/>
  <c r="D16" i="1" s="1"/>
  <c r="D129" i="1" s="1"/>
  <c r="D10" i="1"/>
  <c r="H10" i="1"/>
  <c r="I125" i="1"/>
  <c r="K21" i="1"/>
  <c r="N22" i="1"/>
  <c r="K31" i="1"/>
  <c r="N31" i="1" s="1"/>
  <c r="N48" i="1"/>
  <c r="E47" i="1"/>
  <c r="E39" i="1" s="1"/>
  <c r="E18" i="1" s="1"/>
  <c r="E17" i="1" s="1"/>
  <c r="E16" i="1" s="1"/>
  <c r="K56" i="1"/>
  <c r="G55" i="1"/>
  <c r="N66" i="1"/>
  <c r="N73" i="1"/>
  <c r="K71" i="1"/>
  <c r="N71" i="1" s="1"/>
  <c r="N76" i="1"/>
  <c r="K98" i="1"/>
  <c r="N98" i="1" s="1"/>
  <c r="N99" i="1"/>
  <c r="C6" i="1"/>
  <c r="I10" i="1"/>
  <c r="N34" i="1"/>
  <c r="I47" i="1"/>
  <c r="I39" i="1" s="1"/>
  <c r="K83" i="1"/>
  <c r="N100" i="1"/>
  <c r="N110" i="1"/>
  <c r="N113" i="1"/>
  <c r="E6" i="1" l="1"/>
  <c r="E129" i="1"/>
  <c r="E123" i="1"/>
  <c r="G122" i="1" s="1"/>
  <c r="E121" i="1"/>
  <c r="K55" i="1"/>
  <c r="N55" i="1" s="1"/>
  <c r="N56" i="1"/>
  <c r="G47" i="1"/>
  <c r="G39" i="1" s="1"/>
  <c r="G18" i="1" s="1"/>
  <c r="G17" i="1" s="1"/>
  <c r="G16" i="1" s="1"/>
  <c r="K40" i="1"/>
  <c r="N41" i="1"/>
  <c r="H121" i="1"/>
  <c r="H6" i="1"/>
  <c r="N10" i="1"/>
  <c r="J121" i="1"/>
  <c r="J129" i="1"/>
  <c r="J6" i="1"/>
  <c r="N21" i="1"/>
  <c r="K20" i="1"/>
  <c r="K82" i="1"/>
  <c r="N82" i="1" s="1"/>
  <c r="N83" i="1"/>
  <c r="D121" i="1"/>
  <c r="D6" i="1"/>
  <c r="I18" i="1"/>
  <c r="I17" i="1" s="1"/>
  <c r="I16" i="1" s="1"/>
  <c r="I129" i="1" s="1"/>
  <c r="L6" i="1"/>
  <c r="N52" i="1"/>
  <c r="K49" i="1"/>
  <c r="I6" i="1" l="1"/>
  <c r="N49" i="1"/>
  <c r="K47" i="1"/>
  <c r="N47" i="1" s="1"/>
  <c r="N20" i="1"/>
  <c r="K19" i="1"/>
  <c r="N40" i="1"/>
  <c r="K39" i="1"/>
  <c r="N39" i="1" s="1"/>
  <c r="G129" i="1"/>
  <c r="G6" i="1"/>
  <c r="G121" i="1"/>
  <c r="G123" i="1"/>
  <c r="I122" i="1" s="1"/>
  <c r="I123" i="1" s="1"/>
  <c r="I121" i="1"/>
  <c r="N19" i="1" l="1"/>
  <c r="K18" i="1"/>
  <c r="K17" i="1" l="1"/>
  <c r="N18" i="1"/>
  <c r="N17" i="1" l="1"/>
  <c r="K16" i="1"/>
  <c r="K129" i="1" l="1"/>
  <c r="N16" i="1"/>
  <c r="K121" i="1"/>
  <c r="K6" i="1"/>
</calcChain>
</file>

<file path=xl/sharedStrings.xml><?xml version="1.0" encoding="utf-8"?>
<sst xmlns="http://schemas.openxmlformats.org/spreadsheetml/2006/main" count="166" uniqueCount="155">
  <si>
    <t>Sabiedriskā pasūtījuma izstrādes, uzskaites un izpildes uzraudzības kārtības nolikuma</t>
  </si>
  <si>
    <t>Pielikums Nr. 2 "Plānotā un faktiskā naudas plūsma"</t>
  </si>
  <si>
    <t>VSIA "Latvijas Radio" plānotā un faktiskā naudas plūsma un darbības rādītāji</t>
  </si>
  <si>
    <t>2023.gadā</t>
  </si>
  <si>
    <t>EKK kods</t>
  </si>
  <si>
    <t>I ceturksnis</t>
  </si>
  <si>
    <t>II ceturksnis</t>
  </si>
  <si>
    <t>IIIceturksnis</t>
  </si>
  <si>
    <t>IV ceturksnis</t>
  </si>
  <si>
    <t>2023.gads</t>
  </si>
  <si>
    <t>Izmaiņas %</t>
  </si>
  <si>
    <t>Plāns</t>
  </si>
  <si>
    <t>Izpilde</t>
  </si>
  <si>
    <t>precizētais plāns</t>
  </si>
  <si>
    <t>sākotnējais plāns</t>
  </si>
  <si>
    <t>I. Finanšu rādītāji</t>
  </si>
  <si>
    <t>Ieņēmumi - kopā</t>
  </si>
  <si>
    <t>Valsts budžeta dotācija</t>
  </si>
  <si>
    <t>Transferts</t>
  </si>
  <si>
    <t>Pašu ieņēmumi no uzņēmējdarbības - kopā</t>
  </si>
  <si>
    <t>Tehnikas un telpu nomas ieņēmumi</t>
  </si>
  <si>
    <t>Citi ieņēmumi</t>
  </si>
  <si>
    <t>Izdevumi - kopā</t>
  </si>
  <si>
    <t>1000-4000 6000-7000</t>
  </si>
  <si>
    <t>Uzturēšanas izdevumi</t>
  </si>
  <si>
    <t>1000-2000</t>
  </si>
  <si>
    <t>Kārtējie izdevumi</t>
  </si>
  <si>
    <t>Atlīdzība</t>
  </si>
  <si>
    <t xml:space="preserve">Atalgojums </t>
  </si>
  <si>
    <t>Mēnešalga</t>
  </si>
  <si>
    <t>Pārējo darbinieku mēnešalga (darba alga)</t>
  </si>
  <si>
    <t>Piemaksas, prēmijas un naudas balvas</t>
  </si>
  <si>
    <t>Piemaksa par nakts darbu</t>
  </si>
  <si>
    <t>Samaksa par virsstundu darbu un darbu svētku dienās</t>
  </si>
  <si>
    <t>Piemaksa par darbu īpašos apstākļos, speciālas piemaksas</t>
  </si>
  <si>
    <t>Piemaksa par personisko darba ieguldījumu un darba kvalitāti</t>
  </si>
  <si>
    <t>Piemaksa par papildu darbu</t>
  </si>
  <si>
    <t>Prēmijas un naudas balvas</t>
  </si>
  <si>
    <t>Citas normatīvajos aktos noteiktās piemaksas, kas nav iepriekš klasificētas</t>
  </si>
  <si>
    <t>Atalgojums fiziskajām personām uz tiesiskās attiecības regulējošu dokumentu pamata</t>
  </si>
  <si>
    <t>Darba devēja piešķirtie labumi un maksājumi</t>
  </si>
  <si>
    <t>Darba devēja valsts sociālās apdrošināšanas obligātās iemaksas, pabalsti un kompensācijas</t>
  </si>
  <si>
    <t>Darba devēja valsts sociālās apdrošināšanas obligātās iemaksas</t>
  </si>
  <si>
    <t>Darba devēja pabalsti, kompensācijas un citi maksājumi</t>
  </si>
  <si>
    <t>Darba devēja pabalsti un kompensācijas, no kuriem aprēķina iedzīvotāju ienākuma nodokli un valsts sociālās apdrošināšanas obligātās iemaksas</t>
  </si>
  <si>
    <t>Darba devēja izdevumi veselības, dzīvības un nelaimes gadījumu apdrošināšanai</t>
  </si>
  <si>
    <t>Darba devēja pabalsti un kompensācijas, no kā neaprēķina iedzīvotāju ienākuma nodokli un valsts sociālās apdrošināšanas obligātās iemaksas</t>
  </si>
  <si>
    <t>Preces un pakalpojumi</t>
  </si>
  <si>
    <t>Mācību, darba un dienesta komandējumi, darba braucieni</t>
  </si>
  <si>
    <t>Iekšzemes mācību, darba un dienesta komandējumi, darba braucieni</t>
  </si>
  <si>
    <t>Dienas nauda</t>
  </si>
  <si>
    <t>Pārējie komandējumu un darba braucienu izdevumi</t>
  </si>
  <si>
    <t>Ārvalstu mācību, darba un dienesta komandējumi, darba braucieni</t>
  </si>
  <si>
    <t>Pakalpojumi</t>
  </si>
  <si>
    <t>Izdevumi par sakaru pakalpojumiem</t>
  </si>
  <si>
    <t>Izdevumi par komunālajiem pakalpojumiem</t>
  </si>
  <si>
    <t>Izdevumi par siltumenerģiju, tai skaitā apkuri</t>
  </si>
  <si>
    <t>Izdevumi par ūdeni un kanalizāciju</t>
  </si>
  <si>
    <t>Izdevumi par elektroenerģiju</t>
  </si>
  <si>
    <t xml:space="preserve">Izdevumi par atkritumu savākšanu, izvešanu no apdzīvotām vietām </t>
  </si>
  <si>
    <t>Izdevumi par pārējiem komunālajiem pakalpojumiem</t>
  </si>
  <si>
    <t>Iestādes administratīvie izdevumi un ar iestādes darbības nodrošināšanu saistītie izdevumi</t>
  </si>
  <si>
    <t>Administratīvie izdevumi un sabiedriskās attiecības</t>
  </si>
  <si>
    <t>Auditoru, tulku pakalpojumi, izdevumi par iestāžu pasūtītajiem pētījumiem</t>
  </si>
  <si>
    <t>Izdevumi par transporta pakalpojumiem</t>
  </si>
  <si>
    <t>Normatīvajos aktos noteiktie darba devēja veselības izdevumi darba ņēmējam</t>
  </si>
  <si>
    <t>Izdevumi par saņemtajiem apmācību pakalpojumiem</t>
  </si>
  <si>
    <t>Maksājumu pakalpojumi un komisijas</t>
  </si>
  <si>
    <t>Ārvalstīs strādājošo darbinieku dzīvokļa īres un komunālo izdevumu kompensācija</t>
  </si>
  <si>
    <t>Pārējie iestādes administratīvie izdevumi</t>
  </si>
  <si>
    <t>Remontdarbi un iestāžu uzturēšanas pakalpojumi (izņemot kapitālo remontu)</t>
  </si>
  <si>
    <t>Ēku, būvju un telpu kārtējais remonts</t>
  </si>
  <si>
    <t>Transportlīdzekļu uzturēšana un remonts</t>
  </si>
  <si>
    <t>Iekārtas, inventāra un aparatūras remonts, tehniskā apkalpošana</t>
  </si>
  <si>
    <t>Nekustamā īpašuma uzturēšana</t>
  </si>
  <si>
    <t>Apdrošināšanas izdevumi</t>
  </si>
  <si>
    <t>Pārējie remontdarbu un iestāžu uzturēšanas pakalpojumi</t>
  </si>
  <si>
    <t>Informācijas tehnoloģiju pakalpojumi</t>
  </si>
  <si>
    <t>Informācijas sistēmas uzturēšana</t>
  </si>
  <si>
    <t>Pārējie informācijas tehnoloģiju pakalpojumi</t>
  </si>
  <si>
    <t>Īre un noma</t>
  </si>
  <si>
    <t>Ēku, telpu īre un noma</t>
  </si>
  <si>
    <t>Transportlīdzekļu noma</t>
  </si>
  <si>
    <t>Zemes noma</t>
  </si>
  <si>
    <t>Iekārtu, aparatūras un inventāra īre un noma</t>
  </si>
  <si>
    <t>Pārējā noma</t>
  </si>
  <si>
    <t>Citi pakalpojumi</t>
  </si>
  <si>
    <t>Pārējie iepriekš neklasificētie pakalpojumu veidi</t>
  </si>
  <si>
    <t>Krājumi, materiāli, energoresursi, preces, biroja preces un inventārs, kurus neuzskaita kodā 5000</t>
  </si>
  <si>
    <t>Izdevumi par precēm iestādes darbības nodrošināšanai</t>
  </si>
  <si>
    <t>Biroja preces</t>
  </si>
  <si>
    <t>Inventārs</t>
  </si>
  <si>
    <t>Spectērpi</t>
  </si>
  <si>
    <t>Izdevumi par precēm iestādes administratīvās darbības nodrošināšanai un sabiedrisko attiecību īstenošanai</t>
  </si>
  <si>
    <t>Kurināmais un enerģētiskie materiāli</t>
  </si>
  <si>
    <t>Kurināmais</t>
  </si>
  <si>
    <t>Degviela</t>
  </si>
  <si>
    <t>Pārējie enerģētiskie materiāli</t>
  </si>
  <si>
    <t>Materiāli un izejvielas palīgražošanai</t>
  </si>
  <si>
    <t>Zāles, ķimikālijas, laboratorijas preces, medicīniskās ierīces, medicīnas instrumenti, laboratorijas dzīvnieki un to uzturēšana</t>
  </si>
  <si>
    <t>Zāles, ķimikālijas, laboratorijas preces</t>
  </si>
  <si>
    <t>Kārtējā remonta un iestāžu uzturēšanas materiāli</t>
  </si>
  <si>
    <t>Pārējās preces</t>
  </si>
  <si>
    <t>Izdevumi periodikas iegādei</t>
  </si>
  <si>
    <t>Budžeta iestāžu nodokļu, nodevu un sankciju maksājumi</t>
  </si>
  <si>
    <t>Budžeta iestāžu nodokļu un nodevu maksājumi</t>
  </si>
  <si>
    <t>Budžeta iestāžu pievienotās vērtības nodokļa maksājumi</t>
  </si>
  <si>
    <t>Budžeta iestāžu nekustamā īpašuma nodokļa (t.sk. Zemes nodokļa parāda) maksājumi budžetā</t>
  </si>
  <si>
    <t>Uzņēmuma ienākuma nodoklis</t>
  </si>
  <si>
    <t>Pārējie budžeta iestāžu pārskaitītie nodokļi un nodevas</t>
  </si>
  <si>
    <t>Maksājumi par budžeta iestādēm piemērotajām sankcijām</t>
  </si>
  <si>
    <t>Procentu izdevumi</t>
  </si>
  <si>
    <t>Procentu maksājumi iekšzemes kredītiestādēm</t>
  </si>
  <si>
    <t>Budžeta iestāžu līzinga procentu maksājumi</t>
  </si>
  <si>
    <t>Pamatkapitāla veidošana</t>
  </si>
  <si>
    <t>Nemateriālie ieguldījumi</t>
  </si>
  <si>
    <t>Licences, koncesijas un patenti, preču zīmes un līdzīgas tiesības</t>
  </si>
  <si>
    <t>Pamatlīdzekļi</t>
  </si>
  <si>
    <t>Tehnoloģiskās mašīnas un iekārtas</t>
  </si>
  <si>
    <t>Pārējie pamatlīdzekļi</t>
  </si>
  <si>
    <t>Transportlīdzekļi</t>
  </si>
  <si>
    <t>Datortehnika, sakaru un cita biroju tehnika</t>
  </si>
  <si>
    <t>Pārējie iepriekš neklasificētie pamatlīdzekļi</t>
  </si>
  <si>
    <t>Pamatlīdzekļu izveidošana un nepabeigtā būvniecība</t>
  </si>
  <si>
    <t>Kapitālais remonts un rekonstrukcija</t>
  </si>
  <si>
    <t>Ilgtermiņa ieguldījumi nomātajos pamatlīdzekļos</t>
  </si>
  <si>
    <t>Fiskālā bilance</t>
  </si>
  <si>
    <t>Naudas līdzekļu atlikumu izmaiņas: palielinājums (–) vai samazinājums (+)</t>
  </si>
  <si>
    <t>Naudas līdzekļu atlikums perioda sākumā:</t>
  </si>
  <si>
    <t>Naudas līdzekļu atlikums perioda beigās:</t>
  </si>
  <si>
    <t>II. Ieņēmumu un izdevumu ekonomiskais aprēķins</t>
  </si>
  <si>
    <t>Ieņēmumi kopā:</t>
  </si>
  <si>
    <t>Valsts Budžeta dotācija</t>
  </si>
  <si>
    <t>Transferts no kultūras ministrijas</t>
  </si>
  <si>
    <t>Pašu ieņēmumi</t>
  </si>
  <si>
    <t>Izdevumi kopā:</t>
  </si>
  <si>
    <t>Štata vietas</t>
  </si>
  <si>
    <t>Darbinieku skaits</t>
  </si>
  <si>
    <t>Uzņēmuma vadītājs: U.Klapkalne, Ģ.Helmanis, I.Aile</t>
  </si>
  <si>
    <t>Sagatavoja___________________________</t>
  </si>
  <si>
    <t>I.Rone 67206668</t>
  </si>
  <si>
    <t>DOKUMENTS PARAKSTĪTS AR DROŠU ELEKTRONISKO PARAKSTU UN SATURA LAIKA ZĪMOGU</t>
  </si>
  <si>
    <t xml:space="preserve"> Samaksa par virsstundu darbu un darbu svētku dienās- saistīts ar Pasaules hokeja čempionātu un DDS pasākumu atspoguļošanu, t.sk. veidojot papildus saturu arī svētku dienās;</t>
  </si>
  <si>
    <t xml:space="preserve"> Darba devēja pabalsti, kompensācijas un citi maksājumi. Tas specifiski saistīts ar lielāku kā sākotnēji (vidēji) plānots ilggadēju, Latvijas Radio nozīmīgu darbinieku skaita aiziešanu un pabalstu izmaksu, kā arī darbinieku veselības apdrošināšanas polišu sadārdzināšanos;</t>
  </si>
  <si>
    <t>Izdevumi par elektroenerģiju, kas tieši saistīts ar elektroenerģijas izmaksu sadārdzinājumu</t>
  </si>
  <si>
    <t xml:space="preserve"> Iestādes administratīvie izdevumi un ar iestādes darbības nodrošināšanu saistītie izdevumi – dažādi ar ārpakalpojumu izmantošanu saistītie izdevumi: papildus finansējuma darbinieku atlīdzības noteikšanai, IT audita funkciju pakalpojumi;</t>
  </si>
  <si>
    <t>Pārējie iestādes administratīvie izdevumi, 2260 – Īre un noma, 2310-Izdevumi par precēm iestādes darbības nodrošināšanai un 2390 – Pārējās preces. Palielinājumi pozīcijās ir tieši saistīti ar DDS projekta izmaksām;</t>
  </si>
  <si>
    <t>Pārējie remontdarbu un iestāžu uzturēšanas pakalpojumi, piegums saistīts ar papildus plānotiem remontdarbiem 3.studijā;</t>
  </si>
  <si>
    <t>Palielinājumi pozīcijās ir tieši saistīti ar DDS projekta izmaksām;</t>
  </si>
  <si>
    <t>Budžeta iestāžu pievienotās vērtības nodokļa maksājumi. Pieaugums  ir saistīts ar Radiomājas logu restaurācijas projekta celtniecības darbu reversā PVN aprēķinu;</t>
  </si>
  <si>
    <t>Pamatkapitāla veidošana. Būtiskās izmaiņas saistītas ar VISA “Latvijas Radio” kapitālieguldījumu plāna korekcijām, novirzot lielāku finansējumu infrastruktūras projektu finansēšanai.</t>
  </si>
  <si>
    <t>Saistībā ar karu Ukrainā, Ziņu dienesta darbinieks pastāvīgi atrodas komandējumā Ukrainā.</t>
  </si>
  <si>
    <t>Palielinājumi pozīcijās ir tieši saistīti ar DDS projekta izmaksām,</t>
  </si>
  <si>
    <t>Palielinājumi pozīcijās ir tieši saistīti ar DDS projekta izmaksām,precizēts izmaksu sadalījums pa EKK kodiem (kods 2231)</t>
  </si>
  <si>
    <t>Precizēts izmaksu sadalījums pa EKK kodiem (kods 2314)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</si>
</sst>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font>
      <sz val="11"/>
      <color theme="1"/>
      <name val="Calibri"/>
      <family val="2"/>
      <charset val="186"/>
      <scheme val="minor"/>
    </font>
    <font>
      <b/>
      <sz val="10"/>
      <name val="Times New Roman"/>
      <family val="1"/>
      <charset val="186"/>
    </font>
    <font>
      <sz val="10"/>
      <name val="Times New Roman"/>
      <family val="1"/>
      <charset val="186"/>
    </font>
    <font>
      <sz val="8"/>
      <color theme="0" tint="-0.499984740745262"/>
      <name val="Times New Roman"/>
      <family val="1"/>
      <charset val="186"/>
    </font>
    <font>
      <sz val="10"/>
      <color theme="0" tint="-0.499984740745262"/>
      <name val="Times New Roman"/>
      <family val="1"/>
      <charset val="186"/>
    </font>
    <font>
      <sz val="10"/>
      <color indexed="8"/>
      <name val="Times New Roman"/>
      <family val="1"/>
      <charset val="186"/>
    </font>
    <font>
      <sz val="10"/>
      <color indexed="10"/>
      <name val="Times New Roman"/>
      <family val="1"/>
      <charset val="186"/>
    </font>
    <font>
      <b/>
      <sz val="12"/>
      <name val="Times New Roman"/>
      <family val="1"/>
      <charset val="186"/>
    </font>
    <font>
      <b/>
      <sz val="12"/>
      <color theme="0" tint="-4.9989318521683403E-2"/>
      <name val="Times New Roman"/>
      <family val="1"/>
      <charset val="186"/>
    </font>
    <font>
      <sz val="11"/>
      <color theme="0" tint="-4.9989318521683403E-2"/>
      <name val="Calibri"/>
      <family val="2"/>
      <charset val="186"/>
    </font>
    <font>
      <sz val="8"/>
      <color theme="0" tint="-4.9989318521683403E-2"/>
      <name val="Times New Roman"/>
      <family val="1"/>
      <charset val="186"/>
    </font>
    <font>
      <sz val="10"/>
      <color theme="0" tint="-4.9989318521683403E-2"/>
      <name val="Times New Roman"/>
      <family val="1"/>
      <charset val="186"/>
    </font>
    <font>
      <b/>
      <sz val="9"/>
      <color indexed="8"/>
      <name val="Times New Roman"/>
      <family val="1"/>
      <charset val="186"/>
    </font>
    <font>
      <sz val="9"/>
      <color indexed="8"/>
      <name val="MS Sans Serif"/>
      <family val="2"/>
      <charset val="186"/>
    </font>
    <font>
      <b/>
      <sz val="11"/>
      <name val="Times New Roman"/>
      <family val="1"/>
      <charset val="186"/>
    </font>
    <font>
      <b/>
      <sz val="10"/>
      <color indexed="8"/>
      <name val="Times New Roman"/>
      <family val="1"/>
      <charset val="186"/>
    </font>
    <font>
      <sz val="10"/>
      <name val="Arial"/>
      <family val="2"/>
      <charset val="186"/>
    </font>
    <font>
      <b/>
      <sz val="9"/>
      <name val="Times New Roman"/>
      <family val="1"/>
    </font>
    <font>
      <b/>
      <sz val="8"/>
      <name val="Times New Roman"/>
      <family val="1"/>
      <charset val="186"/>
    </font>
    <font>
      <b/>
      <sz val="9"/>
      <color indexed="17"/>
      <name val="Times New Roman"/>
      <family val="1"/>
      <charset val="186"/>
    </font>
    <font>
      <b/>
      <sz val="11"/>
      <color indexed="8"/>
      <name val="Times New Roman"/>
      <family val="1"/>
      <charset val="186"/>
    </font>
    <font>
      <b/>
      <sz val="9"/>
      <name val="Times New Roman"/>
      <family val="1"/>
      <charset val="186"/>
    </font>
    <font>
      <b/>
      <sz val="10"/>
      <color rgb="FFC00000"/>
      <name val="Times New Roman"/>
      <family val="1"/>
      <charset val="186"/>
    </font>
    <font>
      <sz val="9"/>
      <name val="Times New Roman"/>
      <family val="1"/>
      <charset val="186"/>
    </font>
    <font>
      <sz val="11"/>
      <color indexed="8"/>
      <name val="Times New Roman"/>
      <family val="1"/>
      <charset val="186"/>
    </font>
    <font>
      <b/>
      <u/>
      <sz val="9"/>
      <color indexed="8"/>
      <name val="Times New Roman"/>
      <family val="1"/>
      <charset val="186"/>
    </font>
    <font>
      <sz val="8"/>
      <color indexed="8"/>
      <name val="Times New Roman"/>
      <family val="1"/>
      <charset val="186"/>
    </font>
    <font>
      <sz val="10"/>
      <color rgb="FFC00000"/>
      <name val="Times New Roman"/>
      <family val="1"/>
      <charset val="186"/>
    </font>
    <font>
      <b/>
      <u/>
      <sz val="9"/>
      <name val="Times New Roman"/>
      <family val="1"/>
      <charset val="186"/>
    </font>
    <font>
      <b/>
      <u/>
      <sz val="10"/>
      <color indexed="17"/>
      <name val="Times New Roman"/>
      <family val="1"/>
      <charset val="186"/>
    </font>
    <font>
      <b/>
      <sz val="10"/>
      <color indexed="17"/>
      <name val="Times New Roman"/>
      <family val="1"/>
      <charset val="186"/>
    </font>
    <font>
      <sz val="9"/>
      <color indexed="8"/>
      <name val="Times New Roman"/>
      <family val="1"/>
      <charset val="186"/>
    </font>
    <font>
      <b/>
      <sz val="10"/>
      <color indexed="9"/>
      <name val="Times New Roman"/>
      <family val="1"/>
      <charset val="186"/>
    </font>
    <font>
      <sz val="12"/>
      <name val="Times New Roman"/>
      <family val="1"/>
    </font>
    <font>
      <sz val="10"/>
      <name val="Times New Roman"/>
      <family val="1"/>
    </font>
    <font>
      <sz val="10"/>
      <color indexed="9"/>
      <name val="Times New Roman"/>
      <family val="1"/>
    </font>
    <font>
      <b/>
      <sz val="10"/>
      <name val="Times New Roman"/>
      <family val="1"/>
    </font>
    <font>
      <u/>
      <sz val="11"/>
      <color theme="10"/>
      <name val="Calibri"/>
      <family val="2"/>
      <charset val="186"/>
    </font>
    <font>
      <u/>
      <sz val="10"/>
      <color indexed="12"/>
      <name val="MS Sans Serif"/>
      <family val="2"/>
      <charset val="186"/>
    </font>
    <font>
      <sz val="10"/>
      <color rgb="FF000000"/>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indexed="50"/>
        <bgColor indexed="64"/>
      </patternFill>
    </fill>
    <fill>
      <patternFill patternType="solid">
        <fgColor rgb="FF92D050"/>
        <bgColor indexed="64"/>
      </patternFill>
    </fill>
    <fill>
      <patternFill patternType="solid">
        <fgColor theme="7" tint="0.79998168889431442"/>
        <bgColor indexed="64"/>
      </patternFill>
    </fill>
    <fill>
      <patternFill patternType="solid">
        <fgColor indexed="13"/>
        <bgColor indexed="64"/>
      </patternFill>
    </fill>
    <fill>
      <patternFill patternType="solid">
        <fgColor rgb="FFCCFFCC"/>
        <bgColor indexed="64"/>
      </patternFill>
    </fill>
    <fill>
      <patternFill patternType="solid">
        <fgColor indexed="42"/>
        <bgColor indexed="64"/>
      </patternFill>
    </fill>
  </fills>
  <borders count="29">
    <border>
      <left/>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style="hair">
        <color indexed="64"/>
      </left>
      <right/>
      <top/>
      <bottom/>
      <diagonal/>
    </border>
  </borders>
  <cellStyleXfs count="3">
    <xf numFmtId="0" fontId="0" fillId="0" borderId="0"/>
    <xf numFmtId="0" fontId="16" fillId="0" borderId="0"/>
    <xf numFmtId="0" fontId="37" fillId="0" borderId="0" applyNumberFormat="0" applyFill="0" applyBorder="0" applyAlignment="0" applyProtection="0">
      <alignment vertical="top"/>
      <protection locked="0"/>
    </xf>
  </cellStyleXfs>
  <cellXfs count="210">
    <xf numFmtId="0" fontId="0" fillId="0" borderId="0" xfId="0"/>
    <xf numFmtId="0" fontId="1" fillId="0" borderId="0" xfId="0" applyFont="1" applyAlignment="1">
      <alignment horizontal="right" vertical="top"/>
    </xf>
    <xf numFmtId="0" fontId="1" fillId="0" borderId="0" xfId="0" applyFont="1" applyAlignment="1">
      <alignment vertical="top"/>
    </xf>
    <xf numFmtId="3" fontId="2" fillId="0" borderId="0" xfId="0" applyNumberFormat="1" applyFont="1" applyAlignment="1">
      <alignment vertical="top"/>
    </xf>
    <xf numFmtId="4" fontId="2" fillId="0" borderId="0" xfId="0" applyNumberFormat="1" applyFont="1" applyAlignment="1">
      <alignment vertical="top"/>
    </xf>
    <xf numFmtId="0" fontId="3" fillId="0" borderId="0" xfId="0" applyFont="1"/>
    <xf numFmtId="3" fontId="4" fillId="0" borderId="0" xfId="0" applyNumberFormat="1" applyFont="1"/>
    <xf numFmtId="0" fontId="5" fillId="0" borderId="0" xfId="0" applyFont="1"/>
    <xf numFmtId="3" fontId="6" fillId="0" borderId="0" xfId="0" applyNumberFormat="1" applyFont="1" applyAlignment="1">
      <alignment vertical="top"/>
    </xf>
    <xf numFmtId="4" fontId="6" fillId="0" borderId="0" xfId="0" applyNumberFormat="1" applyFont="1" applyAlignment="1">
      <alignment vertical="top"/>
    </xf>
    <xf numFmtId="164" fontId="6" fillId="0" borderId="0" xfId="0" applyNumberFormat="1" applyFont="1" applyAlignment="1">
      <alignment vertical="top"/>
    </xf>
    <xf numFmtId="0" fontId="8" fillId="2" borderId="0" xfId="0" applyFont="1" applyFill="1" applyAlignment="1">
      <alignment horizontal="center" vertical="top"/>
    </xf>
    <xf numFmtId="0" fontId="9" fillId="2" borderId="0" xfId="0" applyFont="1" applyFill="1" applyAlignment="1">
      <alignment horizontal="center" vertical="top"/>
    </xf>
    <xf numFmtId="3" fontId="9" fillId="2" borderId="0" xfId="0" applyNumberFormat="1" applyFont="1" applyFill="1" applyAlignment="1">
      <alignment horizontal="center" vertical="top"/>
    </xf>
    <xf numFmtId="4" fontId="9" fillId="2" borderId="0" xfId="0" applyNumberFormat="1" applyFont="1" applyFill="1" applyAlignment="1">
      <alignment horizontal="center" vertical="top"/>
    </xf>
    <xf numFmtId="0" fontId="10" fillId="2" borderId="0" xfId="0" applyFont="1" applyFill="1"/>
    <xf numFmtId="3" fontId="11" fillId="2" borderId="0" xfId="0" applyNumberFormat="1" applyFont="1" applyFill="1"/>
    <xf numFmtId="0" fontId="11" fillId="2" borderId="0" xfId="0" applyFont="1" applyFill="1"/>
    <xf numFmtId="3" fontId="1" fillId="0" borderId="3" xfId="0" applyNumberFormat="1" applyFont="1" applyBorder="1" applyAlignment="1">
      <alignment horizontal="center" vertical="center"/>
    </xf>
    <xf numFmtId="3" fontId="1" fillId="0" borderId="4" xfId="0" applyNumberFormat="1" applyFont="1" applyBorder="1" applyAlignment="1">
      <alignment horizontal="center" vertical="center"/>
    </xf>
    <xf numFmtId="0" fontId="15" fillId="0" borderId="0" xfId="0" applyFont="1"/>
    <xf numFmtId="3" fontId="1" fillId="2" borderId="4"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3" fontId="1" fillId="0" borderId="4"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3" fillId="3" borderId="9" xfId="0" applyFont="1" applyFill="1" applyBorder="1" applyAlignment="1">
      <alignment horizontal="center" vertical="center"/>
    </xf>
    <xf numFmtId="0" fontId="17" fillId="3" borderId="11" xfId="1" applyFont="1" applyFill="1" applyBorder="1"/>
    <xf numFmtId="3" fontId="18" fillId="3" borderId="12" xfId="0" applyNumberFormat="1" applyFont="1" applyFill="1" applyBorder="1" applyAlignment="1">
      <alignment horizontal="center" vertical="center" wrapText="1"/>
    </xf>
    <xf numFmtId="4" fontId="18" fillId="3" borderId="12" xfId="0" applyNumberFormat="1" applyFont="1" applyFill="1" applyBorder="1" applyAlignment="1">
      <alignment horizontal="center" vertical="center" wrapText="1"/>
    </xf>
    <xf numFmtId="0" fontId="3" fillId="4" borderId="12" xfId="0" applyFont="1" applyFill="1" applyBorder="1" applyAlignment="1">
      <alignment vertical="center"/>
    </xf>
    <xf numFmtId="3" fontId="4" fillId="2" borderId="13" xfId="0" applyNumberFormat="1" applyFont="1" applyFill="1" applyBorder="1" applyAlignment="1">
      <alignment vertical="center"/>
    </xf>
    <xf numFmtId="0" fontId="19" fillId="3" borderId="9" xfId="0" applyFont="1" applyFill="1" applyBorder="1" applyAlignment="1">
      <alignment horizontal="right" vertical="top" wrapText="1"/>
    </xf>
    <xf numFmtId="0" fontId="12" fillId="3" borderId="10" xfId="0" applyFont="1" applyFill="1" applyBorder="1" applyAlignment="1">
      <alignment vertical="top" wrapText="1"/>
    </xf>
    <xf numFmtId="3" fontId="14" fillId="3" borderId="12" xfId="0" applyNumberFormat="1" applyFont="1" applyFill="1" applyBorder="1" applyAlignment="1">
      <alignment vertical="top"/>
    </xf>
    <xf numFmtId="4" fontId="14" fillId="3" borderId="12" xfId="0" applyNumberFormat="1" applyFont="1" applyFill="1" applyBorder="1" applyAlignment="1">
      <alignment vertical="top"/>
    </xf>
    <xf numFmtId="4" fontId="14" fillId="2" borderId="14" xfId="0" applyNumberFormat="1" applyFont="1" applyFill="1" applyBorder="1"/>
    <xf numFmtId="0" fontId="20" fillId="0" borderId="0" xfId="0" applyFont="1"/>
    <xf numFmtId="0" fontId="21" fillId="0" borderId="15" xfId="0" applyFont="1" applyBorder="1" applyAlignment="1">
      <alignment vertical="top"/>
    </xf>
    <xf numFmtId="0" fontId="12" fillId="0" borderId="16" xfId="0" applyFont="1" applyBorder="1" applyAlignment="1">
      <alignment vertical="top" wrapText="1"/>
    </xf>
    <xf numFmtId="3" fontId="1" fillId="5" borderId="17" xfId="0" applyNumberFormat="1" applyFont="1" applyFill="1" applyBorder="1" applyAlignment="1">
      <alignment vertical="top"/>
    </xf>
    <xf numFmtId="4" fontId="2" fillId="2" borderId="14" xfId="0" applyNumberFormat="1" applyFont="1" applyFill="1" applyBorder="1"/>
    <xf numFmtId="4" fontId="5" fillId="0" borderId="0" xfId="0" applyNumberFormat="1" applyFont="1"/>
    <xf numFmtId="0" fontId="12" fillId="0" borderId="18" xfId="0" applyFont="1" applyBorder="1" applyAlignment="1">
      <alignment vertical="top" wrapText="1"/>
    </xf>
    <xf numFmtId="3" fontId="1" fillId="0" borderId="14" xfId="0" applyNumberFormat="1" applyFont="1" applyBorder="1" applyAlignment="1">
      <alignment vertical="top"/>
    </xf>
    <xf numFmtId="0" fontId="23" fillId="0" borderId="19" xfId="0" applyFont="1" applyBorder="1" applyAlignment="1">
      <alignment vertical="top"/>
    </xf>
    <xf numFmtId="3" fontId="2" fillId="5" borderId="14" xfId="0" applyNumberFormat="1" applyFont="1" applyFill="1" applyBorder="1" applyAlignment="1">
      <alignment vertical="top"/>
    </xf>
    <xf numFmtId="0" fontId="23" fillId="0" borderId="20" xfId="0" applyFont="1" applyBorder="1" applyAlignment="1">
      <alignment vertical="top"/>
    </xf>
    <xf numFmtId="0" fontId="12" fillId="0" borderId="21" xfId="0" applyFont="1" applyBorder="1" applyAlignment="1">
      <alignment vertical="top" wrapText="1"/>
    </xf>
    <xf numFmtId="3" fontId="2" fillId="5" borderId="22" xfId="0" applyNumberFormat="1" applyFont="1" applyFill="1" applyBorder="1" applyAlignment="1">
      <alignment vertical="top"/>
    </xf>
    <xf numFmtId="0" fontId="12" fillId="3" borderId="23" xfId="0" applyFont="1" applyFill="1" applyBorder="1" applyAlignment="1">
      <alignment horizontal="right" vertical="top" wrapText="1"/>
    </xf>
    <xf numFmtId="0" fontId="12" fillId="3" borderId="11" xfId="0" applyFont="1" applyFill="1" applyBorder="1" applyAlignment="1">
      <alignment vertical="top" wrapText="1"/>
    </xf>
    <xf numFmtId="3" fontId="14" fillId="3" borderId="3" xfId="0" applyNumberFormat="1" applyFont="1" applyFill="1" applyBorder="1" applyAlignment="1">
      <alignment vertical="top"/>
    </xf>
    <xf numFmtId="4" fontId="1" fillId="2" borderId="14" xfId="0" applyNumberFormat="1" applyFont="1" applyFill="1" applyBorder="1"/>
    <xf numFmtId="0" fontId="24" fillId="0" borderId="0" xfId="0" applyFont="1"/>
    <xf numFmtId="0" fontId="12" fillId="6" borderId="23" xfId="0" applyFont="1" applyFill="1" applyBorder="1" applyAlignment="1">
      <alignment horizontal="right" vertical="top" wrapText="1"/>
    </xf>
    <xf numFmtId="0" fontId="12" fillId="6" borderId="11" xfId="0" applyFont="1" applyFill="1" applyBorder="1" applyAlignment="1">
      <alignment vertical="top" wrapText="1"/>
    </xf>
    <xf numFmtId="3" fontId="14" fillId="6" borderId="3" xfId="0" applyNumberFormat="1" applyFont="1" applyFill="1" applyBorder="1" applyAlignment="1">
      <alignment vertical="top"/>
    </xf>
    <xf numFmtId="0" fontId="25" fillId="7" borderId="23" xfId="0" applyFont="1" applyFill="1" applyBorder="1" applyAlignment="1">
      <alignment horizontal="left" vertical="top" wrapText="1"/>
    </xf>
    <xf numFmtId="0" fontId="25" fillId="7" borderId="11" xfId="0" applyFont="1" applyFill="1" applyBorder="1" applyAlignment="1">
      <alignment vertical="top" wrapText="1"/>
    </xf>
    <xf numFmtId="3" fontId="1" fillId="7" borderId="3" xfId="0" applyNumberFormat="1" applyFont="1" applyFill="1" applyBorder="1" applyAlignment="1">
      <alignment vertical="top"/>
    </xf>
    <xf numFmtId="0" fontId="12" fillId="0" borderId="15" xfId="0" applyFont="1" applyBorder="1" applyAlignment="1">
      <alignment horizontal="left" vertical="top" wrapText="1"/>
    </xf>
    <xf numFmtId="3" fontId="1" fillId="0" borderId="17" xfId="0" applyNumberFormat="1" applyFont="1" applyBorder="1" applyAlignment="1">
      <alignment horizontal="left" vertical="top"/>
    </xf>
    <xf numFmtId="0" fontId="12" fillId="0" borderId="19" xfId="0" applyFont="1" applyBorder="1" applyAlignment="1">
      <alignment horizontal="center" vertical="top" wrapText="1"/>
    </xf>
    <xf numFmtId="3" fontId="2" fillId="0" borderId="14" xfId="0" applyNumberFormat="1" applyFont="1" applyBorder="1" applyAlignment="1">
      <alignment horizontal="center" vertical="top"/>
    </xf>
    <xf numFmtId="0" fontId="12" fillId="0" borderId="19" xfId="0" applyFont="1" applyBorder="1" applyAlignment="1">
      <alignment horizontal="right" vertical="top" wrapText="1"/>
    </xf>
    <xf numFmtId="0" fontId="12" fillId="0" borderId="18" xfId="0" applyFont="1" applyBorder="1" applyAlignment="1">
      <alignment horizontal="left" vertical="top" wrapText="1"/>
    </xf>
    <xf numFmtId="3" fontId="2" fillId="5" borderId="14" xfId="0" applyNumberFormat="1" applyFont="1" applyFill="1" applyBorder="1" applyAlignment="1">
      <alignment horizontal="right" vertical="top"/>
    </xf>
    <xf numFmtId="4" fontId="2" fillId="0" borderId="14" xfId="0" applyNumberFormat="1" applyFont="1" applyBorder="1"/>
    <xf numFmtId="0" fontId="26" fillId="0" borderId="0" xfId="0" applyFont="1"/>
    <xf numFmtId="4" fontId="27" fillId="2" borderId="14" xfId="0" applyNumberFormat="1" applyFont="1" applyFill="1" applyBorder="1"/>
    <xf numFmtId="0" fontId="12" fillId="0" borderId="19" xfId="0" applyFont="1" applyBorder="1" applyAlignment="1" applyProtection="1">
      <alignment horizontal="right" vertical="top" wrapText="1"/>
      <protection locked="0"/>
    </xf>
    <xf numFmtId="0" fontId="12" fillId="0" borderId="18" xfId="0" applyFont="1" applyBorder="1" applyAlignment="1" applyProtection="1">
      <alignment horizontal="left" vertical="top" wrapText="1"/>
      <protection locked="0"/>
    </xf>
    <xf numFmtId="3" fontId="2" fillId="5" borderId="14" xfId="0" applyNumberFormat="1" applyFont="1" applyFill="1" applyBorder="1" applyAlignment="1" applyProtection="1">
      <alignment horizontal="right" vertical="top"/>
      <protection locked="0"/>
    </xf>
    <xf numFmtId="3" fontId="2" fillId="5" borderId="14" xfId="0" applyNumberFormat="1" applyFont="1" applyFill="1" applyBorder="1" applyAlignment="1" applyProtection="1">
      <alignment vertical="top"/>
      <protection locked="0"/>
    </xf>
    <xf numFmtId="0" fontId="26" fillId="0" borderId="0" xfId="0" applyFont="1" applyProtection="1">
      <protection locked="0"/>
    </xf>
    <xf numFmtId="0" fontId="12" fillId="0" borderId="19" xfId="0" applyFont="1" applyBorder="1" applyAlignment="1" applyProtection="1">
      <alignment horizontal="center" vertical="top" wrapText="1"/>
      <protection locked="0"/>
    </xf>
    <xf numFmtId="0" fontId="12" fillId="2" borderId="18" xfId="0" applyFont="1" applyFill="1" applyBorder="1" applyAlignment="1" applyProtection="1">
      <alignment horizontal="left" vertical="top" wrapText="1"/>
      <protection locked="0"/>
    </xf>
    <xf numFmtId="3" fontId="2" fillId="5" borderId="14" xfId="0" applyNumberFormat="1" applyFont="1" applyFill="1" applyBorder="1" applyAlignment="1" applyProtection="1">
      <alignment horizontal="center" vertical="top"/>
      <protection locked="0"/>
    </xf>
    <xf numFmtId="0" fontId="12" fillId="0" borderId="19" xfId="0" applyFont="1" applyBorder="1" applyAlignment="1">
      <alignment horizontal="left" vertical="top" wrapText="1"/>
    </xf>
    <xf numFmtId="3" fontId="1" fillId="0" borderId="14" xfId="0" applyNumberFormat="1" applyFont="1" applyBorder="1" applyAlignment="1">
      <alignment horizontal="left" vertical="top"/>
    </xf>
    <xf numFmtId="4" fontId="1" fillId="0" borderId="14" xfId="0" applyNumberFormat="1" applyFont="1" applyBorder="1" applyAlignment="1">
      <alignment vertical="center"/>
    </xf>
    <xf numFmtId="3" fontId="2" fillId="5" borderId="14" xfId="0" applyNumberFormat="1" applyFont="1" applyFill="1" applyBorder="1" applyAlignment="1">
      <alignment horizontal="center" vertical="top"/>
    </xf>
    <xf numFmtId="4" fontId="27" fillId="0" borderId="14" xfId="0" applyNumberFormat="1" applyFont="1" applyBorder="1"/>
    <xf numFmtId="3" fontId="2" fillId="5" borderId="14" xfId="0" applyNumberFormat="1" applyFont="1" applyFill="1" applyBorder="1" applyAlignment="1">
      <alignment horizontal="right" vertical="center"/>
    </xf>
    <xf numFmtId="3" fontId="2" fillId="5" borderId="14" xfId="0" applyNumberFormat="1" applyFont="1" applyFill="1" applyBorder="1" applyAlignment="1">
      <alignment vertical="center"/>
    </xf>
    <xf numFmtId="0" fontId="12" fillId="0" borderId="18" xfId="0" applyFont="1" applyBorder="1" applyAlignment="1" applyProtection="1">
      <alignment vertical="top" wrapText="1"/>
      <protection locked="0"/>
    </xf>
    <xf numFmtId="3" fontId="2" fillId="5" borderId="14" xfId="0" applyNumberFormat="1" applyFont="1" applyFill="1" applyBorder="1" applyAlignment="1" applyProtection="1">
      <alignment horizontal="right" vertical="center"/>
      <protection locked="0"/>
    </xf>
    <xf numFmtId="3" fontId="2" fillId="5" borderId="14" xfId="0" applyNumberFormat="1" applyFont="1" applyFill="1" applyBorder="1" applyAlignment="1" applyProtection="1">
      <alignment vertical="center"/>
      <protection locked="0"/>
    </xf>
    <xf numFmtId="0" fontId="25" fillId="8" borderId="23" xfId="0" applyFont="1" applyFill="1" applyBorder="1" applyAlignment="1">
      <alignment horizontal="left" vertical="top" wrapText="1"/>
    </xf>
    <xf numFmtId="0" fontId="25" fillId="8" borderId="11" xfId="0" applyFont="1" applyFill="1" applyBorder="1" applyAlignment="1">
      <alignment vertical="top" wrapText="1"/>
    </xf>
    <xf numFmtId="3" fontId="1" fillId="8" borderId="3" xfId="0" applyNumberFormat="1" applyFont="1" applyFill="1" applyBorder="1" applyAlignment="1">
      <alignment horizontal="left" vertical="top"/>
    </xf>
    <xf numFmtId="4" fontId="1" fillId="0" borderId="14" xfId="0" applyNumberFormat="1" applyFont="1" applyBorder="1"/>
    <xf numFmtId="0" fontId="12" fillId="2" borderId="18" xfId="0" applyFont="1" applyFill="1" applyBorder="1" applyAlignment="1">
      <alignment vertical="top" wrapText="1"/>
    </xf>
    <xf numFmtId="4" fontId="27" fillId="0" borderId="14" xfId="0" applyNumberFormat="1" applyFont="1" applyBorder="1" applyAlignment="1">
      <alignment vertical="center"/>
    </xf>
    <xf numFmtId="3" fontId="1" fillId="0" borderId="14" xfId="0" applyNumberFormat="1" applyFont="1" applyBorder="1" applyAlignment="1">
      <alignment horizontal="right" vertical="center"/>
    </xf>
    <xf numFmtId="3" fontId="2" fillId="0" borderId="14" xfId="0" applyNumberFormat="1" applyFont="1" applyBorder="1" applyAlignment="1">
      <alignment vertical="center"/>
    </xf>
    <xf numFmtId="4" fontId="2" fillId="0" borderId="14" xfId="0" applyNumberFormat="1" applyFont="1" applyBorder="1" applyAlignment="1">
      <alignment vertical="center"/>
    </xf>
    <xf numFmtId="3" fontId="2" fillId="5" borderId="14" xfId="0" applyNumberFormat="1" applyFont="1" applyFill="1" applyBorder="1" applyAlignment="1">
      <alignment horizontal="left" vertical="top"/>
    </xf>
    <xf numFmtId="4" fontId="22" fillId="0" borderId="14" xfId="0" applyNumberFormat="1" applyFont="1" applyBorder="1"/>
    <xf numFmtId="0" fontId="12" fillId="0" borderId="24" xfId="0" applyFont="1" applyBorder="1" applyAlignment="1">
      <alignment horizontal="right" vertical="top" wrapText="1"/>
    </xf>
    <xf numFmtId="0" fontId="12" fillId="0" borderId="25" xfId="0" applyFont="1" applyBorder="1" applyAlignment="1">
      <alignment vertical="top" wrapText="1"/>
    </xf>
    <xf numFmtId="3" fontId="2" fillId="5" borderId="26" xfId="0" applyNumberFormat="1" applyFont="1" applyFill="1" applyBorder="1" applyAlignment="1">
      <alignment vertical="top"/>
    </xf>
    <xf numFmtId="0" fontId="12" fillId="0" borderId="27" xfId="0" applyFont="1" applyBorder="1" applyAlignment="1">
      <alignment horizontal="center" vertical="top" wrapText="1"/>
    </xf>
    <xf numFmtId="0" fontId="12" fillId="0" borderId="28" xfId="0" applyFont="1" applyBorder="1" applyAlignment="1">
      <alignment vertical="top" wrapText="1"/>
    </xf>
    <xf numFmtId="3" fontId="1" fillId="8" borderId="3" xfId="0" applyNumberFormat="1" applyFont="1" applyFill="1" applyBorder="1" applyAlignment="1">
      <alignment vertical="top"/>
    </xf>
    <xf numFmtId="3" fontId="1" fillId="0" borderId="17" xfId="0" applyNumberFormat="1" applyFont="1" applyBorder="1" applyAlignment="1">
      <alignment vertical="top"/>
    </xf>
    <xf numFmtId="0" fontId="28" fillId="8" borderId="23" xfId="0" applyFont="1" applyFill="1" applyBorder="1" applyAlignment="1">
      <alignment horizontal="left" vertical="top" wrapText="1"/>
    </xf>
    <xf numFmtId="0" fontId="28" fillId="8" borderId="11" xfId="0" applyFont="1" applyFill="1" applyBorder="1" applyAlignment="1">
      <alignment vertical="top" wrapText="1"/>
    </xf>
    <xf numFmtId="0" fontId="29" fillId="0" borderId="0" xfId="0" applyFont="1"/>
    <xf numFmtId="0" fontId="21" fillId="0" borderId="15" xfId="0" applyFont="1" applyBorder="1" applyAlignment="1">
      <alignment horizontal="left" vertical="top" wrapText="1"/>
    </xf>
    <xf numFmtId="0" fontId="21" fillId="0" borderId="16" xfId="0" applyFont="1" applyBorder="1" applyAlignment="1">
      <alignment vertical="top" wrapText="1"/>
    </xf>
    <xf numFmtId="0" fontId="30" fillId="0" borderId="0" xfId="0" applyFont="1"/>
    <xf numFmtId="0" fontId="21" fillId="0" borderId="19" xfId="0" applyFont="1" applyBorder="1" applyAlignment="1">
      <alignment horizontal="center" vertical="top" wrapText="1"/>
    </xf>
    <xf numFmtId="0" fontId="21" fillId="0" borderId="18" xfId="0" applyFont="1" applyBorder="1" applyAlignment="1">
      <alignment vertical="top" wrapText="1"/>
    </xf>
    <xf numFmtId="0" fontId="21" fillId="0" borderId="19" xfId="0" applyFont="1" applyBorder="1" applyAlignment="1">
      <alignment horizontal="left" vertical="top" wrapText="1"/>
    </xf>
    <xf numFmtId="0" fontId="1" fillId="0" borderId="0" xfId="0" applyFont="1"/>
    <xf numFmtId="3" fontId="1" fillId="5" borderId="14" xfId="0" applyNumberFormat="1" applyFont="1" applyFill="1" applyBorder="1" applyAlignment="1">
      <alignment horizontal="center" vertical="top"/>
    </xf>
    <xf numFmtId="3" fontId="1" fillId="5" borderId="14" xfId="0" applyNumberFormat="1" applyFont="1" applyFill="1" applyBorder="1" applyAlignment="1">
      <alignment vertical="top"/>
    </xf>
    <xf numFmtId="0" fontId="21" fillId="0" borderId="19" xfId="0" applyFont="1" applyBorder="1" applyAlignment="1">
      <alignment horizontal="right" vertical="top" wrapText="1"/>
    </xf>
    <xf numFmtId="0" fontId="2" fillId="0" borderId="0" xfId="0" applyFont="1"/>
    <xf numFmtId="0" fontId="21" fillId="2" borderId="18" xfId="0" applyFont="1" applyFill="1" applyBorder="1" applyAlignment="1">
      <alignment vertical="top" wrapText="1"/>
    </xf>
    <xf numFmtId="0" fontId="21" fillId="0" borderId="20" xfId="0" applyFont="1" applyBorder="1" applyAlignment="1">
      <alignment horizontal="right" vertical="top" wrapText="1"/>
    </xf>
    <xf numFmtId="0" fontId="21" fillId="2" borderId="21" xfId="0" applyFont="1" applyFill="1" applyBorder="1" applyAlignment="1">
      <alignment vertical="top" wrapText="1"/>
    </xf>
    <xf numFmtId="0" fontId="21" fillId="0" borderId="20" xfId="0" applyFont="1" applyBorder="1" applyAlignment="1">
      <alignment horizontal="center" vertical="top" wrapText="1"/>
    </xf>
    <xf numFmtId="0" fontId="21" fillId="0" borderId="10" xfId="0" applyFont="1" applyBorder="1" applyAlignment="1">
      <alignment vertical="top" wrapText="1"/>
    </xf>
    <xf numFmtId="3" fontId="2" fillId="5" borderId="12" xfId="0" applyNumberFormat="1" applyFont="1" applyFill="1" applyBorder="1" applyAlignment="1">
      <alignment vertical="top"/>
    </xf>
    <xf numFmtId="4" fontId="2" fillId="5" borderId="12" xfId="0" applyNumberFormat="1" applyFont="1" applyFill="1" applyBorder="1" applyAlignment="1">
      <alignment vertical="top"/>
    </xf>
    <xf numFmtId="3" fontId="2" fillId="5" borderId="3" xfId="0" applyNumberFormat="1" applyFont="1" applyFill="1" applyBorder="1" applyAlignment="1">
      <alignment vertical="top"/>
    </xf>
    <xf numFmtId="0" fontId="21" fillId="0" borderId="9" xfId="0" applyFont="1" applyBorder="1" applyAlignment="1">
      <alignment horizontal="center" vertical="top" wrapText="1"/>
    </xf>
    <xf numFmtId="4" fontId="2" fillId="0" borderId="22" xfId="0" applyNumberFormat="1" applyFont="1" applyBorder="1"/>
    <xf numFmtId="0" fontId="23" fillId="0" borderId="23" xfId="0" applyFont="1" applyBorder="1"/>
    <xf numFmtId="0" fontId="21" fillId="0" borderId="11" xfId="0" applyFont="1" applyBorder="1" applyAlignment="1">
      <alignment wrapText="1"/>
    </xf>
    <xf numFmtId="3" fontId="1" fillId="0" borderId="3" xfId="0" applyNumberFormat="1" applyFont="1" applyBorder="1" applyAlignment="1">
      <alignment vertical="top"/>
    </xf>
    <xf numFmtId="4" fontId="1" fillId="0" borderId="3" xfId="0" applyNumberFormat="1" applyFont="1" applyBorder="1" applyAlignment="1">
      <alignment vertical="top"/>
    </xf>
    <xf numFmtId="0" fontId="23" fillId="0" borderId="11" xfId="0" applyFont="1" applyBorder="1" applyAlignment="1">
      <alignment horizontal="left" wrapText="1"/>
    </xf>
    <xf numFmtId="3" fontId="2" fillId="0" borderId="3" xfId="0" applyNumberFormat="1" applyFont="1" applyBorder="1" applyAlignment="1" applyProtection="1">
      <alignment vertical="top"/>
      <protection locked="0"/>
    </xf>
    <xf numFmtId="3" fontId="2" fillId="2" borderId="3" xfId="0" applyNumberFormat="1" applyFont="1" applyFill="1" applyBorder="1" applyAlignment="1" applyProtection="1">
      <alignment vertical="top"/>
      <protection locked="0"/>
    </xf>
    <xf numFmtId="4" fontId="2" fillId="0" borderId="3" xfId="0" applyNumberFormat="1" applyFont="1" applyBorder="1" applyAlignment="1" applyProtection="1">
      <alignment vertical="top"/>
      <protection locked="0"/>
    </xf>
    <xf numFmtId="3" fontId="2" fillId="2" borderId="3" xfId="0" applyNumberFormat="1" applyFont="1" applyFill="1" applyBorder="1" applyAlignment="1">
      <alignment vertical="top"/>
    </xf>
    <xf numFmtId="0" fontId="12" fillId="3" borderId="23" xfId="0" applyFont="1" applyFill="1" applyBorder="1" applyAlignment="1">
      <alignment horizontal="right" vertical="top"/>
    </xf>
    <xf numFmtId="0" fontId="12" fillId="3" borderId="11" xfId="0" applyFont="1" applyFill="1" applyBorder="1" applyAlignment="1">
      <alignment vertical="top"/>
    </xf>
    <xf numFmtId="3" fontId="2" fillId="3" borderId="3" xfId="0" applyNumberFormat="1" applyFont="1" applyFill="1" applyBorder="1" applyAlignment="1">
      <alignment vertical="top"/>
    </xf>
    <xf numFmtId="4" fontId="2" fillId="3" borderId="3" xfId="0" applyNumberFormat="1" applyFont="1" applyFill="1" applyBorder="1" applyAlignment="1">
      <alignment vertical="top"/>
    </xf>
    <xf numFmtId="0" fontId="12" fillId="8" borderId="15" xfId="0" applyFont="1" applyFill="1" applyBorder="1" applyAlignment="1">
      <alignment horizontal="right" vertical="top"/>
    </xf>
    <xf numFmtId="0" fontId="12" fillId="8" borderId="16" xfId="0" applyFont="1" applyFill="1" applyBorder="1" applyAlignment="1">
      <alignment vertical="top"/>
    </xf>
    <xf numFmtId="3" fontId="1" fillId="8" borderId="17" xfId="0" applyNumberFormat="1" applyFont="1" applyFill="1" applyBorder="1" applyAlignment="1">
      <alignment vertical="top"/>
    </xf>
    <xf numFmtId="4" fontId="1" fillId="8" borderId="17" xfId="0" applyNumberFormat="1" applyFont="1" applyFill="1" applyBorder="1" applyAlignment="1">
      <alignment vertical="top"/>
    </xf>
    <xf numFmtId="0" fontId="12" fillId="0" borderId="19" xfId="0" applyFont="1" applyBorder="1" applyAlignment="1">
      <alignment horizontal="right" vertical="top"/>
    </xf>
    <xf numFmtId="0" fontId="31" fillId="0" borderId="18" xfId="0" applyFont="1" applyBorder="1" applyAlignment="1">
      <alignment vertical="top"/>
    </xf>
    <xf numFmtId="3" fontId="2" fillId="0" borderId="14" xfId="0" applyNumberFormat="1" applyFont="1" applyBorder="1" applyAlignment="1">
      <alignment vertical="top"/>
    </xf>
    <xf numFmtId="4" fontId="2" fillId="0" borderId="14" xfId="0" applyNumberFormat="1" applyFont="1" applyBorder="1" applyAlignment="1">
      <alignment vertical="top"/>
    </xf>
    <xf numFmtId="0" fontId="31" fillId="0" borderId="16" xfId="0" applyFont="1" applyBorder="1" applyAlignment="1">
      <alignment vertical="top" wrapText="1"/>
    </xf>
    <xf numFmtId="0" fontId="12" fillId="8" borderId="19" xfId="0" applyFont="1" applyFill="1" applyBorder="1" applyAlignment="1">
      <alignment horizontal="right" vertical="top"/>
    </xf>
    <xf numFmtId="0" fontId="12" fillId="8" borderId="18" xfId="0" applyFont="1" applyFill="1" applyBorder="1" applyAlignment="1">
      <alignment vertical="top"/>
    </xf>
    <xf numFmtId="3" fontId="1" fillId="8" borderId="14" xfId="0" applyNumberFormat="1" applyFont="1" applyFill="1" applyBorder="1" applyAlignment="1">
      <alignment vertical="top"/>
    </xf>
    <xf numFmtId="4" fontId="1" fillId="8" borderId="14" xfId="0" applyNumberFormat="1" applyFont="1" applyFill="1" applyBorder="1" applyAlignment="1">
      <alignment vertical="top"/>
    </xf>
    <xf numFmtId="0" fontId="12" fillId="0" borderId="23" xfId="0" applyFont="1" applyBorder="1" applyAlignment="1">
      <alignment horizontal="right" vertical="top"/>
    </xf>
    <xf numFmtId="0" fontId="12" fillId="0" borderId="11" xfId="0" applyFont="1" applyBorder="1" applyAlignment="1">
      <alignment vertical="top"/>
    </xf>
    <xf numFmtId="3" fontId="1" fillId="2" borderId="3" xfId="0" applyNumberFormat="1" applyFont="1" applyFill="1" applyBorder="1" applyAlignment="1">
      <alignment vertical="top"/>
    </xf>
    <xf numFmtId="4" fontId="1" fillId="2" borderId="3" xfId="0" applyNumberFormat="1" applyFont="1" applyFill="1" applyBorder="1" applyAlignment="1">
      <alignment vertical="top"/>
    </xf>
    <xf numFmtId="0" fontId="15" fillId="0" borderId="0" xfId="0" applyFont="1" applyAlignment="1">
      <alignment horizontal="right" vertical="top"/>
    </xf>
    <xf numFmtId="0" fontId="15" fillId="0" borderId="0" xfId="0" applyFont="1" applyAlignment="1">
      <alignment vertical="top"/>
    </xf>
    <xf numFmtId="3" fontId="1" fillId="0" borderId="0" xfId="0" applyNumberFormat="1" applyFont="1" applyAlignment="1">
      <alignment vertical="top"/>
    </xf>
    <xf numFmtId="3" fontId="1" fillId="2" borderId="0" xfId="0" applyNumberFormat="1" applyFont="1" applyFill="1" applyAlignment="1">
      <alignment vertical="top"/>
    </xf>
    <xf numFmtId="0" fontId="5" fillId="0" borderId="0" xfId="0" applyFont="1" applyAlignment="1">
      <alignment vertical="top"/>
    </xf>
    <xf numFmtId="0" fontId="7" fillId="0" borderId="0" xfId="0" applyFont="1"/>
    <xf numFmtId="3" fontId="1" fillId="0" borderId="0" xfId="0" applyNumberFormat="1" applyFont="1"/>
    <xf numFmtId="3" fontId="32" fillId="0" borderId="0" xfId="0" applyNumberFormat="1" applyFont="1"/>
    <xf numFmtId="4" fontId="32" fillId="0" borderId="0" xfId="0" applyNumberFormat="1" applyFont="1"/>
    <xf numFmtId="0" fontId="31" fillId="0" borderId="0" xfId="0" applyFont="1" applyAlignment="1">
      <alignment vertical="top"/>
    </xf>
    <xf numFmtId="0" fontId="33" fillId="0" borderId="0" xfId="0" applyFont="1"/>
    <xf numFmtId="3" fontId="34" fillId="0" borderId="0" xfId="0" applyNumberFormat="1" applyFont="1"/>
    <xf numFmtId="3" fontId="35" fillId="0" borderId="0" xfId="0" applyNumberFormat="1" applyFont="1"/>
    <xf numFmtId="4" fontId="35" fillId="0" borderId="0" xfId="0" applyNumberFormat="1" applyFont="1"/>
    <xf numFmtId="3" fontId="36" fillId="0" borderId="0" xfId="0" applyNumberFormat="1" applyFont="1"/>
    <xf numFmtId="0" fontId="34" fillId="0" borderId="0" xfId="0" applyFont="1"/>
    <xf numFmtId="3" fontId="35" fillId="0" borderId="0" xfId="0" applyNumberFormat="1" applyFont="1" applyAlignment="1">
      <alignment horizontal="centerContinuous"/>
    </xf>
    <xf numFmtId="4" fontId="35" fillId="0" borderId="0" xfId="0" applyNumberFormat="1" applyFont="1" applyAlignment="1">
      <alignment horizontal="centerContinuous"/>
    </xf>
    <xf numFmtId="3" fontId="36" fillId="0" borderId="0" xfId="0" applyNumberFormat="1" applyFont="1" applyAlignment="1">
      <alignment horizontal="centerContinuous"/>
    </xf>
    <xf numFmtId="0" fontId="38" fillId="0" borderId="0" xfId="2" applyFont="1" applyAlignment="1" applyProtection="1"/>
    <xf numFmtId="3" fontId="2" fillId="5" borderId="14" xfId="0" applyNumberFormat="1" applyFont="1" applyFill="1" applyBorder="1" applyAlignment="1" applyProtection="1">
      <alignment horizontal="center" vertical="center"/>
      <protection locked="0"/>
    </xf>
    <xf numFmtId="3" fontId="2" fillId="5" borderId="14" xfId="0" applyNumberFormat="1" applyFont="1" applyFill="1" applyBorder="1" applyAlignment="1">
      <alignment horizontal="center" vertical="center"/>
    </xf>
    <xf numFmtId="3" fontId="22" fillId="5" borderId="17" xfId="0" applyNumberFormat="1" applyFont="1" applyFill="1" applyBorder="1" applyAlignment="1">
      <alignment vertical="top"/>
    </xf>
    <xf numFmtId="0" fontId="5" fillId="0" borderId="0" xfId="0" applyFont="1" applyAlignment="1">
      <alignment wrapText="1"/>
    </xf>
    <xf numFmtId="0" fontId="5" fillId="0" borderId="0" xfId="0" applyFont="1" applyAlignment="1">
      <alignment horizontal="center"/>
    </xf>
    <xf numFmtId="0" fontId="11" fillId="2" borderId="0" xfId="0" applyFont="1" applyFill="1" applyAlignment="1">
      <alignment horizontal="center"/>
    </xf>
    <xf numFmtId="0" fontId="2" fillId="0" borderId="14" xfId="0" applyFont="1" applyBorder="1" applyAlignment="1">
      <alignment horizontal="center"/>
    </xf>
    <xf numFmtId="0" fontId="5" fillId="0" borderId="14" xfId="0" applyFont="1" applyBorder="1" applyAlignment="1">
      <alignment horizontal="center"/>
    </xf>
    <xf numFmtId="0" fontId="5" fillId="0" borderId="13" xfId="0" applyFont="1" applyBorder="1" applyAlignment="1">
      <alignment horizontal="center"/>
    </xf>
    <xf numFmtId="4" fontId="24" fillId="0" borderId="14" xfId="0" applyNumberFormat="1" applyFont="1" applyBorder="1" applyAlignment="1">
      <alignment horizontal="center"/>
    </xf>
    <xf numFmtId="0" fontId="5" fillId="0" borderId="22" xfId="0" applyFont="1" applyBorder="1" applyAlignment="1">
      <alignment horizontal="center"/>
    </xf>
    <xf numFmtId="0" fontId="2" fillId="0" borderId="0" xfId="0" applyFont="1" applyAlignment="1">
      <alignment horizontal="center"/>
    </xf>
    <xf numFmtId="4" fontId="5" fillId="0" borderId="14" xfId="0" applyNumberFormat="1" applyFont="1" applyBorder="1" applyAlignment="1">
      <alignment horizontal="center"/>
    </xf>
    <xf numFmtId="0" fontId="39" fillId="0" borderId="0" xfId="0" applyFont="1" applyAlignment="1">
      <alignment horizontal="justify" vertical="center"/>
    </xf>
    <xf numFmtId="0" fontId="39" fillId="0" borderId="0" xfId="0" applyFont="1" applyAlignment="1">
      <alignment horizontal="left" vertical="center" wrapText="1"/>
    </xf>
    <xf numFmtId="0" fontId="39" fillId="0" borderId="0" xfId="0" applyFont="1" applyAlignment="1">
      <alignment wrapText="1"/>
    </xf>
    <xf numFmtId="0" fontId="15" fillId="0" borderId="3" xfId="0" applyFont="1" applyBorder="1" applyAlignment="1">
      <alignment horizontal="center" vertical="center" wrapText="1"/>
    </xf>
    <xf numFmtId="3" fontId="1" fillId="0" borderId="4"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5" xfId="0" applyNumberFormat="1" applyFont="1" applyBorder="1" applyAlignment="1">
      <alignment horizontal="center" vertical="center"/>
    </xf>
    <xf numFmtId="3" fontId="14" fillId="2" borderId="3" xfId="0" applyNumberFormat="1" applyFont="1" applyFill="1" applyBorder="1" applyAlignment="1">
      <alignment horizontal="center" vertical="center" wrapText="1"/>
    </xf>
    <xf numFmtId="0" fontId="1" fillId="0" borderId="0" xfId="0" applyFont="1" applyAlignment="1">
      <alignment horizontal="left" vertical="top"/>
    </xf>
    <xf numFmtId="0" fontId="7" fillId="0" borderId="0" xfId="0" applyFont="1" applyAlignment="1">
      <alignment horizontal="center" vertical="top"/>
    </xf>
    <xf numFmtId="0" fontId="12" fillId="0" borderId="1" xfId="0" applyFont="1" applyBorder="1" applyAlignment="1">
      <alignment horizontal="center" vertical="center" wrapText="1"/>
    </xf>
    <xf numFmtId="0" fontId="13" fillId="0" borderId="9" xfId="0" applyFont="1" applyBorder="1" applyAlignment="1">
      <alignment horizontal="center" vertical="center"/>
    </xf>
    <xf numFmtId="0" fontId="13" fillId="0" borderId="2" xfId="0" applyFont="1" applyBorder="1" applyAlignment="1">
      <alignment horizontal="left" vertical="top" wrapText="1"/>
    </xf>
    <xf numFmtId="0" fontId="13" fillId="0" borderId="10" xfId="0" applyFont="1" applyBorder="1" applyAlignment="1">
      <alignment horizontal="left" vertical="top" wrapText="1"/>
    </xf>
    <xf numFmtId="3" fontId="1" fillId="0" borderId="3" xfId="0" applyNumberFormat="1" applyFont="1" applyBorder="1" applyAlignment="1">
      <alignment horizontal="center" vertical="center"/>
    </xf>
    <xf numFmtId="3" fontId="1" fillId="0" borderId="6" xfId="0" applyNumberFormat="1" applyFont="1" applyBorder="1" applyAlignment="1">
      <alignment horizontal="center" vertical="center"/>
    </xf>
    <xf numFmtId="3" fontId="1" fillId="0" borderId="7" xfId="0" applyNumberFormat="1" applyFont="1" applyBorder="1" applyAlignment="1">
      <alignment horizontal="center" vertical="center"/>
    </xf>
  </cellXfs>
  <cellStyles count="3">
    <cellStyle name="Hyperlink" xfId="2" builtinId="8"/>
    <cellStyle name="Normal" xfId="0" builtinId="0"/>
    <cellStyle name="Normal_10 forma"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1"/>
  <sheetViews>
    <sheetView tabSelected="1" topLeftCell="A26" zoomScale="80" zoomScaleNormal="80" workbookViewId="0">
      <selection activeCell="K122" sqref="K122"/>
    </sheetView>
  </sheetViews>
  <sheetFormatPr defaultColWidth="11.453125" defaultRowHeight="13" outlineLevelRow="2"/>
  <cols>
    <col min="1" max="1" width="8.81640625" style="160" customWidth="1"/>
    <col min="2" max="2" width="49.7265625" style="161" customWidth="1"/>
    <col min="3" max="3" width="12.1796875" style="3" customWidth="1"/>
    <col min="4" max="4" width="7.54296875" style="3" customWidth="1"/>
    <col min="5" max="5" width="12.1796875" style="3" customWidth="1"/>
    <col min="6" max="6" width="7.7265625" style="3" customWidth="1"/>
    <col min="7" max="7" width="13.81640625" style="4" customWidth="1"/>
    <col min="8" max="8" width="5.7265625" style="3" customWidth="1"/>
    <col min="9" max="9" width="12.81640625" style="3" customWidth="1"/>
    <col min="10" max="10" width="6.54296875" style="3" customWidth="1"/>
    <col min="11" max="11" width="14" style="162" customWidth="1"/>
    <col min="12" max="12" width="7.81640625" style="162" customWidth="1"/>
    <col min="13" max="13" width="12.54296875" style="5" customWidth="1"/>
    <col min="14" max="14" width="1.26953125" style="6" hidden="1" customWidth="1"/>
    <col min="15" max="15" width="1.81640625" style="7" hidden="1" customWidth="1"/>
    <col min="16" max="16" width="12" style="184" customWidth="1"/>
    <col min="17" max="17" width="83.81640625" style="7" customWidth="1"/>
    <col min="18" max="16384" width="11.453125" style="7"/>
  </cols>
  <sheetData>
    <row r="1" spans="1:17" ht="13" hidden="1" customHeight="1">
      <c r="A1" s="1"/>
      <c r="B1" s="2"/>
      <c r="K1"/>
      <c r="L1"/>
    </row>
    <row r="2" spans="1:17" ht="15.65" customHeight="1">
      <c r="A2" s="201" t="s">
        <v>0</v>
      </c>
      <c r="B2" s="201"/>
      <c r="C2" s="201"/>
      <c r="D2" s="8"/>
      <c r="E2" s="8"/>
      <c r="F2" s="8"/>
      <c r="G2" s="9"/>
      <c r="H2" s="8"/>
      <c r="I2" s="8"/>
      <c r="K2"/>
      <c r="L2"/>
      <c r="M2"/>
    </row>
    <row r="3" spans="1:17" ht="14.5">
      <c r="A3" s="201" t="s">
        <v>1</v>
      </c>
      <c r="B3" s="201"/>
      <c r="C3" s="8"/>
      <c r="D3" s="8"/>
      <c r="E3" s="10"/>
      <c r="F3" s="8"/>
      <c r="G3" s="9"/>
      <c r="H3" s="8"/>
      <c r="I3" s="8"/>
      <c r="K3"/>
      <c r="L3"/>
      <c r="M3"/>
    </row>
    <row r="4" spans="1:17" ht="15">
      <c r="A4" s="202" t="s">
        <v>2</v>
      </c>
      <c r="B4" s="202"/>
      <c r="C4" s="202"/>
      <c r="D4" s="202"/>
      <c r="E4" s="202"/>
      <c r="F4" s="202"/>
      <c r="G4" s="202"/>
      <c r="H4" s="202"/>
      <c r="I4" s="202"/>
      <c r="J4" s="202"/>
      <c r="K4" s="202"/>
      <c r="L4" s="202"/>
    </row>
    <row r="5" spans="1:17" ht="15">
      <c r="A5" s="202" t="s">
        <v>3</v>
      </c>
      <c r="B5" s="202"/>
      <c r="C5" s="202"/>
      <c r="D5" s="202"/>
      <c r="E5" s="202"/>
      <c r="F5" s="202"/>
      <c r="G5" s="202"/>
      <c r="H5" s="202"/>
      <c r="I5" s="202"/>
      <c r="J5" s="202"/>
      <c r="K5" s="202"/>
      <c r="L5" s="202"/>
    </row>
    <row r="6" spans="1:17" s="17" customFormat="1" ht="12.75" customHeight="1">
      <c r="A6" s="11"/>
      <c r="B6" s="12"/>
      <c r="C6" s="13">
        <f t="shared" ref="C6:L6" si="0">C10-C16</f>
        <v>-4.9999999813735485E-2</v>
      </c>
      <c r="D6" s="13">
        <f t="shared" si="0"/>
        <v>0</v>
      </c>
      <c r="E6" s="13">
        <f t="shared" si="0"/>
        <v>-4.9999999813735485E-2</v>
      </c>
      <c r="F6" s="13">
        <f t="shared" si="0"/>
        <v>0</v>
      </c>
      <c r="G6" s="14">
        <f t="shared" si="0"/>
        <v>0</v>
      </c>
      <c r="H6" s="13">
        <f t="shared" si="0"/>
        <v>0</v>
      </c>
      <c r="I6" s="13">
        <f t="shared" si="0"/>
        <v>-3.0000000260770321E-2</v>
      </c>
      <c r="J6" s="13">
        <f t="shared" si="0"/>
        <v>0</v>
      </c>
      <c r="K6" s="13">
        <f t="shared" si="0"/>
        <v>-0.13000000081956387</v>
      </c>
      <c r="L6" s="13">
        <f t="shared" si="0"/>
        <v>0</v>
      </c>
      <c r="M6" s="15"/>
      <c r="N6" s="16"/>
      <c r="P6" s="185"/>
    </row>
    <row r="7" spans="1:17" s="20" customFormat="1" ht="21" customHeight="1">
      <c r="A7" s="203" t="s">
        <v>4</v>
      </c>
      <c r="B7" s="205"/>
      <c r="C7" s="207" t="s">
        <v>5</v>
      </c>
      <c r="D7" s="207"/>
      <c r="E7" s="197" t="s">
        <v>6</v>
      </c>
      <c r="F7" s="199"/>
      <c r="G7" s="208" t="s">
        <v>7</v>
      </c>
      <c r="H7" s="209"/>
      <c r="I7" s="208" t="s">
        <v>8</v>
      </c>
      <c r="J7" s="209"/>
      <c r="K7" s="197" t="s">
        <v>9</v>
      </c>
      <c r="L7" s="198"/>
      <c r="M7" s="199"/>
      <c r="N7" s="200" t="s">
        <v>10</v>
      </c>
      <c r="P7" s="196" t="s">
        <v>10</v>
      </c>
    </row>
    <row r="8" spans="1:17" s="20" customFormat="1" ht="26.5" customHeight="1">
      <c r="A8" s="204"/>
      <c r="B8" s="206"/>
      <c r="C8" s="19" t="s">
        <v>11</v>
      </c>
      <c r="D8" s="18" t="s">
        <v>12</v>
      </c>
      <c r="E8" s="21" t="s">
        <v>11</v>
      </c>
      <c r="F8" s="18" t="s">
        <v>12</v>
      </c>
      <c r="G8" s="22" t="s">
        <v>11</v>
      </c>
      <c r="H8" s="18" t="s">
        <v>12</v>
      </c>
      <c r="I8" s="21" t="s">
        <v>11</v>
      </c>
      <c r="J8" s="18" t="s">
        <v>12</v>
      </c>
      <c r="K8" s="23" t="s">
        <v>13</v>
      </c>
      <c r="L8" s="18" t="s">
        <v>12</v>
      </c>
      <c r="M8" s="24" t="s">
        <v>14</v>
      </c>
      <c r="N8" s="200"/>
      <c r="P8" s="196"/>
    </row>
    <row r="9" spans="1:17" s="20" customFormat="1" outlineLevel="2">
      <c r="A9" s="25"/>
      <c r="B9" s="26" t="s">
        <v>15</v>
      </c>
      <c r="C9" s="27"/>
      <c r="D9" s="27"/>
      <c r="E9" s="27"/>
      <c r="F9" s="27"/>
      <c r="G9" s="28"/>
      <c r="H9" s="27"/>
      <c r="I9" s="27"/>
      <c r="J9" s="27"/>
      <c r="K9" s="27"/>
      <c r="L9" s="27"/>
      <c r="M9" s="29"/>
      <c r="N9" s="30"/>
      <c r="P9" s="188"/>
    </row>
    <row r="10" spans="1:17" s="36" customFormat="1" ht="14" outlineLevel="2">
      <c r="A10" s="31"/>
      <c r="B10" s="32" t="s">
        <v>16</v>
      </c>
      <c r="C10" s="33">
        <f t="shared" ref="C10:J10" si="1">C11+C12+C13</f>
        <v>3207567</v>
      </c>
      <c r="D10" s="33">
        <f t="shared" si="1"/>
        <v>0</v>
      </c>
      <c r="E10" s="33">
        <f t="shared" si="1"/>
        <v>3207568</v>
      </c>
      <c r="F10" s="33">
        <f t="shared" si="1"/>
        <v>0</v>
      </c>
      <c r="G10" s="34">
        <f t="shared" si="1"/>
        <v>4282683</v>
      </c>
      <c r="H10" s="33">
        <f t="shared" si="1"/>
        <v>0</v>
      </c>
      <c r="I10" s="33">
        <f t="shared" si="1"/>
        <v>4021015</v>
      </c>
      <c r="J10" s="33">
        <f t="shared" si="1"/>
        <v>0</v>
      </c>
      <c r="K10" s="33">
        <f>K11+K12+K13</f>
        <v>14718833</v>
      </c>
      <c r="L10" s="33">
        <f>L11+L12+L13</f>
        <v>0</v>
      </c>
      <c r="M10" s="33">
        <v>12830272</v>
      </c>
      <c r="N10" s="35">
        <f>(K10-M10)/M10*100</f>
        <v>14.719571027021095</v>
      </c>
      <c r="P10" s="192">
        <f>(K10-M10)/M10*100</f>
        <v>14.719571027021095</v>
      </c>
    </row>
    <row r="11" spans="1:17" ht="12" customHeight="1" outlineLevel="2">
      <c r="A11" s="37">
        <v>21710</v>
      </c>
      <c r="B11" s="38" t="s">
        <v>17</v>
      </c>
      <c r="C11" s="39">
        <v>3132567</v>
      </c>
      <c r="D11" s="39"/>
      <c r="E11" s="39">
        <v>3132568</v>
      </c>
      <c r="F11" s="39"/>
      <c r="G11" s="39">
        <f>3132569+1075114-101500</f>
        <v>4106183</v>
      </c>
      <c r="H11" s="39"/>
      <c r="I11" s="39">
        <f>3132568+314709-43500+154738+344000</f>
        <v>3902515</v>
      </c>
      <c r="J11" s="39"/>
      <c r="K11" s="182">
        <f>C11+E11+G11+I11</f>
        <v>14273833</v>
      </c>
      <c r="L11" s="39">
        <f>D11+F11+H11+J11</f>
        <v>0</v>
      </c>
      <c r="M11" s="39">
        <v>12530272</v>
      </c>
      <c r="N11" s="40">
        <f>(K11-M11)/M11*100</f>
        <v>13.914789718850477</v>
      </c>
      <c r="O11" s="41">
        <f>K11-M11</f>
        <v>1743561</v>
      </c>
      <c r="P11" s="192">
        <f t="shared" ref="P11:P74" si="2">(K11-M11)/M11*100</f>
        <v>13.914789718850477</v>
      </c>
    </row>
    <row r="12" spans="1:17" ht="12" customHeight="1" outlineLevel="2">
      <c r="A12" s="37">
        <v>21499</v>
      </c>
      <c r="B12" s="38" t="s">
        <v>18</v>
      </c>
      <c r="C12" s="39"/>
      <c r="D12" s="39"/>
      <c r="E12" s="39"/>
      <c r="F12" s="39"/>
      <c r="G12" s="39">
        <v>101500</v>
      </c>
      <c r="H12" s="39"/>
      <c r="I12" s="39">
        <v>43500</v>
      </c>
      <c r="J12" s="39"/>
      <c r="K12" s="39">
        <f>C12+E12+G12+I12</f>
        <v>145000</v>
      </c>
      <c r="L12" s="39">
        <f>D12+F12+H12+J12</f>
        <v>0</v>
      </c>
      <c r="M12" s="39">
        <v>0</v>
      </c>
      <c r="N12" s="40" t="e">
        <f t="shared" ref="N12:N75" si="3">(K12-M12)/M12*100</f>
        <v>#DIV/0!</v>
      </c>
      <c r="P12" s="192"/>
      <c r="Q12" s="183"/>
    </row>
    <row r="13" spans="1:17" ht="12" customHeight="1" outlineLevel="2">
      <c r="A13" s="37"/>
      <c r="B13" s="42" t="s">
        <v>19</v>
      </c>
      <c r="C13" s="43">
        <f t="shared" ref="C13:L13" si="4">SUM(C14:C15)</f>
        <v>75000</v>
      </c>
      <c r="D13" s="43">
        <f t="shared" si="4"/>
        <v>0</v>
      </c>
      <c r="E13" s="43">
        <f t="shared" si="4"/>
        <v>75000</v>
      </c>
      <c r="F13" s="43">
        <f t="shared" si="4"/>
        <v>0</v>
      </c>
      <c r="G13" s="43">
        <f t="shared" si="4"/>
        <v>75000</v>
      </c>
      <c r="H13" s="43">
        <f t="shared" si="4"/>
        <v>0</v>
      </c>
      <c r="I13" s="43">
        <f t="shared" si="4"/>
        <v>75000</v>
      </c>
      <c r="J13" s="43">
        <f t="shared" si="4"/>
        <v>0</v>
      </c>
      <c r="K13" s="43">
        <f t="shared" si="4"/>
        <v>300000</v>
      </c>
      <c r="L13" s="43">
        <f t="shared" si="4"/>
        <v>0</v>
      </c>
      <c r="M13" s="43">
        <v>300000</v>
      </c>
      <c r="N13" s="40">
        <f t="shared" si="3"/>
        <v>0</v>
      </c>
      <c r="P13" s="192">
        <f t="shared" si="2"/>
        <v>0</v>
      </c>
    </row>
    <row r="14" spans="1:17" s="20" customFormat="1" ht="12" customHeight="1" outlineLevel="2">
      <c r="A14" s="44">
        <v>214991</v>
      </c>
      <c r="B14" s="42" t="s">
        <v>20</v>
      </c>
      <c r="C14" s="45">
        <v>14640</v>
      </c>
      <c r="D14" s="45"/>
      <c r="E14" s="45">
        <v>14640</v>
      </c>
      <c r="F14" s="45"/>
      <c r="G14" s="45">
        <v>14640</v>
      </c>
      <c r="H14" s="45"/>
      <c r="I14" s="45">
        <v>14640</v>
      </c>
      <c r="J14" s="45"/>
      <c r="K14" s="45">
        <f t="shared" ref="K14:L15" si="5">C14+E14+G14+I14</f>
        <v>58560</v>
      </c>
      <c r="L14" s="45">
        <f t="shared" si="5"/>
        <v>0</v>
      </c>
      <c r="M14" s="45">
        <v>58560</v>
      </c>
      <c r="N14" s="40">
        <f t="shared" si="3"/>
        <v>0</v>
      </c>
      <c r="P14" s="192">
        <f t="shared" si="2"/>
        <v>0</v>
      </c>
    </row>
    <row r="15" spans="1:17" outlineLevel="2">
      <c r="A15" s="46">
        <v>214993</v>
      </c>
      <c r="B15" s="47" t="s">
        <v>21</v>
      </c>
      <c r="C15" s="48">
        <v>60360</v>
      </c>
      <c r="D15" s="48"/>
      <c r="E15" s="48">
        <v>60360</v>
      </c>
      <c r="F15" s="48"/>
      <c r="G15" s="48">
        <v>60360</v>
      </c>
      <c r="H15" s="48"/>
      <c r="I15" s="48">
        <v>60360</v>
      </c>
      <c r="J15" s="48"/>
      <c r="K15" s="45">
        <f t="shared" si="5"/>
        <v>241440</v>
      </c>
      <c r="L15" s="45">
        <f t="shared" si="5"/>
        <v>0</v>
      </c>
      <c r="M15" s="45">
        <v>241440</v>
      </c>
      <c r="N15" s="40">
        <f t="shared" si="3"/>
        <v>0</v>
      </c>
      <c r="P15" s="192">
        <f t="shared" si="2"/>
        <v>0</v>
      </c>
    </row>
    <row r="16" spans="1:17" s="53" customFormat="1" ht="14" outlineLevel="2">
      <c r="A16" s="49"/>
      <c r="B16" s="50" t="s">
        <v>22</v>
      </c>
      <c r="C16" s="51">
        <f t="shared" ref="C16:L16" si="6">C17+C108</f>
        <v>3207567.05</v>
      </c>
      <c r="D16" s="51">
        <f t="shared" si="6"/>
        <v>0</v>
      </c>
      <c r="E16" s="51">
        <f t="shared" si="6"/>
        <v>3207568.05</v>
      </c>
      <c r="F16" s="51">
        <f t="shared" si="6"/>
        <v>0</v>
      </c>
      <c r="G16" s="51">
        <f>G17+G108</f>
        <v>4282683</v>
      </c>
      <c r="H16" s="51">
        <f t="shared" si="6"/>
        <v>0</v>
      </c>
      <c r="I16" s="51">
        <f t="shared" si="6"/>
        <v>4021015.0300000003</v>
      </c>
      <c r="J16" s="51">
        <f t="shared" si="6"/>
        <v>0</v>
      </c>
      <c r="K16" s="51">
        <f t="shared" si="6"/>
        <v>14718833.130000001</v>
      </c>
      <c r="L16" s="51">
        <f t="shared" si="6"/>
        <v>0</v>
      </c>
      <c r="M16" s="51">
        <v>12830271.93</v>
      </c>
      <c r="N16" s="52">
        <f t="shared" si="3"/>
        <v>14.719572666142245</v>
      </c>
      <c r="P16" s="192">
        <f t="shared" si="2"/>
        <v>14.719572666142245</v>
      </c>
    </row>
    <row r="17" spans="1:17" s="53" customFormat="1" ht="14.5" customHeight="1" outlineLevel="2">
      <c r="A17" s="54" t="s">
        <v>23</v>
      </c>
      <c r="B17" s="55" t="s">
        <v>24</v>
      </c>
      <c r="C17" s="56">
        <f t="shared" ref="C17:L17" si="7">C18+C105</f>
        <v>3089567.05</v>
      </c>
      <c r="D17" s="56">
        <f t="shared" si="7"/>
        <v>0</v>
      </c>
      <c r="E17" s="56">
        <f t="shared" si="7"/>
        <v>3123718.05</v>
      </c>
      <c r="F17" s="56">
        <f t="shared" si="7"/>
        <v>0</v>
      </c>
      <c r="G17" s="56">
        <f t="shared" si="7"/>
        <v>3711923</v>
      </c>
      <c r="H17" s="56">
        <f t="shared" si="7"/>
        <v>0</v>
      </c>
      <c r="I17" s="56">
        <f t="shared" si="7"/>
        <v>3544925.0300000003</v>
      </c>
      <c r="J17" s="56">
        <f t="shared" si="7"/>
        <v>0</v>
      </c>
      <c r="K17" s="56">
        <f t="shared" si="7"/>
        <v>13470133.130000001</v>
      </c>
      <c r="L17" s="56">
        <f t="shared" si="7"/>
        <v>0</v>
      </c>
      <c r="M17" s="56">
        <v>12430271.93</v>
      </c>
      <c r="N17" s="52">
        <f t="shared" si="3"/>
        <v>8.3655547188017234</v>
      </c>
      <c r="P17" s="192">
        <f t="shared" si="2"/>
        <v>8.3655547188017234</v>
      </c>
    </row>
    <row r="18" spans="1:17" s="53" customFormat="1" ht="14" outlineLevel="2">
      <c r="A18" s="54" t="s">
        <v>25</v>
      </c>
      <c r="B18" s="55" t="s">
        <v>26</v>
      </c>
      <c r="C18" s="56">
        <f t="shared" ref="C18:J18" si="8">C19+C39</f>
        <v>3089567.05</v>
      </c>
      <c r="D18" s="56">
        <f t="shared" si="8"/>
        <v>0</v>
      </c>
      <c r="E18" s="56">
        <f t="shared" si="8"/>
        <v>3123718.05</v>
      </c>
      <c r="F18" s="56">
        <f t="shared" si="8"/>
        <v>0</v>
      </c>
      <c r="G18" s="56">
        <f t="shared" si="8"/>
        <v>3711923</v>
      </c>
      <c r="H18" s="56">
        <f t="shared" si="8"/>
        <v>0</v>
      </c>
      <c r="I18" s="56">
        <f t="shared" si="8"/>
        <v>3544925.0300000003</v>
      </c>
      <c r="J18" s="56">
        <f t="shared" si="8"/>
        <v>0</v>
      </c>
      <c r="K18" s="56">
        <f>K19+K39</f>
        <v>13470133.130000001</v>
      </c>
      <c r="L18" s="56">
        <f>L19+L39</f>
        <v>0</v>
      </c>
      <c r="M18" s="56">
        <v>12430271.93</v>
      </c>
      <c r="N18" s="52">
        <f t="shared" si="3"/>
        <v>8.3655547188017234</v>
      </c>
      <c r="P18" s="192">
        <f t="shared" si="2"/>
        <v>8.3655547188017234</v>
      </c>
    </row>
    <row r="19" spans="1:17" outlineLevel="2">
      <c r="A19" s="57">
        <v>1000</v>
      </c>
      <c r="B19" s="58" t="s">
        <v>27</v>
      </c>
      <c r="C19" s="59">
        <f t="shared" ref="C19:J19" si="9">C20+C33</f>
        <v>1937769.55</v>
      </c>
      <c r="D19" s="59">
        <f t="shared" si="9"/>
        <v>0</v>
      </c>
      <c r="E19" s="59">
        <f t="shared" si="9"/>
        <v>2036681.55</v>
      </c>
      <c r="F19" s="59">
        <f t="shared" si="9"/>
        <v>0</v>
      </c>
      <c r="G19" s="59">
        <f t="shared" si="9"/>
        <v>2390914.7799999998</v>
      </c>
      <c r="H19" s="59">
        <f t="shared" si="9"/>
        <v>0</v>
      </c>
      <c r="I19" s="59">
        <f t="shared" si="9"/>
        <v>2206072.69</v>
      </c>
      <c r="J19" s="59">
        <f t="shared" si="9"/>
        <v>0</v>
      </c>
      <c r="K19" s="59">
        <f>K20+K33</f>
        <v>8571438.5700000003</v>
      </c>
      <c r="L19" s="59">
        <f>L20+L33</f>
        <v>0</v>
      </c>
      <c r="M19" s="59">
        <v>7866820.0499999998</v>
      </c>
      <c r="N19" s="52">
        <f t="shared" si="3"/>
        <v>8.9568404453334409</v>
      </c>
      <c r="P19" s="192">
        <f t="shared" si="2"/>
        <v>8.9568404453334409</v>
      </c>
    </row>
    <row r="20" spans="1:17" ht="13" customHeight="1" outlineLevel="2">
      <c r="A20" s="60">
        <v>1100</v>
      </c>
      <c r="B20" s="38" t="s">
        <v>28</v>
      </c>
      <c r="C20" s="61">
        <f t="shared" ref="C20:J20" si="10">C21+C23+C31+C32</f>
        <v>1556123.55</v>
      </c>
      <c r="D20" s="61">
        <f t="shared" si="10"/>
        <v>0</v>
      </c>
      <c r="E20" s="61">
        <f t="shared" si="10"/>
        <v>1656035.55</v>
      </c>
      <c r="F20" s="61">
        <f t="shared" si="10"/>
        <v>0</v>
      </c>
      <c r="G20" s="61">
        <f t="shared" si="10"/>
        <v>1879023.0699999998</v>
      </c>
      <c r="H20" s="61">
        <f t="shared" si="10"/>
        <v>0</v>
      </c>
      <c r="I20" s="61">
        <f t="shared" si="10"/>
        <v>1780351.3900000001</v>
      </c>
      <c r="J20" s="61">
        <f t="shared" si="10"/>
        <v>0</v>
      </c>
      <c r="K20" s="61">
        <f>K21+K23+K31+K32</f>
        <v>6871533.5600000005</v>
      </c>
      <c r="L20" s="61">
        <f>L21+L23+L31+L32</f>
        <v>0</v>
      </c>
      <c r="M20" s="61">
        <v>6344236.0800000001</v>
      </c>
      <c r="N20" s="52">
        <f t="shared" si="3"/>
        <v>8.3114416511436069</v>
      </c>
      <c r="P20" s="192">
        <f t="shared" si="2"/>
        <v>8.3114416511436069</v>
      </c>
    </row>
    <row r="21" spans="1:17" ht="13" customHeight="1" outlineLevel="2">
      <c r="A21" s="62">
        <v>1110</v>
      </c>
      <c r="B21" s="42" t="s">
        <v>29</v>
      </c>
      <c r="C21" s="63">
        <f t="shared" ref="C21:J21" si="11">C22</f>
        <v>1307727.8</v>
      </c>
      <c r="D21" s="63">
        <f t="shared" si="11"/>
        <v>0</v>
      </c>
      <c r="E21" s="63">
        <f t="shared" si="11"/>
        <v>1307728.8</v>
      </c>
      <c r="F21" s="63">
        <f t="shared" si="11"/>
        <v>0</v>
      </c>
      <c r="G21" s="63">
        <f t="shared" si="11"/>
        <v>1529190.68</v>
      </c>
      <c r="H21" s="63">
        <f t="shared" si="11"/>
        <v>0</v>
      </c>
      <c r="I21" s="63">
        <f t="shared" si="11"/>
        <v>1448767.28</v>
      </c>
      <c r="J21" s="63">
        <f t="shared" si="11"/>
        <v>0</v>
      </c>
      <c r="K21" s="63">
        <f>K22</f>
        <v>5593414.5600000005</v>
      </c>
      <c r="L21" s="63">
        <f>L22</f>
        <v>0</v>
      </c>
      <c r="M21" s="63">
        <v>5230915.08</v>
      </c>
      <c r="N21" s="40">
        <f t="shared" si="3"/>
        <v>6.9299438904292145</v>
      </c>
      <c r="P21" s="192">
        <f t="shared" si="2"/>
        <v>6.9299438904292145</v>
      </c>
    </row>
    <row r="22" spans="1:17" s="20" customFormat="1" ht="13" customHeight="1" outlineLevel="2">
      <c r="A22" s="64">
        <v>1119</v>
      </c>
      <c r="B22" s="65" t="s">
        <v>30</v>
      </c>
      <c r="C22" s="45">
        <v>1307727.8</v>
      </c>
      <c r="D22" s="45"/>
      <c r="E22" s="45">
        <v>1307728.8</v>
      </c>
      <c r="F22" s="45"/>
      <c r="G22" s="45">
        <f>1307728.68+221462</f>
        <v>1529190.68</v>
      </c>
      <c r="H22" s="45"/>
      <c r="I22" s="45">
        <f>1307728.8+110730.15+24719.97+5588.36</f>
        <v>1448767.28</v>
      </c>
      <c r="J22" s="45"/>
      <c r="K22" s="66">
        <f>C22+E22+G22+I22</f>
        <v>5593414.5600000005</v>
      </c>
      <c r="L22" s="66">
        <f>D22+F22+H22+J22</f>
        <v>0</v>
      </c>
      <c r="M22" s="66">
        <v>5230915.08</v>
      </c>
      <c r="N22" s="67">
        <f t="shared" si="3"/>
        <v>6.9299438904292145</v>
      </c>
      <c r="P22" s="192">
        <f t="shared" si="2"/>
        <v>6.9299438904292145</v>
      </c>
    </row>
    <row r="23" spans="1:17" s="68" customFormat="1" ht="13" customHeight="1" outlineLevel="2">
      <c r="A23" s="62">
        <v>1140</v>
      </c>
      <c r="B23" s="42" t="s">
        <v>31</v>
      </c>
      <c r="C23" s="63">
        <f t="shared" ref="C23:J23" si="12">SUM(C24:C30)</f>
        <v>141173.75</v>
      </c>
      <c r="D23" s="63">
        <f t="shared" si="12"/>
        <v>0</v>
      </c>
      <c r="E23" s="63">
        <f t="shared" si="12"/>
        <v>237148.75</v>
      </c>
      <c r="F23" s="63">
        <f t="shared" si="12"/>
        <v>0</v>
      </c>
      <c r="G23" s="63">
        <f t="shared" si="12"/>
        <v>246457.39</v>
      </c>
      <c r="H23" s="63">
        <f t="shared" si="12"/>
        <v>0</v>
      </c>
      <c r="I23" s="63">
        <f t="shared" si="12"/>
        <v>195353.11</v>
      </c>
      <c r="J23" s="63">
        <f t="shared" si="12"/>
        <v>0</v>
      </c>
      <c r="K23" s="63">
        <f>SUM(K24:K30)</f>
        <v>820133</v>
      </c>
      <c r="L23" s="63">
        <f>SUM(L24:L30)</f>
        <v>0</v>
      </c>
      <c r="M23" s="63">
        <v>685680</v>
      </c>
      <c r="N23" s="67">
        <f t="shared" si="3"/>
        <v>19.608709602146774</v>
      </c>
      <c r="P23" s="192">
        <f t="shared" si="2"/>
        <v>19.608709602146774</v>
      </c>
    </row>
    <row r="24" spans="1:17" s="68" customFormat="1" ht="13" customHeight="1" outlineLevel="2">
      <c r="A24" s="64">
        <v>1141</v>
      </c>
      <c r="B24" s="42" t="s">
        <v>32</v>
      </c>
      <c r="C24" s="66">
        <v>11125</v>
      </c>
      <c r="D24" s="45"/>
      <c r="E24" s="66">
        <v>11125</v>
      </c>
      <c r="F24" s="45"/>
      <c r="G24" s="66">
        <v>11125</v>
      </c>
      <c r="H24" s="45"/>
      <c r="I24" s="66">
        <v>11125</v>
      </c>
      <c r="J24" s="45"/>
      <c r="K24" s="66">
        <f>C24+E24+G24+I24</f>
        <v>44500</v>
      </c>
      <c r="L24" s="66">
        <f>D24+F24+H24+J24</f>
        <v>0</v>
      </c>
      <c r="M24" s="66">
        <v>44500</v>
      </c>
      <c r="N24" s="67">
        <f t="shared" si="3"/>
        <v>0</v>
      </c>
      <c r="P24" s="192">
        <f t="shared" si="2"/>
        <v>0</v>
      </c>
    </row>
    <row r="25" spans="1:17" s="68" customFormat="1" ht="32.25" customHeight="1" outlineLevel="2">
      <c r="A25" s="64">
        <v>1142</v>
      </c>
      <c r="B25" s="42" t="s">
        <v>33</v>
      </c>
      <c r="C25" s="66">
        <v>10000</v>
      </c>
      <c r="D25" s="45"/>
      <c r="E25" s="66">
        <v>14000</v>
      </c>
      <c r="F25" s="45"/>
      <c r="G25" s="66">
        <f>12000+58937</f>
        <v>70937</v>
      </c>
      <c r="H25" s="45"/>
      <c r="I25" s="66">
        <v>12000</v>
      </c>
      <c r="J25" s="45"/>
      <c r="K25" s="66">
        <f t="shared" ref="K25:L32" si="13">C25+E25+G25+I25</f>
        <v>106937</v>
      </c>
      <c r="L25" s="66">
        <f t="shared" si="13"/>
        <v>0</v>
      </c>
      <c r="M25" s="66">
        <v>48000</v>
      </c>
      <c r="N25" s="69">
        <f t="shared" si="3"/>
        <v>122.78541666666666</v>
      </c>
      <c r="P25" s="192">
        <f t="shared" si="2"/>
        <v>122.78541666666666</v>
      </c>
      <c r="Q25" s="194" t="s">
        <v>142</v>
      </c>
    </row>
    <row r="26" spans="1:17" s="74" customFormat="1" ht="13" customHeight="1" outlineLevel="2">
      <c r="A26" s="70">
        <v>1145</v>
      </c>
      <c r="B26" s="71" t="s">
        <v>34</v>
      </c>
      <c r="C26" s="72"/>
      <c r="D26" s="73"/>
      <c r="E26" s="72"/>
      <c r="F26" s="73"/>
      <c r="G26" s="72"/>
      <c r="H26" s="73"/>
      <c r="I26" s="72"/>
      <c r="J26" s="73"/>
      <c r="K26" s="66">
        <f t="shared" si="13"/>
        <v>0</v>
      </c>
      <c r="L26" s="66">
        <f t="shared" si="13"/>
        <v>0</v>
      </c>
      <c r="M26" s="66">
        <v>0</v>
      </c>
      <c r="N26" s="67"/>
      <c r="P26" s="192"/>
    </row>
    <row r="27" spans="1:17" s="74" customFormat="1" ht="13" customHeight="1" outlineLevel="2">
      <c r="A27" s="70">
        <v>1146</v>
      </c>
      <c r="B27" s="71" t="s">
        <v>35</v>
      </c>
      <c r="C27" s="72"/>
      <c r="D27" s="73"/>
      <c r="E27" s="72"/>
      <c r="F27" s="73"/>
      <c r="G27" s="72"/>
      <c r="H27" s="73"/>
      <c r="I27" s="72"/>
      <c r="J27" s="73"/>
      <c r="K27" s="66">
        <f t="shared" si="13"/>
        <v>0</v>
      </c>
      <c r="L27" s="66">
        <f t="shared" si="13"/>
        <v>0</v>
      </c>
      <c r="M27" s="66">
        <v>0</v>
      </c>
      <c r="N27" s="67"/>
      <c r="P27" s="192"/>
    </row>
    <row r="28" spans="1:17" s="68" customFormat="1" ht="13" customHeight="1" outlineLevel="2">
      <c r="A28" s="64">
        <v>1147</v>
      </c>
      <c r="B28" s="42" t="s">
        <v>36</v>
      </c>
      <c r="C28" s="66">
        <v>120048.75</v>
      </c>
      <c r="D28" s="45"/>
      <c r="E28" s="66">
        <v>113303.75</v>
      </c>
      <c r="F28" s="45"/>
      <c r="G28" s="66">
        <f>138918.75+21458.64+4018</f>
        <v>164395.39000000001</v>
      </c>
      <c r="H28" s="45"/>
      <c r="I28" s="66">
        <f>122188.75+10729.36+39310</f>
        <v>172228.11</v>
      </c>
      <c r="J28" s="45"/>
      <c r="K28" s="66">
        <f t="shared" si="13"/>
        <v>569976</v>
      </c>
      <c r="L28" s="66">
        <f t="shared" si="13"/>
        <v>0</v>
      </c>
      <c r="M28" s="66">
        <v>494460</v>
      </c>
      <c r="N28" s="67">
        <f t="shared" si="3"/>
        <v>15.272418395825749</v>
      </c>
      <c r="P28" s="192">
        <f t="shared" si="2"/>
        <v>15.272418395825749</v>
      </c>
    </row>
    <row r="29" spans="1:17" s="68" customFormat="1" ht="13" customHeight="1" outlineLevel="2">
      <c r="A29" s="64">
        <v>1148</v>
      </c>
      <c r="B29" s="42" t="s">
        <v>37</v>
      </c>
      <c r="C29" s="66"/>
      <c r="D29" s="45"/>
      <c r="E29" s="66">
        <v>98720</v>
      </c>
      <c r="F29" s="45"/>
      <c r="G29" s="66"/>
      <c r="H29" s="45"/>
      <c r="I29" s="66"/>
      <c r="J29" s="45"/>
      <c r="K29" s="66">
        <f t="shared" si="13"/>
        <v>98720</v>
      </c>
      <c r="L29" s="66">
        <f t="shared" si="13"/>
        <v>0</v>
      </c>
      <c r="M29" s="66">
        <v>98720</v>
      </c>
      <c r="N29" s="67">
        <f t="shared" si="3"/>
        <v>0</v>
      </c>
      <c r="P29" s="192">
        <f t="shared" si="2"/>
        <v>0</v>
      </c>
    </row>
    <row r="30" spans="1:17" s="68" customFormat="1" ht="13" customHeight="1" outlineLevel="2">
      <c r="A30" s="64">
        <v>1149</v>
      </c>
      <c r="B30" s="42" t="s">
        <v>38</v>
      </c>
      <c r="C30" s="66"/>
      <c r="D30" s="45"/>
      <c r="E30" s="66"/>
      <c r="F30" s="45"/>
      <c r="G30" s="66"/>
      <c r="H30" s="45"/>
      <c r="I30" s="66"/>
      <c r="J30" s="45"/>
      <c r="K30" s="66">
        <f t="shared" si="13"/>
        <v>0</v>
      </c>
      <c r="L30" s="66">
        <f t="shared" si="13"/>
        <v>0</v>
      </c>
      <c r="M30" s="66">
        <v>0</v>
      </c>
      <c r="N30" s="67"/>
      <c r="P30" s="192"/>
    </row>
    <row r="31" spans="1:17" s="74" customFormat="1" ht="25.5" customHeight="1" outlineLevel="2">
      <c r="A31" s="75">
        <v>1150</v>
      </c>
      <c r="B31" s="76" t="s">
        <v>39</v>
      </c>
      <c r="C31" s="180">
        <v>107222</v>
      </c>
      <c r="D31" s="180"/>
      <c r="E31" s="180">
        <v>111158</v>
      </c>
      <c r="F31" s="180"/>
      <c r="G31" s="180">
        <f>98950+4425</f>
        <v>103375</v>
      </c>
      <c r="H31" s="180"/>
      <c r="I31" s="180">
        <f>110311+25920</f>
        <v>136231</v>
      </c>
      <c r="J31" s="180"/>
      <c r="K31" s="181">
        <f t="shared" si="13"/>
        <v>457986</v>
      </c>
      <c r="L31" s="181">
        <f t="shared" si="13"/>
        <v>0</v>
      </c>
      <c r="M31" s="181">
        <v>427641</v>
      </c>
      <c r="N31" s="67">
        <f t="shared" si="3"/>
        <v>7.0959052102113684</v>
      </c>
      <c r="P31" s="192">
        <f t="shared" si="2"/>
        <v>7.0959052102113684</v>
      </c>
    </row>
    <row r="32" spans="1:17" s="74" customFormat="1" ht="13" customHeight="1" outlineLevel="2">
      <c r="A32" s="75">
        <v>1170</v>
      </c>
      <c r="B32" s="71" t="s">
        <v>40</v>
      </c>
      <c r="C32" s="77"/>
      <c r="D32" s="73"/>
      <c r="E32" s="77"/>
      <c r="F32" s="73"/>
      <c r="G32" s="77"/>
      <c r="H32" s="73"/>
      <c r="I32" s="77"/>
      <c r="J32" s="73"/>
      <c r="K32" s="66">
        <f t="shared" si="13"/>
        <v>0</v>
      </c>
      <c r="L32" s="66">
        <f t="shared" si="13"/>
        <v>0</v>
      </c>
      <c r="M32" s="66">
        <v>0</v>
      </c>
      <c r="N32" s="67"/>
      <c r="P32" s="192"/>
    </row>
    <row r="33" spans="1:17" ht="25.5" customHeight="1" outlineLevel="2">
      <c r="A33" s="78">
        <v>1200</v>
      </c>
      <c r="B33" s="42" t="s">
        <v>41</v>
      </c>
      <c r="C33" s="79">
        <f t="shared" ref="C33:J33" si="14">C34+C35</f>
        <v>381646</v>
      </c>
      <c r="D33" s="79">
        <f t="shared" si="14"/>
        <v>0</v>
      </c>
      <c r="E33" s="79">
        <f t="shared" si="14"/>
        <v>380646</v>
      </c>
      <c r="F33" s="79">
        <f t="shared" si="14"/>
        <v>0</v>
      </c>
      <c r="G33" s="79">
        <f t="shared" si="14"/>
        <v>511891.70999999996</v>
      </c>
      <c r="H33" s="79">
        <f t="shared" si="14"/>
        <v>0</v>
      </c>
      <c r="I33" s="79">
        <f t="shared" si="14"/>
        <v>425721.3</v>
      </c>
      <c r="J33" s="79">
        <f t="shared" si="14"/>
        <v>0</v>
      </c>
      <c r="K33" s="79">
        <f>K34+K35</f>
        <v>1699905.01</v>
      </c>
      <c r="L33" s="79">
        <f>L34+L35</f>
        <v>0</v>
      </c>
      <c r="M33" s="79">
        <v>1522583.97</v>
      </c>
      <c r="N33" s="80">
        <f t="shared" si="3"/>
        <v>11.646059822894369</v>
      </c>
      <c r="P33" s="192">
        <f t="shared" si="2"/>
        <v>11.646059822894369</v>
      </c>
    </row>
    <row r="34" spans="1:17" s="20" customFormat="1" ht="14.25" customHeight="1" outlineLevel="2">
      <c r="A34" s="62">
        <v>1210</v>
      </c>
      <c r="B34" s="42" t="s">
        <v>42</v>
      </c>
      <c r="C34" s="81">
        <v>340771</v>
      </c>
      <c r="D34" s="45"/>
      <c r="E34" s="81">
        <v>340771</v>
      </c>
      <c r="F34" s="45"/>
      <c r="G34" s="81">
        <f>340770.99+57304.68+24941.04</f>
        <v>423016.70999999996</v>
      </c>
      <c r="H34" s="45"/>
      <c r="I34" s="81">
        <f>340770.99+28652.32+16423</f>
        <v>385846.31</v>
      </c>
      <c r="J34" s="45"/>
      <c r="K34" s="81">
        <f>C34+E34+G34+I34</f>
        <v>1490405.02</v>
      </c>
      <c r="L34" s="81">
        <f>D34+F34+H34+J34</f>
        <v>0</v>
      </c>
      <c r="M34" s="81">
        <v>1363083.98</v>
      </c>
      <c r="N34" s="67">
        <f t="shared" si="3"/>
        <v>9.3406599936711192</v>
      </c>
      <c r="P34" s="192">
        <f t="shared" si="2"/>
        <v>9.3406599936711192</v>
      </c>
    </row>
    <row r="35" spans="1:17" s="68" customFormat="1" ht="44.25" customHeight="1" outlineLevel="2">
      <c r="A35" s="62">
        <v>1220</v>
      </c>
      <c r="B35" s="42" t="s">
        <v>43</v>
      </c>
      <c r="C35" s="63">
        <f t="shared" ref="C35:J35" si="15">SUM(C36:C38)</f>
        <v>40875</v>
      </c>
      <c r="D35" s="63">
        <f t="shared" si="15"/>
        <v>0</v>
      </c>
      <c r="E35" s="63">
        <f t="shared" si="15"/>
        <v>39875</v>
      </c>
      <c r="F35" s="63">
        <f t="shared" si="15"/>
        <v>0</v>
      </c>
      <c r="G35" s="63">
        <f t="shared" si="15"/>
        <v>88875</v>
      </c>
      <c r="H35" s="63">
        <f t="shared" si="15"/>
        <v>0</v>
      </c>
      <c r="I35" s="63">
        <f t="shared" si="15"/>
        <v>39874.99</v>
      </c>
      <c r="J35" s="63">
        <f t="shared" si="15"/>
        <v>0</v>
      </c>
      <c r="K35" s="63">
        <f>SUM(K36:K38)</f>
        <v>209499.99</v>
      </c>
      <c r="L35" s="63">
        <f>SUM(L36:L38)</f>
        <v>0</v>
      </c>
      <c r="M35" s="63">
        <v>159499.99</v>
      </c>
      <c r="N35" s="82">
        <f t="shared" si="3"/>
        <v>31.347964347834754</v>
      </c>
      <c r="P35" s="192">
        <f t="shared" si="2"/>
        <v>31.347964347834754</v>
      </c>
      <c r="Q35" s="193" t="s">
        <v>143</v>
      </c>
    </row>
    <row r="36" spans="1:17" s="68" customFormat="1" ht="27.75" customHeight="1" outlineLevel="2">
      <c r="A36" s="64">
        <v>1221</v>
      </c>
      <c r="B36" s="42" t="s">
        <v>44</v>
      </c>
      <c r="C36" s="83">
        <v>16000</v>
      </c>
      <c r="D36" s="84"/>
      <c r="E36" s="83">
        <v>15000</v>
      </c>
      <c r="F36" s="84"/>
      <c r="G36" s="83">
        <f>14000+20000</f>
        <v>34000</v>
      </c>
      <c r="H36" s="84"/>
      <c r="I36" s="83">
        <v>15000</v>
      </c>
      <c r="J36" s="84"/>
      <c r="K36" s="83">
        <f t="shared" ref="K36:L38" si="16">C36+E36+G36+I36</f>
        <v>80000</v>
      </c>
      <c r="L36" s="83">
        <f t="shared" si="16"/>
        <v>0</v>
      </c>
      <c r="M36" s="83">
        <v>60000</v>
      </c>
      <c r="N36" s="82">
        <f t="shared" si="3"/>
        <v>33.333333333333329</v>
      </c>
      <c r="P36" s="192">
        <f t="shared" si="2"/>
        <v>33.333333333333329</v>
      </c>
    </row>
    <row r="37" spans="1:17" s="68" customFormat="1" ht="14.5" customHeight="1" outlineLevel="2">
      <c r="A37" s="64">
        <v>1227</v>
      </c>
      <c r="B37" s="42" t="s">
        <v>45</v>
      </c>
      <c r="C37" s="83">
        <v>23750</v>
      </c>
      <c r="D37" s="84"/>
      <c r="E37" s="83">
        <v>23750</v>
      </c>
      <c r="F37" s="84"/>
      <c r="G37" s="83">
        <f>23750+30000</f>
        <v>53750</v>
      </c>
      <c r="H37" s="84"/>
      <c r="I37" s="83">
        <v>23750</v>
      </c>
      <c r="J37" s="84"/>
      <c r="K37" s="83">
        <f t="shared" si="16"/>
        <v>125000</v>
      </c>
      <c r="L37" s="83">
        <f t="shared" si="16"/>
        <v>0</v>
      </c>
      <c r="M37" s="83">
        <v>95000</v>
      </c>
      <c r="N37" s="82">
        <f t="shared" si="3"/>
        <v>31.578947368421051</v>
      </c>
      <c r="P37" s="192">
        <f t="shared" si="2"/>
        <v>31.578947368421051</v>
      </c>
    </row>
    <row r="38" spans="1:17" s="74" customFormat="1" ht="23.25" customHeight="1" outlineLevel="2">
      <c r="A38" s="70">
        <v>1228</v>
      </c>
      <c r="B38" s="85" t="s">
        <v>46</v>
      </c>
      <c r="C38" s="86">
        <v>1125</v>
      </c>
      <c r="D38" s="87"/>
      <c r="E38" s="86">
        <v>1125</v>
      </c>
      <c r="F38" s="87"/>
      <c r="G38" s="86">
        <v>1125</v>
      </c>
      <c r="H38" s="87"/>
      <c r="I38" s="86">
        <v>1124.99</v>
      </c>
      <c r="J38" s="87"/>
      <c r="K38" s="83">
        <f t="shared" si="16"/>
        <v>4499.99</v>
      </c>
      <c r="L38" s="83">
        <f t="shared" si="16"/>
        <v>0</v>
      </c>
      <c r="M38" s="83">
        <v>4499.99</v>
      </c>
      <c r="N38" s="67">
        <f t="shared" si="3"/>
        <v>0</v>
      </c>
      <c r="P38" s="192">
        <f t="shared" si="2"/>
        <v>0</v>
      </c>
    </row>
    <row r="39" spans="1:17" s="68" customFormat="1" ht="15.65" customHeight="1" outlineLevel="2">
      <c r="A39" s="88">
        <v>2000</v>
      </c>
      <c r="B39" s="89" t="s">
        <v>47</v>
      </c>
      <c r="C39" s="90">
        <f t="shared" ref="C39:L39" si="17">C40+C47+C82+C97+C98</f>
        <v>1151797.5</v>
      </c>
      <c r="D39" s="90">
        <f t="shared" si="17"/>
        <v>0</v>
      </c>
      <c r="E39" s="90">
        <f t="shared" si="17"/>
        <v>1087036.5</v>
      </c>
      <c r="F39" s="90">
        <f t="shared" si="17"/>
        <v>0</v>
      </c>
      <c r="G39" s="90">
        <f t="shared" si="17"/>
        <v>1321008.22</v>
      </c>
      <c r="H39" s="90">
        <f t="shared" si="17"/>
        <v>0</v>
      </c>
      <c r="I39" s="90">
        <f t="shared" si="17"/>
        <v>1338852.3400000001</v>
      </c>
      <c r="J39" s="90">
        <f t="shared" si="17"/>
        <v>0</v>
      </c>
      <c r="K39" s="90">
        <f t="shared" si="17"/>
        <v>4898694.5600000005</v>
      </c>
      <c r="L39" s="90">
        <f t="shared" si="17"/>
        <v>0</v>
      </c>
      <c r="M39" s="90">
        <v>4563451.88</v>
      </c>
      <c r="N39" s="91">
        <f t="shared" si="3"/>
        <v>7.3462521094886757</v>
      </c>
      <c r="P39" s="192">
        <f t="shared" si="2"/>
        <v>7.3462521094886757</v>
      </c>
    </row>
    <row r="40" spans="1:17" s="68" customFormat="1" ht="12.65" customHeight="1" outlineLevel="2">
      <c r="A40" s="60">
        <v>2100</v>
      </c>
      <c r="B40" s="38" t="s">
        <v>48</v>
      </c>
      <c r="C40" s="61">
        <f t="shared" ref="C40:J40" si="18">C41+C44</f>
        <v>16246.75</v>
      </c>
      <c r="D40" s="61">
        <f t="shared" si="18"/>
        <v>0</v>
      </c>
      <c r="E40" s="61">
        <f t="shared" si="18"/>
        <v>16246.75</v>
      </c>
      <c r="F40" s="61">
        <f t="shared" si="18"/>
        <v>0</v>
      </c>
      <c r="G40" s="61">
        <f t="shared" si="18"/>
        <v>17163.91</v>
      </c>
      <c r="H40" s="61">
        <f t="shared" si="18"/>
        <v>0</v>
      </c>
      <c r="I40" s="61">
        <f t="shared" si="18"/>
        <v>46110.75</v>
      </c>
      <c r="J40" s="61">
        <f t="shared" si="18"/>
        <v>0</v>
      </c>
      <c r="K40" s="61">
        <f>K41+K44</f>
        <v>95768.16</v>
      </c>
      <c r="L40" s="61">
        <f>L41+L44</f>
        <v>0</v>
      </c>
      <c r="M40" s="61">
        <v>64987.16</v>
      </c>
      <c r="N40" s="91">
        <f t="shared" si="3"/>
        <v>47.364740973447681</v>
      </c>
      <c r="P40" s="192">
        <f t="shared" si="2"/>
        <v>47.364740973447681</v>
      </c>
      <c r="Q40" s="68" t="s">
        <v>151</v>
      </c>
    </row>
    <row r="41" spans="1:17" s="68" customFormat="1" ht="12.75" customHeight="1" outlineLevel="2">
      <c r="A41" s="62">
        <v>2110</v>
      </c>
      <c r="B41" s="42" t="s">
        <v>49</v>
      </c>
      <c r="C41" s="63">
        <f t="shared" ref="C41:I41" si="19">SUM(C42:C43)</f>
        <v>2246.75</v>
      </c>
      <c r="D41" s="63">
        <f t="shared" si="19"/>
        <v>0</v>
      </c>
      <c r="E41" s="63">
        <f t="shared" si="19"/>
        <v>2246.75</v>
      </c>
      <c r="F41" s="63">
        <f t="shared" si="19"/>
        <v>0</v>
      </c>
      <c r="G41" s="63">
        <f t="shared" si="19"/>
        <v>2246.91</v>
      </c>
      <c r="H41" s="63">
        <f t="shared" si="19"/>
        <v>0</v>
      </c>
      <c r="I41" s="63">
        <f t="shared" si="19"/>
        <v>2246.75</v>
      </c>
      <c r="J41" s="63">
        <f>SUM(J42:J43)</f>
        <v>0</v>
      </c>
      <c r="K41" s="63">
        <f>SUM(K42:K43)</f>
        <v>8987.16</v>
      </c>
      <c r="L41" s="63">
        <f>SUM(L42:L43)</f>
        <v>0</v>
      </c>
      <c r="M41" s="63">
        <v>8987.16</v>
      </c>
      <c r="N41" s="67">
        <f t="shared" si="3"/>
        <v>0</v>
      </c>
      <c r="P41" s="192">
        <f t="shared" si="2"/>
        <v>0</v>
      </c>
    </row>
    <row r="42" spans="1:17" s="68" customFormat="1" ht="12.75" customHeight="1" outlineLevel="2">
      <c r="A42" s="64">
        <v>2111</v>
      </c>
      <c r="B42" s="42" t="s">
        <v>50</v>
      </c>
      <c r="C42" s="66">
        <v>1000</v>
      </c>
      <c r="D42" s="45"/>
      <c r="E42" s="66">
        <v>1000</v>
      </c>
      <c r="F42" s="45"/>
      <c r="G42" s="66">
        <v>1000</v>
      </c>
      <c r="H42" s="45"/>
      <c r="I42" s="66">
        <v>1000</v>
      </c>
      <c r="J42" s="45"/>
      <c r="K42" s="66">
        <f>C42+E42+G42+I42</f>
        <v>4000</v>
      </c>
      <c r="L42" s="66">
        <f>D42+F42+H42+J42</f>
        <v>0</v>
      </c>
      <c r="M42" s="66">
        <v>4000</v>
      </c>
      <c r="N42" s="67">
        <f t="shared" si="3"/>
        <v>0</v>
      </c>
      <c r="P42" s="192">
        <f t="shared" si="2"/>
        <v>0</v>
      </c>
    </row>
    <row r="43" spans="1:17" s="68" customFormat="1" ht="12.75" customHeight="1" outlineLevel="2">
      <c r="A43" s="64">
        <v>2112</v>
      </c>
      <c r="B43" s="42" t="s">
        <v>51</v>
      </c>
      <c r="C43" s="66">
        <v>1246.75</v>
      </c>
      <c r="D43" s="45"/>
      <c r="E43" s="66">
        <v>1246.75</v>
      </c>
      <c r="F43" s="45"/>
      <c r="G43" s="66">
        <v>1246.9100000000001</v>
      </c>
      <c r="H43" s="45"/>
      <c r="I43" s="66">
        <v>1246.75</v>
      </c>
      <c r="J43" s="45"/>
      <c r="K43" s="66">
        <f>C43+E43+G43+I43</f>
        <v>4987.16</v>
      </c>
      <c r="L43" s="66">
        <f>D43+F43+H43+J43</f>
        <v>0</v>
      </c>
      <c r="M43" s="66">
        <v>4987.16</v>
      </c>
      <c r="N43" s="67">
        <f t="shared" si="3"/>
        <v>0</v>
      </c>
      <c r="P43" s="192">
        <f t="shared" si="2"/>
        <v>0</v>
      </c>
    </row>
    <row r="44" spans="1:17" s="68" customFormat="1" ht="12.75" customHeight="1" outlineLevel="2">
      <c r="A44" s="62">
        <v>2120</v>
      </c>
      <c r="B44" s="42" t="s">
        <v>52</v>
      </c>
      <c r="C44" s="63">
        <f t="shared" ref="C44:J44" si="20">SUM(C45:C46)</f>
        <v>14000</v>
      </c>
      <c r="D44" s="63">
        <f t="shared" si="20"/>
        <v>0</v>
      </c>
      <c r="E44" s="63">
        <f t="shared" si="20"/>
        <v>14000</v>
      </c>
      <c r="F44" s="63">
        <f t="shared" si="20"/>
        <v>0</v>
      </c>
      <c r="G44" s="63">
        <f t="shared" si="20"/>
        <v>14917</v>
      </c>
      <c r="H44" s="63">
        <f t="shared" si="20"/>
        <v>0</v>
      </c>
      <c r="I44" s="63">
        <f t="shared" si="20"/>
        <v>43864</v>
      </c>
      <c r="J44" s="63">
        <f t="shared" si="20"/>
        <v>0</v>
      </c>
      <c r="K44" s="63">
        <f>SUM(K45:K46)</f>
        <v>86781</v>
      </c>
      <c r="L44" s="63">
        <f>SUM(L45:L46)</f>
        <v>0</v>
      </c>
      <c r="M44" s="63">
        <v>56000</v>
      </c>
      <c r="N44" s="67">
        <f t="shared" si="3"/>
        <v>54.966071428571425</v>
      </c>
      <c r="P44" s="192">
        <f t="shared" si="2"/>
        <v>54.966071428571425</v>
      </c>
    </row>
    <row r="45" spans="1:17" s="20" customFormat="1" ht="12.75" customHeight="1" outlineLevel="2">
      <c r="A45" s="64">
        <v>2121</v>
      </c>
      <c r="B45" s="42" t="s">
        <v>50</v>
      </c>
      <c r="C45" s="66">
        <v>5000</v>
      </c>
      <c r="D45" s="45"/>
      <c r="E45" s="66">
        <v>5000</v>
      </c>
      <c r="F45" s="45"/>
      <c r="G45" s="66">
        <v>5000</v>
      </c>
      <c r="H45" s="45"/>
      <c r="I45" s="66">
        <f>5000+7000</f>
        <v>12000</v>
      </c>
      <c r="J45" s="45"/>
      <c r="K45" s="66">
        <f>C45+E45+G45+I45</f>
        <v>27000</v>
      </c>
      <c r="L45" s="66">
        <f>D45+F45+H45+J45</f>
        <v>0</v>
      </c>
      <c r="M45" s="66">
        <v>20000</v>
      </c>
      <c r="N45" s="67">
        <f t="shared" si="3"/>
        <v>35</v>
      </c>
      <c r="P45" s="192">
        <f t="shared" si="2"/>
        <v>35</v>
      </c>
    </row>
    <row r="46" spans="1:17" ht="12.75" customHeight="1" outlineLevel="2">
      <c r="A46" s="64">
        <v>2122</v>
      </c>
      <c r="B46" s="42" t="s">
        <v>51</v>
      </c>
      <c r="C46" s="66">
        <v>9000</v>
      </c>
      <c r="D46" s="45"/>
      <c r="E46" s="66">
        <v>9000</v>
      </c>
      <c r="F46" s="45"/>
      <c r="G46" s="66">
        <f>9000+917</f>
        <v>9917</v>
      </c>
      <c r="H46" s="45"/>
      <c r="I46" s="66">
        <f>9000+22864</f>
        <v>31864</v>
      </c>
      <c r="J46" s="45"/>
      <c r="K46" s="66">
        <f>C46+E46+G46+I46</f>
        <v>59781</v>
      </c>
      <c r="L46" s="66">
        <f>D46+F46+H46+J46</f>
        <v>0</v>
      </c>
      <c r="M46" s="66">
        <v>36000</v>
      </c>
      <c r="N46" s="67">
        <f t="shared" si="3"/>
        <v>66.058333333333337</v>
      </c>
      <c r="P46" s="192">
        <f t="shared" si="2"/>
        <v>66.058333333333337</v>
      </c>
    </row>
    <row r="47" spans="1:17" outlineLevel="2">
      <c r="A47" s="78">
        <v>2200</v>
      </c>
      <c r="B47" s="42" t="s">
        <v>53</v>
      </c>
      <c r="C47" s="79">
        <f t="shared" ref="C47:J47" si="21">C48+C49+C55+C64+C71+C74+C80</f>
        <v>1071560.75</v>
      </c>
      <c r="D47" s="79">
        <f t="shared" si="21"/>
        <v>0</v>
      </c>
      <c r="E47" s="79">
        <f t="shared" si="21"/>
        <v>1026409.75</v>
      </c>
      <c r="F47" s="79">
        <f t="shared" si="21"/>
        <v>0</v>
      </c>
      <c r="G47" s="79">
        <f t="shared" si="21"/>
        <v>1185421.31</v>
      </c>
      <c r="H47" s="79">
        <f t="shared" si="21"/>
        <v>0</v>
      </c>
      <c r="I47" s="79">
        <f t="shared" si="21"/>
        <v>1193881.76</v>
      </c>
      <c r="J47" s="79">
        <f t="shared" si="21"/>
        <v>0</v>
      </c>
      <c r="K47" s="79">
        <f>K48+K49+K55+K64+K71+K74+K80</f>
        <v>4477273.57</v>
      </c>
      <c r="L47" s="79">
        <f>L48+L49+L55+L64+L71+L74+L80</f>
        <v>0</v>
      </c>
      <c r="M47" s="79">
        <v>4280274.72</v>
      </c>
      <c r="N47" s="91">
        <f t="shared" si="3"/>
        <v>4.6024814500691811</v>
      </c>
      <c r="P47" s="192">
        <f t="shared" si="2"/>
        <v>4.6024814500691811</v>
      </c>
    </row>
    <row r="48" spans="1:17" ht="12.75" customHeight="1" outlineLevel="2">
      <c r="A48" s="62">
        <v>2210</v>
      </c>
      <c r="B48" s="42" t="s">
        <v>54</v>
      </c>
      <c r="C48" s="66">
        <v>631882</v>
      </c>
      <c r="D48" s="66"/>
      <c r="E48" s="66">
        <v>632118</v>
      </c>
      <c r="F48" s="66"/>
      <c r="G48" s="66">
        <v>632832.49</v>
      </c>
      <c r="H48" s="66"/>
      <c r="I48" s="66">
        <f>632021.64+912.85</f>
        <v>632934.49</v>
      </c>
      <c r="J48" s="66"/>
      <c r="K48" s="81">
        <f>C48+E48+G48+I48</f>
        <v>2529766.98</v>
      </c>
      <c r="L48" s="81">
        <f>D48+F48+H48+J48</f>
        <v>0</v>
      </c>
      <c r="M48" s="81">
        <v>2528854.13</v>
      </c>
      <c r="N48" s="67">
        <f t="shared" si="3"/>
        <v>3.6097376640703796E-2</v>
      </c>
      <c r="P48" s="192">
        <f t="shared" si="2"/>
        <v>3.6097376640703796E-2</v>
      </c>
    </row>
    <row r="49" spans="1:17" s="20" customFormat="1" ht="12.65" customHeight="1" outlineLevel="2">
      <c r="A49" s="62">
        <v>2220</v>
      </c>
      <c r="B49" s="42" t="s">
        <v>55</v>
      </c>
      <c r="C49" s="63">
        <f t="shared" ref="C49:J49" si="22">SUM(C50:C54)</f>
        <v>61472</v>
      </c>
      <c r="D49" s="63">
        <f t="shared" si="22"/>
        <v>0</v>
      </c>
      <c r="E49" s="63">
        <f t="shared" si="22"/>
        <v>40341</v>
      </c>
      <c r="F49" s="63">
        <f t="shared" si="22"/>
        <v>0</v>
      </c>
      <c r="G49" s="63">
        <f t="shared" si="22"/>
        <v>52896</v>
      </c>
      <c r="H49" s="63">
        <f t="shared" si="22"/>
        <v>0</v>
      </c>
      <c r="I49" s="63">
        <f t="shared" si="22"/>
        <v>56367</v>
      </c>
      <c r="J49" s="63">
        <f t="shared" si="22"/>
        <v>0</v>
      </c>
      <c r="K49" s="63">
        <f>SUM(K50:K54)</f>
        <v>211076</v>
      </c>
      <c r="L49" s="63">
        <f>SUM(L50:L54)</f>
        <v>0</v>
      </c>
      <c r="M49" s="63">
        <v>184377</v>
      </c>
      <c r="N49" s="67">
        <f t="shared" si="3"/>
        <v>14.480656481014442</v>
      </c>
      <c r="P49" s="192">
        <f t="shared" si="2"/>
        <v>14.480656481014442</v>
      </c>
    </row>
    <row r="50" spans="1:17" ht="12.75" customHeight="1" outlineLevel="2">
      <c r="A50" s="64">
        <v>2221</v>
      </c>
      <c r="B50" s="42" t="s">
        <v>56</v>
      </c>
      <c r="C50" s="45">
        <v>34463</v>
      </c>
      <c r="D50" s="45"/>
      <c r="E50" s="45">
        <v>15394</v>
      </c>
      <c r="F50" s="45"/>
      <c r="G50" s="45"/>
      <c r="H50" s="45"/>
      <c r="I50" s="45">
        <f>32150-1000</f>
        <v>31150</v>
      </c>
      <c r="J50" s="45"/>
      <c r="K50" s="66">
        <f>C50+E50+G50+I50</f>
        <v>81007</v>
      </c>
      <c r="L50" s="66">
        <f>D50+F50+H50+J50</f>
        <v>0</v>
      </c>
      <c r="M50" s="66">
        <v>82007</v>
      </c>
      <c r="N50" s="67">
        <f t="shared" si="3"/>
        <v>-1.2194080993085956</v>
      </c>
      <c r="P50" s="192">
        <f t="shared" si="2"/>
        <v>-1.2194080993085956</v>
      </c>
    </row>
    <row r="51" spans="1:17" ht="12.75" customHeight="1" outlineLevel="2">
      <c r="A51" s="64">
        <v>2222</v>
      </c>
      <c r="B51" s="42" t="s">
        <v>57</v>
      </c>
      <c r="C51" s="45">
        <v>1220</v>
      </c>
      <c r="D51" s="45"/>
      <c r="E51" s="45">
        <v>1215</v>
      </c>
      <c r="F51" s="45"/>
      <c r="G51" s="45">
        <v>1154</v>
      </c>
      <c r="H51" s="45"/>
      <c r="I51" s="45">
        <v>1264</v>
      </c>
      <c r="J51" s="45"/>
      <c r="K51" s="66">
        <f t="shared" ref="K51:L54" si="23">C51+E51+G51+I51</f>
        <v>4853</v>
      </c>
      <c r="L51" s="66">
        <f t="shared" si="23"/>
        <v>0</v>
      </c>
      <c r="M51" s="66">
        <v>4853</v>
      </c>
      <c r="N51" s="67">
        <f t="shared" si="3"/>
        <v>0</v>
      </c>
      <c r="P51" s="192">
        <f t="shared" si="2"/>
        <v>0</v>
      </c>
    </row>
    <row r="52" spans="1:17" ht="12.75" customHeight="1" outlineLevel="2">
      <c r="A52" s="64">
        <v>2223</v>
      </c>
      <c r="B52" s="42" t="s">
        <v>58</v>
      </c>
      <c r="C52" s="45">
        <v>24154</v>
      </c>
      <c r="D52" s="45"/>
      <c r="E52" s="45">
        <v>22098</v>
      </c>
      <c r="F52" s="45"/>
      <c r="G52" s="45">
        <f>22491+21500+6199</f>
        <v>50190</v>
      </c>
      <c r="H52" s="45"/>
      <c r="I52" s="45">
        <v>22659</v>
      </c>
      <c r="J52" s="45"/>
      <c r="K52" s="66">
        <f t="shared" si="23"/>
        <v>119101</v>
      </c>
      <c r="L52" s="66">
        <f t="shared" si="23"/>
        <v>0</v>
      </c>
      <c r="M52" s="66">
        <v>91402</v>
      </c>
      <c r="N52" s="82">
        <f t="shared" si="3"/>
        <v>30.304588521038927</v>
      </c>
      <c r="P52" s="192">
        <f t="shared" si="2"/>
        <v>30.304588521038927</v>
      </c>
    </row>
    <row r="53" spans="1:17" ht="12.75" customHeight="1" outlineLevel="2">
      <c r="A53" s="64">
        <v>2224</v>
      </c>
      <c r="B53" s="42" t="s">
        <v>59</v>
      </c>
      <c r="C53" s="45"/>
      <c r="D53" s="45"/>
      <c r="E53" s="45"/>
      <c r="F53" s="45"/>
      <c r="G53" s="45"/>
      <c r="H53" s="45"/>
      <c r="I53" s="45"/>
      <c r="J53" s="45"/>
      <c r="K53" s="66">
        <f t="shared" si="23"/>
        <v>0</v>
      </c>
      <c r="L53" s="66">
        <f t="shared" si="23"/>
        <v>0</v>
      </c>
      <c r="M53" s="66">
        <v>0</v>
      </c>
      <c r="N53" s="67"/>
      <c r="P53" s="192"/>
    </row>
    <row r="54" spans="1:17" ht="12.75" customHeight="1" outlineLevel="2">
      <c r="A54" s="64">
        <v>2229</v>
      </c>
      <c r="B54" s="92" t="s">
        <v>60</v>
      </c>
      <c r="C54" s="45">
        <v>1635</v>
      </c>
      <c r="D54" s="45"/>
      <c r="E54" s="45">
        <v>1634</v>
      </c>
      <c r="F54" s="45"/>
      <c r="G54" s="45">
        <v>1552</v>
      </c>
      <c r="H54" s="45"/>
      <c r="I54" s="45">
        <v>1294</v>
      </c>
      <c r="J54" s="45"/>
      <c r="K54" s="66">
        <f t="shared" si="23"/>
        <v>6115</v>
      </c>
      <c r="L54" s="66">
        <f t="shared" si="23"/>
        <v>0</v>
      </c>
      <c r="M54" s="66">
        <v>6115</v>
      </c>
      <c r="N54" s="67">
        <f t="shared" si="3"/>
        <v>0</v>
      </c>
      <c r="P54" s="192">
        <f t="shared" si="2"/>
        <v>0</v>
      </c>
    </row>
    <row r="55" spans="1:17" ht="24.75" customHeight="1" outlineLevel="2">
      <c r="A55" s="62">
        <v>2230</v>
      </c>
      <c r="B55" s="92" t="s">
        <v>61</v>
      </c>
      <c r="C55" s="63">
        <f t="shared" ref="C55:J55" si="24">SUM(C56:C63)</f>
        <v>57331</v>
      </c>
      <c r="D55" s="63">
        <f t="shared" si="24"/>
        <v>0</v>
      </c>
      <c r="E55" s="63">
        <f t="shared" si="24"/>
        <v>49498</v>
      </c>
      <c r="F55" s="63">
        <f t="shared" si="24"/>
        <v>0</v>
      </c>
      <c r="G55" s="63">
        <f t="shared" si="24"/>
        <v>139762.04999999999</v>
      </c>
      <c r="H55" s="63">
        <f t="shared" si="24"/>
        <v>0</v>
      </c>
      <c r="I55" s="63">
        <f t="shared" si="24"/>
        <v>125685.02</v>
      </c>
      <c r="J55" s="63">
        <f t="shared" si="24"/>
        <v>0</v>
      </c>
      <c r="K55" s="63">
        <f>SUM(K56:K63)</f>
        <v>372276.07</v>
      </c>
      <c r="L55" s="63">
        <f>SUM(L56:L63)</f>
        <v>0</v>
      </c>
      <c r="M55" s="63">
        <v>245081.07</v>
      </c>
      <c r="N55" s="93">
        <f t="shared" si="3"/>
        <v>51.899153206732777</v>
      </c>
      <c r="P55" s="192">
        <f t="shared" si="2"/>
        <v>51.899153206732777</v>
      </c>
      <c r="Q55" s="193" t="s">
        <v>145</v>
      </c>
    </row>
    <row r="56" spans="1:17" ht="13.5" customHeight="1" outlineLevel="2">
      <c r="A56" s="64">
        <v>2231</v>
      </c>
      <c r="B56" s="92" t="s">
        <v>62</v>
      </c>
      <c r="C56" s="45">
        <v>23396</v>
      </c>
      <c r="D56" s="45"/>
      <c r="E56" s="45">
        <v>21898</v>
      </c>
      <c r="F56" s="45"/>
      <c r="G56" s="45">
        <f>34234-31000</f>
        <v>3234</v>
      </c>
      <c r="H56" s="45"/>
      <c r="I56" s="45">
        <f>35733-32000</f>
        <v>3733</v>
      </c>
      <c r="J56" s="45"/>
      <c r="K56" s="66">
        <f>C56+E56+G56+I56</f>
        <v>52261</v>
      </c>
      <c r="L56" s="66">
        <f>D56+F56+H56+J56</f>
        <v>0</v>
      </c>
      <c r="M56" s="66">
        <v>115261</v>
      </c>
      <c r="N56" s="82">
        <f t="shared" si="3"/>
        <v>-54.658557534638774</v>
      </c>
      <c r="P56" s="192">
        <f t="shared" si="2"/>
        <v>-54.658557534638774</v>
      </c>
      <c r="Q56" s="7" t="s">
        <v>154</v>
      </c>
    </row>
    <row r="57" spans="1:17" s="20" customFormat="1" ht="13.5" customHeight="1" outlineLevel="2">
      <c r="A57" s="64">
        <v>2232</v>
      </c>
      <c r="B57" s="92" t="s">
        <v>63</v>
      </c>
      <c r="C57" s="45">
        <v>8500</v>
      </c>
      <c r="D57" s="45"/>
      <c r="E57" s="45">
        <v>6500</v>
      </c>
      <c r="F57" s="45"/>
      <c r="G57" s="45">
        <f>9500+12100</f>
        <v>21600</v>
      </c>
      <c r="H57" s="45"/>
      <c r="I57" s="45">
        <v>4500</v>
      </c>
      <c r="J57" s="45"/>
      <c r="K57" s="66">
        <f t="shared" ref="K57:L63" si="25">C57+E57+G57+I57</f>
        <v>41100</v>
      </c>
      <c r="L57" s="66">
        <f t="shared" si="25"/>
        <v>0</v>
      </c>
      <c r="M57" s="66">
        <v>29000</v>
      </c>
      <c r="N57" s="82">
        <f t="shared" si="3"/>
        <v>41.724137931034484</v>
      </c>
      <c r="P57" s="192">
        <f t="shared" si="2"/>
        <v>41.724137931034484</v>
      </c>
    </row>
    <row r="58" spans="1:17" s="20" customFormat="1" ht="12.75" customHeight="1" outlineLevel="2">
      <c r="A58" s="64">
        <v>2233</v>
      </c>
      <c r="B58" s="92" t="s">
        <v>64</v>
      </c>
      <c r="C58" s="45">
        <v>500</v>
      </c>
      <c r="D58" s="45"/>
      <c r="E58" s="45">
        <v>500</v>
      </c>
      <c r="F58" s="45"/>
      <c r="G58" s="45">
        <v>500</v>
      </c>
      <c r="H58" s="45"/>
      <c r="I58" s="45">
        <v>500</v>
      </c>
      <c r="J58" s="45"/>
      <c r="K58" s="66">
        <f t="shared" si="25"/>
        <v>2000</v>
      </c>
      <c r="L58" s="66">
        <f t="shared" si="25"/>
        <v>0</v>
      </c>
      <c r="M58" s="66">
        <v>2000</v>
      </c>
      <c r="N58" s="67">
        <f t="shared" si="3"/>
        <v>0</v>
      </c>
      <c r="P58" s="192">
        <f t="shared" si="2"/>
        <v>0</v>
      </c>
    </row>
    <row r="59" spans="1:17" ht="24.75" customHeight="1" outlineLevel="2">
      <c r="A59" s="64">
        <v>2234</v>
      </c>
      <c r="B59" s="92" t="s">
        <v>65</v>
      </c>
      <c r="C59" s="45"/>
      <c r="D59" s="45"/>
      <c r="E59" s="45"/>
      <c r="F59" s="45"/>
      <c r="G59" s="45"/>
      <c r="H59" s="45"/>
      <c r="I59" s="45"/>
      <c r="J59" s="45"/>
      <c r="K59" s="66">
        <f t="shared" si="25"/>
        <v>0</v>
      </c>
      <c r="L59" s="66">
        <f t="shared" si="25"/>
        <v>0</v>
      </c>
      <c r="M59" s="66">
        <v>0</v>
      </c>
      <c r="N59" s="67"/>
      <c r="P59" s="192"/>
    </row>
    <row r="60" spans="1:17" ht="13.5" customHeight="1" outlineLevel="2">
      <c r="A60" s="64">
        <v>2235</v>
      </c>
      <c r="B60" s="92" t="s">
        <v>66</v>
      </c>
      <c r="C60" s="45">
        <v>2000</v>
      </c>
      <c r="D60" s="45"/>
      <c r="E60" s="45">
        <v>1500</v>
      </c>
      <c r="F60" s="45"/>
      <c r="G60" s="45">
        <v>3500</v>
      </c>
      <c r="H60" s="45"/>
      <c r="I60" s="45">
        <v>2000</v>
      </c>
      <c r="J60" s="45"/>
      <c r="K60" s="66">
        <f t="shared" si="25"/>
        <v>9000</v>
      </c>
      <c r="L60" s="66">
        <f t="shared" si="25"/>
        <v>0</v>
      </c>
      <c r="M60" s="66">
        <v>9000</v>
      </c>
      <c r="N60" s="67">
        <f t="shared" si="3"/>
        <v>0</v>
      </c>
      <c r="P60" s="192">
        <f t="shared" si="2"/>
        <v>0</v>
      </c>
    </row>
    <row r="61" spans="1:17" ht="12.75" customHeight="1" outlineLevel="2">
      <c r="A61" s="64">
        <v>2236</v>
      </c>
      <c r="B61" s="42" t="s">
        <v>67</v>
      </c>
      <c r="C61" s="45">
        <v>500</v>
      </c>
      <c r="D61" s="45"/>
      <c r="E61" s="45">
        <v>400</v>
      </c>
      <c r="F61" s="45"/>
      <c r="G61" s="45">
        <v>500</v>
      </c>
      <c r="H61" s="45"/>
      <c r="I61" s="45">
        <v>400</v>
      </c>
      <c r="J61" s="45"/>
      <c r="K61" s="66">
        <f t="shared" si="25"/>
        <v>1800</v>
      </c>
      <c r="L61" s="66">
        <f t="shared" si="25"/>
        <v>0</v>
      </c>
      <c r="M61" s="66">
        <v>1800</v>
      </c>
      <c r="N61" s="67">
        <f t="shared" si="3"/>
        <v>0</v>
      </c>
      <c r="P61" s="192">
        <f t="shared" si="2"/>
        <v>0</v>
      </c>
    </row>
    <row r="62" spans="1:17" ht="25.5" customHeight="1" outlineLevel="2">
      <c r="A62" s="64">
        <v>2238</v>
      </c>
      <c r="B62" s="42" t="s">
        <v>68</v>
      </c>
      <c r="C62" s="45"/>
      <c r="D62" s="45"/>
      <c r="E62" s="45"/>
      <c r="F62" s="45"/>
      <c r="G62" s="45"/>
      <c r="H62" s="45"/>
      <c r="I62" s="45"/>
      <c r="J62" s="45"/>
      <c r="K62" s="66">
        <f t="shared" si="25"/>
        <v>0</v>
      </c>
      <c r="L62" s="66">
        <f t="shared" si="25"/>
        <v>0</v>
      </c>
      <c r="M62" s="66">
        <v>0</v>
      </c>
      <c r="N62" s="67"/>
      <c r="P62" s="192"/>
    </row>
    <row r="63" spans="1:17" ht="48.75" customHeight="1" outlineLevel="2">
      <c r="A63" s="64">
        <v>2239</v>
      </c>
      <c r="B63" s="92" t="s">
        <v>69</v>
      </c>
      <c r="C63" s="45">
        <v>22435</v>
      </c>
      <c r="D63" s="45"/>
      <c r="E63" s="45">
        <v>18700</v>
      </c>
      <c r="F63" s="45"/>
      <c r="G63" s="45">
        <f>22930.05+58299+8000+6199+15000</f>
        <v>110428.05</v>
      </c>
      <c r="H63" s="45"/>
      <c r="I63" s="45">
        <f>23955.02+45000+27000+6199+6199+6199</f>
        <v>114552.02</v>
      </c>
      <c r="J63" s="45"/>
      <c r="K63" s="66">
        <f t="shared" si="25"/>
        <v>266115.07</v>
      </c>
      <c r="L63" s="66">
        <f t="shared" si="25"/>
        <v>0</v>
      </c>
      <c r="M63" s="66">
        <v>88020.07</v>
      </c>
      <c r="N63" s="82">
        <f t="shared" si="3"/>
        <v>202.3345357484946</v>
      </c>
      <c r="P63" s="192">
        <f t="shared" si="2"/>
        <v>202.3345357484946</v>
      </c>
      <c r="Q63" s="193" t="s">
        <v>146</v>
      </c>
    </row>
    <row r="64" spans="1:17" ht="11.5" customHeight="1" outlineLevel="2">
      <c r="A64" s="62">
        <v>2240</v>
      </c>
      <c r="B64" s="92" t="s">
        <v>70</v>
      </c>
      <c r="C64" s="63">
        <f t="shared" ref="C64:J64" si="26">SUM(C65:C70)</f>
        <v>52374</v>
      </c>
      <c r="D64" s="63">
        <f t="shared" si="26"/>
        <v>0</v>
      </c>
      <c r="E64" s="63">
        <f t="shared" si="26"/>
        <v>48309</v>
      </c>
      <c r="F64" s="63">
        <f t="shared" si="26"/>
        <v>0</v>
      </c>
      <c r="G64" s="63">
        <f t="shared" si="26"/>
        <v>70669.320000000007</v>
      </c>
      <c r="H64" s="63">
        <f t="shared" si="26"/>
        <v>0</v>
      </c>
      <c r="I64" s="63">
        <f t="shared" si="26"/>
        <v>55042.5</v>
      </c>
      <c r="J64" s="63">
        <f t="shared" si="26"/>
        <v>0</v>
      </c>
      <c r="K64" s="63">
        <f>SUM(K65:K70)</f>
        <v>226394.82</v>
      </c>
      <c r="L64" s="63">
        <f>SUM(L65:L70)</f>
        <v>0</v>
      </c>
      <c r="M64" s="63">
        <v>215394.82</v>
      </c>
      <c r="N64" s="67">
        <f t="shared" si="3"/>
        <v>5.1069008994738123</v>
      </c>
      <c r="P64" s="192">
        <f t="shared" si="2"/>
        <v>5.1069008994738123</v>
      </c>
    </row>
    <row r="65" spans="1:17" ht="12.75" customHeight="1" outlineLevel="2">
      <c r="A65" s="64">
        <v>2241</v>
      </c>
      <c r="B65" s="92" t="s">
        <v>71</v>
      </c>
      <c r="C65" s="45">
        <v>1120</v>
      </c>
      <c r="D65" s="45"/>
      <c r="E65" s="45">
        <v>1400</v>
      </c>
      <c r="F65" s="45"/>
      <c r="G65" s="45">
        <v>1200</v>
      </c>
      <c r="H65" s="45"/>
      <c r="I65" s="45">
        <v>1280</v>
      </c>
      <c r="J65" s="45"/>
      <c r="K65" s="66">
        <f>C65+E65+G65+I65</f>
        <v>5000</v>
      </c>
      <c r="L65" s="66">
        <f>D65+F65+H65+J65</f>
        <v>0</v>
      </c>
      <c r="M65" s="66">
        <v>5000</v>
      </c>
      <c r="N65" s="67">
        <f t="shared" si="3"/>
        <v>0</v>
      </c>
      <c r="P65" s="192">
        <f t="shared" si="2"/>
        <v>0</v>
      </c>
    </row>
    <row r="66" spans="1:17" ht="12.75" customHeight="1" outlineLevel="2">
      <c r="A66" s="64">
        <v>2242</v>
      </c>
      <c r="B66" s="92" t="s">
        <v>72</v>
      </c>
      <c r="C66" s="45">
        <v>2200</v>
      </c>
      <c r="D66" s="45"/>
      <c r="E66" s="45">
        <v>2100</v>
      </c>
      <c r="F66" s="45"/>
      <c r="G66" s="45">
        <v>2000</v>
      </c>
      <c r="H66" s="45"/>
      <c r="I66" s="45">
        <f>1527.5+1000</f>
        <v>2527.5</v>
      </c>
      <c r="J66" s="45"/>
      <c r="K66" s="66">
        <f t="shared" ref="K66:L70" si="27">C66+E66+G66+I66</f>
        <v>8827.5</v>
      </c>
      <c r="L66" s="66">
        <f t="shared" si="27"/>
        <v>0</v>
      </c>
      <c r="M66" s="66">
        <v>7827.5</v>
      </c>
      <c r="N66" s="67">
        <f t="shared" si="3"/>
        <v>12.775471095496647</v>
      </c>
      <c r="P66" s="192">
        <f t="shared" si="2"/>
        <v>12.775471095496647</v>
      </c>
    </row>
    <row r="67" spans="1:17" ht="12.75" customHeight="1" outlineLevel="2">
      <c r="A67" s="64">
        <v>2243</v>
      </c>
      <c r="B67" s="92" t="s">
        <v>73</v>
      </c>
      <c r="C67" s="45">
        <v>4350</v>
      </c>
      <c r="D67" s="45"/>
      <c r="E67" s="45">
        <v>3800</v>
      </c>
      <c r="F67" s="45"/>
      <c r="G67" s="45">
        <v>10200</v>
      </c>
      <c r="H67" s="45"/>
      <c r="I67" s="45">
        <v>6650</v>
      </c>
      <c r="J67" s="45"/>
      <c r="K67" s="66">
        <f t="shared" si="27"/>
        <v>25000</v>
      </c>
      <c r="L67" s="66">
        <f t="shared" si="27"/>
        <v>0</v>
      </c>
      <c r="M67" s="66">
        <v>25000</v>
      </c>
      <c r="N67" s="67">
        <f t="shared" si="3"/>
        <v>0</v>
      </c>
      <c r="P67" s="192">
        <f t="shared" si="2"/>
        <v>0</v>
      </c>
    </row>
    <row r="68" spans="1:17" ht="12.75" customHeight="1" outlineLevel="2">
      <c r="A68" s="64">
        <v>2244</v>
      </c>
      <c r="B68" s="42" t="s">
        <v>74</v>
      </c>
      <c r="C68" s="45">
        <v>32654</v>
      </c>
      <c r="D68" s="45"/>
      <c r="E68" s="45">
        <v>29000</v>
      </c>
      <c r="F68" s="45"/>
      <c r="G68" s="45">
        <v>32683.22</v>
      </c>
      <c r="H68" s="45"/>
      <c r="I68" s="45">
        <v>32500</v>
      </c>
      <c r="J68" s="45"/>
      <c r="K68" s="66">
        <f t="shared" si="27"/>
        <v>126837.22</v>
      </c>
      <c r="L68" s="66">
        <f t="shared" si="27"/>
        <v>0</v>
      </c>
      <c r="M68" s="66">
        <v>126837.22</v>
      </c>
      <c r="N68" s="67">
        <f t="shared" si="3"/>
        <v>0</v>
      </c>
      <c r="P68" s="192">
        <f t="shared" si="2"/>
        <v>0</v>
      </c>
    </row>
    <row r="69" spans="1:17" outlineLevel="2">
      <c r="A69" s="64">
        <v>2247</v>
      </c>
      <c r="B69" s="42" t="s">
        <v>75</v>
      </c>
      <c r="C69" s="45">
        <v>700</v>
      </c>
      <c r="D69" s="45"/>
      <c r="E69" s="45">
        <v>680</v>
      </c>
      <c r="F69" s="45"/>
      <c r="G69" s="45">
        <v>2900</v>
      </c>
      <c r="H69" s="45"/>
      <c r="I69" s="45">
        <v>720</v>
      </c>
      <c r="J69" s="45"/>
      <c r="K69" s="66">
        <f t="shared" si="27"/>
        <v>5000</v>
      </c>
      <c r="L69" s="66">
        <f t="shared" si="27"/>
        <v>0</v>
      </c>
      <c r="M69" s="66">
        <v>5000</v>
      </c>
      <c r="N69" s="67">
        <f t="shared" si="3"/>
        <v>0</v>
      </c>
      <c r="P69" s="192">
        <f t="shared" si="2"/>
        <v>0</v>
      </c>
    </row>
    <row r="70" spans="1:17" ht="24" customHeight="1" outlineLevel="2">
      <c r="A70" s="64">
        <v>2249</v>
      </c>
      <c r="B70" s="42" t="s">
        <v>76</v>
      </c>
      <c r="C70" s="45">
        <v>11350</v>
      </c>
      <c r="D70" s="45"/>
      <c r="E70" s="45">
        <v>11329</v>
      </c>
      <c r="F70" s="45"/>
      <c r="G70" s="45">
        <f>11686.1+10000</f>
        <v>21686.1</v>
      </c>
      <c r="H70" s="45"/>
      <c r="I70" s="45">
        <v>11365</v>
      </c>
      <c r="J70" s="45"/>
      <c r="K70" s="66">
        <f t="shared" si="27"/>
        <v>55730.1</v>
      </c>
      <c r="L70" s="66">
        <f t="shared" si="27"/>
        <v>0</v>
      </c>
      <c r="M70" s="66">
        <v>45730.1</v>
      </c>
      <c r="N70" s="82">
        <f t="shared" si="3"/>
        <v>21.867435234123697</v>
      </c>
      <c r="P70" s="192">
        <f t="shared" si="2"/>
        <v>21.867435234123697</v>
      </c>
      <c r="Q70" s="193" t="s">
        <v>147</v>
      </c>
    </row>
    <row r="71" spans="1:17" s="20" customFormat="1" ht="12.75" customHeight="1" outlineLevel="2">
      <c r="A71" s="62">
        <v>2250</v>
      </c>
      <c r="B71" s="42" t="s">
        <v>77</v>
      </c>
      <c r="C71" s="63">
        <f t="shared" ref="C71:J71" si="28">SUM(C72:C73)</f>
        <v>76000</v>
      </c>
      <c r="D71" s="63">
        <f t="shared" si="28"/>
        <v>0</v>
      </c>
      <c r="E71" s="63">
        <f t="shared" si="28"/>
        <v>86000</v>
      </c>
      <c r="F71" s="63">
        <f>SUM(F72:F73)</f>
        <v>0</v>
      </c>
      <c r="G71" s="63">
        <f t="shared" si="28"/>
        <v>90000</v>
      </c>
      <c r="H71" s="63">
        <f t="shared" si="28"/>
        <v>0</v>
      </c>
      <c r="I71" s="63">
        <f t="shared" si="28"/>
        <v>78000</v>
      </c>
      <c r="J71" s="63">
        <f t="shared" si="28"/>
        <v>0</v>
      </c>
      <c r="K71" s="63">
        <f>SUM(K72:K73)</f>
        <v>330000</v>
      </c>
      <c r="L71" s="63">
        <f>SUM(L72:L73)</f>
        <v>0</v>
      </c>
      <c r="M71" s="63">
        <v>330000</v>
      </c>
      <c r="N71" s="67">
        <f t="shared" si="3"/>
        <v>0</v>
      </c>
      <c r="P71" s="192">
        <f t="shared" si="2"/>
        <v>0</v>
      </c>
    </row>
    <row r="72" spans="1:17" s="20" customFormat="1" ht="14.25" customHeight="1" outlineLevel="2">
      <c r="A72" s="64">
        <v>2250</v>
      </c>
      <c r="B72" s="42" t="s">
        <v>78</v>
      </c>
      <c r="C72" s="45">
        <v>76000</v>
      </c>
      <c r="D72" s="45"/>
      <c r="E72" s="45">
        <v>86000</v>
      </c>
      <c r="F72" s="45"/>
      <c r="G72" s="45">
        <v>90000</v>
      </c>
      <c r="H72" s="45"/>
      <c r="I72" s="45">
        <v>78000</v>
      </c>
      <c r="J72" s="45"/>
      <c r="K72" s="66">
        <f>C72+E72+G72+I72</f>
        <v>330000</v>
      </c>
      <c r="L72" s="66">
        <f>D72+F72+H72+J72</f>
        <v>0</v>
      </c>
      <c r="M72" s="66">
        <v>330000</v>
      </c>
      <c r="N72" s="67">
        <f t="shared" si="3"/>
        <v>0</v>
      </c>
      <c r="P72" s="192">
        <f t="shared" si="2"/>
        <v>0</v>
      </c>
    </row>
    <row r="73" spans="1:17" s="20" customFormat="1" ht="12.75" hidden="1" customHeight="1" outlineLevel="2">
      <c r="A73" s="64">
        <v>2259</v>
      </c>
      <c r="B73" s="42" t="s">
        <v>79</v>
      </c>
      <c r="C73" s="45"/>
      <c r="D73" s="45"/>
      <c r="E73" s="45"/>
      <c r="F73" s="45"/>
      <c r="G73" s="45"/>
      <c r="H73" s="45"/>
      <c r="I73" s="45"/>
      <c r="J73" s="45"/>
      <c r="K73" s="66">
        <f>C73+E73+G73+I73</f>
        <v>0</v>
      </c>
      <c r="L73" s="66">
        <f>D73+F73+H73+J73</f>
        <v>0</v>
      </c>
      <c r="M73" s="66">
        <v>0</v>
      </c>
      <c r="N73" s="67" t="e">
        <f t="shared" si="3"/>
        <v>#DIV/0!</v>
      </c>
      <c r="P73" s="192" t="e">
        <f t="shared" si="2"/>
        <v>#DIV/0!</v>
      </c>
    </row>
    <row r="74" spans="1:17" ht="12.65" customHeight="1" outlineLevel="2">
      <c r="A74" s="62">
        <v>2260</v>
      </c>
      <c r="B74" s="42" t="s">
        <v>80</v>
      </c>
      <c r="C74" s="63">
        <f t="shared" ref="C74:J74" si="29">SUM(C75:C79)</f>
        <v>29235</v>
      </c>
      <c r="D74" s="63">
        <f t="shared" si="29"/>
        <v>0</v>
      </c>
      <c r="E74" s="63">
        <f t="shared" si="29"/>
        <v>14470</v>
      </c>
      <c r="F74" s="63">
        <f t="shared" si="29"/>
        <v>0</v>
      </c>
      <c r="G74" s="63">
        <f t="shared" si="29"/>
        <v>28139.7</v>
      </c>
      <c r="H74" s="63">
        <f t="shared" si="29"/>
        <v>0</v>
      </c>
      <c r="I74" s="63">
        <f t="shared" si="29"/>
        <v>75155</v>
      </c>
      <c r="J74" s="63">
        <f t="shared" si="29"/>
        <v>0</v>
      </c>
      <c r="K74" s="63">
        <f>SUM(K75:K79)</f>
        <v>146999.70000000001</v>
      </c>
      <c r="L74" s="63">
        <f>SUM(L75:L79)</f>
        <v>0</v>
      </c>
      <c r="M74" s="63">
        <v>123499.7</v>
      </c>
      <c r="N74" s="82">
        <f t="shared" si="3"/>
        <v>19.028386303772411</v>
      </c>
      <c r="P74" s="192">
        <f t="shared" si="2"/>
        <v>19.028386303772411</v>
      </c>
      <c r="Q74" s="193" t="s">
        <v>148</v>
      </c>
    </row>
    <row r="75" spans="1:17" ht="12.75" customHeight="1" outlineLevel="2">
      <c r="A75" s="64">
        <v>2261</v>
      </c>
      <c r="B75" s="42" t="s">
        <v>81</v>
      </c>
      <c r="C75" s="45">
        <v>11000</v>
      </c>
      <c r="D75" s="45"/>
      <c r="E75" s="45">
        <v>11000</v>
      </c>
      <c r="F75" s="45"/>
      <c r="G75" s="45">
        <v>11000</v>
      </c>
      <c r="H75" s="45"/>
      <c r="I75" s="45">
        <v>10000</v>
      </c>
      <c r="J75" s="45"/>
      <c r="K75" s="66">
        <f>C75+E75+G75+I75</f>
        <v>43000</v>
      </c>
      <c r="L75" s="66">
        <f>D75+F75+H75+J75</f>
        <v>0</v>
      </c>
      <c r="M75" s="66">
        <v>43000</v>
      </c>
      <c r="N75" s="67">
        <f t="shared" si="3"/>
        <v>0</v>
      </c>
      <c r="P75" s="192">
        <f t="shared" ref="P75:P118" si="30">(K75-M75)/M75*100</f>
        <v>0</v>
      </c>
    </row>
    <row r="76" spans="1:17" ht="12.75" customHeight="1" outlineLevel="2">
      <c r="A76" s="64">
        <v>2262</v>
      </c>
      <c r="B76" s="42" t="s">
        <v>82</v>
      </c>
      <c r="C76" s="45">
        <v>235</v>
      </c>
      <c r="D76" s="45"/>
      <c r="E76" s="45">
        <v>220</v>
      </c>
      <c r="F76" s="45"/>
      <c r="G76" s="45">
        <v>214.7</v>
      </c>
      <c r="H76" s="45"/>
      <c r="I76" s="45">
        <f>330+3000</f>
        <v>3330</v>
      </c>
      <c r="J76" s="45"/>
      <c r="K76" s="66">
        <f t="shared" ref="K76:L79" si="31">C76+E76+G76+I76</f>
        <v>3999.7</v>
      </c>
      <c r="L76" s="66">
        <f t="shared" si="31"/>
        <v>0</v>
      </c>
      <c r="M76" s="66">
        <v>999.7</v>
      </c>
      <c r="N76" s="82">
        <f t="shared" ref="N76:N118" si="32">(K76-M76)/M76*100</f>
        <v>300.09002700810242</v>
      </c>
      <c r="P76" s="192">
        <f t="shared" si="30"/>
        <v>300.09002700810242</v>
      </c>
    </row>
    <row r="77" spans="1:17" s="68" customFormat="1" ht="12.75" customHeight="1" outlineLevel="2">
      <c r="A77" s="64">
        <v>2263</v>
      </c>
      <c r="B77" s="42" t="s">
        <v>83</v>
      </c>
      <c r="C77" s="45"/>
      <c r="D77" s="45"/>
      <c r="E77" s="45"/>
      <c r="F77" s="45"/>
      <c r="G77" s="45"/>
      <c r="H77" s="45"/>
      <c r="I77" s="45"/>
      <c r="J77" s="45"/>
      <c r="K77" s="66">
        <f t="shared" si="31"/>
        <v>0</v>
      </c>
      <c r="L77" s="66">
        <f t="shared" si="31"/>
        <v>0</v>
      </c>
      <c r="M77" s="66">
        <v>0</v>
      </c>
      <c r="N77" s="82"/>
      <c r="P77" s="192"/>
    </row>
    <row r="78" spans="1:17" ht="12.75" customHeight="1" outlineLevel="2">
      <c r="A78" s="64">
        <v>2264</v>
      </c>
      <c r="B78" s="92" t="s">
        <v>84</v>
      </c>
      <c r="C78" s="45">
        <v>16900</v>
      </c>
      <c r="D78" s="45"/>
      <c r="E78" s="45">
        <v>2100</v>
      </c>
      <c r="F78" s="45"/>
      <c r="G78" s="45">
        <v>15800</v>
      </c>
      <c r="H78" s="45"/>
      <c r="I78" s="45">
        <f>40200+15500</f>
        <v>55700</v>
      </c>
      <c r="J78" s="45"/>
      <c r="K78" s="66">
        <f t="shared" si="31"/>
        <v>90500</v>
      </c>
      <c r="L78" s="66">
        <f t="shared" si="31"/>
        <v>0</v>
      </c>
      <c r="M78" s="66">
        <v>75000</v>
      </c>
      <c r="N78" s="82">
        <f t="shared" si="32"/>
        <v>20.666666666666668</v>
      </c>
      <c r="P78" s="192">
        <f t="shared" si="30"/>
        <v>20.666666666666668</v>
      </c>
    </row>
    <row r="79" spans="1:17" ht="12.75" customHeight="1" outlineLevel="2">
      <c r="A79" s="64">
        <v>2269</v>
      </c>
      <c r="B79" s="42" t="s">
        <v>85</v>
      </c>
      <c r="C79" s="45">
        <v>1100</v>
      </c>
      <c r="D79" s="45"/>
      <c r="E79" s="45">
        <v>1150</v>
      </c>
      <c r="F79" s="45"/>
      <c r="G79" s="45">
        <v>1125</v>
      </c>
      <c r="H79" s="45"/>
      <c r="I79" s="45">
        <f>1125+5000</f>
        <v>6125</v>
      </c>
      <c r="J79" s="45"/>
      <c r="K79" s="66">
        <f t="shared" si="31"/>
        <v>9500</v>
      </c>
      <c r="L79" s="66">
        <f t="shared" si="31"/>
        <v>0</v>
      </c>
      <c r="M79" s="66">
        <v>4500</v>
      </c>
      <c r="N79" s="82">
        <f t="shared" si="32"/>
        <v>111.11111111111111</v>
      </c>
      <c r="P79" s="192">
        <f t="shared" si="30"/>
        <v>111.11111111111111</v>
      </c>
    </row>
    <row r="80" spans="1:17" s="20" customFormat="1" ht="12.75" customHeight="1" outlineLevel="2">
      <c r="A80" s="62">
        <v>2270</v>
      </c>
      <c r="B80" s="42" t="s">
        <v>86</v>
      </c>
      <c r="C80" s="63">
        <f t="shared" ref="C80:L80" si="33">C81</f>
        <v>163266.75</v>
      </c>
      <c r="D80" s="63">
        <f t="shared" si="33"/>
        <v>0</v>
      </c>
      <c r="E80" s="63">
        <f t="shared" si="33"/>
        <v>155673.75</v>
      </c>
      <c r="F80" s="63">
        <f t="shared" si="33"/>
        <v>0</v>
      </c>
      <c r="G80" s="63">
        <f t="shared" si="33"/>
        <v>171121.75</v>
      </c>
      <c r="H80" s="63">
        <f t="shared" si="33"/>
        <v>0</v>
      </c>
      <c r="I80" s="63">
        <f t="shared" si="33"/>
        <v>170697.75</v>
      </c>
      <c r="J80" s="63">
        <f t="shared" si="33"/>
        <v>0</v>
      </c>
      <c r="K80" s="63">
        <f t="shared" si="33"/>
        <v>660760</v>
      </c>
      <c r="L80" s="63">
        <f t="shared" si="33"/>
        <v>0</v>
      </c>
      <c r="M80" s="63">
        <v>653068</v>
      </c>
      <c r="N80" s="67">
        <f t="shared" si="32"/>
        <v>1.1778252800627194</v>
      </c>
      <c r="P80" s="192">
        <f t="shared" si="30"/>
        <v>1.1778252800627194</v>
      </c>
    </row>
    <row r="81" spans="1:17" s="20" customFormat="1" ht="12.75" customHeight="1" outlineLevel="2">
      <c r="A81" s="64">
        <v>2270</v>
      </c>
      <c r="B81" s="42" t="s">
        <v>87</v>
      </c>
      <c r="C81" s="45">
        <v>163266.75</v>
      </c>
      <c r="D81" s="45"/>
      <c r="E81" s="45">
        <v>155673.75</v>
      </c>
      <c r="F81" s="45"/>
      <c r="G81" s="45">
        <f>170859.75+262</f>
        <v>171121.75</v>
      </c>
      <c r="H81" s="45"/>
      <c r="I81" s="45">
        <f>163267.75+6800+90+540</f>
        <v>170697.75</v>
      </c>
      <c r="J81" s="45"/>
      <c r="K81" s="66">
        <f>C81+E81+G81+I81</f>
        <v>660760</v>
      </c>
      <c r="L81" s="66">
        <f>D81+F81+H81+J81</f>
        <v>0</v>
      </c>
      <c r="M81" s="66">
        <v>653068</v>
      </c>
      <c r="N81" s="67">
        <f t="shared" si="32"/>
        <v>1.1778252800627194</v>
      </c>
      <c r="P81" s="192">
        <f t="shared" si="30"/>
        <v>1.1778252800627194</v>
      </c>
    </row>
    <row r="82" spans="1:17" s="20" customFormat="1" ht="24.75" customHeight="1" outlineLevel="2">
      <c r="A82" s="78">
        <v>2300</v>
      </c>
      <c r="B82" s="42" t="s">
        <v>88</v>
      </c>
      <c r="C82" s="94">
        <f t="shared" ref="C82:J82" si="34">C83+C88+C92+C93+C95+C96</f>
        <v>30450</v>
      </c>
      <c r="D82" s="94">
        <f t="shared" si="34"/>
        <v>0</v>
      </c>
      <c r="E82" s="94">
        <f t="shared" si="34"/>
        <v>31490</v>
      </c>
      <c r="F82" s="94">
        <f t="shared" si="34"/>
        <v>0</v>
      </c>
      <c r="G82" s="94">
        <f t="shared" si="34"/>
        <v>28600</v>
      </c>
      <c r="H82" s="94">
        <f t="shared" si="34"/>
        <v>0</v>
      </c>
      <c r="I82" s="94">
        <f t="shared" si="34"/>
        <v>60969.83</v>
      </c>
      <c r="J82" s="94">
        <f t="shared" si="34"/>
        <v>0</v>
      </c>
      <c r="K82" s="94">
        <f>K83+K88+K92+K93+K95+K96</f>
        <v>151509.83000000002</v>
      </c>
      <c r="L82" s="94">
        <f>L83+L88+L92+L93+L95+L96</f>
        <v>0</v>
      </c>
      <c r="M82" s="94">
        <v>125940</v>
      </c>
      <c r="N82" s="80">
        <f t="shared" si="32"/>
        <v>20.303184055899649</v>
      </c>
      <c r="P82" s="192">
        <f t="shared" si="30"/>
        <v>20.303184055899649</v>
      </c>
    </row>
    <row r="83" spans="1:17" s="20" customFormat="1" ht="12.75" customHeight="1" outlineLevel="2">
      <c r="A83" s="62">
        <v>2310</v>
      </c>
      <c r="B83" s="42" t="s">
        <v>89</v>
      </c>
      <c r="C83" s="63">
        <f t="shared" ref="C83:J83" si="35">SUM(C84:C87)</f>
        <v>8500</v>
      </c>
      <c r="D83" s="63">
        <f t="shared" si="35"/>
        <v>0</v>
      </c>
      <c r="E83" s="63">
        <f t="shared" si="35"/>
        <v>8700</v>
      </c>
      <c r="F83" s="63">
        <f t="shared" si="35"/>
        <v>0</v>
      </c>
      <c r="G83" s="63">
        <f t="shared" si="35"/>
        <v>8600</v>
      </c>
      <c r="H83" s="63">
        <f t="shared" si="35"/>
        <v>0</v>
      </c>
      <c r="I83" s="63">
        <f t="shared" si="35"/>
        <v>28369.83</v>
      </c>
      <c r="J83" s="63">
        <f t="shared" si="35"/>
        <v>0</v>
      </c>
      <c r="K83" s="63">
        <f>SUM(K84:K87)</f>
        <v>54169.83</v>
      </c>
      <c r="L83" s="63">
        <f>SUM(L84:L87)</f>
        <v>0</v>
      </c>
      <c r="M83" s="63">
        <v>34800</v>
      </c>
      <c r="N83" s="82">
        <f t="shared" si="32"/>
        <v>55.660431034482762</v>
      </c>
      <c r="P83" s="192">
        <f t="shared" si="30"/>
        <v>55.660431034482762</v>
      </c>
      <c r="Q83" s="7" t="s">
        <v>148</v>
      </c>
    </row>
    <row r="84" spans="1:17" s="20" customFormat="1" ht="12.75" customHeight="1" outlineLevel="2">
      <c r="A84" s="64">
        <v>2311</v>
      </c>
      <c r="B84" s="42" t="s">
        <v>90</v>
      </c>
      <c r="C84" s="45">
        <v>1000</v>
      </c>
      <c r="D84" s="45"/>
      <c r="E84" s="45">
        <v>1000</v>
      </c>
      <c r="F84" s="45"/>
      <c r="G84" s="45">
        <v>1000</v>
      </c>
      <c r="H84" s="45"/>
      <c r="I84" s="45">
        <v>1400</v>
      </c>
      <c r="J84" s="45"/>
      <c r="K84" s="66">
        <f>C84+E84+G84+I84</f>
        <v>4400</v>
      </c>
      <c r="L84" s="66">
        <f>D84+F84+H84+J84</f>
        <v>0</v>
      </c>
      <c r="M84" s="66">
        <v>4400</v>
      </c>
      <c r="N84" s="67">
        <f t="shared" si="32"/>
        <v>0</v>
      </c>
      <c r="P84" s="192">
        <f t="shared" si="30"/>
        <v>0</v>
      </c>
    </row>
    <row r="85" spans="1:17" s="20" customFormat="1" ht="12.75" customHeight="1" outlineLevel="2">
      <c r="A85" s="64">
        <v>2312</v>
      </c>
      <c r="B85" s="42" t="s">
        <v>91</v>
      </c>
      <c r="C85" s="45">
        <v>4500</v>
      </c>
      <c r="D85" s="45"/>
      <c r="E85" s="45">
        <v>3500</v>
      </c>
      <c r="F85" s="45"/>
      <c r="G85" s="45">
        <v>4000</v>
      </c>
      <c r="H85" s="45"/>
      <c r="I85" s="45">
        <v>4000</v>
      </c>
      <c r="J85" s="45"/>
      <c r="K85" s="66">
        <f t="shared" ref="K85:L87" si="36">C85+E85+G85+I85</f>
        <v>16000</v>
      </c>
      <c r="L85" s="66">
        <f t="shared" si="36"/>
        <v>0</v>
      </c>
      <c r="M85" s="66">
        <v>16000</v>
      </c>
      <c r="N85" s="67">
        <f t="shared" si="32"/>
        <v>0</v>
      </c>
      <c r="P85" s="192">
        <f t="shared" si="30"/>
        <v>0</v>
      </c>
    </row>
    <row r="86" spans="1:17" ht="12.75" customHeight="1" outlineLevel="2">
      <c r="A86" s="64">
        <v>2313</v>
      </c>
      <c r="B86" s="42" t="s">
        <v>92</v>
      </c>
      <c r="C86" s="45"/>
      <c r="D86" s="45"/>
      <c r="E86" s="45"/>
      <c r="F86" s="45"/>
      <c r="G86" s="45"/>
      <c r="H86" s="45"/>
      <c r="I86" s="45">
        <v>10369.83</v>
      </c>
      <c r="J86" s="45"/>
      <c r="K86" s="66">
        <f t="shared" si="36"/>
        <v>10369.83</v>
      </c>
      <c r="L86" s="66">
        <f t="shared" si="36"/>
        <v>0</v>
      </c>
      <c r="M86" s="66">
        <v>0</v>
      </c>
      <c r="N86" s="67"/>
      <c r="P86" s="192"/>
    </row>
    <row r="87" spans="1:17" ht="26.25" customHeight="1" outlineLevel="2">
      <c r="A87" s="64">
        <v>2314</v>
      </c>
      <c r="B87" s="42" t="s">
        <v>93</v>
      </c>
      <c r="C87" s="45">
        <v>3000</v>
      </c>
      <c r="D87" s="45"/>
      <c r="E87" s="45">
        <v>4200</v>
      </c>
      <c r="F87" s="45"/>
      <c r="G87" s="45">
        <v>3600</v>
      </c>
      <c r="H87" s="45"/>
      <c r="I87" s="45">
        <f>3600+4000+5000</f>
        <v>12600</v>
      </c>
      <c r="J87" s="45"/>
      <c r="K87" s="66">
        <f t="shared" si="36"/>
        <v>23400</v>
      </c>
      <c r="L87" s="66">
        <f t="shared" si="36"/>
        <v>0</v>
      </c>
      <c r="M87" s="66">
        <v>14400</v>
      </c>
      <c r="N87" s="93">
        <f t="shared" si="32"/>
        <v>62.5</v>
      </c>
      <c r="P87" s="192">
        <f t="shared" si="30"/>
        <v>62.5</v>
      </c>
      <c r="Q87" s="183" t="s">
        <v>153</v>
      </c>
    </row>
    <row r="88" spans="1:17" ht="12.75" customHeight="1" outlineLevel="2">
      <c r="A88" s="62">
        <v>2320</v>
      </c>
      <c r="B88" s="42" t="s">
        <v>94</v>
      </c>
      <c r="C88" s="63">
        <f t="shared" ref="C88:J88" si="37">SUM(C89:C91)</f>
        <v>11000</v>
      </c>
      <c r="D88" s="63">
        <f t="shared" si="37"/>
        <v>0</v>
      </c>
      <c r="E88" s="63">
        <f t="shared" si="37"/>
        <v>9140</v>
      </c>
      <c r="F88" s="63">
        <f t="shared" si="37"/>
        <v>0</v>
      </c>
      <c r="G88" s="63">
        <f t="shared" si="37"/>
        <v>6000</v>
      </c>
      <c r="H88" s="63">
        <f t="shared" si="37"/>
        <v>0</v>
      </c>
      <c r="I88" s="63">
        <f t="shared" si="37"/>
        <v>5500</v>
      </c>
      <c r="J88" s="63">
        <f t="shared" si="37"/>
        <v>0</v>
      </c>
      <c r="K88" s="63">
        <f>SUM(K89:K91)</f>
        <v>31640</v>
      </c>
      <c r="L88" s="63">
        <f>SUM(L89:L91)</f>
        <v>0</v>
      </c>
      <c r="M88" s="63">
        <v>41140</v>
      </c>
      <c r="N88" s="82">
        <f t="shared" si="32"/>
        <v>-23.091881380651433</v>
      </c>
      <c r="P88" s="192">
        <f t="shared" si="30"/>
        <v>-23.091881380651433</v>
      </c>
    </row>
    <row r="89" spans="1:17" ht="12.75" customHeight="1" outlineLevel="2">
      <c r="A89" s="64">
        <v>2321</v>
      </c>
      <c r="B89" s="42" t="s">
        <v>95</v>
      </c>
      <c r="C89" s="45"/>
      <c r="D89" s="45"/>
      <c r="E89" s="45"/>
      <c r="F89" s="45"/>
      <c r="G89" s="45"/>
      <c r="H89" s="45"/>
      <c r="I89" s="45"/>
      <c r="J89" s="45"/>
      <c r="K89" s="66">
        <f>C89+E89+G89+I89</f>
        <v>0</v>
      </c>
      <c r="L89" s="66">
        <f>D89+F89+H89+J89</f>
        <v>0</v>
      </c>
      <c r="M89" s="66">
        <v>0</v>
      </c>
      <c r="N89" s="82"/>
      <c r="P89" s="192"/>
    </row>
    <row r="90" spans="1:17" ht="13.5" customHeight="1" outlineLevel="2">
      <c r="A90" s="64">
        <v>2322</v>
      </c>
      <c r="B90" s="42" t="s">
        <v>96</v>
      </c>
      <c r="C90" s="45">
        <v>11000</v>
      </c>
      <c r="D90" s="45"/>
      <c r="E90" s="45">
        <v>9140</v>
      </c>
      <c r="F90" s="45"/>
      <c r="G90" s="45">
        <f>10000-4000</f>
        <v>6000</v>
      </c>
      <c r="H90" s="45"/>
      <c r="I90" s="45">
        <f>11000-5500</f>
        <v>5500</v>
      </c>
      <c r="J90" s="45"/>
      <c r="K90" s="66">
        <f t="shared" ref="K90:L92" si="38">C90+E90+G90+I90</f>
        <v>31640</v>
      </c>
      <c r="L90" s="66">
        <f t="shared" si="38"/>
        <v>0</v>
      </c>
      <c r="M90" s="66">
        <v>41140</v>
      </c>
      <c r="N90" s="82">
        <f t="shared" si="32"/>
        <v>-23.091881380651433</v>
      </c>
      <c r="P90" s="192">
        <f t="shared" si="30"/>
        <v>-23.091881380651433</v>
      </c>
      <c r="Q90" s="195" t="s">
        <v>144</v>
      </c>
    </row>
    <row r="91" spans="1:17" ht="12.75" customHeight="1" outlineLevel="2">
      <c r="A91" s="64">
        <v>2329</v>
      </c>
      <c r="B91" s="42" t="s">
        <v>97</v>
      </c>
      <c r="C91" s="45"/>
      <c r="D91" s="45"/>
      <c r="E91" s="45"/>
      <c r="F91" s="45"/>
      <c r="G91" s="45"/>
      <c r="H91" s="45"/>
      <c r="I91" s="45"/>
      <c r="J91" s="45"/>
      <c r="K91" s="66">
        <f t="shared" si="38"/>
        <v>0</v>
      </c>
      <c r="L91" s="66">
        <f t="shared" si="38"/>
        <v>0</v>
      </c>
      <c r="M91" s="66">
        <v>0</v>
      </c>
      <c r="N91" s="67"/>
      <c r="P91" s="192"/>
    </row>
    <row r="92" spans="1:17" ht="12.75" customHeight="1" outlineLevel="2">
      <c r="A92" s="62">
        <v>2330</v>
      </c>
      <c r="B92" s="42" t="s">
        <v>98</v>
      </c>
      <c r="C92" s="45"/>
      <c r="D92" s="45"/>
      <c r="E92" s="45"/>
      <c r="F92" s="45"/>
      <c r="G92" s="45"/>
      <c r="H92" s="45"/>
      <c r="I92" s="45"/>
      <c r="J92" s="45"/>
      <c r="K92" s="66">
        <f t="shared" si="38"/>
        <v>0</v>
      </c>
      <c r="L92" s="66">
        <f t="shared" si="38"/>
        <v>0</v>
      </c>
      <c r="M92" s="66">
        <v>0</v>
      </c>
      <c r="N92" s="67"/>
      <c r="P92" s="192"/>
    </row>
    <row r="93" spans="1:17" s="20" customFormat="1" ht="25.5" customHeight="1" outlineLevel="2">
      <c r="A93" s="62">
        <v>2340</v>
      </c>
      <c r="B93" s="42" t="s">
        <v>99</v>
      </c>
      <c r="C93" s="95">
        <f t="shared" ref="C93:J93" si="39">C94</f>
        <v>0</v>
      </c>
      <c r="D93" s="95">
        <f t="shared" si="39"/>
        <v>0</v>
      </c>
      <c r="E93" s="95">
        <f t="shared" si="39"/>
        <v>0</v>
      </c>
      <c r="F93" s="95">
        <f t="shared" si="39"/>
        <v>0</v>
      </c>
      <c r="G93" s="95">
        <f t="shared" si="39"/>
        <v>0</v>
      </c>
      <c r="H93" s="95">
        <f t="shared" si="39"/>
        <v>0</v>
      </c>
      <c r="I93" s="95">
        <f t="shared" si="39"/>
        <v>0</v>
      </c>
      <c r="J93" s="95">
        <f t="shared" si="39"/>
        <v>0</v>
      </c>
      <c r="K93" s="95">
        <f>K94</f>
        <v>0</v>
      </c>
      <c r="L93" s="95">
        <f>L94</f>
        <v>0</v>
      </c>
      <c r="M93" s="95">
        <v>0</v>
      </c>
      <c r="N93" s="67"/>
      <c r="P93" s="192"/>
    </row>
    <row r="94" spans="1:17" ht="12.75" customHeight="1" outlineLevel="2">
      <c r="A94" s="64">
        <v>2341</v>
      </c>
      <c r="B94" s="42" t="s">
        <v>100</v>
      </c>
      <c r="C94" s="66">
        <v>0</v>
      </c>
      <c r="D94" s="45"/>
      <c r="E94" s="66"/>
      <c r="F94" s="45"/>
      <c r="G94" s="66"/>
      <c r="H94" s="45"/>
      <c r="I94" s="66"/>
      <c r="J94" s="45"/>
      <c r="K94" s="66">
        <f t="shared" ref="K94:L97" si="40">C94+E94+G94+I94</f>
        <v>0</v>
      </c>
      <c r="L94" s="66">
        <f t="shared" si="40"/>
        <v>0</v>
      </c>
      <c r="M94" s="66">
        <v>0</v>
      </c>
      <c r="N94" s="67"/>
      <c r="P94" s="192"/>
    </row>
    <row r="95" spans="1:17" s="20" customFormat="1" ht="12.75" customHeight="1" outlineLevel="2">
      <c r="A95" s="62">
        <v>2350</v>
      </c>
      <c r="B95" s="42" t="s">
        <v>101</v>
      </c>
      <c r="C95" s="81">
        <v>9750</v>
      </c>
      <c r="D95" s="45"/>
      <c r="E95" s="81">
        <v>12250</v>
      </c>
      <c r="F95" s="45"/>
      <c r="G95" s="81">
        <v>13000</v>
      </c>
      <c r="H95" s="45"/>
      <c r="I95" s="81">
        <v>10000</v>
      </c>
      <c r="J95" s="45"/>
      <c r="K95" s="66">
        <f t="shared" si="40"/>
        <v>45000</v>
      </c>
      <c r="L95" s="66">
        <f t="shared" si="40"/>
        <v>0</v>
      </c>
      <c r="M95" s="66">
        <v>45000</v>
      </c>
      <c r="N95" s="67">
        <f t="shared" si="32"/>
        <v>0</v>
      </c>
      <c r="P95" s="192">
        <f t="shared" si="30"/>
        <v>0</v>
      </c>
    </row>
    <row r="96" spans="1:17" s="20" customFormat="1" ht="12.75" customHeight="1" outlineLevel="2">
      <c r="A96" s="62">
        <v>2390</v>
      </c>
      <c r="B96" s="42" t="s">
        <v>102</v>
      </c>
      <c r="C96" s="81">
        <v>1200</v>
      </c>
      <c r="D96" s="45"/>
      <c r="E96" s="81">
        <v>1400</v>
      </c>
      <c r="F96" s="45"/>
      <c r="G96" s="81">
        <v>1000</v>
      </c>
      <c r="H96" s="45"/>
      <c r="I96" s="81">
        <f>1400+5700+10000</f>
        <v>17100</v>
      </c>
      <c r="J96" s="45"/>
      <c r="K96" s="66">
        <f t="shared" si="40"/>
        <v>20700</v>
      </c>
      <c r="L96" s="66">
        <f t="shared" si="40"/>
        <v>0</v>
      </c>
      <c r="M96" s="66">
        <v>5000</v>
      </c>
      <c r="N96" s="82">
        <f t="shared" si="32"/>
        <v>314</v>
      </c>
      <c r="P96" s="192">
        <f t="shared" si="30"/>
        <v>314</v>
      </c>
      <c r="Q96" s="7" t="s">
        <v>152</v>
      </c>
    </row>
    <row r="97" spans="1:17" s="20" customFormat="1" outlineLevel="2">
      <c r="A97" s="78">
        <v>2400</v>
      </c>
      <c r="B97" s="65" t="s">
        <v>103</v>
      </c>
      <c r="C97" s="97"/>
      <c r="D97" s="45"/>
      <c r="E97" s="97"/>
      <c r="F97" s="45"/>
      <c r="G97" s="97"/>
      <c r="H97" s="45"/>
      <c r="I97" s="97"/>
      <c r="J97" s="45"/>
      <c r="K97" s="66">
        <f t="shared" si="40"/>
        <v>0</v>
      </c>
      <c r="L97" s="66">
        <f t="shared" si="40"/>
        <v>0</v>
      </c>
      <c r="M97" s="66">
        <v>0</v>
      </c>
      <c r="N97" s="67"/>
      <c r="P97" s="192"/>
    </row>
    <row r="98" spans="1:17" ht="13" customHeight="1" outlineLevel="2">
      <c r="A98" s="78">
        <v>2500</v>
      </c>
      <c r="B98" s="65" t="s">
        <v>104</v>
      </c>
      <c r="C98" s="79">
        <f t="shared" ref="C98:J98" si="41">C99+C104</f>
        <v>33540</v>
      </c>
      <c r="D98" s="79">
        <f t="shared" si="41"/>
        <v>0</v>
      </c>
      <c r="E98" s="79">
        <f t="shared" si="41"/>
        <v>12890</v>
      </c>
      <c r="F98" s="79">
        <f t="shared" si="41"/>
        <v>0</v>
      </c>
      <c r="G98" s="79">
        <f t="shared" si="41"/>
        <v>89823</v>
      </c>
      <c r="H98" s="79">
        <f t="shared" si="41"/>
        <v>0</v>
      </c>
      <c r="I98" s="79">
        <f t="shared" si="41"/>
        <v>37890</v>
      </c>
      <c r="J98" s="79">
        <f t="shared" si="41"/>
        <v>0</v>
      </c>
      <c r="K98" s="79">
        <f>K99+K104</f>
        <v>174143</v>
      </c>
      <c r="L98" s="79">
        <f>L99+L104</f>
        <v>0</v>
      </c>
      <c r="M98" s="79">
        <v>92250</v>
      </c>
      <c r="N98" s="98">
        <f t="shared" si="32"/>
        <v>88.772899728997288</v>
      </c>
      <c r="P98" s="192">
        <f t="shared" si="30"/>
        <v>88.772899728997288</v>
      </c>
    </row>
    <row r="99" spans="1:17" s="20" customFormat="1" ht="12.75" customHeight="1" outlineLevel="2">
      <c r="A99" s="62">
        <v>2510</v>
      </c>
      <c r="B99" s="42" t="s">
        <v>105</v>
      </c>
      <c r="C99" s="63">
        <f t="shared" ref="C99:J99" si="42">SUM(C100:C103)</f>
        <v>33540</v>
      </c>
      <c r="D99" s="63">
        <f t="shared" si="42"/>
        <v>0</v>
      </c>
      <c r="E99" s="63">
        <f t="shared" si="42"/>
        <v>12890</v>
      </c>
      <c r="F99" s="63">
        <f t="shared" si="42"/>
        <v>0</v>
      </c>
      <c r="G99" s="63">
        <f t="shared" si="42"/>
        <v>89823</v>
      </c>
      <c r="H99" s="63">
        <f t="shared" si="42"/>
        <v>0</v>
      </c>
      <c r="I99" s="63">
        <f t="shared" si="42"/>
        <v>37890</v>
      </c>
      <c r="J99" s="63">
        <f t="shared" si="42"/>
        <v>0</v>
      </c>
      <c r="K99" s="63">
        <f>SUM(K100:K103)</f>
        <v>174143</v>
      </c>
      <c r="L99" s="63">
        <f>SUM(L100:L103)</f>
        <v>0</v>
      </c>
      <c r="M99" s="63">
        <v>92250</v>
      </c>
      <c r="N99" s="82">
        <f t="shared" si="32"/>
        <v>88.772899728997288</v>
      </c>
      <c r="P99" s="192">
        <f t="shared" si="30"/>
        <v>88.772899728997288</v>
      </c>
    </row>
    <row r="100" spans="1:17" s="20" customFormat="1" ht="32.25" customHeight="1" outlineLevel="2">
      <c r="A100" s="64">
        <v>2512</v>
      </c>
      <c r="B100" s="42" t="s">
        <v>106</v>
      </c>
      <c r="C100" s="45">
        <v>22500</v>
      </c>
      <c r="D100" s="45"/>
      <c r="E100" s="45">
        <v>12500</v>
      </c>
      <c r="F100" s="45"/>
      <c r="G100" s="45">
        <f>22500+35000+21893+10000</f>
        <v>89393</v>
      </c>
      <c r="H100" s="45"/>
      <c r="I100" s="45">
        <f>22500+15000</f>
        <v>37500</v>
      </c>
      <c r="J100" s="45"/>
      <c r="K100" s="66">
        <f>C100+E100+G100+I100</f>
        <v>161893</v>
      </c>
      <c r="L100" s="66">
        <f>D100+F100+H100+J100</f>
        <v>0</v>
      </c>
      <c r="M100" s="66">
        <v>80000</v>
      </c>
      <c r="N100" s="82">
        <f t="shared" si="32"/>
        <v>102.36624999999999</v>
      </c>
      <c r="P100" s="192">
        <f t="shared" si="30"/>
        <v>102.36624999999999</v>
      </c>
      <c r="Q100" s="193" t="s">
        <v>149</v>
      </c>
    </row>
    <row r="101" spans="1:17" s="20" customFormat="1" ht="25.5" customHeight="1" outlineLevel="2">
      <c r="A101" s="64">
        <v>2513</v>
      </c>
      <c r="B101" s="42" t="s">
        <v>107</v>
      </c>
      <c r="C101" s="45">
        <v>10650</v>
      </c>
      <c r="D101" s="45"/>
      <c r="E101" s="45"/>
      <c r="F101" s="45"/>
      <c r="G101" s="45"/>
      <c r="H101" s="45"/>
      <c r="I101" s="45"/>
      <c r="J101" s="45"/>
      <c r="K101" s="66">
        <f t="shared" ref="K101:L104" si="43">C101+E101+G101+I101</f>
        <v>10650</v>
      </c>
      <c r="L101" s="66">
        <f t="shared" si="43"/>
        <v>0</v>
      </c>
      <c r="M101" s="66">
        <v>10650</v>
      </c>
      <c r="N101" s="96">
        <f t="shared" si="32"/>
        <v>0</v>
      </c>
      <c r="P101" s="192">
        <f t="shared" si="30"/>
        <v>0</v>
      </c>
    </row>
    <row r="102" spans="1:17" s="20" customFormat="1" ht="12.75" customHeight="1" outlineLevel="2">
      <c r="A102" s="64">
        <v>2516</v>
      </c>
      <c r="B102" s="42" t="s">
        <v>108</v>
      </c>
      <c r="C102" s="45">
        <v>50</v>
      </c>
      <c r="D102" s="45"/>
      <c r="E102" s="45">
        <v>50</v>
      </c>
      <c r="F102" s="45"/>
      <c r="G102" s="45">
        <v>50</v>
      </c>
      <c r="H102" s="45"/>
      <c r="I102" s="45">
        <v>50</v>
      </c>
      <c r="J102" s="45"/>
      <c r="K102" s="66">
        <f t="shared" si="43"/>
        <v>200</v>
      </c>
      <c r="L102" s="66">
        <f t="shared" si="43"/>
        <v>0</v>
      </c>
      <c r="M102" s="66">
        <v>200</v>
      </c>
      <c r="N102" s="67">
        <f t="shared" si="32"/>
        <v>0</v>
      </c>
      <c r="P102" s="192">
        <f t="shared" si="30"/>
        <v>0</v>
      </c>
    </row>
    <row r="103" spans="1:17" s="20" customFormat="1" ht="12.75" customHeight="1" outlineLevel="2">
      <c r="A103" s="99">
        <v>2519</v>
      </c>
      <c r="B103" s="100" t="s">
        <v>109</v>
      </c>
      <c r="C103" s="101">
        <v>340</v>
      </c>
      <c r="D103" s="101"/>
      <c r="E103" s="101">
        <v>340</v>
      </c>
      <c r="F103" s="101"/>
      <c r="G103" s="101">
        <v>380</v>
      </c>
      <c r="H103" s="101"/>
      <c r="I103" s="101">
        <v>340</v>
      </c>
      <c r="J103" s="101"/>
      <c r="K103" s="66">
        <f t="shared" si="43"/>
        <v>1400</v>
      </c>
      <c r="L103" s="66">
        <f t="shared" si="43"/>
        <v>0</v>
      </c>
      <c r="M103" s="66">
        <v>1400</v>
      </c>
      <c r="N103" s="67">
        <f t="shared" si="32"/>
        <v>0</v>
      </c>
      <c r="P103" s="192">
        <f t="shared" si="30"/>
        <v>0</v>
      </c>
    </row>
    <row r="104" spans="1:17" s="20" customFormat="1" ht="12.75" customHeight="1" outlineLevel="2">
      <c r="A104" s="102">
        <v>2520</v>
      </c>
      <c r="B104" s="103" t="s">
        <v>110</v>
      </c>
      <c r="C104" s="45"/>
      <c r="D104" s="45"/>
      <c r="E104" s="45"/>
      <c r="F104" s="45"/>
      <c r="G104" s="45"/>
      <c r="H104" s="45"/>
      <c r="I104" s="45"/>
      <c r="J104" s="45"/>
      <c r="K104" s="66">
        <f t="shared" si="43"/>
        <v>0</v>
      </c>
      <c r="L104" s="66">
        <f t="shared" si="43"/>
        <v>0</v>
      </c>
      <c r="M104" s="66">
        <v>0</v>
      </c>
      <c r="N104" s="67"/>
      <c r="P104" s="192"/>
    </row>
    <row r="105" spans="1:17" outlineLevel="2">
      <c r="A105" s="88">
        <v>4000</v>
      </c>
      <c r="B105" s="89" t="s">
        <v>111</v>
      </c>
      <c r="C105" s="90">
        <f t="shared" ref="C105:E106" si="44">C106</f>
        <v>0</v>
      </c>
      <c r="D105" s="90">
        <f t="shared" si="44"/>
        <v>0</v>
      </c>
      <c r="E105" s="90">
        <f t="shared" si="44"/>
        <v>0</v>
      </c>
      <c r="F105" s="104"/>
      <c r="G105" s="90">
        <f>G106</f>
        <v>0</v>
      </c>
      <c r="H105" s="104"/>
      <c r="I105" s="90">
        <f t="shared" ref="I105:L106" si="45">I106</f>
        <v>0</v>
      </c>
      <c r="J105" s="90">
        <f t="shared" si="45"/>
        <v>0</v>
      </c>
      <c r="K105" s="90">
        <f t="shared" si="45"/>
        <v>0</v>
      </c>
      <c r="L105" s="90">
        <f t="shared" si="45"/>
        <v>0</v>
      </c>
      <c r="M105" s="90">
        <v>0</v>
      </c>
      <c r="N105" s="67"/>
      <c r="P105" s="192"/>
    </row>
    <row r="106" spans="1:17" s="20" customFormat="1" ht="15.75" customHeight="1" outlineLevel="2">
      <c r="A106" s="60">
        <v>4200</v>
      </c>
      <c r="B106" s="38" t="s">
        <v>112</v>
      </c>
      <c r="C106" s="61">
        <f t="shared" si="44"/>
        <v>0</v>
      </c>
      <c r="D106" s="61">
        <f t="shared" si="44"/>
        <v>0</v>
      </c>
      <c r="E106" s="61">
        <f t="shared" si="44"/>
        <v>0</v>
      </c>
      <c r="F106" s="105"/>
      <c r="G106" s="61">
        <f>G107</f>
        <v>0</v>
      </c>
      <c r="H106" s="105"/>
      <c r="I106" s="61">
        <f t="shared" si="45"/>
        <v>0</v>
      </c>
      <c r="J106" s="61">
        <f t="shared" si="45"/>
        <v>0</v>
      </c>
      <c r="K106" s="61">
        <f t="shared" si="45"/>
        <v>0</v>
      </c>
      <c r="L106" s="61">
        <f t="shared" si="45"/>
        <v>0</v>
      </c>
      <c r="M106" s="61">
        <v>0</v>
      </c>
      <c r="N106" s="67"/>
      <c r="P106" s="192"/>
    </row>
    <row r="107" spans="1:17" s="20" customFormat="1" ht="15.75" customHeight="1" outlineLevel="2">
      <c r="A107" s="62">
        <v>4250</v>
      </c>
      <c r="B107" s="42" t="s">
        <v>113</v>
      </c>
      <c r="C107" s="81">
        <v>0</v>
      </c>
      <c r="D107" s="45">
        <v>0</v>
      </c>
      <c r="E107" s="81"/>
      <c r="F107" s="45"/>
      <c r="G107" s="81"/>
      <c r="H107" s="45"/>
      <c r="I107" s="81"/>
      <c r="J107" s="45"/>
      <c r="K107" s="81">
        <f>C107+E107+G107+I107</f>
        <v>0</v>
      </c>
      <c r="L107" s="81">
        <f>D107+F107+H107+J107</f>
        <v>0</v>
      </c>
      <c r="M107" s="81">
        <v>0</v>
      </c>
      <c r="N107" s="67"/>
      <c r="P107" s="192"/>
    </row>
    <row r="108" spans="1:17" s="108" customFormat="1" ht="26" outlineLevel="2">
      <c r="A108" s="106">
        <v>5000</v>
      </c>
      <c r="B108" s="107" t="s">
        <v>114</v>
      </c>
      <c r="C108" s="90">
        <f t="shared" ref="C108:H108" si="46">C109+C111</f>
        <v>118000</v>
      </c>
      <c r="D108" s="90">
        <f t="shared" si="46"/>
        <v>0</v>
      </c>
      <c r="E108" s="90">
        <f t="shared" si="46"/>
        <v>83850</v>
      </c>
      <c r="F108" s="90">
        <f t="shared" si="46"/>
        <v>0</v>
      </c>
      <c r="G108" s="90">
        <f t="shared" si="46"/>
        <v>570760</v>
      </c>
      <c r="H108" s="90">
        <f t="shared" si="46"/>
        <v>0</v>
      </c>
      <c r="I108" s="90">
        <f>I109+I111</f>
        <v>476090</v>
      </c>
      <c r="J108" s="90">
        <f>J109+J111</f>
        <v>0</v>
      </c>
      <c r="K108" s="90">
        <f>K109+K111</f>
        <v>1248700</v>
      </c>
      <c r="L108" s="90">
        <f>L109+L111</f>
        <v>0</v>
      </c>
      <c r="M108" s="90">
        <v>400000</v>
      </c>
      <c r="N108" s="98">
        <f t="shared" si="32"/>
        <v>212.17500000000001</v>
      </c>
      <c r="P108" s="192">
        <f t="shared" si="30"/>
        <v>212.17500000000001</v>
      </c>
      <c r="Q108" s="193" t="s">
        <v>150</v>
      </c>
    </row>
    <row r="109" spans="1:17" s="111" customFormat="1" ht="12.65" customHeight="1" outlineLevel="2">
      <c r="A109" s="109">
        <v>5100</v>
      </c>
      <c r="B109" s="110" t="s">
        <v>115</v>
      </c>
      <c r="C109" s="61">
        <f t="shared" ref="C109:J109" si="47">C110</f>
        <v>15000</v>
      </c>
      <c r="D109" s="61">
        <f t="shared" si="47"/>
        <v>0</v>
      </c>
      <c r="E109" s="61">
        <f t="shared" si="47"/>
        <v>15000</v>
      </c>
      <c r="F109" s="61">
        <f t="shared" si="47"/>
        <v>0</v>
      </c>
      <c r="G109" s="61">
        <f t="shared" si="47"/>
        <v>35000</v>
      </c>
      <c r="H109" s="61">
        <f t="shared" si="47"/>
        <v>0</v>
      </c>
      <c r="I109" s="61">
        <f t="shared" si="47"/>
        <v>401500</v>
      </c>
      <c r="J109" s="61">
        <f t="shared" si="47"/>
        <v>0</v>
      </c>
      <c r="K109" s="61">
        <f>K110</f>
        <v>466500</v>
      </c>
      <c r="L109" s="61">
        <f>L110</f>
        <v>0</v>
      </c>
      <c r="M109" s="61">
        <v>60000</v>
      </c>
      <c r="N109" s="98">
        <f t="shared" si="32"/>
        <v>677.5</v>
      </c>
      <c r="P109" s="192">
        <f t="shared" si="30"/>
        <v>677.5</v>
      </c>
    </row>
    <row r="110" spans="1:17" s="111" customFormat="1" ht="16.5" customHeight="1" outlineLevel="2">
      <c r="A110" s="112">
        <v>5120</v>
      </c>
      <c r="B110" s="113" t="s">
        <v>116</v>
      </c>
      <c r="C110" s="81">
        <v>15000</v>
      </c>
      <c r="D110" s="45"/>
      <c r="E110" s="81">
        <v>15000</v>
      </c>
      <c r="F110" s="45"/>
      <c r="G110" s="81">
        <f>15000+20000</f>
        <v>35000</v>
      </c>
      <c r="H110" s="45"/>
      <c r="I110" s="81">
        <f>15000+42500+344000</f>
        <v>401500</v>
      </c>
      <c r="J110" s="45"/>
      <c r="K110" s="45">
        <f>C110+E110+G110+I110</f>
        <v>466500</v>
      </c>
      <c r="L110" s="45">
        <f>D110+F110+H110+J110</f>
        <v>0</v>
      </c>
      <c r="M110" s="45">
        <v>60000</v>
      </c>
      <c r="N110" s="82">
        <f t="shared" si="32"/>
        <v>677.5</v>
      </c>
      <c r="P110" s="192">
        <f t="shared" si="30"/>
        <v>677.5</v>
      </c>
    </row>
    <row r="111" spans="1:17" s="115" customFormat="1" outlineLevel="2">
      <c r="A111" s="114">
        <v>5200</v>
      </c>
      <c r="B111" s="113" t="s">
        <v>117</v>
      </c>
      <c r="C111" s="79">
        <f t="shared" ref="C111:H111" si="48">C112+C113+C117+C118+C119</f>
        <v>103000</v>
      </c>
      <c r="D111" s="79">
        <f t="shared" si="48"/>
        <v>0</v>
      </c>
      <c r="E111" s="79">
        <f t="shared" si="48"/>
        <v>68850</v>
      </c>
      <c r="F111" s="79">
        <f t="shared" si="48"/>
        <v>0</v>
      </c>
      <c r="G111" s="79">
        <f t="shared" si="48"/>
        <v>535760</v>
      </c>
      <c r="H111" s="79">
        <f t="shared" si="48"/>
        <v>0</v>
      </c>
      <c r="I111" s="79">
        <f>I112+I113+I117+I118+I119</f>
        <v>74590</v>
      </c>
      <c r="J111" s="79">
        <f>J112+J113+J117+J118+J119</f>
        <v>0</v>
      </c>
      <c r="K111" s="79">
        <f>K113+K117+K118</f>
        <v>782200</v>
      </c>
      <c r="L111" s="79">
        <f>L112+L113+L117+L118+L119</f>
        <v>0</v>
      </c>
      <c r="M111" s="79">
        <v>340000</v>
      </c>
      <c r="N111" s="98">
        <f t="shared" si="32"/>
        <v>130.05882352941177</v>
      </c>
      <c r="P111" s="192">
        <f t="shared" si="30"/>
        <v>130.05882352941177</v>
      </c>
    </row>
    <row r="112" spans="1:17" s="115" customFormat="1" ht="15" customHeight="1" outlineLevel="2">
      <c r="A112" s="112">
        <v>5220</v>
      </c>
      <c r="B112" s="113" t="s">
        <v>118</v>
      </c>
      <c r="C112" s="116">
        <v>0</v>
      </c>
      <c r="D112" s="117">
        <v>0</v>
      </c>
      <c r="E112" s="116"/>
      <c r="F112" s="117"/>
      <c r="G112" s="116"/>
      <c r="H112" s="117"/>
      <c r="I112" s="116"/>
      <c r="J112" s="117"/>
      <c r="K112" s="45">
        <f>C112+E112+G112+I112</f>
        <v>0</v>
      </c>
      <c r="L112" s="45">
        <f>D112+F112+H112+J112</f>
        <v>0</v>
      </c>
      <c r="M112" s="45">
        <v>0</v>
      </c>
      <c r="N112" s="67"/>
      <c r="P112" s="192"/>
    </row>
    <row r="113" spans="1:16" s="115" customFormat="1" ht="12.75" customHeight="1" outlineLevel="2">
      <c r="A113" s="112">
        <v>5230</v>
      </c>
      <c r="B113" s="113" t="s">
        <v>119</v>
      </c>
      <c r="C113" s="63">
        <f>SUM(C114:C116)</f>
        <v>23000</v>
      </c>
      <c r="D113" s="63">
        <f t="shared" ref="D113:J113" si="49">SUM(D114:D116)</f>
        <v>0</v>
      </c>
      <c r="E113" s="63">
        <f t="shared" si="49"/>
        <v>18850</v>
      </c>
      <c r="F113" s="63">
        <f t="shared" si="49"/>
        <v>0</v>
      </c>
      <c r="G113" s="63">
        <f t="shared" si="49"/>
        <v>36560</v>
      </c>
      <c r="H113" s="63">
        <f t="shared" si="49"/>
        <v>0</v>
      </c>
      <c r="I113" s="63">
        <f t="shared" si="49"/>
        <v>33790</v>
      </c>
      <c r="J113" s="63">
        <f t="shared" si="49"/>
        <v>0</v>
      </c>
      <c r="K113" s="63">
        <f>SUM(K114:K116)</f>
        <v>112200</v>
      </c>
      <c r="L113" s="63">
        <f>SUM(L114:L116)</f>
        <v>0</v>
      </c>
      <c r="M113" s="63">
        <v>104200</v>
      </c>
      <c r="N113" s="67">
        <f t="shared" si="32"/>
        <v>7.6775431861804213</v>
      </c>
      <c r="P113" s="192">
        <f t="shared" si="30"/>
        <v>7.6775431861804213</v>
      </c>
    </row>
    <row r="114" spans="1:16" s="119" customFormat="1" ht="12.75" customHeight="1" outlineLevel="2">
      <c r="A114" s="118">
        <v>5231</v>
      </c>
      <c r="B114" s="113" t="s">
        <v>120</v>
      </c>
      <c r="C114" s="45"/>
      <c r="D114" s="45"/>
      <c r="E114" s="45"/>
      <c r="F114" s="45"/>
      <c r="G114" s="45"/>
      <c r="H114" s="45"/>
      <c r="I114" s="45"/>
      <c r="J114" s="45"/>
      <c r="K114" s="45">
        <f>C114+E114+G114+I114</f>
        <v>0</v>
      </c>
      <c r="L114" s="45">
        <f>D114+F114+H114+J114</f>
        <v>0</v>
      </c>
      <c r="M114" s="45">
        <v>0</v>
      </c>
      <c r="N114" s="67"/>
      <c r="P114" s="192"/>
    </row>
    <row r="115" spans="1:16" s="119" customFormat="1" ht="12.75" customHeight="1" outlineLevel="2">
      <c r="A115" s="118">
        <v>5238</v>
      </c>
      <c r="B115" s="120" t="s">
        <v>121</v>
      </c>
      <c r="C115" s="45">
        <v>20000</v>
      </c>
      <c r="D115" s="45"/>
      <c r="E115" s="45">
        <v>15000</v>
      </c>
      <c r="F115" s="45"/>
      <c r="G115" s="45">
        <f>25000+8000</f>
        <v>33000</v>
      </c>
      <c r="H115" s="45"/>
      <c r="I115" s="45">
        <v>30000</v>
      </c>
      <c r="J115" s="45"/>
      <c r="K115" s="45">
        <f t="shared" ref="K115:L119" si="50">C115+E115+G115+I115</f>
        <v>98000</v>
      </c>
      <c r="L115" s="45">
        <f t="shared" si="50"/>
        <v>0</v>
      </c>
      <c r="M115" s="45">
        <v>90000</v>
      </c>
      <c r="N115" s="67">
        <f t="shared" si="32"/>
        <v>8.8888888888888893</v>
      </c>
      <c r="P115" s="192">
        <f t="shared" si="30"/>
        <v>8.8888888888888893</v>
      </c>
    </row>
    <row r="116" spans="1:16" s="119" customFormat="1" ht="12.75" customHeight="1" outlineLevel="2">
      <c r="A116" s="121">
        <v>5239</v>
      </c>
      <c r="B116" s="122" t="s">
        <v>122</v>
      </c>
      <c r="C116" s="48">
        <v>3000</v>
      </c>
      <c r="D116" s="48"/>
      <c r="E116" s="48">
        <v>3850</v>
      </c>
      <c r="F116" s="48"/>
      <c r="G116" s="48">
        <v>3560</v>
      </c>
      <c r="H116" s="48"/>
      <c r="I116" s="48">
        <v>3790</v>
      </c>
      <c r="J116" s="48"/>
      <c r="K116" s="101">
        <f t="shared" si="50"/>
        <v>14200</v>
      </c>
      <c r="L116" s="101">
        <f t="shared" si="50"/>
        <v>0</v>
      </c>
      <c r="M116" s="101">
        <v>14200</v>
      </c>
      <c r="N116" s="67">
        <f t="shared" si="32"/>
        <v>0</v>
      </c>
      <c r="P116" s="192">
        <f t="shared" si="30"/>
        <v>0</v>
      </c>
    </row>
    <row r="117" spans="1:16" s="119" customFormat="1" ht="12.75" customHeight="1" outlineLevel="2">
      <c r="A117" s="123">
        <v>5240</v>
      </c>
      <c r="B117" s="124" t="s">
        <v>123</v>
      </c>
      <c r="C117" s="125">
        <v>60000</v>
      </c>
      <c r="D117" s="125"/>
      <c r="E117" s="125">
        <v>40000</v>
      </c>
      <c r="F117" s="125"/>
      <c r="G117" s="125">
        <v>55000</v>
      </c>
      <c r="H117" s="125"/>
      <c r="I117" s="125">
        <v>40800</v>
      </c>
      <c r="J117" s="125"/>
      <c r="K117" s="127">
        <f t="shared" si="50"/>
        <v>195800</v>
      </c>
      <c r="L117" s="127">
        <f t="shared" si="50"/>
        <v>0</v>
      </c>
      <c r="M117" s="127">
        <v>195800</v>
      </c>
      <c r="N117" s="67">
        <f t="shared" si="32"/>
        <v>0</v>
      </c>
      <c r="P117" s="192">
        <f t="shared" si="30"/>
        <v>0</v>
      </c>
    </row>
    <row r="118" spans="1:16" s="119" customFormat="1" ht="12.75" customHeight="1" outlineLevel="2">
      <c r="A118" s="123">
        <v>5250</v>
      </c>
      <c r="B118" s="124" t="s">
        <v>124</v>
      </c>
      <c r="C118" s="125">
        <v>20000</v>
      </c>
      <c r="D118" s="125"/>
      <c r="E118" s="125">
        <v>10000</v>
      </c>
      <c r="F118" s="125"/>
      <c r="G118" s="125">
        <f>10000+434200</f>
        <v>444200</v>
      </c>
      <c r="H118" s="125"/>
      <c r="I118" s="125"/>
      <c r="J118" s="125"/>
      <c r="K118" s="127">
        <f t="shared" si="50"/>
        <v>474200</v>
      </c>
      <c r="L118" s="127">
        <f t="shared" si="50"/>
        <v>0</v>
      </c>
      <c r="M118" s="127">
        <v>40000</v>
      </c>
      <c r="N118" s="82">
        <f t="shared" si="32"/>
        <v>1085.5</v>
      </c>
      <c r="P118" s="192">
        <f t="shared" si="30"/>
        <v>1085.5</v>
      </c>
    </row>
    <row r="119" spans="1:16" s="119" customFormat="1" ht="12.75" customHeight="1" outlineLevel="2">
      <c r="A119" s="128">
        <v>5270</v>
      </c>
      <c r="B119" s="124" t="s">
        <v>125</v>
      </c>
      <c r="C119" s="125"/>
      <c r="D119" s="125"/>
      <c r="E119" s="125"/>
      <c r="F119" s="125"/>
      <c r="G119" s="126"/>
      <c r="H119" s="125"/>
      <c r="I119" s="125"/>
      <c r="J119" s="125"/>
      <c r="K119" s="127">
        <f t="shared" si="50"/>
        <v>0</v>
      </c>
      <c r="L119" s="127">
        <f t="shared" si="50"/>
        <v>0</v>
      </c>
      <c r="M119" s="127">
        <v>0</v>
      </c>
      <c r="N119" s="129"/>
      <c r="P119" s="189"/>
    </row>
    <row r="120" spans="1:16" s="119" customFormat="1" ht="14.5" outlineLevel="1">
      <c r="A120" s="130"/>
      <c r="B120" s="131" t="s">
        <v>126</v>
      </c>
      <c r="C120" s="132"/>
      <c r="D120" s="132"/>
      <c r="E120" s="132"/>
      <c r="F120" s="132"/>
      <c r="G120" s="133"/>
      <c r="H120" s="132"/>
      <c r="I120" s="132"/>
      <c r="J120" s="132"/>
      <c r="K120" s="132"/>
      <c r="L120" s="132"/>
      <c r="M120" s="132"/>
      <c r="N120"/>
      <c r="P120" s="186"/>
    </row>
    <row r="121" spans="1:16" s="119" customFormat="1" ht="12.65" customHeight="1" outlineLevel="1">
      <c r="A121" s="130"/>
      <c r="B121" s="134" t="s">
        <v>127</v>
      </c>
      <c r="C121" s="135">
        <f t="shared" ref="C121:L121" si="51">C10-C16</f>
        <v>-4.9999999813735485E-2</v>
      </c>
      <c r="D121" s="135">
        <f t="shared" si="51"/>
        <v>0</v>
      </c>
      <c r="E121" s="135">
        <f t="shared" si="51"/>
        <v>-4.9999999813735485E-2</v>
      </c>
      <c r="F121" s="136">
        <f t="shared" si="51"/>
        <v>0</v>
      </c>
      <c r="G121" s="137">
        <f t="shared" si="51"/>
        <v>0</v>
      </c>
      <c r="H121" s="135">
        <f t="shared" si="51"/>
        <v>0</v>
      </c>
      <c r="I121" s="135">
        <f t="shared" si="51"/>
        <v>-3.0000000260770321E-2</v>
      </c>
      <c r="J121" s="135">
        <f t="shared" si="51"/>
        <v>0</v>
      </c>
      <c r="K121" s="135">
        <f t="shared" si="51"/>
        <v>-0.13000000081956387</v>
      </c>
      <c r="L121" s="135">
        <f t="shared" si="51"/>
        <v>0</v>
      </c>
      <c r="M121" s="135">
        <v>7.0000000298023224E-2</v>
      </c>
      <c r="N121"/>
      <c r="P121" s="186"/>
    </row>
    <row r="122" spans="1:16" s="119" customFormat="1" ht="14.5" outlineLevel="1">
      <c r="A122" s="130"/>
      <c r="B122" s="134" t="s">
        <v>128</v>
      </c>
      <c r="C122" s="136">
        <v>600000</v>
      </c>
      <c r="D122" s="136"/>
      <c r="E122" s="136">
        <f>C123</f>
        <v>600000</v>
      </c>
      <c r="F122" s="136"/>
      <c r="G122" s="136">
        <f>E123</f>
        <v>599999.95000000019</v>
      </c>
      <c r="H122" s="136"/>
      <c r="I122" s="136">
        <f>G123</f>
        <v>599999.95000000019</v>
      </c>
      <c r="J122" s="136"/>
      <c r="K122" s="136">
        <f>C122</f>
        <v>600000</v>
      </c>
      <c r="L122" s="136"/>
      <c r="M122" s="136">
        <v>600000</v>
      </c>
      <c r="N122"/>
      <c r="P122" s="186"/>
    </row>
    <row r="123" spans="1:16" s="119" customFormat="1" ht="14.5" outlineLevel="1">
      <c r="A123" s="130"/>
      <c r="B123" s="134" t="s">
        <v>129</v>
      </c>
      <c r="C123" s="136">
        <v>600000</v>
      </c>
      <c r="D123" s="136"/>
      <c r="E123" s="136">
        <f>E122+E10-E16</f>
        <v>599999.95000000019</v>
      </c>
      <c r="F123" s="136"/>
      <c r="G123" s="136">
        <f>G122+G10-G16</f>
        <v>599999.95000000019</v>
      </c>
      <c r="H123" s="138"/>
      <c r="I123" s="136">
        <f>I122+I10-I16</f>
        <v>599999.91999999993</v>
      </c>
      <c r="J123" s="138"/>
      <c r="K123" s="136">
        <v>600000</v>
      </c>
      <c r="L123" s="136"/>
      <c r="M123" s="136">
        <v>600000</v>
      </c>
      <c r="N123"/>
      <c r="P123" s="186"/>
    </row>
    <row r="124" spans="1:16" ht="14.5">
      <c r="A124" s="139"/>
      <c r="B124" s="140" t="s">
        <v>130</v>
      </c>
      <c r="C124" s="141"/>
      <c r="D124" s="141"/>
      <c r="E124" s="141"/>
      <c r="F124" s="141"/>
      <c r="G124" s="142"/>
      <c r="H124" s="141"/>
      <c r="I124" s="141"/>
      <c r="J124" s="141"/>
      <c r="K124" s="141"/>
      <c r="L124" s="141"/>
      <c r="M124" s="141"/>
      <c r="N124"/>
      <c r="P124" s="187"/>
    </row>
    <row r="125" spans="1:16" ht="14.5">
      <c r="A125" s="143"/>
      <c r="B125" s="144" t="s">
        <v>131</v>
      </c>
      <c r="C125" s="145">
        <f t="shared" ref="C125:I125" si="52">SUM(C126:C128)</f>
        <v>3207567</v>
      </c>
      <c r="D125" s="145">
        <f t="shared" si="52"/>
        <v>0</v>
      </c>
      <c r="E125" s="145">
        <f t="shared" si="52"/>
        <v>3207568</v>
      </c>
      <c r="F125" s="145">
        <f t="shared" si="52"/>
        <v>0</v>
      </c>
      <c r="G125" s="146">
        <f t="shared" si="52"/>
        <v>4282683</v>
      </c>
      <c r="H125" s="145">
        <f t="shared" si="52"/>
        <v>0</v>
      </c>
      <c r="I125" s="145">
        <f t="shared" si="52"/>
        <v>4021015</v>
      </c>
      <c r="J125" s="145">
        <f>SUM(J126:J128)</f>
        <v>0</v>
      </c>
      <c r="K125" s="145">
        <f>SUM(K126:K128)</f>
        <v>14718833</v>
      </c>
      <c r="L125" s="145">
        <f>SUM(L126:L128)</f>
        <v>0</v>
      </c>
      <c r="M125" s="145">
        <v>12830272</v>
      </c>
      <c r="N125"/>
      <c r="P125" s="187"/>
    </row>
    <row r="126" spans="1:16" ht="14.5">
      <c r="A126" s="147"/>
      <c r="B126" s="148" t="s">
        <v>132</v>
      </c>
      <c r="C126" s="149">
        <f t="shared" ref="C126:L126" si="53">C11</f>
        <v>3132567</v>
      </c>
      <c r="D126" s="149">
        <f t="shared" si="53"/>
        <v>0</v>
      </c>
      <c r="E126" s="149">
        <f t="shared" si="53"/>
        <v>3132568</v>
      </c>
      <c r="F126" s="149">
        <f t="shared" si="53"/>
        <v>0</v>
      </c>
      <c r="G126" s="150">
        <f t="shared" si="53"/>
        <v>4106183</v>
      </c>
      <c r="H126" s="149">
        <f t="shared" si="53"/>
        <v>0</v>
      </c>
      <c r="I126" s="149">
        <f t="shared" si="53"/>
        <v>3902515</v>
      </c>
      <c r="J126" s="149">
        <f t="shared" si="53"/>
        <v>0</v>
      </c>
      <c r="K126" s="149">
        <f t="shared" si="53"/>
        <v>14273833</v>
      </c>
      <c r="L126" s="149">
        <f t="shared" si="53"/>
        <v>0</v>
      </c>
      <c r="M126" s="149">
        <v>12530272</v>
      </c>
      <c r="N126"/>
      <c r="P126" s="187"/>
    </row>
    <row r="127" spans="1:16" ht="14.5">
      <c r="A127" s="147"/>
      <c r="B127" s="151" t="s">
        <v>133</v>
      </c>
      <c r="C127" s="149">
        <f t="shared" ref="C127:L127" si="54">C12</f>
        <v>0</v>
      </c>
      <c r="D127" s="149">
        <f t="shared" si="54"/>
        <v>0</v>
      </c>
      <c r="E127" s="149">
        <f t="shared" si="54"/>
        <v>0</v>
      </c>
      <c r="F127" s="149">
        <f t="shared" si="54"/>
        <v>0</v>
      </c>
      <c r="G127" s="150">
        <f t="shared" si="54"/>
        <v>101500</v>
      </c>
      <c r="H127" s="149">
        <f t="shared" si="54"/>
        <v>0</v>
      </c>
      <c r="I127" s="149">
        <f t="shared" si="54"/>
        <v>43500</v>
      </c>
      <c r="J127" s="149">
        <f t="shared" si="54"/>
        <v>0</v>
      </c>
      <c r="K127" s="149">
        <f t="shared" si="54"/>
        <v>145000</v>
      </c>
      <c r="L127" s="149">
        <f t="shared" si="54"/>
        <v>0</v>
      </c>
      <c r="M127" s="149">
        <v>0</v>
      </c>
      <c r="N127"/>
      <c r="P127" s="187"/>
    </row>
    <row r="128" spans="1:16" ht="14.5">
      <c r="A128" s="147"/>
      <c r="B128" s="148" t="s">
        <v>134</v>
      </c>
      <c r="C128" s="149">
        <f t="shared" ref="C128:L128" si="55">C13</f>
        <v>75000</v>
      </c>
      <c r="D128" s="149">
        <f t="shared" si="55"/>
        <v>0</v>
      </c>
      <c r="E128" s="149">
        <f t="shared" si="55"/>
        <v>75000</v>
      </c>
      <c r="F128" s="149">
        <f t="shared" si="55"/>
        <v>0</v>
      </c>
      <c r="G128" s="150">
        <f t="shared" si="55"/>
        <v>75000</v>
      </c>
      <c r="H128" s="149">
        <f t="shared" si="55"/>
        <v>0</v>
      </c>
      <c r="I128" s="149">
        <f t="shared" si="55"/>
        <v>75000</v>
      </c>
      <c r="J128" s="149">
        <f t="shared" si="55"/>
        <v>0</v>
      </c>
      <c r="K128" s="149">
        <f t="shared" si="55"/>
        <v>300000</v>
      </c>
      <c r="L128" s="149">
        <f t="shared" si="55"/>
        <v>0</v>
      </c>
      <c r="M128" s="149">
        <v>300000</v>
      </c>
      <c r="N128"/>
      <c r="P128" s="187"/>
    </row>
    <row r="129" spans="1:16" ht="14.5">
      <c r="A129" s="152"/>
      <c r="B129" s="153" t="s">
        <v>135</v>
      </c>
      <c r="C129" s="154">
        <f t="shared" ref="C129:J129" si="56">C16</f>
        <v>3207567.05</v>
      </c>
      <c r="D129" s="154">
        <f t="shared" si="56"/>
        <v>0</v>
      </c>
      <c r="E129" s="154">
        <f t="shared" si="56"/>
        <v>3207568.05</v>
      </c>
      <c r="F129" s="154">
        <f t="shared" si="56"/>
        <v>0</v>
      </c>
      <c r="G129" s="155">
        <f t="shared" si="56"/>
        <v>4282683</v>
      </c>
      <c r="H129" s="154">
        <f t="shared" si="56"/>
        <v>0</v>
      </c>
      <c r="I129" s="154">
        <f t="shared" si="56"/>
        <v>4021015.0300000003</v>
      </c>
      <c r="J129" s="154">
        <f t="shared" si="56"/>
        <v>0</v>
      </c>
      <c r="K129" s="154">
        <f>K16</f>
        <v>14718833.130000001</v>
      </c>
      <c r="L129" s="154">
        <f>L16</f>
        <v>0</v>
      </c>
      <c r="M129" s="154">
        <v>12830271.93</v>
      </c>
      <c r="N129"/>
      <c r="P129" s="187"/>
    </row>
    <row r="130" spans="1:16" s="20" customFormat="1" ht="14.5">
      <c r="A130" s="156"/>
      <c r="B130" s="157" t="s">
        <v>136</v>
      </c>
      <c r="C130" s="158">
        <v>292</v>
      </c>
      <c r="D130" s="158"/>
      <c r="E130" s="158">
        <v>292</v>
      </c>
      <c r="F130" s="158"/>
      <c r="G130" s="159">
        <v>292</v>
      </c>
      <c r="H130" s="158"/>
      <c r="I130" s="158">
        <v>292</v>
      </c>
      <c r="J130" s="158"/>
      <c r="K130" s="158">
        <f>SUM(C130+E130+G130+I130)/4</f>
        <v>292</v>
      </c>
      <c r="L130" s="158">
        <f>D130</f>
        <v>0</v>
      </c>
      <c r="M130" s="158">
        <v>292</v>
      </c>
      <c r="N130"/>
      <c r="P130" s="187"/>
    </row>
    <row r="131" spans="1:16" s="20" customFormat="1" ht="14.5">
      <c r="A131" s="156"/>
      <c r="B131" s="157" t="s">
        <v>137</v>
      </c>
      <c r="C131" s="158">
        <v>288</v>
      </c>
      <c r="D131" s="158"/>
      <c r="E131" s="158">
        <v>290</v>
      </c>
      <c r="F131" s="158"/>
      <c r="G131" s="159">
        <v>290</v>
      </c>
      <c r="H131" s="158"/>
      <c r="I131" s="158">
        <v>290</v>
      </c>
      <c r="J131" s="158"/>
      <c r="K131" s="158">
        <f>SUM(C131+E131+G131+I131)/4</f>
        <v>289.5</v>
      </c>
      <c r="L131" s="158">
        <f>D131</f>
        <v>0</v>
      </c>
      <c r="M131" s="158">
        <v>289.5</v>
      </c>
      <c r="N131"/>
      <c r="P131" s="190"/>
    </row>
    <row r="132" spans="1:16">
      <c r="L132" s="163"/>
    </row>
    <row r="133" spans="1:16" s="115" customFormat="1" ht="15">
      <c r="A133" s="164" t="s">
        <v>138</v>
      </c>
      <c r="B133" s="165"/>
      <c r="C133" s="166"/>
      <c r="D133" s="166"/>
      <c r="E133" s="167"/>
      <c r="F133" s="167"/>
      <c r="G133" s="168"/>
      <c r="H133" s="167"/>
      <c r="I133" s="167"/>
      <c r="J133" s="167"/>
      <c r="K133" s="166"/>
      <c r="L133" s="166"/>
      <c r="M133" s="5"/>
      <c r="N133" s="6"/>
      <c r="P133" s="191"/>
    </row>
    <row r="134" spans="1:16">
      <c r="A134" s="164" t="s">
        <v>139</v>
      </c>
      <c r="B134" s="169" t="s">
        <v>140</v>
      </c>
    </row>
    <row r="135" spans="1:16" s="115" customFormat="1" ht="15">
      <c r="A135" s="165"/>
      <c r="B135" s="165"/>
      <c r="C135" s="166"/>
      <c r="D135" s="166"/>
      <c r="E135" s="167"/>
      <c r="F135" s="167"/>
      <c r="G135" s="168"/>
      <c r="H135" s="167"/>
      <c r="I135" s="167"/>
      <c r="J135" s="167"/>
      <c r="K135" s="166"/>
      <c r="L135" s="166"/>
      <c r="M135" s="5"/>
      <c r="N135" s="6"/>
      <c r="P135" s="191"/>
    </row>
    <row r="136" spans="1:16" s="175" customFormat="1" ht="15.5">
      <c r="A136" s="170" t="s">
        <v>141</v>
      </c>
      <c r="B136" s="170"/>
      <c r="C136" s="171"/>
      <c r="D136" s="171"/>
      <c r="E136" s="172"/>
      <c r="F136" s="172"/>
      <c r="G136" s="173"/>
      <c r="H136" s="172"/>
      <c r="I136" s="172"/>
      <c r="J136" s="172"/>
      <c r="K136" s="174"/>
      <c r="L136" s="174"/>
      <c r="M136" s="5"/>
      <c r="N136" s="6"/>
      <c r="P136" s="191"/>
    </row>
    <row r="137" spans="1:16" s="175" customFormat="1">
      <c r="C137" s="171"/>
      <c r="D137" s="171"/>
      <c r="E137" s="176"/>
      <c r="F137" s="176"/>
      <c r="G137" s="177"/>
      <c r="H137" s="176"/>
      <c r="I137" s="176"/>
      <c r="J137" s="176"/>
      <c r="K137" s="178"/>
      <c r="L137" s="178"/>
      <c r="M137" s="5"/>
      <c r="N137" s="6"/>
      <c r="P137" s="191"/>
    </row>
    <row r="138" spans="1:16" s="175" customFormat="1">
      <c r="C138" s="171"/>
      <c r="D138" s="171"/>
      <c r="E138" s="176"/>
      <c r="F138" s="176"/>
      <c r="G138" s="177"/>
      <c r="H138" s="176"/>
      <c r="I138" s="176"/>
      <c r="J138" s="176"/>
      <c r="K138" s="178"/>
      <c r="L138" s="178"/>
      <c r="M138" s="5"/>
      <c r="N138" s="6"/>
      <c r="P138" s="191"/>
    </row>
    <row r="139" spans="1:16" s="175" customFormat="1">
      <c r="C139" s="171"/>
      <c r="D139" s="171"/>
      <c r="E139" s="176"/>
      <c r="F139" s="176"/>
      <c r="G139" s="177"/>
      <c r="H139" s="176"/>
      <c r="I139" s="176"/>
      <c r="J139" s="176"/>
      <c r="K139" s="178"/>
      <c r="L139" s="178"/>
      <c r="M139" s="5"/>
      <c r="N139" s="6"/>
      <c r="P139" s="191"/>
    </row>
    <row r="140" spans="1:16" s="175" customFormat="1">
      <c r="C140" s="171"/>
      <c r="D140" s="171"/>
      <c r="E140" s="172"/>
      <c r="F140" s="172"/>
      <c r="G140" s="173"/>
      <c r="H140" s="172"/>
      <c r="I140" s="172"/>
      <c r="J140" s="172"/>
      <c r="K140" s="174"/>
      <c r="L140" s="174"/>
      <c r="M140" s="5"/>
      <c r="N140" s="6"/>
      <c r="P140" s="191"/>
    </row>
    <row r="141" spans="1:16" s="175" customFormat="1">
      <c r="A141" s="179"/>
      <c r="C141" s="171"/>
      <c r="D141" s="171"/>
      <c r="E141" s="172"/>
      <c r="F141" s="172"/>
      <c r="G141" s="173"/>
      <c r="H141" s="172"/>
      <c r="I141" s="172"/>
      <c r="J141" s="172"/>
      <c r="K141" s="174"/>
      <c r="L141" s="174"/>
      <c r="M141" s="5"/>
      <c r="N141" s="6"/>
      <c r="P141" s="191"/>
    </row>
  </sheetData>
  <mergeCells count="13">
    <mergeCell ref="P7:P8"/>
    <mergeCell ref="K7:M7"/>
    <mergeCell ref="N7:N8"/>
    <mergeCell ref="A2:C2"/>
    <mergeCell ref="A3:B3"/>
    <mergeCell ref="A4:L4"/>
    <mergeCell ref="A5:L5"/>
    <mergeCell ref="A7:A8"/>
    <mergeCell ref="B7:B8"/>
    <mergeCell ref="C7:D7"/>
    <mergeCell ref="E7:F7"/>
    <mergeCell ref="G7:H7"/>
    <mergeCell ref="I7:J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vt:lpstr>
    </vt:vector>
  </TitlesOfParts>
  <Company>Latvijas Radio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Normunds Putnins</dc:creator>
  <cp:lastModifiedBy>Solvita Batarāga</cp:lastModifiedBy>
  <dcterms:created xsi:type="dcterms:W3CDTF">2023-09-18T13:08:26Z</dcterms:created>
  <dcterms:modified xsi:type="dcterms:W3CDTF">2023-09-29T06:45:05Z</dcterms:modified>
</cp:coreProperties>
</file>