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plp-my.sharepoint.com/personal/marija_dzelme_seplp_lv/Documents/PADOMES LĒMUMI/Lēmums par LR SP 2022.gadam apstiprināšanu/"/>
    </mc:Choice>
  </mc:AlternateContent>
  <xr:revisionPtr revIDLastSave="0" documentId="8_{54A2F9C2-48F3-462D-A67C-B5E06A2E4286}" xr6:coauthVersionLast="47" xr6:coauthVersionMax="47" xr10:uidLastSave="{00000000-0000-0000-0000-000000000000}"/>
  <bookViews>
    <workbookView xWindow="-108" yWindow="-108" windowWidth="23256" windowHeight="12576" xr2:uid="{3333DE39-5D92-453E-8470-531507F6311F}"/>
  </bookViews>
  <sheets>
    <sheet name="plans" sheetId="2" r:id="rId1"/>
  </sheets>
  <definedNames>
    <definedName name="_xlnm.Print_Area" localSheetId="0">plans!$A$1:$CY$107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96" i="2" l="1"/>
  <c r="J10" i="2"/>
  <c r="N16" i="2"/>
  <c r="J16" i="2"/>
  <c r="J25" i="2"/>
  <c r="J30" i="2"/>
  <c r="N36" i="2"/>
  <c r="J36" i="2"/>
  <c r="J42" i="2"/>
  <c r="J47" i="2"/>
  <c r="J64" i="2"/>
  <c r="J70" i="2"/>
  <c r="J53" i="2"/>
  <c r="J23" i="2"/>
  <c r="J76" i="2"/>
  <c r="J91" i="2"/>
  <c r="J21" i="2"/>
  <c r="J92" i="2"/>
  <c r="L10" i="2"/>
  <c r="P16" i="2"/>
  <c r="T16" i="2"/>
  <c r="L16" i="2"/>
  <c r="L25" i="2"/>
  <c r="L30" i="2"/>
  <c r="P36" i="2"/>
  <c r="T36" i="2"/>
  <c r="L36" i="2"/>
  <c r="L42" i="2"/>
  <c r="L47" i="2"/>
  <c r="L64" i="2"/>
  <c r="L70" i="2"/>
  <c r="L53" i="2"/>
  <c r="L23" i="2"/>
  <c r="L76" i="2"/>
  <c r="L91" i="2"/>
  <c r="L21" i="2"/>
  <c r="L92" i="2"/>
  <c r="N91" i="2"/>
  <c r="N92" i="2"/>
  <c r="P91" i="2"/>
  <c r="P92" i="2"/>
  <c r="R91" i="2"/>
  <c r="R92" i="2"/>
  <c r="T91" i="2"/>
  <c r="T92" i="2"/>
  <c r="D16" i="2"/>
  <c r="D36" i="2"/>
  <c r="D91" i="2"/>
  <c r="V91" i="2"/>
  <c r="D92" i="2"/>
  <c r="V92" i="2"/>
  <c r="X16" i="2"/>
  <c r="X36" i="2"/>
  <c r="X91" i="2"/>
  <c r="X92" i="2"/>
  <c r="Z10" i="2"/>
  <c r="Z16" i="2"/>
  <c r="Z25" i="2"/>
  <c r="Z30" i="2"/>
  <c r="Z36" i="2"/>
  <c r="Z42" i="2"/>
  <c r="Z47" i="2"/>
  <c r="Z64" i="2"/>
  <c r="Z70" i="2"/>
  <c r="Z53" i="2"/>
  <c r="Z23" i="2"/>
  <c r="Z76" i="2"/>
  <c r="Z91" i="2"/>
  <c r="Z21" i="2"/>
  <c r="Z92" i="2"/>
  <c r="AD10" i="2"/>
  <c r="AF10" i="2"/>
  <c r="AB10" i="2"/>
  <c r="AH16" i="2"/>
  <c r="AD16" i="2"/>
  <c r="AJ16" i="2"/>
  <c r="AN16" i="2"/>
  <c r="AF16" i="2"/>
  <c r="AB16" i="2"/>
  <c r="AD25" i="2"/>
  <c r="AF25" i="2"/>
  <c r="AB25" i="2"/>
  <c r="AD30" i="2"/>
  <c r="AF30" i="2"/>
  <c r="AB30" i="2"/>
  <c r="AH36" i="2"/>
  <c r="AL36" i="2"/>
  <c r="AD36" i="2"/>
  <c r="AJ36" i="2"/>
  <c r="AN36" i="2"/>
  <c r="AF36" i="2"/>
  <c r="AB36" i="2"/>
  <c r="AD42" i="2"/>
  <c r="AF42" i="2"/>
  <c r="AB42" i="2"/>
  <c r="AD47" i="2"/>
  <c r="AF47" i="2"/>
  <c r="AB47" i="2"/>
  <c r="AD64" i="2"/>
  <c r="AF64" i="2"/>
  <c r="AB64" i="2"/>
  <c r="AD70" i="2"/>
  <c r="AF70" i="2"/>
  <c r="AB70" i="2"/>
  <c r="AD53" i="2"/>
  <c r="AF53" i="2"/>
  <c r="AB53" i="2"/>
  <c r="AD23" i="2"/>
  <c r="AF23" i="2"/>
  <c r="AB23" i="2"/>
  <c r="AD76" i="2"/>
  <c r="AF76" i="2"/>
  <c r="AB76" i="2"/>
  <c r="AB91" i="2"/>
  <c r="AD21" i="2"/>
  <c r="AF21" i="2"/>
  <c r="AB21" i="2"/>
  <c r="AB92" i="2"/>
  <c r="AC10" i="2"/>
  <c r="AC16" i="2"/>
  <c r="AC25" i="2"/>
  <c r="AC30" i="2"/>
  <c r="AC36" i="2"/>
  <c r="AC42" i="2"/>
  <c r="AC47" i="2"/>
  <c r="AC64" i="2"/>
  <c r="AC70" i="2"/>
  <c r="AC53" i="2"/>
  <c r="AC23" i="2"/>
  <c r="AC76" i="2"/>
  <c r="AC91" i="2"/>
  <c r="AC21" i="2"/>
  <c r="AC92" i="2"/>
  <c r="AD91" i="2"/>
  <c r="AD92" i="2"/>
  <c r="AF91" i="2"/>
  <c r="AF92" i="2"/>
  <c r="AH91" i="2"/>
  <c r="AH92" i="2"/>
  <c r="AJ91" i="2"/>
  <c r="AJ92" i="2"/>
  <c r="AL91" i="2"/>
  <c r="AL92" i="2"/>
  <c r="AN91" i="2"/>
  <c r="AN92" i="2"/>
  <c r="AP91" i="2"/>
  <c r="AP92" i="2"/>
  <c r="AR16" i="2"/>
  <c r="AR36" i="2"/>
  <c r="AR91" i="2"/>
  <c r="AR92" i="2"/>
  <c r="AT10" i="2"/>
  <c r="AT16" i="2"/>
  <c r="AT25" i="2"/>
  <c r="AT30" i="2"/>
  <c r="AT36" i="2"/>
  <c r="AT42" i="2"/>
  <c r="AT47" i="2"/>
  <c r="AT64" i="2"/>
  <c r="AT70" i="2"/>
  <c r="AT53" i="2"/>
  <c r="AT23" i="2"/>
  <c r="AT76" i="2"/>
  <c r="AT91" i="2"/>
  <c r="AT21" i="2"/>
  <c r="AT92" i="2"/>
  <c r="AX10" i="2"/>
  <c r="AZ10" i="2"/>
  <c r="AV10" i="2"/>
  <c r="BB16" i="2"/>
  <c r="AX16" i="2"/>
  <c r="BD16" i="2"/>
  <c r="BH16" i="2"/>
  <c r="AZ16" i="2"/>
  <c r="AV16" i="2"/>
  <c r="AX25" i="2"/>
  <c r="AZ25" i="2"/>
  <c r="AV25" i="2"/>
  <c r="AX30" i="2"/>
  <c r="AZ30" i="2"/>
  <c r="AV30" i="2"/>
  <c r="BB36" i="2"/>
  <c r="AX36" i="2"/>
  <c r="BD36" i="2"/>
  <c r="BH36" i="2"/>
  <c r="AZ36" i="2"/>
  <c r="AV36" i="2"/>
  <c r="AX42" i="2"/>
  <c r="AZ42" i="2"/>
  <c r="AV42" i="2"/>
  <c r="AX47" i="2"/>
  <c r="AZ47" i="2"/>
  <c r="AV47" i="2"/>
  <c r="AX64" i="2"/>
  <c r="AZ64" i="2"/>
  <c r="AV64" i="2"/>
  <c r="AX70" i="2"/>
  <c r="AZ70" i="2"/>
  <c r="AV70" i="2"/>
  <c r="AX53" i="2"/>
  <c r="AZ53" i="2"/>
  <c r="AV53" i="2"/>
  <c r="AX23" i="2"/>
  <c r="AZ23" i="2"/>
  <c r="AV23" i="2"/>
  <c r="AX76" i="2"/>
  <c r="AZ76" i="2"/>
  <c r="AV76" i="2"/>
  <c r="AV91" i="2"/>
  <c r="AX21" i="2"/>
  <c r="AZ21" i="2"/>
  <c r="AV21" i="2"/>
  <c r="AV92" i="2"/>
  <c r="AW10" i="2"/>
  <c r="AW16" i="2"/>
  <c r="AW25" i="2"/>
  <c r="AW30" i="2"/>
  <c r="AW36" i="2"/>
  <c r="AW42" i="2"/>
  <c r="AW47" i="2"/>
  <c r="AW64" i="2"/>
  <c r="AW70" i="2"/>
  <c r="AW53" i="2"/>
  <c r="AW23" i="2"/>
  <c r="AW76" i="2"/>
  <c r="AW91" i="2"/>
  <c r="AW21" i="2"/>
  <c r="AW92" i="2"/>
  <c r="AX91" i="2"/>
  <c r="AX92" i="2"/>
  <c r="AZ91" i="2"/>
  <c r="AZ92" i="2"/>
  <c r="BB91" i="2"/>
  <c r="BB92" i="2"/>
  <c r="BD91" i="2"/>
  <c r="BD92" i="2"/>
  <c r="BF91" i="2"/>
  <c r="BF92" i="2"/>
  <c r="BH91" i="2"/>
  <c r="BH92" i="2"/>
  <c r="BJ91" i="2"/>
  <c r="BJ92" i="2"/>
  <c r="BL16" i="2"/>
  <c r="BL36" i="2"/>
  <c r="BL91" i="2"/>
  <c r="BL92" i="2"/>
  <c r="BN10" i="2"/>
  <c r="BN16" i="2"/>
  <c r="BN25" i="2"/>
  <c r="BN30" i="2"/>
  <c r="BN36" i="2"/>
  <c r="BN42" i="2"/>
  <c r="BN47" i="2"/>
  <c r="BN64" i="2"/>
  <c r="BN70" i="2"/>
  <c r="BN53" i="2"/>
  <c r="BN23" i="2"/>
  <c r="BN76" i="2"/>
  <c r="BN91" i="2"/>
  <c r="BN21" i="2"/>
  <c r="BN92" i="2"/>
  <c r="BR10" i="2"/>
  <c r="BT10" i="2"/>
  <c r="BP10" i="2"/>
  <c r="BV16" i="2"/>
  <c r="BR16" i="2"/>
  <c r="BX16" i="2"/>
  <c r="CB16" i="2"/>
  <c r="BT16" i="2"/>
  <c r="BP16" i="2"/>
  <c r="BR25" i="2"/>
  <c r="BT25" i="2"/>
  <c r="BP25" i="2"/>
  <c r="BR30" i="2"/>
  <c r="BT30" i="2"/>
  <c r="BP30" i="2"/>
  <c r="BV36" i="2"/>
  <c r="BR36" i="2"/>
  <c r="BX36" i="2"/>
  <c r="CB36" i="2"/>
  <c r="BT36" i="2"/>
  <c r="BP36" i="2"/>
  <c r="BR42" i="2"/>
  <c r="BT42" i="2"/>
  <c r="BP42" i="2"/>
  <c r="BR47" i="2"/>
  <c r="BT47" i="2"/>
  <c r="BP47" i="2"/>
  <c r="BR64" i="2"/>
  <c r="BT64" i="2"/>
  <c r="BP64" i="2"/>
  <c r="BR70" i="2"/>
  <c r="BT70" i="2"/>
  <c r="BP70" i="2"/>
  <c r="BR53" i="2"/>
  <c r="BT53" i="2"/>
  <c r="BP53" i="2"/>
  <c r="BR23" i="2"/>
  <c r="BT23" i="2"/>
  <c r="BP23" i="2"/>
  <c r="BR76" i="2"/>
  <c r="BT76" i="2"/>
  <c r="BP76" i="2"/>
  <c r="BP91" i="2"/>
  <c r="BR21" i="2"/>
  <c r="BT21" i="2"/>
  <c r="BP21" i="2"/>
  <c r="BP92" i="2"/>
  <c r="BQ10" i="2"/>
  <c r="BQ16" i="2"/>
  <c r="BQ25" i="2"/>
  <c r="BQ30" i="2"/>
  <c r="BQ36" i="2"/>
  <c r="BQ42" i="2"/>
  <c r="BQ47" i="2"/>
  <c r="BQ64" i="2"/>
  <c r="BQ70" i="2"/>
  <c r="BQ53" i="2"/>
  <c r="BQ23" i="2"/>
  <c r="BQ76" i="2"/>
  <c r="BQ91" i="2"/>
  <c r="BQ21" i="2"/>
  <c r="BQ92" i="2"/>
  <c r="BR91" i="2"/>
  <c r="BR92" i="2"/>
  <c r="BT91" i="2"/>
  <c r="BT92" i="2"/>
  <c r="BV91" i="2"/>
  <c r="BV92" i="2"/>
  <c r="BX91" i="2"/>
  <c r="BX92" i="2"/>
  <c r="BZ91" i="2"/>
  <c r="BZ92" i="2"/>
  <c r="CB91" i="2"/>
  <c r="CB92" i="2"/>
  <c r="CD91" i="2"/>
  <c r="CD92" i="2"/>
  <c r="CF10" i="2"/>
  <c r="CF16" i="2"/>
  <c r="CF25" i="2"/>
  <c r="CF30" i="2"/>
  <c r="CF36" i="2"/>
  <c r="CF42" i="2"/>
  <c r="CF47" i="2"/>
  <c r="CF64" i="2"/>
  <c r="CF70" i="2"/>
  <c r="CF53" i="2"/>
  <c r="CF23" i="2"/>
  <c r="CF76" i="2"/>
  <c r="CF91" i="2"/>
  <c r="CF21" i="2"/>
  <c r="CF92" i="2"/>
  <c r="CL10" i="2"/>
  <c r="CN10" i="2"/>
  <c r="CJ10" i="2"/>
  <c r="CL16" i="2"/>
  <c r="CN16" i="2"/>
  <c r="CJ16" i="2"/>
  <c r="CL25" i="2"/>
  <c r="CN25" i="2"/>
  <c r="CJ25" i="2"/>
  <c r="CL30" i="2"/>
  <c r="CN30" i="2"/>
  <c r="CJ30" i="2"/>
  <c r="CL36" i="2"/>
  <c r="CN36" i="2"/>
  <c r="CJ36" i="2"/>
  <c r="CL42" i="2"/>
  <c r="CN42" i="2"/>
  <c r="CJ42" i="2"/>
  <c r="CL47" i="2"/>
  <c r="CN47" i="2"/>
  <c r="CJ47" i="2"/>
  <c r="CL64" i="2"/>
  <c r="CN64" i="2"/>
  <c r="CJ64" i="2"/>
  <c r="CL70" i="2"/>
  <c r="CN70" i="2"/>
  <c r="CJ70" i="2"/>
  <c r="CL53" i="2"/>
  <c r="CN53" i="2"/>
  <c r="CJ53" i="2"/>
  <c r="CL23" i="2"/>
  <c r="CN23" i="2"/>
  <c r="CJ23" i="2"/>
  <c r="CL76" i="2"/>
  <c r="CN76" i="2"/>
  <c r="CJ76" i="2"/>
  <c r="CJ91" i="2"/>
  <c r="CL21" i="2"/>
  <c r="CN21" i="2"/>
  <c r="CJ21" i="2"/>
  <c r="CJ92" i="2"/>
  <c r="CL91" i="2"/>
  <c r="CL92" i="2"/>
  <c r="CN91" i="2"/>
  <c r="CN92" i="2"/>
  <c r="H83" i="2"/>
  <c r="I83" i="2"/>
  <c r="H84" i="2"/>
  <c r="I84" i="2"/>
  <c r="T17" i="2"/>
  <c r="T93" i="2"/>
  <c r="AN17" i="2"/>
  <c r="AN93" i="2"/>
  <c r="BH17" i="2"/>
  <c r="BH93" i="2"/>
  <c r="T94" i="2"/>
  <c r="AN94" i="2"/>
  <c r="BH94" i="2"/>
  <c r="T39" i="2"/>
  <c r="T95" i="2"/>
  <c r="AN39" i="2"/>
  <c r="AN95" i="2"/>
  <c r="BH39" i="2"/>
  <c r="BH95" i="2"/>
  <c r="T96" i="2"/>
  <c r="AN96" i="2"/>
  <c r="BH96" i="2"/>
  <c r="T97" i="2"/>
  <c r="AN97" i="2"/>
  <c r="BH97" i="2"/>
  <c r="R93" i="2"/>
  <c r="AL93" i="2"/>
  <c r="BF93" i="2"/>
  <c r="R94" i="2"/>
  <c r="AL94" i="2"/>
  <c r="BF94" i="2"/>
  <c r="R95" i="2"/>
  <c r="AL95" i="2"/>
  <c r="BF95" i="2"/>
  <c r="R96" i="2"/>
  <c r="AL96" i="2"/>
  <c r="BF96" i="2"/>
  <c r="R97" i="2"/>
  <c r="AL97" i="2"/>
  <c r="BF97" i="2"/>
  <c r="P17" i="2"/>
  <c r="P93" i="2"/>
  <c r="AJ17" i="2"/>
  <c r="AJ93" i="2"/>
  <c r="BD17" i="2"/>
  <c r="BD93" i="2"/>
  <c r="P94" i="2"/>
  <c r="AJ94" i="2"/>
  <c r="BD94" i="2"/>
  <c r="P39" i="2"/>
  <c r="P95" i="2"/>
  <c r="AJ39" i="2"/>
  <c r="AJ95" i="2"/>
  <c r="BD39" i="2"/>
  <c r="BD95" i="2"/>
  <c r="P96" i="2"/>
  <c r="AJ96" i="2"/>
  <c r="BD96" i="2"/>
  <c r="P97" i="2"/>
  <c r="AJ97" i="2"/>
  <c r="BD97" i="2"/>
  <c r="N17" i="2"/>
  <c r="N43" i="2"/>
  <c r="N93" i="2"/>
  <c r="AH17" i="2"/>
  <c r="AH43" i="2"/>
  <c r="AH93" i="2"/>
  <c r="BB17" i="2"/>
  <c r="BB43" i="2"/>
  <c r="BB93" i="2"/>
  <c r="N94" i="2"/>
  <c r="AH94" i="2"/>
  <c r="BB94" i="2"/>
  <c r="N39" i="2"/>
  <c r="N95" i="2"/>
  <c r="AH39" i="2"/>
  <c r="AH95" i="2"/>
  <c r="BB39" i="2"/>
  <c r="BB95" i="2"/>
  <c r="N96" i="2"/>
  <c r="AH96" i="2"/>
  <c r="BB96" i="2"/>
  <c r="N60" i="2"/>
  <c r="N97" i="2"/>
  <c r="AH60" i="2"/>
  <c r="AH97" i="2"/>
  <c r="BB60" i="2"/>
  <c r="BB97" i="2"/>
  <c r="L11" i="2"/>
  <c r="L17" i="2"/>
  <c r="L26" i="2"/>
  <c r="L37" i="2"/>
  <c r="L43" i="2"/>
  <c r="L48" i="2"/>
  <c r="L54" i="2"/>
  <c r="L65" i="2"/>
  <c r="L71" i="2"/>
  <c r="L77" i="2"/>
  <c r="L31" i="2"/>
  <c r="L93" i="2"/>
  <c r="AF11" i="2"/>
  <c r="AF17" i="2"/>
  <c r="AF26" i="2"/>
  <c r="AF37" i="2"/>
  <c r="AF43" i="2"/>
  <c r="AF48" i="2"/>
  <c r="AF54" i="2"/>
  <c r="AF65" i="2"/>
  <c r="AF71" i="2"/>
  <c r="AF77" i="2"/>
  <c r="AF31" i="2"/>
  <c r="AF93" i="2"/>
  <c r="AZ11" i="2"/>
  <c r="AZ17" i="2"/>
  <c r="AZ26" i="2"/>
  <c r="AZ37" i="2"/>
  <c r="AZ43" i="2"/>
  <c r="AZ48" i="2"/>
  <c r="AZ54" i="2"/>
  <c r="AZ65" i="2"/>
  <c r="AZ71" i="2"/>
  <c r="AZ31" i="2"/>
  <c r="AZ77" i="2"/>
  <c r="AZ93" i="2"/>
  <c r="L12" i="2"/>
  <c r="L32" i="2"/>
  <c r="L38" i="2"/>
  <c r="L49" i="2"/>
  <c r="L55" i="2"/>
  <c r="L66" i="2"/>
  <c r="L72" i="2"/>
  <c r="L18" i="2"/>
  <c r="L78" i="2"/>
  <c r="L94" i="2"/>
  <c r="AF12" i="2"/>
  <c r="AF32" i="2"/>
  <c r="AF38" i="2"/>
  <c r="AF49" i="2"/>
  <c r="AF55" i="2"/>
  <c r="AF66" i="2"/>
  <c r="AF72" i="2"/>
  <c r="AF18" i="2"/>
  <c r="AF78" i="2"/>
  <c r="AF94" i="2"/>
  <c r="AZ12" i="2"/>
  <c r="AZ32" i="2"/>
  <c r="AZ38" i="2"/>
  <c r="AZ49" i="2"/>
  <c r="AZ55" i="2"/>
  <c r="AZ66" i="2"/>
  <c r="AZ72" i="2"/>
  <c r="AZ18" i="2"/>
  <c r="AZ78" i="2"/>
  <c r="AZ94" i="2"/>
  <c r="L13" i="2"/>
  <c r="L19" i="2"/>
  <c r="L27" i="2"/>
  <c r="L33" i="2"/>
  <c r="L39" i="2"/>
  <c r="L44" i="2"/>
  <c r="L50" i="2"/>
  <c r="L56" i="2"/>
  <c r="L67" i="2"/>
  <c r="L73" i="2"/>
  <c r="L79" i="2"/>
  <c r="L95" i="2"/>
  <c r="AF13" i="2"/>
  <c r="AF19" i="2"/>
  <c r="AF27" i="2"/>
  <c r="AF33" i="2"/>
  <c r="AF39" i="2"/>
  <c r="AF44" i="2"/>
  <c r="AF50" i="2"/>
  <c r="AF56" i="2"/>
  <c r="AF67" i="2"/>
  <c r="AF73" i="2"/>
  <c r="AF79" i="2"/>
  <c r="AF95" i="2"/>
  <c r="AZ13" i="2"/>
  <c r="AZ19" i="2"/>
  <c r="AZ27" i="2"/>
  <c r="AZ33" i="2"/>
  <c r="AZ39" i="2"/>
  <c r="AZ44" i="2"/>
  <c r="AZ50" i="2"/>
  <c r="AZ56" i="2"/>
  <c r="AZ67" i="2"/>
  <c r="AZ73" i="2"/>
  <c r="AZ79" i="2"/>
  <c r="AZ95" i="2"/>
  <c r="L14" i="2"/>
  <c r="L20" i="2"/>
  <c r="L28" i="2"/>
  <c r="L34" i="2"/>
  <c r="L40" i="2"/>
  <c r="L45" i="2"/>
  <c r="L51" i="2"/>
  <c r="L57" i="2"/>
  <c r="L68" i="2"/>
  <c r="L74" i="2"/>
  <c r="L80" i="2"/>
  <c r="L96" i="2"/>
  <c r="AF14" i="2"/>
  <c r="AF20" i="2"/>
  <c r="AF28" i="2"/>
  <c r="AF34" i="2"/>
  <c r="AF40" i="2"/>
  <c r="AF45" i="2"/>
  <c r="AF51" i="2"/>
  <c r="AF57" i="2"/>
  <c r="AF68" i="2"/>
  <c r="AF74" i="2"/>
  <c r="AF80" i="2"/>
  <c r="AF96" i="2"/>
  <c r="AZ14" i="2"/>
  <c r="AZ20" i="2"/>
  <c r="AZ28" i="2"/>
  <c r="AZ34" i="2"/>
  <c r="AZ40" i="2"/>
  <c r="AZ45" i="2"/>
  <c r="AZ51" i="2"/>
  <c r="AZ57" i="2"/>
  <c r="AZ68" i="2"/>
  <c r="AZ74" i="2"/>
  <c r="AZ80" i="2"/>
  <c r="AZ96" i="2"/>
  <c r="L60" i="2"/>
  <c r="L97" i="2"/>
  <c r="AF60" i="2"/>
  <c r="AF97" i="2"/>
  <c r="AZ60" i="2"/>
  <c r="AZ97" i="2"/>
  <c r="J11" i="2"/>
  <c r="J17" i="2"/>
  <c r="J26" i="2"/>
  <c r="J37" i="2"/>
  <c r="J43" i="2"/>
  <c r="J48" i="2"/>
  <c r="J54" i="2"/>
  <c r="J65" i="2"/>
  <c r="J71" i="2"/>
  <c r="J77" i="2"/>
  <c r="J31" i="2"/>
  <c r="J93" i="2"/>
  <c r="AD11" i="2"/>
  <c r="AD17" i="2"/>
  <c r="AD26" i="2"/>
  <c r="AD37" i="2"/>
  <c r="AD43" i="2"/>
  <c r="AD48" i="2"/>
  <c r="AD54" i="2"/>
  <c r="AD65" i="2"/>
  <c r="AD71" i="2"/>
  <c r="AD77" i="2"/>
  <c r="AD31" i="2"/>
  <c r="AD93" i="2"/>
  <c r="AX11" i="2"/>
  <c r="AX17" i="2"/>
  <c r="AX26" i="2"/>
  <c r="AX37" i="2"/>
  <c r="AX43" i="2"/>
  <c r="AX48" i="2"/>
  <c r="AX54" i="2"/>
  <c r="AX65" i="2"/>
  <c r="AX71" i="2"/>
  <c r="AX31" i="2"/>
  <c r="AX77" i="2"/>
  <c r="AX93" i="2"/>
  <c r="J12" i="2"/>
  <c r="J32" i="2"/>
  <c r="J38" i="2"/>
  <c r="J49" i="2"/>
  <c r="J55" i="2"/>
  <c r="J66" i="2"/>
  <c r="J72" i="2"/>
  <c r="J18" i="2"/>
  <c r="J78" i="2"/>
  <c r="J94" i="2"/>
  <c r="AD12" i="2"/>
  <c r="AD32" i="2"/>
  <c r="AD38" i="2"/>
  <c r="AD49" i="2"/>
  <c r="AD55" i="2"/>
  <c r="AD66" i="2"/>
  <c r="AD72" i="2"/>
  <c r="AD18" i="2"/>
  <c r="AD78" i="2"/>
  <c r="AD94" i="2"/>
  <c r="AX12" i="2"/>
  <c r="AX32" i="2"/>
  <c r="AX38" i="2"/>
  <c r="AX49" i="2"/>
  <c r="AX55" i="2"/>
  <c r="AX66" i="2"/>
  <c r="AX72" i="2"/>
  <c r="AX18" i="2"/>
  <c r="AX78" i="2"/>
  <c r="AX94" i="2"/>
  <c r="J13" i="2"/>
  <c r="J19" i="2"/>
  <c r="J27" i="2"/>
  <c r="J33" i="2"/>
  <c r="J39" i="2"/>
  <c r="J44" i="2"/>
  <c r="J50" i="2"/>
  <c r="J56" i="2"/>
  <c r="J67" i="2"/>
  <c r="J73" i="2"/>
  <c r="J79" i="2"/>
  <c r="J95" i="2"/>
  <c r="AD13" i="2"/>
  <c r="AD19" i="2"/>
  <c r="AD27" i="2"/>
  <c r="AD33" i="2"/>
  <c r="AD39" i="2"/>
  <c r="AD44" i="2"/>
  <c r="AD50" i="2"/>
  <c r="AD56" i="2"/>
  <c r="AD67" i="2"/>
  <c r="AD73" i="2"/>
  <c r="AD79" i="2"/>
  <c r="AD95" i="2"/>
  <c r="AX13" i="2"/>
  <c r="AX19" i="2"/>
  <c r="AX27" i="2"/>
  <c r="AX33" i="2"/>
  <c r="AX39" i="2"/>
  <c r="AX44" i="2"/>
  <c r="AX50" i="2"/>
  <c r="AX56" i="2"/>
  <c r="AX67" i="2"/>
  <c r="AX73" i="2"/>
  <c r="AX79" i="2"/>
  <c r="AX95" i="2"/>
  <c r="J14" i="2"/>
  <c r="J20" i="2"/>
  <c r="J28" i="2"/>
  <c r="J34" i="2"/>
  <c r="J40" i="2"/>
  <c r="J45" i="2"/>
  <c r="J51" i="2"/>
  <c r="J57" i="2"/>
  <c r="J68" i="2"/>
  <c r="J74" i="2"/>
  <c r="J80" i="2"/>
  <c r="J96" i="2"/>
  <c r="AD14" i="2"/>
  <c r="AD20" i="2"/>
  <c r="AD28" i="2"/>
  <c r="AD34" i="2"/>
  <c r="AD40" i="2"/>
  <c r="AD45" i="2"/>
  <c r="AD51" i="2"/>
  <c r="AD57" i="2"/>
  <c r="AD68" i="2"/>
  <c r="AD74" i="2"/>
  <c r="AD80" i="2"/>
  <c r="AD96" i="2"/>
  <c r="AX14" i="2"/>
  <c r="AX20" i="2"/>
  <c r="AX28" i="2"/>
  <c r="AX34" i="2"/>
  <c r="AX40" i="2"/>
  <c r="AX45" i="2"/>
  <c r="AX51" i="2"/>
  <c r="AX57" i="2"/>
  <c r="AX68" i="2"/>
  <c r="AX74" i="2"/>
  <c r="AX80" i="2"/>
  <c r="AX96" i="2"/>
  <c r="J60" i="2"/>
  <c r="J97" i="2"/>
  <c r="AD60" i="2"/>
  <c r="AD97" i="2"/>
  <c r="AX60" i="2"/>
  <c r="AX97" i="2"/>
  <c r="D97" i="2"/>
  <c r="X97" i="2"/>
  <c r="AR97" i="2"/>
  <c r="BV60" i="2"/>
  <c r="CP60" i="2"/>
  <c r="CT60" i="2"/>
  <c r="CL60" i="2"/>
  <c r="CL97" i="2"/>
  <c r="CF60" i="2"/>
  <c r="CF97" i="2"/>
  <c r="CX97" i="2"/>
  <c r="CV60" i="2"/>
  <c r="CV97" i="2"/>
  <c r="CT97" i="2"/>
  <c r="CR60" i="2"/>
  <c r="CR97" i="2"/>
  <c r="CP97" i="2"/>
  <c r="CN60" i="2"/>
  <c r="CN97" i="2"/>
  <c r="CJ60" i="2"/>
  <c r="CJ97" i="2"/>
  <c r="BR60" i="2"/>
  <c r="BR97" i="2"/>
  <c r="BL97" i="2"/>
  <c r="CD97" i="2"/>
  <c r="CB97" i="2"/>
  <c r="BZ97" i="2"/>
  <c r="BX97" i="2"/>
  <c r="BV97" i="2"/>
  <c r="BT60" i="2"/>
  <c r="BT97" i="2"/>
  <c r="BQ60" i="2"/>
  <c r="BQ97" i="2"/>
  <c r="BP60" i="2"/>
  <c r="BP97" i="2"/>
  <c r="BJ97" i="2"/>
  <c r="AW60" i="2"/>
  <c r="AW97" i="2"/>
  <c r="AV60" i="2"/>
  <c r="AV97" i="2"/>
  <c r="AP97" i="2"/>
  <c r="AC60" i="2"/>
  <c r="AC97" i="2"/>
  <c r="AB60" i="2"/>
  <c r="AB97" i="2"/>
  <c r="V97" i="2"/>
  <c r="I60" i="2"/>
  <c r="I97" i="2"/>
  <c r="H60" i="2"/>
  <c r="H97" i="2"/>
  <c r="D57" i="2"/>
  <c r="D96" i="2"/>
  <c r="X57" i="2"/>
  <c r="X96" i="2"/>
  <c r="AR57" i="2"/>
  <c r="AR96" i="2"/>
  <c r="BR14" i="2"/>
  <c r="CL14" i="2"/>
  <c r="BR20" i="2"/>
  <c r="CL20" i="2"/>
  <c r="BR34" i="2"/>
  <c r="CL34" i="2"/>
  <c r="BR40" i="2"/>
  <c r="CL40" i="2"/>
  <c r="BR45" i="2"/>
  <c r="CL45" i="2"/>
  <c r="BR51" i="2"/>
  <c r="CL51" i="2"/>
  <c r="BR57" i="2"/>
  <c r="CL57" i="2"/>
  <c r="BR74" i="2"/>
  <c r="CL74" i="2"/>
  <c r="BR80" i="2"/>
  <c r="CL80" i="2"/>
  <c r="BR68" i="2"/>
  <c r="CL68" i="2"/>
  <c r="BR28" i="2"/>
  <c r="CL28" i="2"/>
  <c r="CL96" i="2"/>
  <c r="CF14" i="2"/>
  <c r="CF20" i="2"/>
  <c r="CF28" i="2"/>
  <c r="CF34" i="2"/>
  <c r="CF40" i="2"/>
  <c r="CF45" i="2"/>
  <c r="CF51" i="2"/>
  <c r="BL57" i="2"/>
  <c r="CF57" i="2"/>
  <c r="CF68" i="2"/>
  <c r="CF74" i="2"/>
  <c r="CF80" i="2"/>
  <c r="CF96" i="2"/>
  <c r="CX96" i="2"/>
  <c r="CV14" i="2"/>
  <c r="CV20" i="2"/>
  <c r="CV34" i="2"/>
  <c r="CV40" i="2"/>
  <c r="CV45" i="2"/>
  <c r="CV51" i="2"/>
  <c r="CV57" i="2"/>
  <c r="CV74" i="2"/>
  <c r="CV80" i="2"/>
  <c r="CV68" i="2"/>
  <c r="CV28" i="2"/>
  <c r="CV96" i="2"/>
  <c r="CT14" i="2"/>
  <c r="CT20" i="2"/>
  <c r="CT34" i="2"/>
  <c r="CT40" i="2"/>
  <c r="CT45" i="2"/>
  <c r="CT51" i="2"/>
  <c r="CT57" i="2"/>
  <c r="CT74" i="2"/>
  <c r="CT80" i="2"/>
  <c r="CT68" i="2"/>
  <c r="CT28" i="2"/>
  <c r="CT96" i="2"/>
  <c r="CR14" i="2"/>
  <c r="CR20" i="2"/>
  <c r="CR34" i="2"/>
  <c r="CR40" i="2"/>
  <c r="CR45" i="2"/>
  <c r="CR51" i="2"/>
  <c r="CR57" i="2"/>
  <c r="CR74" i="2"/>
  <c r="CR80" i="2"/>
  <c r="CR68" i="2"/>
  <c r="CR28" i="2"/>
  <c r="CR96" i="2"/>
  <c r="CP14" i="2"/>
  <c r="CP20" i="2"/>
  <c r="CP34" i="2"/>
  <c r="CP40" i="2"/>
  <c r="CP45" i="2"/>
  <c r="CP51" i="2"/>
  <c r="CP57" i="2"/>
  <c r="CP74" i="2"/>
  <c r="CP80" i="2"/>
  <c r="CP68" i="2"/>
  <c r="CP28" i="2"/>
  <c r="CP96" i="2"/>
  <c r="BT14" i="2"/>
  <c r="CN14" i="2"/>
  <c r="BT20" i="2"/>
  <c r="CN20" i="2"/>
  <c r="BT34" i="2"/>
  <c r="CN34" i="2"/>
  <c r="BT40" i="2"/>
  <c r="CN40" i="2"/>
  <c r="BT45" i="2"/>
  <c r="CN45" i="2"/>
  <c r="BT51" i="2"/>
  <c r="CN51" i="2"/>
  <c r="BT57" i="2"/>
  <c r="CN57" i="2"/>
  <c r="BT74" i="2"/>
  <c r="CN74" i="2"/>
  <c r="BT80" i="2"/>
  <c r="CN80" i="2"/>
  <c r="BT68" i="2"/>
  <c r="CN68" i="2"/>
  <c r="BT28" i="2"/>
  <c r="CN28" i="2"/>
  <c r="CN96" i="2"/>
  <c r="CJ14" i="2"/>
  <c r="CJ20" i="2"/>
  <c r="CJ34" i="2"/>
  <c r="CJ40" i="2"/>
  <c r="CJ45" i="2"/>
  <c r="CJ51" i="2"/>
  <c r="CJ57" i="2"/>
  <c r="CJ74" i="2"/>
  <c r="CJ80" i="2"/>
  <c r="CJ68" i="2"/>
  <c r="CJ28" i="2"/>
  <c r="CJ96" i="2"/>
  <c r="CH14" i="2"/>
  <c r="CH20" i="2"/>
  <c r="CH28" i="2"/>
  <c r="CH34" i="2"/>
  <c r="CH40" i="2"/>
  <c r="CH45" i="2"/>
  <c r="CH51" i="2"/>
  <c r="CH57" i="2"/>
  <c r="CH68" i="2"/>
  <c r="CH74" i="2"/>
  <c r="CH80" i="2"/>
  <c r="CH96" i="2"/>
  <c r="BR96" i="2"/>
  <c r="BL96" i="2"/>
  <c r="CB96" i="2"/>
  <c r="BZ96" i="2"/>
  <c r="BX96" i="2"/>
  <c r="BV96" i="2"/>
  <c r="BT96" i="2"/>
  <c r="BQ14" i="2"/>
  <c r="BQ20" i="2"/>
  <c r="BQ28" i="2"/>
  <c r="BQ34" i="2"/>
  <c r="BQ40" i="2"/>
  <c r="BQ45" i="2"/>
  <c r="BQ51" i="2"/>
  <c r="BQ57" i="2"/>
  <c r="BQ68" i="2"/>
  <c r="BQ74" i="2"/>
  <c r="BQ80" i="2"/>
  <c r="BQ96" i="2"/>
  <c r="BP14" i="2"/>
  <c r="BP20" i="2"/>
  <c r="BP28" i="2"/>
  <c r="BP34" i="2"/>
  <c r="BP40" i="2"/>
  <c r="BP45" i="2"/>
  <c r="BP51" i="2"/>
  <c r="BP57" i="2"/>
  <c r="BP68" i="2"/>
  <c r="BP74" i="2"/>
  <c r="BP80" i="2"/>
  <c r="BP96" i="2"/>
  <c r="BN14" i="2"/>
  <c r="BN20" i="2"/>
  <c r="BN28" i="2"/>
  <c r="BN34" i="2"/>
  <c r="BN40" i="2"/>
  <c r="BN45" i="2"/>
  <c r="BN51" i="2"/>
  <c r="BN57" i="2"/>
  <c r="BN68" i="2"/>
  <c r="BN74" i="2"/>
  <c r="BN80" i="2"/>
  <c r="BN96" i="2"/>
  <c r="BJ96" i="2"/>
  <c r="AW14" i="2"/>
  <c r="AW20" i="2"/>
  <c r="AW28" i="2"/>
  <c r="AW34" i="2"/>
  <c r="AW40" i="2"/>
  <c r="AW45" i="2"/>
  <c r="AW51" i="2"/>
  <c r="AW57" i="2"/>
  <c r="AW68" i="2"/>
  <c r="AW74" i="2"/>
  <c r="AW80" i="2"/>
  <c r="AW96" i="2"/>
  <c r="AV14" i="2"/>
  <c r="AV20" i="2"/>
  <c r="AV28" i="2"/>
  <c r="AV34" i="2"/>
  <c r="AV40" i="2"/>
  <c r="AV45" i="2"/>
  <c r="AV51" i="2"/>
  <c r="AV57" i="2"/>
  <c r="AV68" i="2"/>
  <c r="AV74" i="2"/>
  <c r="AV80" i="2"/>
  <c r="AV96" i="2"/>
  <c r="AT14" i="2"/>
  <c r="AT20" i="2"/>
  <c r="AT28" i="2"/>
  <c r="AT34" i="2"/>
  <c r="AT40" i="2"/>
  <c r="AT45" i="2"/>
  <c r="AT51" i="2"/>
  <c r="AT57" i="2"/>
  <c r="AT68" i="2"/>
  <c r="AT74" i="2"/>
  <c r="AT80" i="2"/>
  <c r="AT96" i="2"/>
  <c r="AP96" i="2"/>
  <c r="AC14" i="2"/>
  <c r="AC20" i="2"/>
  <c r="AC28" i="2"/>
  <c r="AC34" i="2"/>
  <c r="AC40" i="2"/>
  <c r="AC45" i="2"/>
  <c r="AC51" i="2"/>
  <c r="AC57" i="2"/>
  <c r="AC68" i="2"/>
  <c r="AC74" i="2"/>
  <c r="AC80" i="2"/>
  <c r="AC96" i="2"/>
  <c r="AB14" i="2"/>
  <c r="AB20" i="2"/>
  <c r="AB28" i="2"/>
  <c r="AB34" i="2"/>
  <c r="AB40" i="2"/>
  <c r="AB45" i="2"/>
  <c r="AB51" i="2"/>
  <c r="AB57" i="2"/>
  <c r="AB68" i="2"/>
  <c r="AB74" i="2"/>
  <c r="AB80" i="2"/>
  <c r="AB96" i="2"/>
  <c r="Z14" i="2"/>
  <c r="Z20" i="2"/>
  <c r="Z28" i="2"/>
  <c r="Z34" i="2"/>
  <c r="Z40" i="2"/>
  <c r="Z45" i="2"/>
  <c r="Z51" i="2"/>
  <c r="Z57" i="2"/>
  <c r="Z68" i="2"/>
  <c r="Z74" i="2"/>
  <c r="Z80" i="2"/>
  <c r="Z96" i="2"/>
  <c r="V96" i="2"/>
  <c r="I14" i="2"/>
  <c r="I20" i="2"/>
  <c r="I28" i="2"/>
  <c r="I34" i="2"/>
  <c r="I40" i="2"/>
  <c r="I45" i="2"/>
  <c r="I51" i="2"/>
  <c r="I57" i="2"/>
  <c r="I68" i="2"/>
  <c r="I74" i="2"/>
  <c r="I80" i="2"/>
  <c r="I96" i="2"/>
  <c r="H14" i="2"/>
  <c r="H20" i="2"/>
  <c r="H28" i="2"/>
  <c r="H34" i="2"/>
  <c r="H40" i="2"/>
  <c r="H45" i="2"/>
  <c r="H51" i="2"/>
  <c r="H57" i="2"/>
  <c r="H68" i="2"/>
  <c r="H74" i="2"/>
  <c r="H80" i="2"/>
  <c r="H96" i="2"/>
  <c r="F14" i="2"/>
  <c r="F20" i="2"/>
  <c r="F28" i="2"/>
  <c r="F34" i="2"/>
  <c r="F40" i="2"/>
  <c r="F45" i="2"/>
  <c r="F51" i="2"/>
  <c r="F57" i="2"/>
  <c r="F68" i="2"/>
  <c r="F74" i="2"/>
  <c r="F80" i="2"/>
  <c r="F96" i="2"/>
  <c r="D39" i="2"/>
  <c r="D95" i="2"/>
  <c r="X39" i="2"/>
  <c r="X95" i="2"/>
  <c r="AR39" i="2"/>
  <c r="AR95" i="2"/>
  <c r="BR13" i="2"/>
  <c r="CL13" i="2"/>
  <c r="BR19" i="2"/>
  <c r="CL19" i="2"/>
  <c r="BR33" i="2"/>
  <c r="CL33" i="2"/>
  <c r="BV39" i="2"/>
  <c r="BR39" i="2"/>
  <c r="CL39" i="2"/>
  <c r="BR44" i="2"/>
  <c r="CL44" i="2"/>
  <c r="BR50" i="2"/>
  <c r="CL50" i="2"/>
  <c r="BR56" i="2"/>
  <c r="CL56" i="2"/>
  <c r="BR73" i="2"/>
  <c r="CL73" i="2"/>
  <c r="BR79" i="2"/>
  <c r="CL79" i="2"/>
  <c r="BR67" i="2"/>
  <c r="CL67" i="2"/>
  <c r="BR27" i="2"/>
  <c r="CL27" i="2"/>
  <c r="CL95" i="2"/>
  <c r="CF13" i="2"/>
  <c r="CF19" i="2"/>
  <c r="CF27" i="2"/>
  <c r="CF33" i="2"/>
  <c r="BL39" i="2"/>
  <c r="CF39" i="2"/>
  <c r="CF44" i="2"/>
  <c r="CF50" i="2"/>
  <c r="CF56" i="2"/>
  <c r="CF67" i="2"/>
  <c r="CF73" i="2"/>
  <c r="CF79" i="2"/>
  <c r="CF95" i="2"/>
  <c r="CX95" i="2"/>
  <c r="CV13" i="2"/>
  <c r="CV19" i="2"/>
  <c r="CV33" i="2"/>
  <c r="CB39" i="2"/>
  <c r="CV39" i="2"/>
  <c r="CV44" i="2"/>
  <c r="CV50" i="2"/>
  <c r="CV56" i="2"/>
  <c r="CV73" i="2"/>
  <c r="CV79" i="2"/>
  <c r="CV67" i="2"/>
  <c r="CV27" i="2"/>
  <c r="CV95" i="2"/>
  <c r="CT13" i="2"/>
  <c r="CT19" i="2"/>
  <c r="CT33" i="2"/>
  <c r="CT39" i="2"/>
  <c r="CT44" i="2"/>
  <c r="CT50" i="2"/>
  <c r="CT56" i="2"/>
  <c r="CT73" i="2"/>
  <c r="CT79" i="2"/>
  <c r="CT67" i="2"/>
  <c r="CT27" i="2"/>
  <c r="CT95" i="2"/>
  <c r="CR13" i="2"/>
  <c r="CR19" i="2"/>
  <c r="CR33" i="2"/>
  <c r="BX39" i="2"/>
  <c r="CR39" i="2"/>
  <c r="CR44" i="2"/>
  <c r="CR50" i="2"/>
  <c r="CR56" i="2"/>
  <c r="CR73" i="2"/>
  <c r="CR79" i="2"/>
  <c r="CR67" i="2"/>
  <c r="CR27" i="2"/>
  <c r="CR95" i="2"/>
  <c r="CP13" i="2"/>
  <c r="CP19" i="2"/>
  <c r="CP33" i="2"/>
  <c r="CP39" i="2"/>
  <c r="CP44" i="2"/>
  <c r="CP50" i="2"/>
  <c r="CP56" i="2"/>
  <c r="CP73" i="2"/>
  <c r="CP79" i="2"/>
  <c r="CP67" i="2"/>
  <c r="CP27" i="2"/>
  <c r="CP95" i="2"/>
  <c r="BT13" i="2"/>
  <c r="CN13" i="2"/>
  <c r="BT19" i="2"/>
  <c r="CN19" i="2"/>
  <c r="BT33" i="2"/>
  <c r="CN33" i="2"/>
  <c r="BT39" i="2"/>
  <c r="CN39" i="2"/>
  <c r="BT44" i="2"/>
  <c r="CN44" i="2"/>
  <c r="BT50" i="2"/>
  <c r="CN50" i="2"/>
  <c r="BT56" i="2"/>
  <c r="CN56" i="2"/>
  <c r="BT73" i="2"/>
  <c r="CN73" i="2"/>
  <c r="BT79" i="2"/>
  <c r="CN79" i="2"/>
  <c r="BT67" i="2"/>
  <c r="CN67" i="2"/>
  <c r="BT27" i="2"/>
  <c r="CN27" i="2"/>
  <c r="CN95" i="2"/>
  <c r="CJ13" i="2"/>
  <c r="CJ19" i="2"/>
  <c r="CJ33" i="2"/>
  <c r="CJ39" i="2"/>
  <c r="CJ44" i="2"/>
  <c r="CJ50" i="2"/>
  <c r="CJ56" i="2"/>
  <c r="CJ73" i="2"/>
  <c r="CJ79" i="2"/>
  <c r="CJ67" i="2"/>
  <c r="CJ27" i="2"/>
  <c r="CJ95" i="2"/>
  <c r="CH13" i="2"/>
  <c r="CH19" i="2"/>
  <c r="CH27" i="2"/>
  <c r="CH33" i="2"/>
  <c r="CH39" i="2"/>
  <c r="CH44" i="2"/>
  <c r="CH50" i="2"/>
  <c r="CH56" i="2"/>
  <c r="CH67" i="2"/>
  <c r="CH73" i="2"/>
  <c r="CH79" i="2"/>
  <c r="CH95" i="2"/>
  <c r="BR95" i="2"/>
  <c r="BL95" i="2"/>
  <c r="CD95" i="2"/>
  <c r="CB95" i="2"/>
  <c r="BZ95" i="2"/>
  <c r="BX95" i="2"/>
  <c r="BV95" i="2"/>
  <c r="BT95" i="2"/>
  <c r="BQ13" i="2"/>
  <c r="BQ19" i="2"/>
  <c r="BQ27" i="2"/>
  <c r="BQ33" i="2"/>
  <c r="BQ39" i="2"/>
  <c r="BQ44" i="2"/>
  <c r="BQ50" i="2"/>
  <c r="BQ56" i="2"/>
  <c r="BQ67" i="2"/>
  <c r="BQ73" i="2"/>
  <c r="BQ79" i="2"/>
  <c r="BQ95" i="2"/>
  <c r="BP13" i="2"/>
  <c r="BP19" i="2"/>
  <c r="BP27" i="2"/>
  <c r="BP33" i="2"/>
  <c r="BP39" i="2"/>
  <c r="BP44" i="2"/>
  <c r="BP50" i="2"/>
  <c r="BP56" i="2"/>
  <c r="BP67" i="2"/>
  <c r="BP73" i="2"/>
  <c r="BP79" i="2"/>
  <c r="BP95" i="2"/>
  <c r="BN13" i="2"/>
  <c r="BN19" i="2"/>
  <c r="BN27" i="2"/>
  <c r="BN33" i="2"/>
  <c r="BN39" i="2"/>
  <c r="BN44" i="2"/>
  <c r="BN50" i="2"/>
  <c r="BN56" i="2"/>
  <c r="BN67" i="2"/>
  <c r="BN73" i="2"/>
  <c r="BN79" i="2"/>
  <c r="BN95" i="2"/>
  <c r="BJ95" i="2"/>
  <c r="AW13" i="2"/>
  <c r="AW19" i="2"/>
  <c r="AW27" i="2"/>
  <c r="AW33" i="2"/>
  <c r="AW39" i="2"/>
  <c r="AW44" i="2"/>
  <c r="AW50" i="2"/>
  <c r="AW56" i="2"/>
  <c r="AW67" i="2"/>
  <c r="AW73" i="2"/>
  <c r="AW79" i="2"/>
  <c r="AW95" i="2"/>
  <c r="AV13" i="2"/>
  <c r="AV19" i="2"/>
  <c r="AV27" i="2"/>
  <c r="AV33" i="2"/>
  <c r="AV39" i="2"/>
  <c r="AV44" i="2"/>
  <c r="AV50" i="2"/>
  <c r="AV56" i="2"/>
  <c r="AV67" i="2"/>
  <c r="AV73" i="2"/>
  <c r="AV79" i="2"/>
  <c r="AV95" i="2"/>
  <c r="AT13" i="2"/>
  <c r="AT19" i="2"/>
  <c r="AT27" i="2"/>
  <c r="AT33" i="2"/>
  <c r="AT39" i="2"/>
  <c r="AT44" i="2"/>
  <c r="AT50" i="2"/>
  <c r="AT56" i="2"/>
  <c r="AT67" i="2"/>
  <c r="AT73" i="2"/>
  <c r="AT79" i="2"/>
  <c r="AT95" i="2"/>
  <c r="AP95" i="2"/>
  <c r="AC13" i="2"/>
  <c r="AC19" i="2"/>
  <c r="AC27" i="2"/>
  <c r="AC33" i="2"/>
  <c r="AC39" i="2"/>
  <c r="AC44" i="2"/>
  <c r="AC50" i="2"/>
  <c r="AC56" i="2"/>
  <c r="AC67" i="2"/>
  <c r="AC73" i="2"/>
  <c r="AC79" i="2"/>
  <c r="AC95" i="2"/>
  <c r="AB13" i="2"/>
  <c r="AB19" i="2"/>
  <c r="AB27" i="2"/>
  <c r="AB33" i="2"/>
  <c r="AB39" i="2"/>
  <c r="AB44" i="2"/>
  <c r="AB50" i="2"/>
  <c r="AB56" i="2"/>
  <c r="AB67" i="2"/>
  <c r="AB73" i="2"/>
  <c r="AB79" i="2"/>
  <c r="AB95" i="2"/>
  <c r="Z13" i="2"/>
  <c r="Z19" i="2"/>
  <c r="Z27" i="2"/>
  <c r="Z33" i="2"/>
  <c r="Z39" i="2"/>
  <c r="Z44" i="2"/>
  <c r="Z50" i="2"/>
  <c r="Z56" i="2"/>
  <c r="Z67" i="2"/>
  <c r="Z73" i="2"/>
  <c r="Z79" i="2"/>
  <c r="Z95" i="2"/>
  <c r="V95" i="2"/>
  <c r="I13" i="2"/>
  <c r="I19" i="2"/>
  <c r="I27" i="2"/>
  <c r="I33" i="2"/>
  <c r="I39" i="2"/>
  <c r="I44" i="2"/>
  <c r="I50" i="2"/>
  <c r="I56" i="2"/>
  <c r="I67" i="2"/>
  <c r="I73" i="2"/>
  <c r="I79" i="2"/>
  <c r="I95" i="2"/>
  <c r="H13" i="2"/>
  <c r="H19" i="2"/>
  <c r="H27" i="2"/>
  <c r="H33" i="2"/>
  <c r="H39" i="2"/>
  <c r="H44" i="2"/>
  <c r="H50" i="2"/>
  <c r="H56" i="2"/>
  <c r="H67" i="2"/>
  <c r="H73" i="2"/>
  <c r="H79" i="2"/>
  <c r="H95" i="2"/>
  <c r="F13" i="2"/>
  <c r="F19" i="2"/>
  <c r="F27" i="2"/>
  <c r="F33" i="2"/>
  <c r="F39" i="2"/>
  <c r="F44" i="2"/>
  <c r="F50" i="2"/>
  <c r="F56" i="2"/>
  <c r="F67" i="2"/>
  <c r="F73" i="2"/>
  <c r="F79" i="2"/>
  <c r="F95" i="2"/>
  <c r="D94" i="2"/>
  <c r="X94" i="2"/>
  <c r="AR94" i="2"/>
  <c r="BR12" i="2"/>
  <c r="CL12" i="2"/>
  <c r="BR32" i="2"/>
  <c r="CL32" i="2"/>
  <c r="BR38" i="2"/>
  <c r="CL38" i="2"/>
  <c r="BR49" i="2"/>
  <c r="CL49" i="2"/>
  <c r="BR55" i="2"/>
  <c r="CL55" i="2"/>
  <c r="BR66" i="2"/>
  <c r="CL66" i="2"/>
  <c r="BR72" i="2"/>
  <c r="CL72" i="2"/>
  <c r="BR18" i="2"/>
  <c r="CL18" i="2"/>
  <c r="BR78" i="2"/>
  <c r="CL78" i="2"/>
  <c r="CL94" i="2"/>
  <c r="CF12" i="2"/>
  <c r="CF32" i="2"/>
  <c r="CF38" i="2"/>
  <c r="CF49" i="2"/>
  <c r="CF55" i="2"/>
  <c r="CF66" i="2"/>
  <c r="CF72" i="2"/>
  <c r="CF18" i="2"/>
  <c r="CF78" i="2"/>
  <c r="CF94" i="2"/>
  <c r="CX94" i="2"/>
  <c r="CV12" i="2"/>
  <c r="CV32" i="2"/>
  <c r="CV38" i="2"/>
  <c r="CV49" i="2"/>
  <c r="CV55" i="2"/>
  <c r="CV66" i="2"/>
  <c r="CV72" i="2"/>
  <c r="CV18" i="2"/>
  <c r="CV78" i="2"/>
  <c r="CV94" i="2"/>
  <c r="CT12" i="2"/>
  <c r="CT32" i="2"/>
  <c r="CT38" i="2"/>
  <c r="CT49" i="2"/>
  <c r="CT55" i="2"/>
  <c r="CT66" i="2"/>
  <c r="CT72" i="2"/>
  <c r="CT18" i="2"/>
  <c r="CT78" i="2"/>
  <c r="CT94" i="2"/>
  <c r="CR12" i="2"/>
  <c r="CR32" i="2"/>
  <c r="CR38" i="2"/>
  <c r="CR49" i="2"/>
  <c r="CR55" i="2"/>
  <c r="CR66" i="2"/>
  <c r="CR72" i="2"/>
  <c r="CR18" i="2"/>
  <c r="CR78" i="2"/>
  <c r="CR94" i="2"/>
  <c r="CP12" i="2"/>
  <c r="CP32" i="2"/>
  <c r="CP38" i="2"/>
  <c r="CP49" i="2"/>
  <c r="CP55" i="2"/>
  <c r="CP66" i="2"/>
  <c r="CP72" i="2"/>
  <c r="CP18" i="2"/>
  <c r="CP78" i="2"/>
  <c r="CP94" i="2"/>
  <c r="BT12" i="2"/>
  <c r="CN12" i="2"/>
  <c r="BT32" i="2"/>
  <c r="CN32" i="2"/>
  <c r="BT38" i="2"/>
  <c r="CN38" i="2"/>
  <c r="BT49" i="2"/>
  <c r="CN49" i="2"/>
  <c r="BT55" i="2"/>
  <c r="CN55" i="2"/>
  <c r="BT66" i="2"/>
  <c r="CN66" i="2"/>
  <c r="BT72" i="2"/>
  <c r="CN72" i="2"/>
  <c r="BT18" i="2"/>
  <c r="CN18" i="2"/>
  <c r="BT78" i="2"/>
  <c r="CN78" i="2"/>
  <c r="CN94" i="2"/>
  <c r="CJ12" i="2"/>
  <c r="CJ32" i="2"/>
  <c r="CJ38" i="2"/>
  <c r="CJ49" i="2"/>
  <c r="CJ55" i="2"/>
  <c r="CJ66" i="2"/>
  <c r="CJ72" i="2"/>
  <c r="CJ18" i="2"/>
  <c r="CJ78" i="2"/>
  <c r="CJ94" i="2"/>
  <c r="CH12" i="2"/>
  <c r="CH32" i="2"/>
  <c r="CH38" i="2"/>
  <c r="CH49" i="2"/>
  <c r="CH55" i="2"/>
  <c r="CH66" i="2"/>
  <c r="CH72" i="2"/>
  <c r="CH18" i="2"/>
  <c r="CH78" i="2"/>
  <c r="CH94" i="2"/>
  <c r="BR94" i="2"/>
  <c r="BL94" i="2"/>
  <c r="CD94" i="2"/>
  <c r="CB94" i="2"/>
  <c r="BZ94" i="2"/>
  <c r="BX94" i="2"/>
  <c r="BV94" i="2"/>
  <c r="BT94" i="2"/>
  <c r="BQ12" i="2"/>
  <c r="BQ32" i="2"/>
  <c r="BQ38" i="2"/>
  <c r="BQ49" i="2"/>
  <c r="BQ55" i="2"/>
  <c r="BQ66" i="2"/>
  <c r="BQ72" i="2"/>
  <c r="BQ18" i="2"/>
  <c r="BQ78" i="2"/>
  <c r="BQ94" i="2"/>
  <c r="BP12" i="2"/>
  <c r="BP32" i="2"/>
  <c r="BP38" i="2"/>
  <c r="BP49" i="2"/>
  <c r="BP55" i="2"/>
  <c r="BP66" i="2"/>
  <c r="BP72" i="2"/>
  <c r="BP18" i="2"/>
  <c r="BP78" i="2"/>
  <c r="BP94" i="2"/>
  <c r="BN12" i="2"/>
  <c r="BN32" i="2"/>
  <c r="BN38" i="2"/>
  <c r="BN49" i="2"/>
  <c r="BN55" i="2"/>
  <c r="BN66" i="2"/>
  <c r="BN72" i="2"/>
  <c r="BN18" i="2"/>
  <c r="BN78" i="2"/>
  <c r="BN94" i="2"/>
  <c r="BJ94" i="2"/>
  <c r="AW12" i="2"/>
  <c r="AW32" i="2"/>
  <c r="AW38" i="2"/>
  <c r="AW49" i="2"/>
  <c r="AW55" i="2"/>
  <c r="AW66" i="2"/>
  <c r="AW72" i="2"/>
  <c r="AW18" i="2"/>
  <c r="AW78" i="2"/>
  <c r="AW94" i="2"/>
  <c r="AV12" i="2"/>
  <c r="AV32" i="2"/>
  <c r="AV38" i="2"/>
  <c r="AV49" i="2"/>
  <c r="AV55" i="2"/>
  <c r="AV66" i="2"/>
  <c r="AV72" i="2"/>
  <c r="AV18" i="2"/>
  <c r="AV78" i="2"/>
  <c r="AV94" i="2"/>
  <c r="AT12" i="2"/>
  <c r="AT32" i="2"/>
  <c r="AT38" i="2"/>
  <c r="AT49" i="2"/>
  <c r="AT55" i="2"/>
  <c r="AT66" i="2"/>
  <c r="AT72" i="2"/>
  <c r="AT18" i="2"/>
  <c r="AT78" i="2"/>
  <c r="AT94" i="2"/>
  <c r="AP94" i="2"/>
  <c r="AC12" i="2"/>
  <c r="AC32" i="2"/>
  <c r="AC38" i="2"/>
  <c r="AC49" i="2"/>
  <c r="AC55" i="2"/>
  <c r="AC66" i="2"/>
  <c r="AC72" i="2"/>
  <c r="AC18" i="2"/>
  <c r="AC78" i="2"/>
  <c r="AC94" i="2"/>
  <c r="AB12" i="2"/>
  <c r="AB32" i="2"/>
  <c r="AB38" i="2"/>
  <c r="AB49" i="2"/>
  <c r="AB55" i="2"/>
  <c r="AB66" i="2"/>
  <c r="AB72" i="2"/>
  <c r="AB18" i="2"/>
  <c r="AB78" i="2"/>
  <c r="AB94" i="2"/>
  <c r="Z12" i="2"/>
  <c r="Z32" i="2"/>
  <c r="Z38" i="2"/>
  <c r="Z49" i="2"/>
  <c r="Z55" i="2"/>
  <c r="Z66" i="2"/>
  <c r="Z72" i="2"/>
  <c r="Z18" i="2"/>
  <c r="Z78" i="2"/>
  <c r="Z94" i="2"/>
  <c r="V94" i="2"/>
  <c r="I12" i="2"/>
  <c r="I32" i="2"/>
  <c r="I38" i="2"/>
  <c r="I49" i="2"/>
  <c r="I55" i="2"/>
  <c r="I66" i="2"/>
  <c r="I72" i="2"/>
  <c r="I18" i="2"/>
  <c r="I78" i="2"/>
  <c r="I94" i="2"/>
  <c r="H12" i="2"/>
  <c r="H32" i="2"/>
  <c r="H38" i="2"/>
  <c r="H49" i="2"/>
  <c r="H55" i="2"/>
  <c r="H66" i="2"/>
  <c r="H72" i="2"/>
  <c r="H18" i="2"/>
  <c r="H78" i="2"/>
  <c r="H94" i="2"/>
  <c r="F12" i="2"/>
  <c r="F32" i="2"/>
  <c r="F38" i="2"/>
  <c r="F49" i="2"/>
  <c r="F55" i="2"/>
  <c r="F66" i="2"/>
  <c r="F72" i="2"/>
  <c r="F18" i="2"/>
  <c r="F78" i="2"/>
  <c r="F94" i="2"/>
  <c r="D17" i="2"/>
  <c r="D93" i="2"/>
  <c r="X17" i="2"/>
  <c r="X93" i="2"/>
  <c r="AR17" i="2"/>
  <c r="AR93" i="2"/>
  <c r="BR11" i="2"/>
  <c r="CL11" i="2"/>
  <c r="BV17" i="2"/>
  <c r="BR17" i="2"/>
  <c r="CL17" i="2"/>
  <c r="BR77" i="2"/>
  <c r="CL77" i="2"/>
  <c r="BR31" i="2"/>
  <c r="CL31" i="2"/>
  <c r="BR37" i="2"/>
  <c r="CL37" i="2"/>
  <c r="BV43" i="2"/>
  <c r="BR43" i="2"/>
  <c r="CL43" i="2"/>
  <c r="BR48" i="2"/>
  <c r="CL48" i="2"/>
  <c r="BR65" i="2"/>
  <c r="CL65" i="2"/>
  <c r="BR71" i="2"/>
  <c r="CL71" i="2"/>
  <c r="BR54" i="2"/>
  <c r="CL54" i="2"/>
  <c r="BR26" i="2"/>
  <c r="CL26" i="2"/>
  <c r="CL93" i="2"/>
  <c r="CF11" i="2"/>
  <c r="BL17" i="2"/>
  <c r="CF17" i="2"/>
  <c r="CF26" i="2"/>
  <c r="CF37" i="2"/>
  <c r="CF43" i="2"/>
  <c r="CF48" i="2"/>
  <c r="CF54" i="2"/>
  <c r="CF65" i="2"/>
  <c r="CF71" i="2"/>
  <c r="CF31" i="2"/>
  <c r="CF77" i="2"/>
  <c r="CF93" i="2"/>
  <c r="CX93" i="2"/>
  <c r="CV11" i="2"/>
  <c r="CB17" i="2"/>
  <c r="CV17" i="2"/>
  <c r="CV77" i="2"/>
  <c r="CV31" i="2"/>
  <c r="CV37" i="2"/>
  <c r="CV43" i="2"/>
  <c r="CV48" i="2"/>
  <c r="CV65" i="2"/>
  <c r="CV71" i="2"/>
  <c r="CV54" i="2"/>
  <c r="CV26" i="2"/>
  <c r="CV93" i="2"/>
  <c r="CT11" i="2"/>
  <c r="CT17" i="2"/>
  <c r="CT77" i="2"/>
  <c r="CT31" i="2"/>
  <c r="CT37" i="2"/>
  <c r="CT43" i="2"/>
  <c r="CT48" i="2"/>
  <c r="CT65" i="2"/>
  <c r="CT71" i="2"/>
  <c r="CT54" i="2"/>
  <c r="CT26" i="2"/>
  <c r="CT93" i="2"/>
  <c r="CR11" i="2"/>
  <c r="BX17" i="2"/>
  <c r="CR17" i="2"/>
  <c r="CR77" i="2"/>
  <c r="CR31" i="2"/>
  <c r="CR37" i="2"/>
  <c r="CR43" i="2"/>
  <c r="CR48" i="2"/>
  <c r="CR65" i="2"/>
  <c r="CR71" i="2"/>
  <c r="CR54" i="2"/>
  <c r="CR26" i="2"/>
  <c r="CR93" i="2"/>
  <c r="CP11" i="2"/>
  <c r="CP17" i="2"/>
  <c r="CP77" i="2"/>
  <c r="CP31" i="2"/>
  <c r="CP37" i="2"/>
  <c r="CP43" i="2"/>
  <c r="CP48" i="2"/>
  <c r="CP65" i="2"/>
  <c r="CP71" i="2"/>
  <c r="CP54" i="2"/>
  <c r="CP26" i="2"/>
  <c r="CP93" i="2"/>
  <c r="BT11" i="2"/>
  <c r="CN11" i="2"/>
  <c r="BT17" i="2"/>
  <c r="CN17" i="2"/>
  <c r="BT77" i="2"/>
  <c r="CN77" i="2"/>
  <c r="BT31" i="2"/>
  <c r="CN31" i="2"/>
  <c r="BT37" i="2"/>
  <c r="CN37" i="2"/>
  <c r="BT43" i="2"/>
  <c r="CN43" i="2"/>
  <c r="BT48" i="2"/>
  <c r="CN48" i="2"/>
  <c r="BT65" i="2"/>
  <c r="CN65" i="2"/>
  <c r="BT71" i="2"/>
  <c r="CN71" i="2"/>
  <c r="BT54" i="2"/>
  <c r="CN54" i="2"/>
  <c r="BT26" i="2"/>
  <c r="CN26" i="2"/>
  <c r="CN93" i="2"/>
  <c r="CJ11" i="2"/>
  <c r="CJ17" i="2"/>
  <c r="CJ77" i="2"/>
  <c r="CJ31" i="2"/>
  <c r="CJ37" i="2"/>
  <c r="CJ43" i="2"/>
  <c r="CJ48" i="2"/>
  <c r="CJ65" i="2"/>
  <c r="CJ71" i="2"/>
  <c r="CJ54" i="2"/>
  <c r="CJ26" i="2"/>
  <c r="CJ93" i="2"/>
  <c r="CH11" i="2"/>
  <c r="CH17" i="2"/>
  <c r="CH26" i="2"/>
  <c r="CH37" i="2"/>
  <c r="CH43" i="2"/>
  <c r="CH48" i="2"/>
  <c r="CH54" i="2"/>
  <c r="CH65" i="2"/>
  <c r="CH71" i="2"/>
  <c r="CH31" i="2"/>
  <c r="CH77" i="2"/>
  <c r="CH93" i="2"/>
  <c r="BR93" i="2"/>
  <c r="BL93" i="2"/>
  <c r="CD93" i="2"/>
  <c r="CB93" i="2"/>
  <c r="BZ93" i="2"/>
  <c r="BX93" i="2"/>
  <c r="BV93" i="2"/>
  <c r="BT93" i="2"/>
  <c r="BQ11" i="2"/>
  <c r="BQ17" i="2"/>
  <c r="BQ26" i="2"/>
  <c r="BQ37" i="2"/>
  <c r="BQ43" i="2"/>
  <c r="BQ48" i="2"/>
  <c r="BQ54" i="2"/>
  <c r="BQ65" i="2"/>
  <c r="BQ71" i="2"/>
  <c r="BQ31" i="2"/>
  <c r="BQ77" i="2"/>
  <c r="BQ93" i="2"/>
  <c r="BP11" i="2"/>
  <c r="BP17" i="2"/>
  <c r="BP26" i="2"/>
  <c r="BP37" i="2"/>
  <c r="BP43" i="2"/>
  <c r="BP48" i="2"/>
  <c r="BP54" i="2"/>
  <c r="BP65" i="2"/>
  <c r="BP71" i="2"/>
  <c r="BP31" i="2"/>
  <c r="BP77" i="2"/>
  <c r="BP93" i="2"/>
  <c r="BN11" i="2"/>
  <c r="BN17" i="2"/>
  <c r="BN26" i="2"/>
  <c r="BN37" i="2"/>
  <c r="BN43" i="2"/>
  <c r="BN48" i="2"/>
  <c r="BN54" i="2"/>
  <c r="BN65" i="2"/>
  <c r="BN71" i="2"/>
  <c r="BN31" i="2"/>
  <c r="BN77" i="2"/>
  <c r="BN93" i="2"/>
  <c r="BJ93" i="2"/>
  <c r="AW11" i="2"/>
  <c r="AW17" i="2"/>
  <c r="AW26" i="2"/>
  <c r="AW37" i="2"/>
  <c r="AW43" i="2"/>
  <c r="AW48" i="2"/>
  <c r="AW54" i="2"/>
  <c r="AW65" i="2"/>
  <c r="AW71" i="2"/>
  <c r="AW31" i="2"/>
  <c r="AW77" i="2"/>
  <c r="AW93" i="2"/>
  <c r="AV11" i="2"/>
  <c r="AV17" i="2"/>
  <c r="AV26" i="2"/>
  <c r="AV37" i="2"/>
  <c r="AV43" i="2"/>
  <c r="AV48" i="2"/>
  <c r="AV54" i="2"/>
  <c r="AV65" i="2"/>
  <c r="AV71" i="2"/>
  <c r="AV31" i="2"/>
  <c r="AV77" i="2"/>
  <c r="AV93" i="2"/>
  <c r="AT11" i="2"/>
  <c r="AT17" i="2"/>
  <c r="AT26" i="2"/>
  <c r="AT37" i="2"/>
  <c r="AT43" i="2"/>
  <c r="AT48" i="2"/>
  <c r="AT54" i="2"/>
  <c r="AT65" i="2"/>
  <c r="AT71" i="2"/>
  <c r="AT77" i="2"/>
  <c r="AT31" i="2"/>
  <c r="AT93" i="2"/>
  <c r="AP93" i="2"/>
  <c r="AC11" i="2"/>
  <c r="AC17" i="2"/>
  <c r="AC26" i="2"/>
  <c r="AC37" i="2"/>
  <c r="AC43" i="2"/>
  <c r="AC48" i="2"/>
  <c r="AC54" i="2"/>
  <c r="AC65" i="2"/>
  <c r="AC71" i="2"/>
  <c r="AC77" i="2"/>
  <c r="AC31" i="2"/>
  <c r="AC93" i="2"/>
  <c r="AB11" i="2"/>
  <c r="AB17" i="2"/>
  <c r="AB26" i="2"/>
  <c r="AB37" i="2"/>
  <c r="AB43" i="2"/>
  <c r="AB48" i="2"/>
  <c r="AB54" i="2"/>
  <c r="AB65" i="2"/>
  <c r="AB71" i="2"/>
  <c r="AB77" i="2"/>
  <c r="AB31" i="2"/>
  <c r="AB93" i="2"/>
  <c r="Z11" i="2"/>
  <c r="Z17" i="2"/>
  <c r="Z26" i="2"/>
  <c r="Z37" i="2"/>
  <c r="Z43" i="2"/>
  <c r="Z48" i="2"/>
  <c r="Z54" i="2"/>
  <c r="Z65" i="2"/>
  <c r="Z71" i="2"/>
  <c r="Z77" i="2"/>
  <c r="Z31" i="2"/>
  <c r="Z93" i="2"/>
  <c r="V93" i="2"/>
  <c r="I11" i="2"/>
  <c r="I17" i="2"/>
  <c r="I26" i="2"/>
  <c r="I37" i="2"/>
  <c r="I43" i="2"/>
  <c r="I48" i="2"/>
  <c r="I54" i="2"/>
  <c r="I65" i="2"/>
  <c r="I71" i="2"/>
  <c r="I77" i="2"/>
  <c r="I93" i="2"/>
  <c r="H11" i="2"/>
  <c r="H17" i="2"/>
  <c r="H26" i="2"/>
  <c r="H37" i="2"/>
  <c r="H43" i="2"/>
  <c r="H48" i="2"/>
  <c r="H54" i="2"/>
  <c r="H65" i="2"/>
  <c r="H71" i="2"/>
  <c r="H77" i="2"/>
  <c r="H31" i="2"/>
  <c r="H93" i="2"/>
  <c r="F11" i="2"/>
  <c r="F17" i="2"/>
  <c r="F26" i="2"/>
  <c r="F37" i="2"/>
  <c r="F43" i="2"/>
  <c r="F48" i="2"/>
  <c r="F54" i="2"/>
  <c r="F65" i="2"/>
  <c r="F71" i="2"/>
  <c r="F77" i="2"/>
  <c r="F31" i="2"/>
  <c r="F93" i="2"/>
  <c r="CX92" i="2"/>
  <c r="CV21" i="2"/>
  <c r="CV92" i="2"/>
  <c r="CT21" i="2"/>
  <c r="CT92" i="2"/>
  <c r="CR21" i="2"/>
  <c r="CR92" i="2"/>
  <c r="CP21" i="2"/>
  <c r="CP92" i="2"/>
  <c r="CH21" i="2"/>
  <c r="CH92" i="2"/>
  <c r="I21" i="2"/>
  <c r="I92" i="2"/>
  <c r="H21" i="2"/>
  <c r="H92" i="2"/>
  <c r="F21" i="2"/>
  <c r="F92" i="2"/>
  <c r="CX91" i="2"/>
  <c r="CV10" i="2"/>
  <c r="CV16" i="2"/>
  <c r="CV25" i="2"/>
  <c r="CV30" i="2"/>
  <c r="CV36" i="2"/>
  <c r="CV42" i="2"/>
  <c r="CV47" i="2"/>
  <c r="CV64" i="2"/>
  <c r="CV70" i="2"/>
  <c r="CV53" i="2"/>
  <c r="CV23" i="2"/>
  <c r="CV76" i="2"/>
  <c r="CV91" i="2"/>
  <c r="CT10" i="2"/>
  <c r="CT16" i="2"/>
  <c r="CT25" i="2"/>
  <c r="CT30" i="2"/>
  <c r="CT36" i="2"/>
  <c r="CT42" i="2"/>
  <c r="CT47" i="2"/>
  <c r="CT64" i="2"/>
  <c r="CT70" i="2"/>
  <c r="CT53" i="2"/>
  <c r="CT23" i="2"/>
  <c r="CT76" i="2"/>
  <c r="CT91" i="2"/>
  <c r="CR10" i="2"/>
  <c r="CR16" i="2"/>
  <c r="CR25" i="2"/>
  <c r="CR30" i="2"/>
  <c r="CR36" i="2"/>
  <c r="CR42" i="2"/>
  <c r="CR47" i="2"/>
  <c r="CR64" i="2"/>
  <c r="CR70" i="2"/>
  <c r="CR53" i="2"/>
  <c r="CR23" i="2"/>
  <c r="CR76" i="2"/>
  <c r="CR91" i="2"/>
  <c r="CP10" i="2"/>
  <c r="CP16" i="2"/>
  <c r="CP25" i="2"/>
  <c r="CP30" i="2"/>
  <c r="CP36" i="2"/>
  <c r="CP42" i="2"/>
  <c r="CP47" i="2"/>
  <c r="CP64" i="2"/>
  <c r="CP70" i="2"/>
  <c r="CP53" i="2"/>
  <c r="CP23" i="2"/>
  <c r="CP76" i="2"/>
  <c r="CP91" i="2"/>
  <c r="CH10" i="2"/>
  <c r="CH16" i="2"/>
  <c r="CH25" i="2"/>
  <c r="CH30" i="2"/>
  <c r="CH36" i="2"/>
  <c r="CH42" i="2"/>
  <c r="CH47" i="2"/>
  <c r="CH64" i="2"/>
  <c r="CH70" i="2"/>
  <c r="CH53" i="2"/>
  <c r="CH23" i="2"/>
  <c r="CH76" i="2"/>
  <c r="CH91" i="2"/>
  <c r="I10" i="2"/>
  <c r="I16" i="2"/>
  <c r="I25" i="2"/>
  <c r="I30" i="2"/>
  <c r="I36" i="2"/>
  <c r="I42" i="2"/>
  <c r="I47" i="2"/>
  <c r="I64" i="2"/>
  <c r="I70" i="2"/>
  <c r="I53" i="2"/>
  <c r="I23" i="2"/>
  <c r="I76" i="2"/>
  <c r="I91" i="2"/>
  <c r="H10" i="2"/>
  <c r="H16" i="2"/>
  <c r="H25" i="2"/>
  <c r="H30" i="2"/>
  <c r="H36" i="2"/>
  <c r="H42" i="2"/>
  <c r="H47" i="2"/>
  <c r="H64" i="2"/>
  <c r="H70" i="2"/>
  <c r="H53" i="2"/>
  <c r="H23" i="2"/>
  <c r="H76" i="2"/>
  <c r="H91" i="2"/>
  <c r="F10" i="2"/>
  <c r="F16" i="2"/>
  <c r="F25" i="2"/>
  <c r="F30" i="2"/>
  <c r="F36" i="2"/>
  <c r="F42" i="2"/>
  <c r="F47" i="2"/>
  <c r="F64" i="2"/>
  <c r="F70" i="2"/>
  <c r="F53" i="2"/>
  <c r="F23" i="2"/>
  <c r="F76" i="2"/>
  <c r="F91" i="2"/>
  <c r="T63" i="2"/>
  <c r="AN63" i="2"/>
  <c r="BH63" i="2"/>
  <c r="T69" i="2"/>
  <c r="AN69" i="2"/>
  <c r="BH69" i="2"/>
  <c r="T75" i="2"/>
  <c r="AN75" i="2"/>
  <c r="BH75" i="2"/>
  <c r="R63" i="2"/>
  <c r="AL63" i="2"/>
  <c r="BF63" i="2"/>
  <c r="R69" i="2"/>
  <c r="AL69" i="2"/>
  <c r="BF69" i="2"/>
  <c r="R75" i="2"/>
  <c r="AL75" i="2"/>
  <c r="BF75" i="2"/>
  <c r="P63" i="2"/>
  <c r="AJ63" i="2"/>
  <c r="BD63" i="2"/>
  <c r="P69" i="2"/>
  <c r="AJ69" i="2"/>
  <c r="BD69" i="2"/>
  <c r="P75" i="2"/>
  <c r="AJ75" i="2"/>
  <c r="BD75" i="2"/>
  <c r="N63" i="2"/>
  <c r="AH63" i="2"/>
  <c r="BB63" i="2"/>
  <c r="N69" i="2"/>
  <c r="AH69" i="2"/>
  <c r="BB69" i="2"/>
  <c r="N75" i="2"/>
  <c r="AH75" i="2"/>
  <c r="BB75" i="2"/>
  <c r="L63" i="2"/>
  <c r="AF63" i="2"/>
  <c r="AZ63" i="2"/>
  <c r="L69" i="2"/>
  <c r="AF69" i="2"/>
  <c r="AZ69" i="2"/>
  <c r="L75" i="2"/>
  <c r="AF75" i="2"/>
  <c r="AZ75" i="2"/>
  <c r="AF81" i="2"/>
  <c r="AZ81" i="2"/>
  <c r="L86" i="2"/>
  <c r="AF86" i="2"/>
  <c r="AZ86" i="2"/>
  <c r="J63" i="2"/>
  <c r="AD63" i="2"/>
  <c r="AX63" i="2"/>
  <c r="J69" i="2"/>
  <c r="AD69" i="2"/>
  <c r="AX69" i="2"/>
  <c r="J75" i="2"/>
  <c r="AD75" i="2"/>
  <c r="AX75" i="2"/>
  <c r="J81" i="2"/>
  <c r="AD81" i="2"/>
  <c r="AX81" i="2"/>
  <c r="J86" i="2"/>
  <c r="AD86" i="2"/>
  <c r="AX86" i="2"/>
  <c r="D63" i="2"/>
  <c r="X63" i="2"/>
  <c r="AR63" i="2"/>
  <c r="D69" i="2"/>
  <c r="X69" i="2"/>
  <c r="AR69" i="2"/>
  <c r="D75" i="2"/>
  <c r="X75" i="2"/>
  <c r="AR75" i="2"/>
  <c r="T9" i="2"/>
  <c r="T15" i="2"/>
  <c r="T24" i="2"/>
  <c r="T29" i="2"/>
  <c r="T35" i="2"/>
  <c r="T41" i="2"/>
  <c r="T46" i="2"/>
  <c r="T52" i="2"/>
  <c r="T22" i="2"/>
  <c r="T58" i="2"/>
  <c r="AN9" i="2"/>
  <c r="AN15" i="2"/>
  <c r="AN24" i="2"/>
  <c r="AN29" i="2"/>
  <c r="AN35" i="2"/>
  <c r="AN41" i="2"/>
  <c r="AN46" i="2"/>
  <c r="AN52" i="2"/>
  <c r="AN22" i="2"/>
  <c r="AN58" i="2"/>
  <c r="BH9" i="2"/>
  <c r="BH15" i="2"/>
  <c r="BH24" i="2"/>
  <c r="BH29" i="2"/>
  <c r="BH35" i="2"/>
  <c r="BH41" i="2"/>
  <c r="BH46" i="2"/>
  <c r="BH52" i="2"/>
  <c r="BH22" i="2"/>
  <c r="BH58" i="2"/>
  <c r="CB9" i="2"/>
  <c r="CB15" i="2"/>
  <c r="CB24" i="2"/>
  <c r="CB29" i="2"/>
  <c r="CB35" i="2"/>
  <c r="CB41" i="2"/>
  <c r="CB46" i="2"/>
  <c r="CB52" i="2"/>
  <c r="CB22" i="2"/>
  <c r="CB58" i="2"/>
  <c r="CV58" i="2"/>
  <c r="CV61" i="2"/>
  <c r="CV63" i="2"/>
  <c r="CV69" i="2"/>
  <c r="CV75" i="2"/>
  <c r="CV81" i="2"/>
  <c r="CV82" i="2"/>
  <c r="CV87" i="2"/>
  <c r="CV88" i="2"/>
  <c r="R9" i="2"/>
  <c r="R15" i="2"/>
  <c r="R24" i="2"/>
  <c r="R29" i="2"/>
  <c r="R35" i="2"/>
  <c r="R41" i="2"/>
  <c r="R46" i="2"/>
  <c r="R52" i="2"/>
  <c r="R22" i="2"/>
  <c r="R58" i="2"/>
  <c r="AL9" i="2"/>
  <c r="AL15" i="2"/>
  <c r="AL24" i="2"/>
  <c r="AL29" i="2"/>
  <c r="AL35" i="2"/>
  <c r="AL41" i="2"/>
  <c r="AL46" i="2"/>
  <c r="AL52" i="2"/>
  <c r="AL22" i="2"/>
  <c r="AL58" i="2"/>
  <c r="BF9" i="2"/>
  <c r="BF15" i="2"/>
  <c r="BF24" i="2"/>
  <c r="BF29" i="2"/>
  <c r="BF35" i="2"/>
  <c r="BF41" i="2"/>
  <c r="BF46" i="2"/>
  <c r="BF52" i="2"/>
  <c r="BF22" i="2"/>
  <c r="BF58" i="2"/>
  <c r="BZ9" i="2"/>
  <c r="BZ15" i="2"/>
  <c r="BZ24" i="2"/>
  <c r="BZ29" i="2"/>
  <c r="BZ35" i="2"/>
  <c r="BZ41" i="2"/>
  <c r="BZ46" i="2"/>
  <c r="BZ52" i="2"/>
  <c r="BZ22" i="2"/>
  <c r="BZ58" i="2"/>
  <c r="CT58" i="2"/>
  <c r="CT61" i="2"/>
  <c r="CT63" i="2"/>
  <c r="CT69" i="2"/>
  <c r="CT75" i="2"/>
  <c r="CT81" i="2"/>
  <c r="CT82" i="2"/>
  <c r="CT87" i="2"/>
  <c r="CT88" i="2"/>
  <c r="P9" i="2"/>
  <c r="P15" i="2"/>
  <c r="P24" i="2"/>
  <c r="P29" i="2"/>
  <c r="P35" i="2"/>
  <c r="P41" i="2"/>
  <c r="P46" i="2"/>
  <c r="P52" i="2"/>
  <c r="P22" i="2"/>
  <c r="P58" i="2"/>
  <c r="AJ9" i="2"/>
  <c r="AJ15" i="2"/>
  <c r="AJ24" i="2"/>
  <c r="AJ29" i="2"/>
  <c r="AJ35" i="2"/>
  <c r="AJ41" i="2"/>
  <c r="AJ46" i="2"/>
  <c r="AJ52" i="2"/>
  <c r="AJ22" i="2"/>
  <c r="AJ58" i="2"/>
  <c r="BD9" i="2"/>
  <c r="BD15" i="2"/>
  <c r="BD24" i="2"/>
  <c r="BD29" i="2"/>
  <c r="BD35" i="2"/>
  <c r="BD41" i="2"/>
  <c r="BD46" i="2"/>
  <c r="BD52" i="2"/>
  <c r="BD22" i="2"/>
  <c r="BD58" i="2"/>
  <c r="BX9" i="2"/>
  <c r="BX15" i="2"/>
  <c r="BX24" i="2"/>
  <c r="BX29" i="2"/>
  <c r="BX35" i="2"/>
  <c r="BX41" i="2"/>
  <c r="BX46" i="2"/>
  <c r="BX52" i="2"/>
  <c r="BX22" i="2"/>
  <c r="BX58" i="2"/>
  <c r="CR58" i="2"/>
  <c r="CR61" i="2"/>
  <c r="CR63" i="2"/>
  <c r="CR69" i="2"/>
  <c r="CR75" i="2"/>
  <c r="CR81" i="2"/>
  <c r="CR82" i="2"/>
  <c r="CR85" i="2"/>
  <c r="CR86" i="2"/>
  <c r="CR87" i="2"/>
  <c r="CR88" i="2"/>
  <c r="N9" i="2"/>
  <c r="N15" i="2"/>
  <c r="N24" i="2"/>
  <c r="N29" i="2"/>
  <c r="N35" i="2"/>
  <c r="N41" i="2"/>
  <c r="N46" i="2"/>
  <c r="N52" i="2"/>
  <c r="N22" i="2"/>
  <c r="N58" i="2"/>
  <c r="AH9" i="2"/>
  <c r="AH15" i="2"/>
  <c r="AH24" i="2"/>
  <c r="AH29" i="2"/>
  <c r="AH35" i="2"/>
  <c r="AH41" i="2"/>
  <c r="AH46" i="2"/>
  <c r="AH52" i="2"/>
  <c r="AH22" i="2"/>
  <c r="AH58" i="2"/>
  <c r="BB9" i="2"/>
  <c r="BB15" i="2"/>
  <c r="BB24" i="2"/>
  <c r="BB29" i="2"/>
  <c r="BB35" i="2"/>
  <c r="BB41" i="2"/>
  <c r="BB46" i="2"/>
  <c r="BB52" i="2"/>
  <c r="BB22" i="2"/>
  <c r="BB58" i="2"/>
  <c r="BV9" i="2"/>
  <c r="BV15" i="2"/>
  <c r="BV24" i="2"/>
  <c r="BV29" i="2"/>
  <c r="BV35" i="2"/>
  <c r="BV41" i="2"/>
  <c r="BV46" i="2"/>
  <c r="BV52" i="2"/>
  <c r="BV22" i="2"/>
  <c r="BV58" i="2"/>
  <c r="CP58" i="2"/>
  <c r="CP61" i="2"/>
  <c r="CP63" i="2"/>
  <c r="CP69" i="2"/>
  <c r="CP75" i="2"/>
  <c r="CP81" i="2"/>
  <c r="CP82" i="2"/>
  <c r="CP85" i="2"/>
  <c r="CP86" i="2"/>
  <c r="CP87" i="2"/>
  <c r="CP88" i="2"/>
  <c r="L9" i="2"/>
  <c r="L15" i="2"/>
  <c r="L24" i="2"/>
  <c r="L29" i="2"/>
  <c r="L35" i="2"/>
  <c r="L41" i="2"/>
  <c r="L46" i="2"/>
  <c r="L52" i="2"/>
  <c r="L22" i="2"/>
  <c r="L58" i="2"/>
  <c r="AF9" i="2"/>
  <c r="AF15" i="2"/>
  <c r="AF24" i="2"/>
  <c r="AF29" i="2"/>
  <c r="AF35" i="2"/>
  <c r="AF41" i="2"/>
  <c r="AF46" i="2"/>
  <c r="AF52" i="2"/>
  <c r="AF22" i="2"/>
  <c r="AF58" i="2"/>
  <c r="AZ9" i="2"/>
  <c r="AZ15" i="2"/>
  <c r="AZ24" i="2"/>
  <c r="AZ29" i="2"/>
  <c r="AZ35" i="2"/>
  <c r="AZ41" i="2"/>
  <c r="AZ46" i="2"/>
  <c r="AZ52" i="2"/>
  <c r="AZ22" i="2"/>
  <c r="AZ58" i="2"/>
  <c r="BT9" i="2"/>
  <c r="BT15" i="2"/>
  <c r="BT24" i="2"/>
  <c r="BT29" i="2"/>
  <c r="BT35" i="2"/>
  <c r="BT41" i="2"/>
  <c r="BT46" i="2"/>
  <c r="BT52" i="2"/>
  <c r="BT22" i="2"/>
  <c r="BT58" i="2"/>
  <c r="CN58" i="2"/>
  <c r="CN61" i="2"/>
  <c r="CN63" i="2"/>
  <c r="CN69" i="2"/>
  <c r="CN75" i="2"/>
  <c r="CN81" i="2"/>
  <c r="CN82" i="2"/>
  <c r="CN85" i="2"/>
  <c r="CN86" i="2"/>
  <c r="CN87" i="2"/>
  <c r="CN88" i="2"/>
  <c r="J9" i="2"/>
  <c r="J15" i="2"/>
  <c r="J24" i="2"/>
  <c r="J29" i="2"/>
  <c r="J35" i="2"/>
  <c r="J41" i="2"/>
  <c r="J46" i="2"/>
  <c r="J52" i="2"/>
  <c r="J22" i="2"/>
  <c r="J58" i="2"/>
  <c r="AD9" i="2"/>
  <c r="AD15" i="2"/>
  <c r="AD24" i="2"/>
  <c r="AD29" i="2"/>
  <c r="AD35" i="2"/>
  <c r="AD41" i="2"/>
  <c r="AD46" i="2"/>
  <c r="AD52" i="2"/>
  <c r="AD22" i="2"/>
  <c r="AD58" i="2"/>
  <c r="AX9" i="2"/>
  <c r="AX15" i="2"/>
  <c r="AX24" i="2"/>
  <c r="AX29" i="2"/>
  <c r="AX35" i="2"/>
  <c r="AX41" i="2"/>
  <c r="AX46" i="2"/>
  <c r="AX52" i="2"/>
  <c r="AX22" i="2"/>
  <c r="AX58" i="2"/>
  <c r="BR9" i="2"/>
  <c r="BR15" i="2"/>
  <c r="BR24" i="2"/>
  <c r="BR29" i="2"/>
  <c r="BR35" i="2"/>
  <c r="BR41" i="2"/>
  <c r="BR46" i="2"/>
  <c r="BR52" i="2"/>
  <c r="BR22" i="2"/>
  <c r="BR58" i="2"/>
  <c r="CL58" i="2"/>
  <c r="CL61" i="2"/>
  <c r="CL63" i="2"/>
  <c r="CL69" i="2"/>
  <c r="CL75" i="2"/>
  <c r="BR81" i="2"/>
  <c r="CL81" i="2"/>
  <c r="CL82" i="2"/>
  <c r="CL85" i="2"/>
  <c r="CL86" i="2"/>
  <c r="CL87" i="2"/>
  <c r="CL88" i="2"/>
  <c r="CJ9" i="2"/>
  <c r="CJ15" i="2"/>
  <c r="CJ24" i="2"/>
  <c r="CJ29" i="2"/>
  <c r="CJ35" i="2"/>
  <c r="CJ41" i="2"/>
  <c r="CJ46" i="2"/>
  <c r="CJ52" i="2"/>
  <c r="CJ22" i="2"/>
  <c r="CJ58" i="2"/>
  <c r="CJ61" i="2"/>
  <c r="CJ63" i="2"/>
  <c r="CJ69" i="2"/>
  <c r="CJ75" i="2"/>
  <c r="H81" i="2"/>
  <c r="AB81" i="2"/>
  <c r="AV81" i="2"/>
  <c r="BP81" i="2"/>
  <c r="CJ81" i="2"/>
  <c r="CJ82" i="2"/>
  <c r="CJ85" i="2"/>
  <c r="CJ86" i="2"/>
  <c r="CJ87" i="2"/>
  <c r="CJ88" i="2"/>
  <c r="CB61" i="2"/>
  <c r="CB63" i="2"/>
  <c r="CB69" i="2"/>
  <c r="CB75" i="2"/>
  <c r="CB82" i="2"/>
  <c r="CB87" i="2"/>
  <c r="CB88" i="2"/>
  <c r="BZ61" i="2"/>
  <c r="BZ63" i="2"/>
  <c r="BZ69" i="2"/>
  <c r="BZ75" i="2"/>
  <c r="BZ82" i="2"/>
  <c r="BZ87" i="2"/>
  <c r="BZ88" i="2"/>
  <c r="BX61" i="2"/>
  <c r="BX63" i="2"/>
  <c r="BX69" i="2"/>
  <c r="BX75" i="2"/>
  <c r="BX82" i="2"/>
  <c r="BX87" i="2"/>
  <c r="BX88" i="2"/>
  <c r="BV61" i="2"/>
  <c r="BV63" i="2"/>
  <c r="BV69" i="2"/>
  <c r="BV75" i="2"/>
  <c r="BV82" i="2"/>
  <c r="BV87" i="2"/>
  <c r="BV88" i="2"/>
  <c r="BT61" i="2"/>
  <c r="BT63" i="2"/>
  <c r="BT69" i="2"/>
  <c r="BT75" i="2"/>
  <c r="BT82" i="2"/>
  <c r="BT85" i="2"/>
  <c r="BT86" i="2"/>
  <c r="BT87" i="2"/>
  <c r="BT88" i="2"/>
  <c r="BR61" i="2"/>
  <c r="BR63" i="2"/>
  <c r="BR69" i="2"/>
  <c r="BR75" i="2"/>
  <c r="BR82" i="2"/>
  <c r="BR85" i="2"/>
  <c r="BR86" i="2"/>
  <c r="BR87" i="2"/>
  <c r="BR88" i="2"/>
  <c r="BQ9" i="2"/>
  <c r="BQ15" i="2"/>
  <c r="BQ24" i="2"/>
  <c r="BQ29" i="2"/>
  <c r="BQ35" i="2"/>
  <c r="BQ41" i="2"/>
  <c r="BQ46" i="2"/>
  <c r="BQ52" i="2"/>
  <c r="BQ22" i="2"/>
  <c r="BQ58" i="2"/>
  <c r="BQ61" i="2"/>
  <c r="BQ63" i="2"/>
  <c r="BQ69" i="2"/>
  <c r="BQ75" i="2"/>
  <c r="BQ81" i="2"/>
  <c r="BQ82" i="2"/>
  <c r="BQ85" i="2"/>
  <c r="BQ86" i="2"/>
  <c r="BQ87" i="2"/>
  <c r="BQ88" i="2"/>
  <c r="BP9" i="2"/>
  <c r="BP15" i="2"/>
  <c r="BP24" i="2"/>
  <c r="BP29" i="2"/>
  <c r="BP35" i="2"/>
  <c r="BP41" i="2"/>
  <c r="BP46" i="2"/>
  <c r="BP52" i="2"/>
  <c r="BP22" i="2"/>
  <c r="BP58" i="2"/>
  <c r="BP61" i="2"/>
  <c r="BP63" i="2"/>
  <c r="BP69" i="2"/>
  <c r="BP75" i="2"/>
  <c r="BP82" i="2"/>
  <c r="BP85" i="2"/>
  <c r="BP86" i="2"/>
  <c r="BP87" i="2"/>
  <c r="BP88" i="2"/>
  <c r="BH61" i="2"/>
  <c r="BH82" i="2"/>
  <c r="BH87" i="2"/>
  <c r="BH88" i="2"/>
  <c r="BF61" i="2"/>
  <c r="BF82" i="2"/>
  <c r="BF87" i="2"/>
  <c r="BF88" i="2"/>
  <c r="BD61" i="2"/>
  <c r="BD82" i="2"/>
  <c r="BD87" i="2"/>
  <c r="BD88" i="2"/>
  <c r="BB61" i="2"/>
  <c r="BB82" i="2"/>
  <c r="BB87" i="2"/>
  <c r="BB88" i="2"/>
  <c r="AZ61" i="2"/>
  <c r="AZ82" i="2"/>
  <c r="AZ85" i="2"/>
  <c r="AZ87" i="2"/>
  <c r="AZ88" i="2"/>
  <c r="AX61" i="2"/>
  <c r="AX82" i="2"/>
  <c r="AX85" i="2"/>
  <c r="AX87" i="2"/>
  <c r="AX88" i="2"/>
  <c r="AW9" i="2"/>
  <c r="AW15" i="2"/>
  <c r="AW24" i="2"/>
  <c r="AW29" i="2"/>
  <c r="AW35" i="2"/>
  <c r="AW41" i="2"/>
  <c r="AW46" i="2"/>
  <c r="AW52" i="2"/>
  <c r="AW22" i="2"/>
  <c r="AW58" i="2"/>
  <c r="AW61" i="2"/>
  <c r="AW63" i="2"/>
  <c r="AW69" i="2"/>
  <c r="AW75" i="2"/>
  <c r="AW81" i="2"/>
  <c r="AW82" i="2"/>
  <c r="AW85" i="2"/>
  <c r="AW86" i="2"/>
  <c r="AW87" i="2"/>
  <c r="AW88" i="2"/>
  <c r="AV9" i="2"/>
  <c r="AV15" i="2"/>
  <c r="AV24" i="2"/>
  <c r="AV29" i="2"/>
  <c r="AV35" i="2"/>
  <c r="AV41" i="2"/>
  <c r="AV46" i="2"/>
  <c r="AV52" i="2"/>
  <c r="AV22" i="2"/>
  <c r="AV58" i="2"/>
  <c r="AV61" i="2"/>
  <c r="AV63" i="2"/>
  <c r="AV69" i="2"/>
  <c r="AV75" i="2"/>
  <c r="AV82" i="2"/>
  <c r="AV85" i="2"/>
  <c r="AV86" i="2"/>
  <c r="AV87" i="2"/>
  <c r="AV88" i="2"/>
  <c r="AN61" i="2"/>
  <c r="AN82" i="2"/>
  <c r="AN87" i="2"/>
  <c r="AN88" i="2"/>
  <c r="AL61" i="2"/>
  <c r="AL82" i="2"/>
  <c r="AL87" i="2"/>
  <c r="AL88" i="2"/>
  <c r="AJ61" i="2"/>
  <c r="AJ82" i="2"/>
  <c r="AJ87" i="2"/>
  <c r="AJ88" i="2"/>
  <c r="AH61" i="2"/>
  <c r="AH82" i="2"/>
  <c r="AH87" i="2"/>
  <c r="AH88" i="2"/>
  <c r="AF61" i="2"/>
  <c r="AF82" i="2"/>
  <c r="AF85" i="2"/>
  <c r="AF87" i="2"/>
  <c r="AF88" i="2"/>
  <c r="AD61" i="2"/>
  <c r="AD82" i="2"/>
  <c r="AD85" i="2"/>
  <c r="AD87" i="2"/>
  <c r="AD88" i="2"/>
  <c r="AC9" i="2"/>
  <c r="AC15" i="2"/>
  <c r="AC24" i="2"/>
  <c r="AC29" i="2"/>
  <c r="AC35" i="2"/>
  <c r="AC41" i="2"/>
  <c r="AC46" i="2"/>
  <c r="AC52" i="2"/>
  <c r="AC22" i="2"/>
  <c r="AC58" i="2"/>
  <c r="AC61" i="2"/>
  <c r="AC63" i="2"/>
  <c r="AC69" i="2"/>
  <c r="AC75" i="2"/>
  <c r="AC81" i="2"/>
  <c r="AC82" i="2"/>
  <c r="AC85" i="2"/>
  <c r="AC86" i="2"/>
  <c r="AC87" i="2"/>
  <c r="AC88" i="2"/>
  <c r="AB9" i="2"/>
  <c r="AB15" i="2"/>
  <c r="AB24" i="2"/>
  <c r="AB29" i="2"/>
  <c r="AB35" i="2"/>
  <c r="AB41" i="2"/>
  <c r="AB46" i="2"/>
  <c r="AB52" i="2"/>
  <c r="AB22" i="2"/>
  <c r="AB58" i="2"/>
  <c r="AB61" i="2"/>
  <c r="AB63" i="2"/>
  <c r="AB69" i="2"/>
  <c r="AB75" i="2"/>
  <c r="AB82" i="2"/>
  <c r="AB85" i="2"/>
  <c r="AB86" i="2"/>
  <c r="AB87" i="2"/>
  <c r="AB88" i="2"/>
  <c r="T61" i="2"/>
  <c r="T82" i="2"/>
  <c r="T87" i="2"/>
  <c r="T88" i="2"/>
  <c r="R61" i="2"/>
  <c r="R82" i="2"/>
  <c r="R87" i="2"/>
  <c r="R88" i="2"/>
  <c r="P61" i="2"/>
  <c r="P82" i="2"/>
  <c r="P87" i="2"/>
  <c r="P88" i="2"/>
  <c r="N61" i="2"/>
  <c r="N82" i="2"/>
  <c r="N87" i="2"/>
  <c r="N88" i="2"/>
  <c r="L61" i="2"/>
  <c r="L82" i="2"/>
  <c r="L85" i="2"/>
  <c r="L87" i="2"/>
  <c r="L88" i="2"/>
  <c r="J61" i="2"/>
  <c r="J82" i="2"/>
  <c r="J85" i="2"/>
  <c r="J87" i="2"/>
  <c r="J88" i="2"/>
  <c r="I9" i="2"/>
  <c r="I15" i="2"/>
  <c r="I24" i="2"/>
  <c r="I29" i="2"/>
  <c r="I35" i="2"/>
  <c r="I41" i="2"/>
  <c r="I46" i="2"/>
  <c r="I52" i="2"/>
  <c r="I22" i="2"/>
  <c r="I58" i="2"/>
  <c r="I61" i="2"/>
  <c r="I63" i="2"/>
  <c r="I69" i="2"/>
  <c r="I75" i="2"/>
  <c r="I81" i="2"/>
  <c r="I82" i="2"/>
  <c r="I85" i="2"/>
  <c r="I86" i="2"/>
  <c r="I87" i="2"/>
  <c r="I88" i="2"/>
  <c r="H9" i="2"/>
  <c r="H15" i="2"/>
  <c r="H24" i="2"/>
  <c r="H29" i="2"/>
  <c r="H35" i="2"/>
  <c r="H41" i="2"/>
  <c r="H46" i="2"/>
  <c r="H52" i="2"/>
  <c r="H22" i="2"/>
  <c r="H58" i="2"/>
  <c r="H61" i="2"/>
  <c r="H63" i="2"/>
  <c r="H69" i="2"/>
  <c r="H75" i="2"/>
  <c r="H82" i="2"/>
  <c r="H85" i="2"/>
  <c r="H86" i="2"/>
  <c r="H87" i="2"/>
  <c r="H88" i="2"/>
  <c r="CF9" i="2"/>
  <c r="CF15" i="2"/>
  <c r="CF24" i="2"/>
  <c r="CF29" i="2"/>
  <c r="CF35" i="2"/>
  <c r="CF41" i="2"/>
  <c r="CF46" i="2"/>
  <c r="CF52" i="2"/>
  <c r="CF22" i="2"/>
  <c r="CF58" i="2"/>
  <c r="CF61" i="2"/>
  <c r="CF63" i="2"/>
  <c r="CF69" i="2"/>
  <c r="CF75" i="2"/>
  <c r="CF82" i="2"/>
  <c r="BL9" i="2"/>
  <c r="BL15" i="2"/>
  <c r="BL24" i="2"/>
  <c r="BL29" i="2"/>
  <c r="BL35" i="2"/>
  <c r="BL41" i="2"/>
  <c r="BL46" i="2"/>
  <c r="BL52" i="2"/>
  <c r="BL22" i="2"/>
  <c r="BL58" i="2"/>
  <c r="BL61" i="2"/>
  <c r="BL63" i="2"/>
  <c r="BL69" i="2"/>
  <c r="BL75" i="2"/>
  <c r="BL82" i="2"/>
  <c r="AR9" i="2"/>
  <c r="AR15" i="2"/>
  <c r="AR24" i="2"/>
  <c r="AR29" i="2"/>
  <c r="AR35" i="2"/>
  <c r="AR41" i="2"/>
  <c r="AR46" i="2"/>
  <c r="AR52" i="2"/>
  <c r="AR22" i="2"/>
  <c r="AR58" i="2"/>
  <c r="AR61" i="2"/>
  <c r="AR82" i="2"/>
  <c r="X9" i="2"/>
  <c r="X15" i="2"/>
  <c r="X24" i="2"/>
  <c r="X29" i="2"/>
  <c r="X35" i="2"/>
  <c r="X41" i="2"/>
  <c r="X46" i="2"/>
  <c r="X52" i="2"/>
  <c r="X22" i="2"/>
  <c r="X58" i="2"/>
  <c r="X61" i="2"/>
  <c r="X82" i="2"/>
  <c r="D9" i="2"/>
  <c r="D15" i="2"/>
  <c r="D24" i="2"/>
  <c r="D29" i="2"/>
  <c r="D35" i="2"/>
  <c r="D41" i="2"/>
  <c r="D46" i="2"/>
  <c r="D52" i="2"/>
  <c r="D22" i="2"/>
  <c r="D58" i="2"/>
  <c r="D61" i="2"/>
  <c r="D82" i="2"/>
  <c r="CX80" i="2"/>
  <c r="CD80" i="2"/>
  <c r="BJ80" i="2"/>
  <c r="AP80" i="2"/>
  <c r="V80" i="2"/>
  <c r="CX79" i="2"/>
  <c r="CD79" i="2"/>
  <c r="BJ79" i="2"/>
  <c r="AP79" i="2"/>
  <c r="V79" i="2"/>
  <c r="CX78" i="2"/>
  <c r="CD78" i="2"/>
  <c r="BJ78" i="2"/>
  <c r="AP78" i="2"/>
  <c r="V78" i="2"/>
  <c r="CX77" i="2"/>
  <c r="CD77" i="2"/>
  <c r="BJ77" i="2"/>
  <c r="AP77" i="2"/>
  <c r="V77" i="2"/>
  <c r="CX76" i="2"/>
  <c r="CD76" i="2"/>
  <c r="BJ76" i="2"/>
  <c r="AP76" i="2"/>
  <c r="V76" i="2"/>
  <c r="CX75" i="2"/>
  <c r="CK75" i="2"/>
  <c r="CD75" i="2"/>
  <c r="BJ75" i="2"/>
  <c r="AP75" i="2"/>
  <c r="V75" i="2"/>
  <c r="CX74" i="2"/>
  <c r="BJ74" i="2"/>
  <c r="AP74" i="2"/>
  <c r="V74" i="2"/>
  <c r="CX73" i="2"/>
  <c r="CD73" i="2"/>
  <c r="BJ73" i="2"/>
  <c r="AP73" i="2"/>
  <c r="V73" i="2"/>
  <c r="CX72" i="2"/>
  <c r="CD72" i="2"/>
  <c r="BJ72" i="2"/>
  <c r="AP72" i="2"/>
  <c r="V72" i="2"/>
  <c r="CX71" i="2"/>
  <c r="CD71" i="2"/>
  <c r="BJ71" i="2"/>
  <c r="AP71" i="2"/>
  <c r="V71" i="2"/>
  <c r="CX70" i="2"/>
  <c r="CD70" i="2"/>
  <c r="BJ70" i="2"/>
  <c r="AP70" i="2"/>
  <c r="V70" i="2"/>
  <c r="CX69" i="2"/>
  <c r="CK69" i="2"/>
  <c r="CD69" i="2"/>
  <c r="BJ69" i="2"/>
  <c r="AP69" i="2"/>
  <c r="V69" i="2"/>
  <c r="CX68" i="2"/>
  <c r="CD68" i="2"/>
  <c r="BJ68" i="2"/>
  <c r="AP68" i="2"/>
  <c r="V68" i="2"/>
  <c r="CX67" i="2"/>
  <c r="CD67" i="2"/>
  <c r="BJ67" i="2"/>
  <c r="AP67" i="2"/>
  <c r="V67" i="2"/>
  <c r="CX66" i="2"/>
  <c r="CD66" i="2"/>
  <c r="BJ66" i="2"/>
  <c r="AP66" i="2"/>
  <c r="V66" i="2"/>
  <c r="CX65" i="2"/>
  <c r="CD65" i="2"/>
  <c r="BJ65" i="2"/>
  <c r="AP65" i="2"/>
  <c r="V65" i="2"/>
  <c r="CX64" i="2"/>
  <c r="CD64" i="2"/>
  <c r="BJ64" i="2"/>
  <c r="AP64" i="2"/>
  <c r="V64" i="2"/>
  <c r="CX63" i="2"/>
  <c r="CK63" i="2"/>
  <c r="CD63" i="2"/>
  <c r="BJ63" i="2"/>
  <c r="AP63" i="2"/>
  <c r="V63" i="2"/>
  <c r="CX60" i="2"/>
  <c r="CH60" i="2"/>
  <c r="CD60" i="2"/>
  <c r="BN60" i="2"/>
  <c r="BJ60" i="2"/>
  <c r="AT60" i="2"/>
  <c r="AP60" i="2"/>
  <c r="Z60" i="2"/>
  <c r="V60" i="2"/>
  <c r="F60" i="2"/>
  <c r="CX58" i="2"/>
  <c r="CD58" i="2"/>
  <c r="BJ58" i="2"/>
  <c r="AP58" i="2"/>
  <c r="V58" i="2"/>
  <c r="CX57" i="2"/>
  <c r="CD57" i="2"/>
  <c r="BJ57" i="2"/>
  <c r="AP57" i="2"/>
  <c r="V57" i="2"/>
  <c r="CX56" i="2"/>
  <c r="CD56" i="2"/>
  <c r="BJ56" i="2"/>
  <c r="AP56" i="2"/>
  <c r="V56" i="2"/>
  <c r="CX55" i="2"/>
  <c r="CD55" i="2"/>
  <c r="BJ55" i="2"/>
  <c r="AP55" i="2"/>
  <c r="V55" i="2"/>
  <c r="CX54" i="2"/>
  <c r="CD54" i="2"/>
  <c r="BJ54" i="2"/>
  <c r="AP54" i="2"/>
  <c r="V54" i="2"/>
  <c r="CX53" i="2"/>
  <c r="CD53" i="2"/>
  <c r="BJ53" i="2"/>
  <c r="AP53" i="2"/>
  <c r="V53" i="2"/>
  <c r="CL52" i="2"/>
  <c r="CX52" i="2"/>
  <c r="CV52" i="2"/>
  <c r="CT52" i="2"/>
  <c r="CR52" i="2"/>
  <c r="CP52" i="2"/>
  <c r="CN52" i="2"/>
  <c r="CD52" i="2"/>
  <c r="BJ52" i="2"/>
  <c r="AP52" i="2"/>
  <c r="V52" i="2"/>
  <c r="CX51" i="2"/>
  <c r="CD51" i="2"/>
  <c r="BJ51" i="2"/>
  <c r="AP51" i="2"/>
  <c r="V51" i="2"/>
  <c r="CX50" i="2"/>
  <c r="CD50" i="2"/>
  <c r="BJ50" i="2"/>
  <c r="AP50" i="2"/>
  <c r="V50" i="2"/>
  <c r="CX49" i="2"/>
  <c r="CD49" i="2"/>
  <c r="BJ49" i="2"/>
  <c r="AP49" i="2"/>
  <c r="V49" i="2"/>
  <c r="CX48" i="2"/>
  <c r="CD48" i="2"/>
  <c r="BJ48" i="2"/>
  <c r="AP48" i="2"/>
  <c r="V48" i="2"/>
  <c r="CX47" i="2"/>
  <c r="CD47" i="2"/>
  <c r="BJ47" i="2"/>
  <c r="AP47" i="2"/>
  <c r="V47" i="2"/>
  <c r="CL46" i="2"/>
  <c r="CX46" i="2"/>
  <c r="CV46" i="2"/>
  <c r="CT46" i="2"/>
  <c r="CR46" i="2"/>
  <c r="CP46" i="2"/>
  <c r="CN46" i="2"/>
  <c r="CD46" i="2"/>
  <c r="BJ46" i="2"/>
  <c r="AP46" i="2"/>
  <c r="V46" i="2"/>
  <c r="CX45" i="2"/>
  <c r="CD45" i="2"/>
  <c r="BJ45" i="2"/>
  <c r="AP45" i="2"/>
  <c r="V45" i="2"/>
  <c r="CX44" i="2"/>
  <c r="CD44" i="2"/>
  <c r="BJ44" i="2"/>
  <c r="AP44" i="2"/>
  <c r="V44" i="2"/>
  <c r="CX43" i="2"/>
  <c r="CD43" i="2"/>
  <c r="BJ43" i="2"/>
  <c r="AP43" i="2"/>
  <c r="V43" i="2"/>
  <c r="CX42" i="2"/>
  <c r="CD42" i="2"/>
  <c r="BJ42" i="2"/>
  <c r="AP42" i="2"/>
  <c r="V42" i="2"/>
  <c r="CL41" i="2"/>
  <c r="CX41" i="2"/>
  <c r="CV41" i="2"/>
  <c r="CT41" i="2"/>
  <c r="CR41" i="2"/>
  <c r="CP41" i="2"/>
  <c r="CN41" i="2"/>
  <c r="CD41" i="2"/>
  <c r="BJ41" i="2"/>
  <c r="AP41" i="2"/>
  <c r="V41" i="2"/>
  <c r="CX40" i="2"/>
  <c r="CD40" i="2"/>
  <c r="BJ40" i="2"/>
  <c r="AP40" i="2"/>
  <c r="V40" i="2"/>
  <c r="CX39" i="2"/>
  <c r="CD39" i="2"/>
  <c r="BJ39" i="2"/>
  <c r="AP39" i="2"/>
  <c r="V39" i="2"/>
  <c r="CX38" i="2"/>
  <c r="CD38" i="2"/>
  <c r="BJ38" i="2"/>
  <c r="AP38" i="2"/>
  <c r="V38" i="2"/>
  <c r="CX37" i="2"/>
  <c r="CD37" i="2"/>
  <c r="BJ37" i="2"/>
  <c r="AP37" i="2"/>
  <c r="V37" i="2"/>
  <c r="CX36" i="2"/>
  <c r="CD36" i="2"/>
  <c r="BJ36" i="2"/>
  <c r="AP36" i="2"/>
  <c r="V36" i="2"/>
  <c r="CL35" i="2"/>
  <c r="CX35" i="2"/>
  <c r="CV35" i="2"/>
  <c r="CT35" i="2"/>
  <c r="CR35" i="2"/>
  <c r="CP35" i="2"/>
  <c r="CN35" i="2"/>
  <c r="CD35" i="2"/>
  <c r="BJ35" i="2"/>
  <c r="AP35" i="2"/>
  <c r="V35" i="2"/>
  <c r="CX34" i="2"/>
  <c r="CD34" i="2"/>
  <c r="BJ34" i="2"/>
  <c r="AP34" i="2"/>
  <c r="V34" i="2"/>
  <c r="CX33" i="2"/>
  <c r="CD33" i="2"/>
  <c r="BJ33" i="2"/>
  <c r="AP33" i="2"/>
  <c r="V33" i="2"/>
  <c r="CX32" i="2"/>
  <c r="CD32" i="2"/>
  <c r="BJ32" i="2"/>
  <c r="AP32" i="2"/>
  <c r="V32" i="2"/>
  <c r="CX31" i="2"/>
  <c r="AP31" i="2"/>
  <c r="V31" i="2"/>
  <c r="CX30" i="2"/>
  <c r="CD30" i="2"/>
  <c r="BJ30" i="2"/>
  <c r="AP30" i="2"/>
  <c r="V30" i="2"/>
  <c r="CL29" i="2"/>
  <c r="CX29" i="2"/>
  <c r="CV29" i="2"/>
  <c r="CT29" i="2"/>
  <c r="CR29" i="2"/>
  <c r="CP29" i="2"/>
  <c r="CN29" i="2"/>
  <c r="CD29" i="2"/>
  <c r="BJ29" i="2"/>
  <c r="AP29" i="2"/>
  <c r="V29" i="2"/>
  <c r="CX28" i="2"/>
  <c r="CD28" i="2"/>
  <c r="BJ28" i="2"/>
  <c r="AP28" i="2"/>
  <c r="V28" i="2"/>
  <c r="CX27" i="2"/>
  <c r="CD27" i="2"/>
  <c r="BJ27" i="2"/>
  <c r="AP27" i="2"/>
  <c r="V27" i="2"/>
  <c r="CX26" i="2"/>
  <c r="CD26" i="2"/>
  <c r="BJ26" i="2"/>
  <c r="AP26" i="2"/>
  <c r="V26" i="2"/>
  <c r="CX25" i="2"/>
  <c r="CD25" i="2"/>
  <c r="BJ25" i="2"/>
  <c r="AP25" i="2"/>
  <c r="V25" i="2"/>
  <c r="CL24" i="2"/>
  <c r="CX24" i="2"/>
  <c r="CV24" i="2"/>
  <c r="CT24" i="2"/>
  <c r="CR24" i="2"/>
  <c r="CP24" i="2"/>
  <c r="CN24" i="2"/>
  <c r="CD24" i="2"/>
  <c r="BJ24" i="2"/>
  <c r="AP24" i="2"/>
  <c r="V24" i="2"/>
  <c r="CX23" i="2"/>
  <c r="CD23" i="2"/>
  <c r="BJ23" i="2"/>
  <c r="AP23" i="2"/>
  <c r="V23" i="2"/>
  <c r="CL22" i="2"/>
  <c r="CX22" i="2"/>
  <c r="CV22" i="2"/>
  <c r="CT22" i="2"/>
  <c r="CR22" i="2"/>
  <c r="CP22" i="2"/>
  <c r="CN22" i="2"/>
  <c r="CD22" i="2"/>
  <c r="BJ22" i="2"/>
  <c r="AP22" i="2"/>
  <c r="V22" i="2"/>
  <c r="CX21" i="2"/>
  <c r="CD21" i="2"/>
  <c r="BJ21" i="2"/>
  <c r="AP21" i="2"/>
  <c r="V21" i="2"/>
  <c r="CX20" i="2"/>
  <c r="CD20" i="2"/>
  <c r="BJ20" i="2"/>
  <c r="AP20" i="2"/>
  <c r="V20" i="2"/>
  <c r="CX19" i="2"/>
  <c r="CD19" i="2"/>
  <c r="BJ19" i="2"/>
  <c r="AP19" i="2"/>
  <c r="V19" i="2"/>
  <c r="CX18" i="2"/>
  <c r="CD18" i="2"/>
  <c r="BJ18" i="2"/>
  <c r="AP18" i="2"/>
  <c r="V18" i="2"/>
  <c r="CX17" i="2"/>
  <c r="CD17" i="2"/>
  <c r="BJ17" i="2"/>
  <c r="AP17" i="2"/>
  <c r="V17" i="2"/>
  <c r="CX16" i="2"/>
  <c r="CD16" i="2"/>
  <c r="BJ16" i="2"/>
  <c r="AP16" i="2"/>
  <c r="V16" i="2"/>
  <c r="CL15" i="2"/>
  <c r="CX15" i="2"/>
  <c r="CV15" i="2"/>
  <c r="CT15" i="2"/>
  <c r="CR15" i="2"/>
  <c r="CP15" i="2"/>
  <c r="CN15" i="2"/>
  <c r="CD15" i="2"/>
  <c r="BJ15" i="2"/>
  <c r="AP15" i="2"/>
  <c r="V15" i="2"/>
  <c r="CX14" i="2"/>
  <c r="CD14" i="2"/>
  <c r="BJ14" i="2"/>
  <c r="AP14" i="2"/>
  <c r="V14" i="2"/>
  <c r="CX13" i="2"/>
  <c r="CD13" i="2"/>
  <c r="BJ13" i="2"/>
  <c r="AP13" i="2"/>
  <c r="V13" i="2"/>
  <c r="CX12" i="2"/>
  <c r="CD12" i="2"/>
  <c r="BJ12" i="2"/>
  <c r="AP12" i="2"/>
  <c r="V12" i="2"/>
  <c r="CX11" i="2"/>
  <c r="CD11" i="2"/>
  <c r="BJ11" i="2"/>
  <c r="AP11" i="2"/>
  <c r="V11" i="2"/>
  <c r="CX10" i="2"/>
  <c r="CD10" i="2"/>
  <c r="BJ10" i="2"/>
  <c r="AP10" i="2"/>
  <c r="V10" i="2"/>
  <c r="CL9" i="2"/>
  <c r="CX9" i="2"/>
  <c r="CV9" i="2"/>
  <c r="CT9" i="2"/>
  <c r="CR9" i="2"/>
  <c r="CP9" i="2"/>
  <c r="CN9" i="2"/>
  <c r="CD9" i="2"/>
  <c r="BJ9" i="2"/>
  <c r="AP9" i="2"/>
  <c r="V9" i="2"/>
</calcChain>
</file>

<file path=xl/sharedStrings.xml><?xml version="1.0" encoding="utf-8"?>
<sst xmlns="http://schemas.openxmlformats.org/spreadsheetml/2006/main" count="740" uniqueCount="80">
  <si>
    <t xml:space="preserve">Sabiedriskā pasūtījuma plāns 2022.gadā 
VSIA Latvijas Radio </t>
  </si>
  <si>
    <t>v_17122021</t>
  </si>
  <si>
    <t>Žanri</t>
  </si>
  <si>
    <t>Programma/ Kanāls</t>
  </si>
  <si>
    <t>I ceturksnī</t>
  </si>
  <si>
    <t>II ceturksnī</t>
  </si>
  <si>
    <t>III ceturksnī</t>
  </si>
  <si>
    <t>IV ceturksnī</t>
  </si>
  <si>
    <t>2022.gads KOPĀ</t>
  </si>
  <si>
    <t>Nr.p.k.</t>
  </si>
  <si>
    <t>Hronometrāža</t>
  </si>
  <si>
    <t>Kopējie izdevumi</t>
  </si>
  <si>
    <t>Kopējie izdevumi (pēc PZA)</t>
  </si>
  <si>
    <t>tai skaitā</t>
  </si>
  <si>
    <t>1 stundas tiešās izmaksas</t>
  </si>
  <si>
    <t xml:space="preserve">tai skaitā </t>
  </si>
  <si>
    <t>Dotācija</t>
  </si>
  <si>
    <t>Līdzfinansējumi</t>
  </si>
  <si>
    <t>Ilgums</t>
  </si>
  <si>
    <t>Īpatsvars no programmas kopējā raidapjoma</t>
  </si>
  <si>
    <t>Tiešās izmaksas</t>
  </si>
  <si>
    <t>Netiešās izmaksas</t>
  </si>
  <si>
    <t>Plāns</t>
  </si>
  <si>
    <t xml:space="preserve">Izpilde </t>
  </si>
  <si>
    <t>Izpilde</t>
  </si>
  <si>
    <t>stundas</t>
  </si>
  <si>
    <t>%</t>
  </si>
  <si>
    <t>Euro</t>
  </si>
  <si>
    <t>I</t>
  </si>
  <si>
    <t xml:space="preserve">Ziņas </t>
  </si>
  <si>
    <t>LR1</t>
  </si>
  <si>
    <t>LR2</t>
  </si>
  <si>
    <t>LR3</t>
  </si>
  <si>
    <t>LR4</t>
  </si>
  <si>
    <t>LR5</t>
  </si>
  <si>
    <t>Informatīvi analītiskie, sabiedriski politiskie raidījumi</t>
  </si>
  <si>
    <t>Latgales MMS</t>
  </si>
  <si>
    <t>Pētnieciskie raidījumi</t>
  </si>
  <si>
    <t>Sports</t>
  </si>
  <si>
    <t>Bērnu, pusaudžu un jauniešu raidījumi</t>
  </si>
  <si>
    <t>Vērtību orientējošie, kultūras  raidījumi</t>
  </si>
  <si>
    <t>Izglītojošie un zinātnes raidījumi</t>
  </si>
  <si>
    <t>Izklaidējošie raidījumi</t>
  </si>
  <si>
    <t>Mūzika</t>
  </si>
  <si>
    <t>Kopā pa žanriem (I)</t>
  </si>
  <si>
    <t>II</t>
  </si>
  <si>
    <t>Iepirktās filmas, ekranizējumi, raidījumi</t>
  </si>
  <si>
    <t>x</t>
  </si>
  <si>
    <t>Citi (Saeimas plenārsēdes)</t>
  </si>
  <si>
    <t>LR6</t>
  </si>
  <si>
    <t>Kopā (I+II)</t>
  </si>
  <si>
    <t>III</t>
  </si>
  <si>
    <t>Atkārtojumi (tai skaitā)</t>
  </si>
  <si>
    <t>IV</t>
  </si>
  <si>
    <t>Pašreklāma</t>
  </si>
  <si>
    <t>V</t>
  </si>
  <si>
    <t>Kultūras paziņojumi</t>
  </si>
  <si>
    <t>Sociālie un citi paziņojumi</t>
  </si>
  <si>
    <t>VI</t>
  </si>
  <si>
    <t>Apraides izmaksas</t>
  </si>
  <si>
    <t>Kopā lineārais saturs (I-VI)</t>
  </si>
  <si>
    <t>VII</t>
  </si>
  <si>
    <t>Ārpus ētera projekti (pasākumi u.c.)</t>
  </si>
  <si>
    <t>VIII</t>
  </si>
  <si>
    <t>Digitālā satura veidošana (sociālie mediji, platformas, tehnoloģijas u.c.)</t>
  </si>
  <si>
    <t>Satura veidošana LSM.LV</t>
  </si>
  <si>
    <t>Cits</t>
  </si>
  <si>
    <t>Kopā digitālais saturs (VIII)</t>
  </si>
  <si>
    <t>KOPĀ visas satura izmaksas (I-VIII)</t>
  </si>
  <si>
    <t>Tajā skaitā kopā pa programmām*:</t>
  </si>
  <si>
    <t>Latgales reģionālā apraide</t>
  </si>
  <si>
    <t>* tikai lineārais saturs</t>
  </si>
  <si>
    <t>U.Klapkalne</t>
  </si>
  <si>
    <t>M.Tukiša</t>
  </si>
  <si>
    <t>Valdes locekle</t>
  </si>
  <si>
    <t>S.Dika- Bokmeldere</t>
  </si>
  <si>
    <t>Sagatavoja: I.Irkle</t>
  </si>
  <si>
    <t>Valdes priekšsēdētāja</t>
  </si>
  <si>
    <t>(paraksts)**</t>
  </si>
  <si>
    <t>**DOKUMENTS PARAKSTĪTS AR DROŠU ELEKTRONISKO PARAKSTU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</si>
</sst>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8" x14ac:knownFonts="1"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9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8">
    <xf numFmtId="0" fontId="0" fillId="0" borderId="0" xfId="0"/>
    <xf numFmtId="0" fontId="0" fillId="2" borderId="0" xfId="0" applyFill="1"/>
    <xf numFmtId="0" fontId="0" fillId="0" borderId="1" xfId="0" applyBorder="1"/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/>
    <xf numFmtId="3" fontId="3" fillId="0" borderId="0" xfId="0" applyNumberFormat="1" applyFont="1"/>
    <xf numFmtId="164" fontId="1" fillId="0" borderId="0" xfId="0" applyNumberFormat="1" applyFont="1"/>
    <xf numFmtId="164" fontId="1" fillId="2" borderId="0" xfId="0" applyNumberFormat="1" applyFont="1" applyFill="1"/>
    <xf numFmtId="0" fontId="1" fillId="2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2" borderId="2" xfId="0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0" fillId="2" borderId="30" xfId="0" applyNumberFormat="1" applyFill="1" applyBorder="1" applyAlignment="1">
      <alignment horizontal="center" wrapText="1"/>
    </xf>
    <xf numFmtId="165" fontId="0" fillId="2" borderId="31" xfId="0" applyNumberFormat="1" applyFill="1" applyBorder="1" applyAlignment="1">
      <alignment horizontal="center" wrapText="1"/>
    </xf>
    <xf numFmtId="0" fontId="0" fillId="2" borderId="31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3" fontId="0" fillId="2" borderId="17" xfId="0" applyNumberFormat="1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3" fontId="0" fillId="2" borderId="31" xfId="0" applyNumberFormat="1" applyFill="1" applyBorder="1" applyAlignment="1">
      <alignment horizontal="center" wrapText="1"/>
    </xf>
    <xf numFmtId="164" fontId="0" fillId="2" borderId="31" xfId="0" applyNumberFormat="1" applyFill="1" applyBorder="1" applyAlignment="1">
      <alignment horizontal="center" wrapText="1"/>
    </xf>
    <xf numFmtId="0" fontId="0" fillId="2" borderId="32" xfId="0" applyFill="1" applyBorder="1" applyAlignment="1">
      <alignment horizontal="center" wrapText="1"/>
    </xf>
    <xf numFmtId="164" fontId="0" fillId="2" borderId="19" xfId="0" applyNumberFormat="1" applyFill="1" applyBorder="1" applyAlignment="1">
      <alignment horizontal="center" wrapText="1"/>
    </xf>
    <xf numFmtId="164" fontId="0" fillId="2" borderId="36" xfId="0" applyNumberFormat="1" applyFill="1" applyBorder="1" applyAlignment="1">
      <alignment horizontal="center"/>
    </xf>
    <xf numFmtId="165" fontId="0" fillId="2" borderId="37" xfId="0" applyNumberForma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16" xfId="0" applyFill="1" applyBorder="1" applyAlignment="1">
      <alignment horizontal="center" wrapText="1"/>
    </xf>
    <xf numFmtId="0" fontId="0" fillId="2" borderId="37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38" xfId="0" applyFill="1" applyBorder="1" applyAlignment="1">
      <alignment horizontal="center" wrapText="1"/>
    </xf>
    <xf numFmtId="3" fontId="0" fillId="2" borderId="39" xfId="0" applyNumberFormat="1" applyFill="1" applyBorder="1" applyAlignment="1">
      <alignment horizontal="center" wrapText="1"/>
    </xf>
    <xf numFmtId="3" fontId="0" fillId="2" borderId="3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164" fontId="0" fillId="2" borderId="37" xfId="0" applyNumberFormat="1" applyFill="1" applyBorder="1" applyAlignment="1">
      <alignment horizontal="center"/>
    </xf>
    <xf numFmtId="3" fontId="0" fillId="2" borderId="40" xfId="0" applyNumberFormat="1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164" fontId="0" fillId="2" borderId="15" xfId="0" applyNumberFormat="1" applyFill="1" applyBorder="1" applyAlignment="1">
      <alignment horizontal="center"/>
    </xf>
    <xf numFmtId="3" fontId="0" fillId="2" borderId="38" xfId="0" applyNumberFormat="1" applyFill="1" applyBorder="1" applyAlignment="1">
      <alignment horizontal="center" wrapText="1"/>
    </xf>
    <xf numFmtId="3" fontId="0" fillId="2" borderId="41" xfId="0" applyNumberFormat="1" applyFill="1" applyBorder="1" applyAlignment="1">
      <alignment horizontal="center" wrapText="1"/>
    </xf>
    <xf numFmtId="0" fontId="0" fillId="2" borderId="39" xfId="0" applyFill="1" applyBorder="1" applyAlignment="1">
      <alignment horizontal="center" wrapText="1"/>
    </xf>
    <xf numFmtId="0" fontId="0" fillId="2" borderId="42" xfId="0" applyFill="1" applyBorder="1" applyAlignment="1">
      <alignment horizontal="center" wrapText="1"/>
    </xf>
    <xf numFmtId="3" fontId="1" fillId="5" borderId="44" xfId="0" applyNumberFormat="1" applyFont="1" applyFill="1" applyBorder="1" applyAlignment="1" applyProtection="1">
      <alignment horizontal="left" vertical="center" wrapText="1"/>
      <protection locked="0"/>
    </xf>
    <xf numFmtId="3" fontId="1" fillId="5" borderId="45" xfId="0" applyNumberFormat="1" applyFont="1" applyFill="1" applyBorder="1" applyAlignment="1" applyProtection="1">
      <alignment horizontal="left" vertical="center" wrapText="1"/>
      <protection locked="0"/>
    </xf>
    <xf numFmtId="164" fontId="0" fillId="5" borderId="46" xfId="0" applyNumberFormat="1" applyFill="1" applyBorder="1"/>
    <xf numFmtId="165" fontId="0" fillId="5" borderId="47" xfId="0" applyNumberFormat="1" applyFill="1" applyBorder="1"/>
    <xf numFmtId="164" fontId="0" fillId="5" borderId="47" xfId="0" applyNumberFormat="1" applyFill="1" applyBorder="1"/>
    <xf numFmtId="3" fontId="0" fillId="5" borderId="48" xfId="0" applyNumberFormat="1" applyFill="1" applyBorder="1"/>
    <xf numFmtId="3" fontId="0" fillId="5" borderId="49" xfId="0" applyNumberFormat="1" applyFill="1" applyBorder="1"/>
    <xf numFmtId="3" fontId="0" fillId="5" borderId="47" xfId="0" applyNumberFormat="1" applyFill="1" applyBorder="1"/>
    <xf numFmtId="3" fontId="0" fillId="5" borderId="50" xfId="0" applyNumberFormat="1" applyFill="1" applyBorder="1"/>
    <xf numFmtId="3" fontId="0" fillId="5" borderId="51" xfId="0" applyNumberFormat="1" applyFill="1" applyBorder="1"/>
    <xf numFmtId="3" fontId="0" fillId="5" borderId="44" xfId="0" applyNumberFormat="1" applyFill="1" applyBorder="1"/>
    <xf numFmtId="3" fontId="0" fillId="5" borderId="45" xfId="0" applyNumberFormat="1" applyFill="1" applyBorder="1"/>
    <xf numFmtId="164" fontId="0" fillId="5" borderId="52" xfId="0" applyNumberFormat="1" applyFill="1" applyBorder="1"/>
    <xf numFmtId="164" fontId="0" fillId="5" borderId="50" xfId="0" applyNumberFormat="1" applyFill="1" applyBorder="1"/>
    <xf numFmtId="164" fontId="0" fillId="5" borderId="49" xfId="0" applyNumberFormat="1" applyFill="1" applyBorder="1"/>
    <xf numFmtId="3" fontId="0" fillId="5" borderId="53" xfId="0" applyNumberFormat="1" applyFill="1" applyBorder="1"/>
    <xf numFmtId="164" fontId="0" fillId="5" borderId="45" xfId="0" applyNumberFormat="1" applyFill="1" applyBorder="1"/>
    <xf numFmtId="3" fontId="0" fillId="5" borderId="54" xfId="0" applyNumberFormat="1" applyFill="1" applyBorder="1"/>
    <xf numFmtId="3" fontId="0" fillId="5" borderId="55" xfId="0" applyNumberFormat="1" applyFill="1" applyBorder="1"/>
    <xf numFmtId="0" fontId="0" fillId="5" borderId="56" xfId="0" applyFill="1" applyBorder="1"/>
    <xf numFmtId="3" fontId="0" fillId="6" borderId="57" xfId="0" applyNumberFormat="1" applyFill="1" applyBorder="1" applyAlignment="1" applyProtection="1">
      <alignment horizontal="right" vertical="center" wrapText="1"/>
      <protection locked="0"/>
    </xf>
    <xf numFmtId="3" fontId="0" fillId="0" borderId="58" xfId="0" applyNumberFormat="1" applyBorder="1" applyAlignment="1" applyProtection="1">
      <alignment horizontal="left" vertical="center" wrapText="1"/>
      <protection locked="0"/>
    </xf>
    <xf numFmtId="164" fontId="0" fillId="2" borderId="59" xfId="0" applyNumberFormat="1" applyFill="1" applyBorder="1"/>
    <xf numFmtId="165" fontId="0" fillId="2" borderId="60" xfId="0" applyNumberFormat="1" applyFill="1" applyBorder="1"/>
    <xf numFmtId="164" fontId="0" fillId="2" borderId="60" xfId="0" applyNumberFormat="1" applyFill="1" applyBorder="1"/>
    <xf numFmtId="3" fontId="0" fillId="2" borderId="61" xfId="0" applyNumberFormat="1" applyFill="1" applyBorder="1"/>
    <xf numFmtId="3" fontId="0" fillId="2" borderId="62" xfId="0" applyNumberFormat="1" applyFill="1" applyBorder="1"/>
    <xf numFmtId="3" fontId="0" fillId="2" borderId="63" xfId="0" applyNumberFormat="1" applyFill="1" applyBorder="1"/>
    <xf numFmtId="3" fontId="0" fillId="2" borderId="60" xfId="0" applyNumberFormat="1" applyFill="1" applyBorder="1"/>
    <xf numFmtId="3" fontId="0" fillId="2" borderId="64" xfId="0" applyNumberFormat="1" applyFill="1" applyBorder="1"/>
    <xf numFmtId="3" fontId="0" fillId="2" borderId="65" xfId="0" applyNumberFormat="1" applyFill="1" applyBorder="1"/>
    <xf numFmtId="3" fontId="0" fillId="2" borderId="57" xfId="0" applyNumberFormat="1" applyFill="1" applyBorder="1"/>
    <xf numFmtId="3" fontId="0" fillId="6" borderId="60" xfId="0" applyNumberFormat="1" applyFill="1" applyBorder="1"/>
    <xf numFmtId="3" fontId="0" fillId="2" borderId="66" xfId="0" applyNumberFormat="1" applyFill="1" applyBorder="1"/>
    <xf numFmtId="3" fontId="0" fillId="6" borderId="66" xfId="0" applyNumberFormat="1" applyFill="1" applyBorder="1"/>
    <xf numFmtId="3" fontId="0" fillId="2" borderId="67" xfId="0" applyNumberFormat="1" applyFill="1" applyBorder="1"/>
    <xf numFmtId="164" fontId="0" fillId="2" borderId="68" xfId="0" applyNumberFormat="1" applyFill="1" applyBorder="1"/>
    <xf numFmtId="164" fontId="0" fillId="2" borderId="64" xfId="0" applyNumberFormat="1" applyFill="1" applyBorder="1"/>
    <xf numFmtId="3" fontId="0" fillId="2" borderId="69" xfId="0" applyNumberFormat="1" applyFill="1" applyBorder="1"/>
    <xf numFmtId="164" fontId="0" fillId="2" borderId="70" xfId="0" applyNumberFormat="1" applyFill="1" applyBorder="1"/>
    <xf numFmtId="165" fontId="0" fillId="2" borderId="66" xfId="0" applyNumberFormat="1" applyFill="1" applyBorder="1"/>
    <xf numFmtId="3" fontId="0" fillId="2" borderId="71" xfId="0" applyNumberFormat="1" applyFill="1" applyBorder="1"/>
    <xf numFmtId="3" fontId="0" fillId="2" borderId="58" xfId="0" applyNumberFormat="1" applyFill="1" applyBorder="1"/>
    <xf numFmtId="3" fontId="0" fillId="2" borderId="72" xfId="0" applyNumberFormat="1" applyFill="1" applyBorder="1"/>
    <xf numFmtId="0" fontId="0" fillId="6" borderId="60" xfId="0" applyFill="1" applyBorder="1"/>
    <xf numFmtId="0" fontId="0" fillId="6" borderId="66" xfId="0" applyFill="1" applyBorder="1"/>
    <xf numFmtId="164" fontId="0" fillId="2" borderId="73" xfId="0" applyNumberFormat="1" applyFill="1" applyBorder="1"/>
    <xf numFmtId="164" fontId="0" fillId="2" borderId="74" xfId="0" applyNumberFormat="1" applyFill="1" applyBorder="1"/>
    <xf numFmtId="3" fontId="0" fillId="2" borderId="74" xfId="0" applyNumberFormat="1" applyFill="1" applyBorder="1"/>
    <xf numFmtId="0" fontId="5" fillId="0" borderId="75" xfId="0" applyFont="1" applyBorder="1"/>
    <xf numFmtId="0" fontId="0" fillId="6" borderId="0" xfId="0" applyFill="1"/>
    <xf numFmtId="3" fontId="0" fillId="0" borderId="60" xfId="0" applyNumberFormat="1" applyBorder="1"/>
    <xf numFmtId="3" fontId="0" fillId="0" borderId="66" xfId="0" applyNumberFormat="1" applyBorder="1"/>
    <xf numFmtId="3" fontId="0" fillId="2" borderId="70" xfId="0" applyNumberFormat="1" applyFill="1" applyBorder="1"/>
    <xf numFmtId="0" fontId="0" fillId="0" borderId="60" xfId="0" applyBorder="1"/>
    <xf numFmtId="0" fontId="0" fillId="0" borderId="66" xfId="0" applyBorder="1"/>
    <xf numFmtId="0" fontId="5" fillId="0" borderId="76" xfId="0" applyFont="1" applyBorder="1"/>
    <xf numFmtId="0" fontId="6" fillId="0" borderId="76" xfId="0" applyFont="1" applyBorder="1"/>
    <xf numFmtId="3" fontId="0" fillId="2" borderId="77" xfId="0" applyNumberFormat="1" applyFill="1" applyBorder="1"/>
    <xf numFmtId="3" fontId="1" fillId="5" borderId="57" xfId="0" applyNumberFormat="1" applyFont="1" applyFill="1" applyBorder="1" applyAlignment="1" applyProtection="1">
      <alignment horizontal="left" vertical="center" wrapText="1"/>
      <protection locked="0"/>
    </xf>
    <xf numFmtId="3" fontId="1" fillId="5" borderId="58" xfId="0" applyNumberFormat="1" applyFont="1" applyFill="1" applyBorder="1" applyAlignment="1" applyProtection="1">
      <alignment horizontal="left" vertical="center" wrapText="1"/>
      <protection locked="0"/>
    </xf>
    <xf numFmtId="164" fontId="0" fillId="5" borderId="59" xfId="0" applyNumberFormat="1" applyFill="1" applyBorder="1"/>
    <xf numFmtId="165" fontId="0" fillId="5" borderId="60" xfId="0" applyNumberFormat="1" applyFill="1" applyBorder="1"/>
    <xf numFmtId="164" fontId="0" fillId="5" borderId="60" xfId="0" applyNumberFormat="1" applyFill="1" applyBorder="1"/>
    <xf numFmtId="3" fontId="0" fillId="5" borderId="61" xfId="0" applyNumberFormat="1" applyFill="1" applyBorder="1"/>
    <xf numFmtId="3" fontId="0" fillId="5" borderId="62" xfId="0" applyNumberFormat="1" applyFill="1" applyBorder="1"/>
    <xf numFmtId="3" fontId="0" fillId="5" borderId="74" xfId="0" applyNumberFormat="1" applyFill="1" applyBorder="1"/>
    <xf numFmtId="3" fontId="0" fillId="5" borderId="71" xfId="0" applyNumberFormat="1" applyFill="1" applyBorder="1"/>
    <xf numFmtId="3" fontId="0" fillId="5" borderId="78" xfId="0" applyNumberFormat="1" applyFill="1" applyBorder="1"/>
    <xf numFmtId="3" fontId="0" fillId="5" borderId="57" xfId="0" applyNumberFormat="1" applyFill="1" applyBorder="1"/>
    <xf numFmtId="3" fontId="0" fillId="5" borderId="64" xfId="0" applyNumberFormat="1" applyFill="1" applyBorder="1"/>
    <xf numFmtId="3" fontId="0" fillId="5" borderId="60" xfId="0" applyNumberFormat="1" applyFill="1" applyBorder="1"/>
    <xf numFmtId="3" fontId="0" fillId="5" borderId="66" xfId="0" applyNumberFormat="1" applyFill="1" applyBorder="1"/>
    <xf numFmtId="3" fontId="0" fillId="5" borderId="65" xfId="0" applyNumberFormat="1" applyFill="1" applyBorder="1"/>
    <xf numFmtId="3" fontId="0" fillId="5" borderId="67" xfId="0" applyNumberFormat="1" applyFill="1" applyBorder="1"/>
    <xf numFmtId="164" fontId="0" fillId="5" borderId="68" xfId="0" applyNumberFormat="1" applyFill="1" applyBorder="1"/>
    <xf numFmtId="164" fontId="0" fillId="5" borderId="64" xfId="0" applyNumberFormat="1" applyFill="1" applyBorder="1"/>
    <xf numFmtId="3" fontId="0" fillId="5" borderId="69" xfId="0" applyNumberFormat="1" applyFill="1" applyBorder="1"/>
    <xf numFmtId="164" fontId="0" fillId="5" borderId="70" xfId="0" applyNumberFormat="1" applyFill="1" applyBorder="1"/>
    <xf numFmtId="165" fontId="0" fillId="5" borderId="74" xfId="0" applyNumberFormat="1" applyFill="1" applyBorder="1"/>
    <xf numFmtId="165" fontId="0" fillId="5" borderId="66" xfId="0" applyNumberFormat="1" applyFill="1" applyBorder="1"/>
    <xf numFmtId="3" fontId="0" fillId="5" borderId="72" xfId="0" applyNumberFormat="1" applyFill="1" applyBorder="1"/>
    <xf numFmtId="3" fontId="0" fillId="5" borderId="70" xfId="0" applyNumberFormat="1" applyFill="1" applyBorder="1"/>
    <xf numFmtId="3" fontId="0" fillId="5" borderId="77" xfId="0" applyNumberFormat="1" applyFill="1" applyBorder="1"/>
    <xf numFmtId="164" fontId="0" fillId="5" borderId="73" xfId="0" applyNumberFormat="1" applyFill="1" applyBorder="1"/>
    <xf numFmtId="3" fontId="0" fillId="5" borderId="58" xfId="0" applyNumberFormat="1" applyFill="1" applyBorder="1"/>
    <xf numFmtId="0" fontId="6" fillId="5" borderId="76" xfId="0" applyFont="1" applyFill="1" applyBorder="1"/>
    <xf numFmtId="0" fontId="0" fillId="5" borderId="0" xfId="0" applyFill="1"/>
    <xf numFmtId="3" fontId="1" fillId="0" borderId="57" xfId="0" applyNumberFormat="1" applyFont="1" applyBorder="1" applyAlignment="1" applyProtection="1">
      <alignment horizontal="left" vertical="center" wrapText="1"/>
      <protection locked="0"/>
    </xf>
    <xf numFmtId="3" fontId="0" fillId="2" borderId="67" xfId="0" applyNumberFormat="1" applyFill="1" applyBorder="1" applyAlignment="1" applyProtection="1">
      <alignment horizontal="left" vertical="center" wrapText="1"/>
      <protection locked="0"/>
    </xf>
    <xf numFmtId="1" fontId="0" fillId="2" borderId="60" xfId="0" applyNumberFormat="1" applyFill="1" applyBorder="1"/>
    <xf numFmtId="3" fontId="1" fillId="5" borderId="57" xfId="0" applyNumberFormat="1" applyFont="1" applyFill="1" applyBorder="1" applyAlignment="1">
      <alignment horizontal="left" vertical="center" wrapText="1"/>
    </xf>
    <xf numFmtId="3" fontId="1" fillId="5" borderId="67" xfId="0" applyNumberFormat="1" applyFont="1" applyFill="1" applyBorder="1" applyAlignment="1">
      <alignment horizontal="left" vertical="center" wrapText="1"/>
    </xf>
    <xf numFmtId="3" fontId="0" fillId="2" borderId="78" xfId="0" applyNumberFormat="1" applyFill="1" applyBorder="1"/>
    <xf numFmtId="3" fontId="1" fillId="0" borderId="57" xfId="0" applyNumberFormat="1" applyFont="1" applyBorder="1" applyAlignment="1">
      <alignment horizontal="left" vertical="center" wrapText="1"/>
    </xf>
    <xf numFmtId="3" fontId="1" fillId="6" borderId="5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6" xfId="0" applyBorder="1"/>
    <xf numFmtId="0" fontId="0" fillId="5" borderId="76" xfId="0" applyFill="1" applyBorder="1"/>
    <xf numFmtId="3" fontId="1" fillId="2" borderId="57" xfId="0" applyNumberFormat="1" applyFont="1" applyFill="1" applyBorder="1" applyAlignment="1">
      <alignment horizontal="left" vertical="center" wrapText="1"/>
    </xf>
    <xf numFmtId="0" fontId="0" fillId="2" borderId="60" xfId="0" applyFill="1" applyBorder="1"/>
    <xf numFmtId="0" fontId="0" fillId="2" borderId="66" xfId="0" applyFill="1" applyBorder="1"/>
    <xf numFmtId="3" fontId="0" fillId="0" borderId="72" xfId="0" applyNumberFormat="1" applyBorder="1"/>
    <xf numFmtId="3" fontId="0" fillId="2" borderId="58" xfId="0" applyNumberFormat="1" applyFill="1" applyBorder="1" applyAlignment="1" applyProtection="1">
      <alignment horizontal="left" vertical="center" wrapText="1"/>
      <protection locked="0"/>
    </xf>
    <xf numFmtId="0" fontId="7" fillId="0" borderId="76" xfId="0" applyFont="1" applyBorder="1" applyAlignment="1">
      <alignment wrapText="1"/>
    </xf>
    <xf numFmtId="164" fontId="0" fillId="0" borderId="59" xfId="0" applyNumberFormat="1" applyBorder="1"/>
    <xf numFmtId="165" fontId="0" fillId="0" borderId="60" xfId="0" applyNumberFormat="1" applyBorder="1"/>
    <xf numFmtId="3" fontId="0" fillId="6" borderId="57" xfId="0" applyNumberFormat="1" applyFill="1" applyBorder="1"/>
    <xf numFmtId="3" fontId="0" fillId="6" borderId="64" xfId="0" applyNumberFormat="1" applyFill="1" applyBorder="1"/>
    <xf numFmtId="164" fontId="0" fillId="0" borderId="68" xfId="0" applyNumberFormat="1" applyBorder="1"/>
    <xf numFmtId="164" fontId="0" fillId="0" borderId="70" xfId="0" applyNumberFormat="1" applyBorder="1"/>
    <xf numFmtId="3" fontId="0" fillId="6" borderId="63" xfId="0" applyNumberFormat="1" applyFill="1" applyBorder="1"/>
    <xf numFmtId="3" fontId="0" fillId="6" borderId="67" xfId="0" applyNumberFormat="1" applyFill="1" applyBorder="1"/>
    <xf numFmtId="3" fontId="0" fillId="6" borderId="58" xfId="0" applyNumberFormat="1" applyFill="1" applyBorder="1"/>
    <xf numFmtId="3" fontId="0" fillId="0" borderId="67" xfId="0" applyNumberFormat="1" applyBorder="1" applyAlignment="1" applyProtection="1">
      <alignment horizontal="left" vertical="center" wrapText="1"/>
      <protection locked="0"/>
    </xf>
    <xf numFmtId="164" fontId="0" fillId="0" borderId="64" xfId="0" applyNumberFormat="1" applyBorder="1"/>
    <xf numFmtId="3" fontId="0" fillId="6" borderId="61" xfId="0" applyNumberFormat="1" applyFill="1" applyBorder="1"/>
    <xf numFmtId="3" fontId="0" fillId="6" borderId="62" xfId="0" applyNumberFormat="1" applyFill="1" applyBorder="1"/>
    <xf numFmtId="3" fontId="0" fillId="6" borderId="70" xfId="0" applyNumberFormat="1" applyFill="1" applyBorder="1"/>
    <xf numFmtId="3" fontId="0" fillId="6" borderId="72" xfId="0" applyNumberFormat="1" applyFill="1" applyBorder="1"/>
    <xf numFmtId="3" fontId="0" fillId="6" borderId="65" xfId="0" applyNumberFormat="1" applyFill="1" applyBorder="1"/>
    <xf numFmtId="3" fontId="1" fillId="7" borderId="79" xfId="0" applyNumberFormat="1" applyFont="1" applyFill="1" applyBorder="1" applyAlignment="1">
      <alignment horizontal="left" vertical="center" wrapText="1"/>
    </xf>
    <xf numFmtId="3" fontId="1" fillId="7" borderId="0" xfId="0" applyNumberFormat="1" applyFont="1" applyFill="1" applyAlignment="1">
      <alignment horizontal="left" vertical="center" wrapText="1"/>
    </xf>
    <xf numFmtId="164" fontId="1" fillId="7" borderId="27" xfId="0" applyNumberFormat="1" applyFont="1" applyFill="1" applyBorder="1"/>
    <xf numFmtId="165" fontId="1" fillId="7" borderId="80" xfId="0" applyNumberFormat="1" applyFont="1" applyFill="1" applyBorder="1"/>
    <xf numFmtId="164" fontId="1" fillId="7" borderId="80" xfId="0" applyNumberFormat="1" applyFont="1" applyFill="1" applyBorder="1"/>
    <xf numFmtId="3" fontId="1" fillId="7" borderId="1" xfId="0" applyNumberFormat="1" applyFont="1" applyFill="1" applyBorder="1"/>
    <xf numFmtId="3" fontId="1" fillId="7" borderId="81" xfId="0" applyNumberFormat="1" applyFont="1" applyFill="1" applyBorder="1"/>
    <xf numFmtId="3" fontId="1" fillId="7" borderId="80" xfId="0" applyNumberFormat="1" applyFont="1" applyFill="1" applyBorder="1"/>
    <xf numFmtId="3" fontId="1" fillId="7" borderId="82" xfId="0" applyNumberFormat="1" applyFont="1" applyFill="1" applyBorder="1"/>
    <xf numFmtId="3" fontId="1" fillId="7" borderId="24" xfId="0" applyNumberFormat="1" applyFont="1" applyFill="1" applyBorder="1"/>
    <xf numFmtId="3" fontId="1" fillId="7" borderId="79" xfId="0" applyNumberFormat="1" applyFont="1" applyFill="1" applyBorder="1"/>
    <xf numFmtId="3" fontId="0" fillId="7" borderId="1" xfId="0" applyNumberFormat="1" applyFill="1" applyBorder="1"/>
    <xf numFmtId="3" fontId="0" fillId="7" borderId="0" xfId="0" applyNumberFormat="1" applyFill="1"/>
    <xf numFmtId="164" fontId="1" fillId="7" borderId="83" xfId="0" applyNumberFormat="1" applyFont="1" applyFill="1" applyBorder="1"/>
    <xf numFmtId="164" fontId="1" fillId="7" borderId="82" xfId="0" applyNumberFormat="1" applyFont="1" applyFill="1" applyBorder="1"/>
    <xf numFmtId="164" fontId="0" fillId="7" borderId="80" xfId="0" applyNumberFormat="1" applyFill="1" applyBorder="1"/>
    <xf numFmtId="3" fontId="0" fillId="7" borderId="82" xfId="0" applyNumberFormat="1" applyFill="1" applyBorder="1"/>
    <xf numFmtId="3" fontId="0" fillId="7" borderId="26" xfId="0" applyNumberFormat="1" applyFill="1" applyBorder="1"/>
    <xf numFmtId="164" fontId="1" fillId="7" borderId="0" xfId="0" applyNumberFormat="1" applyFont="1" applyFill="1"/>
    <xf numFmtId="165" fontId="0" fillId="7" borderId="80" xfId="0" applyNumberFormat="1" applyFill="1" applyBorder="1"/>
    <xf numFmtId="165" fontId="0" fillId="7" borderId="81" xfId="0" applyNumberFormat="1" applyFill="1" applyBorder="1"/>
    <xf numFmtId="3" fontId="1" fillId="7" borderId="0" xfId="0" applyNumberFormat="1" applyFont="1" applyFill="1"/>
    <xf numFmtId="3" fontId="1" fillId="7" borderId="84" xfId="0" applyNumberFormat="1" applyFont="1" applyFill="1" applyBorder="1"/>
    <xf numFmtId="3" fontId="0" fillId="7" borderId="84" xfId="0" applyNumberFormat="1" applyFill="1" applyBorder="1"/>
    <xf numFmtId="3" fontId="0" fillId="7" borderId="79" xfId="0" applyNumberFormat="1" applyFill="1" applyBorder="1"/>
    <xf numFmtId="3" fontId="0" fillId="7" borderId="80" xfId="0" applyNumberFormat="1" applyFill="1" applyBorder="1"/>
    <xf numFmtId="0" fontId="0" fillId="7" borderId="85" xfId="0" applyFill="1" applyBorder="1"/>
    <xf numFmtId="0" fontId="1" fillId="7" borderId="0" xfId="0" applyFont="1" applyFill="1"/>
    <xf numFmtId="3" fontId="0" fillId="2" borderId="9" xfId="0" applyNumberFormat="1" applyFill="1" applyBorder="1" applyAlignment="1">
      <alignment horizontal="left" vertical="center" wrapText="1"/>
    </xf>
    <xf numFmtId="3" fontId="1" fillId="2" borderId="7" xfId="0" applyNumberFormat="1" applyFont="1" applyFill="1" applyBorder="1" applyAlignment="1">
      <alignment horizontal="left" vertical="center" wrapText="1"/>
    </xf>
    <xf numFmtId="164" fontId="0" fillId="2" borderId="5" xfId="0" applyNumberFormat="1" applyFill="1" applyBorder="1" applyAlignment="1">
      <alignment horizontal="center"/>
    </xf>
    <xf numFmtId="165" fontId="0" fillId="2" borderId="86" xfId="0" applyNumberFormat="1" applyFill="1" applyBorder="1" applyAlignment="1">
      <alignment horizontal="center"/>
    </xf>
    <xf numFmtId="164" fontId="0" fillId="2" borderId="86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87" xfId="0" applyNumberFormat="1" applyFill="1" applyBorder="1" applyAlignment="1">
      <alignment horizontal="center"/>
    </xf>
    <xf numFmtId="3" fontId="0" fillId="2" borderId="86" xfId="0" applyNumberFormat="1" applyFill="1" applyBorder="1" applyAlignment="1">
      <alignment horizontal="center"/>
    </xf>
    <xf numFmtId="3" fontId="0" fillId="2" borderId="88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0" fillId="2" borderId="89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90" xfId="0" applyNumberFormat="1" applyFill="1" applyBorder="1" applyAlignment="1">
      <alignment horizontal="center"/>
    </xf>
    <xf numFmtId="3" fontId="0" fillId="2" borderId="9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89" xfId="0" applyNumberFormat="1" applyFill="1" applyBorder="1"/>
    <xf numFmtId="3" fontId="0" fillId="2" borderId="86" xfId="0" applyNumberFormat="1" applyFill="1" applyBorder="1"/>
    <xf numFmtId="0" fontId="1" fillId="2" borderId="6" xfId="0" applyFont="1" applyFill="1" applyBorder="1"/>
    <xf numFmtId="3" fontId="0" fillId="2" borderId="92" xfId="0" applyNumberFormat="1" applyFill="1" applyBorder="1" applyAlignment="1">
      <alignment horizontal="left" vertical="center" wrapText="1"/>
    </xf>
    <xf numFmtId="3" fontId="0" fillId="2" borderId="93" xfId="0" applyNumberFormat="1" applyFill="1" applyBorder="1" applyAlignment="1" applyProtection="1">
      <alignment horizontal="left" vertical="center" wrapText="1"/>
      <protection locked="0"/>
    </xf>
    <xf numFmtId="164" fontId="0" fillId="0" borderId="21" xfId="0" applyNumberFormat="1" applyBorder="1"/>
    <xf numFmtId="165" fontId="0" fillId="2" borderId="94" xfId="0" applyNumberFormat="1" applyFill="1" applyBorder="1"/>
    <xf numFmtId="164" fontId="0" fillId="2" borderId="94" xfId="0" applyNumberFormat="1" applyFill="1" applyBorder="1"/>
    <xf numFmtId="3" fontId="0" fillId="6" borderId="25" xfId="0" applyNumberFormat="1" applyFill="1" applyBorder="1"/>
    <xf numFmtId="3" fontId="0" fillId="6" borderId="95" xfId="0" applyNumberFormat="1" applyFill="1" applyBorder="1"/>
    <xf numFmtId="3" fontId="0" fillId="6" borderId="92" xfId="0" applyNumberFormat="1" applyFill="1" applyBorder="1"/>
    <xf numFmtId="3" fontId="0" fillId="6" borderId="96" xfId="0" applyNumberFormat="1" applyFill="1" applyBorder="1"/>
    <xf numFmtId="3" fontId="0" fillId="6" borderId="97" xfId="0" applyNumberFormat="1" applyFill="1" applyBorder="1"/>
    <xf numFmtId="3" fontId="0" fillId="6" borderId="98" xfId="0" applyNumberFormat="1" applyFill="1" applyBorder="1"/>
    <xf numFmtId="3" fontId="0" fillId="6" borderId="94" xfId="0" applyNumberFormat="1" applyFill="1" applyBorder="1"/>
    <xf numFmtId="3" fontId="0" fillId="6" borderId="99" xfId="0" applyNumberFormat="1" applyFill="1" applyBorder="1"/>
    <xf numFmtId="3" fontId="0" fillId="2" borderId="99" xfId="0" applyNumberFormat="1" applyFill="1" applyBorder="1"/>
    <xf numFmtId="3" fontId="0" fillId="2" borderId="22" xfId="0" applyNumberFormat="1" applyFill="1" applyBorder="1"/>
    <xf numFmtId="164" fontId="0" fillId="0" borderId="100" xfId="0" applyNumberFormat="1" applyBorder="1"/>
    <xf numFmtId="164" fontId="0" fillId="2" borderId="99" xfId="0" applyNumberFormat="1" applyFill="1" applyBorder="1"/>
    <xf numFmtId="3" fontId="0" fillId="2" borderId="94" xfId="0" applyNumberFormat="1" applyFill="1" applyBorder="1"/>
    <xf numFmtId="3" fontId="0" fillId="2" borderId="95" xfId="0" applyNumberFormat="1" applyFill="1" applyBorder="1"/>
    <xf numFmtId="3" fontId="0" fillId="2" borderId="29" xfId="0" applyNumberFormat="1" applyFill="1" applyBorder="1"/>
    <xf numFmtId="164" fontId="0" fillId="0" borderId="22" xfId="0" applyNumberFormat="1" applyBorder="1"/>
    <xf numFmtId="165" fontId="0" fillId="2" borderId="93" xfId="0" applyNumberFormat="1" applyFill="1" applyBorder="1"/>
    <xf numFmtId="3" fontId="0" fillId="2" borderId="92" xfId="0" applyNumberFormat="1" applyFill="1" applyBorder="1"/>
    <xf numFmtId="3" fontId="0" fillId="2" borderId="23" xfId="0" applyNumberFormat="1" applyFill="1" applyBorder="1"/>
    <xf numFmtId="3" fontId="0" fillId="6" borderId="101" xfId="0" applyNumberFormat="1" applyFill="1" applyBorder="1"/>
    <xf numFmtId="0" fontId="0" fillId="6" borderId="94" xfId="0" applyFill="1" applyBorder="1"/>
    <xf numFmtId="3" fontId="0" fillId="6" borderId="22" xfId="0" applyNumberFormat="1" applyFill="1" applyBorder="1"/>
    <xf numFmtId="3" fontId="0" fillId="6" borderId="93" xfId="0" applyNumberFormat="1" applyFill="1" applyBorder="1"/>
    <xf numFmtId="3" fontId="0" fillId="2" borderId="93" xfId="0" applyNumberFormat="1" applyFill="1" applyBorder="1"/>
    <xf numFmtId="3" fontId="0" fillId="0" borderId="94" xfId="0" applyNumberFormat="1" applyBorder="1"/>
    <xf numFmtId="3" fontId="0" fillId="0" borderId="95" xfId="0" applyNumberFormat="1" applyBorder="1"/>
    <xf numFmtId="0" fontId="0" fillId="6" borderId="95" xfId="0" applyFill="1" applyBorder="1"/>
    <xf numFmtId="3" fontId="0" fillId="2" borderId="98" xfId="0" applyNumberFormat="1" applyFill="1" applyBorder="1"/>
    <xf numFmtId="164" fontId="0" fillId="2" borderId="100" xfId="0" applyNumberFormat="1" applyFill="1" applyBorder="1"/>
    <xf numFmtId="3" fontId="0" fillId="2" borderId="25" xfId="0" applyNumberFormat="1" applyFill="1" applyBorder="1"/>
    <xf numFmtId="3" fontId="0" fillId="2" borderId="101" xfId="0" applyNumberFormat="1" applyFill="1" applyBorder="1"/>
    <xf numFmtId="3" fontId="0" fillId="2" borderId="96" xfId="0" applyNumberFormat="1" applyFill="1" applyBorder="1"/>
    <xf numFmtId="3" fontId="0" fillId="2" borderId="97" xfId="0" applyNumberFormat="1" applyFill="1" applyBorder="1"/>
    <xf numFmtId="0" fontId="0" fillId="0" borderId="102" xfId="0" applyBorder="1"/>
    <xf numFmtId="0" fontId="1" fillId="2" borderId="103" xfId="0" applyFont="1" applyFill="1" applyBorder="1"/>
    <xf numFmtId="3" fontId="1" fillId="8" borderId="104" xfId="0" applyNumberFormat="1" applyFont="1" applyFill="1" applyBorder="1" applyAlignment="1">
      <alignment horizontal="left" vertical="center" wrapText="1"/>
    </xf>
    <xf numFmtId="3" fontId="1" fillId="8" borderId="105" xfId="0" applyNumberFormat="1" applyFont="1" applyFill="1" applyBorder="1" applyAlignment="1">
      <alignment horizontal="left" vertical="center" wrapText="1"/>
    </xf>
    <xf numFmtId="164" fontId="1" fillId="8" borderId="106" xfId="0" applyNumberFormat="1" applyFont="1" applyFill="1" applyBorder="1"/>
    <xf numFmtId="3" fontId="1" fillId="8" borderId="107" xfId="0" applyNumberFormat="1" applyFont="1" applyFill="1" applyBorder="1"/>
    <xf numFmtId="3" fontId="1" fillId="8" borderId="108" xfId="0" applyNumberFormat="1" applyFont="1" applyFill="1" applyBorder="1"/>
    <xf numFmtId="3" fontId="1" fillId="8" borderId="109" xfId="0" applyNumberFormat="1" applyFont="1" applyFill="1" applyBorder="1"/>
    <xf numFmtId="164" fontId="1" fillId="8" borderId="110" xfId="0" applyNumberFormat="1" applyFont="1" applyFill="1" applyBorder="1"/>
    <xf numFmtId="3" fontId="1" fillId="8" borderId="111" xfId="0" applyNumberFormat="1" applyFont="1" applyFill="1" applyBorder="1"/>
    <xf numFmtId="3" fontId="1" fillId="8" borderId="112" xfId="0" applyNumberFormat="1" applyFont="1" applyFill="1" applyBorder="1"/>
    <xf numFmtId="3" fontId="1" fillId="8" borderId="113" xfId="0" applyNumberFormat="1" applyFont="1" applyFill="1" applyBorder="1"/>
    <xf numFmtId="3" fontId="1" fillId="8" borderId="114" xfId="0" applyNumberFormat="1" applyFont="1" applyFill="1" applyBorder="1"/>
    <xf numFmtId="164" fontId="1" fillId="8" borderId="115" xfId="0" applyNumberFormat="1" applyFont="1" applyFill="1" applyBorder="1"/>
    <xf numFmtId="3" fontId="1" fillId="8" borderId="116" xfId="0" applyNumberFormat="1" applyFont="1" applyFill="1" applyBorder="1"/>
    <xf numFmtId="3" fontId="1" fillId="8" borderId="115" xfId="0" applyNumberFormat="1" applyFont="1" applyFill="1" applyBorder="1"/>
    <xf numFmtId="164" fontId="1" fillId="8" borderId="117" xfId="0" applyNumberFormat="1" applyFont="1" applyFill="1" applyBorder="1"/>
    <xf numFmtId="3" fontId="1" fillId="8" borderId="105" xfId="0" applyNumberFormat="1" applyFont="1" applyFill="1" applyBorder="1"/>
    <xf numFmtId="164" fontId="1" fillId="7" borderId="117" xfId="0" applyNumberFormat="1" applyFont="1" applyFill="1" applyBorder="1"/>
    <xf numFmtId="3" fontId="0" fillId="7" borderId="107" xfId="0" applyNumberFormat="1" applyFill="1" applyBorder="1"/>
    <xf numFmtId="3" fontId="1" fillId="8" borderId="118" xfId="0" applyNumberFormat="1" applyFont="1" applyFill="1" applyBorder="1"/>
    <xf numFmtId="3" fontId="1" fillId="8" borderId="103" xfId="0" applyNumberFormat="1" applyFont="1" applyFill="1" applyBorder="1"/>
    <xf numFmtId="3" fontId="0" fillId="7" borderId="119" xfId="0" applyNumberFormat="1" applyFill="1" applyBorder="1"/>
    <xf numFmtId="3" fontId="0" fillId="7" borderId="112" xfId="0" applyNumberFormat="1" applyFill="1" applyBorder="1"/>
    <xf numFmtId="3" fontId="0" fillId="7" borderId="108" xfId="0" applyNumberFormat="1" applyFill="1" applyBorder="1"/>
    <xf numFmtId="3" fontId="0" fillId="7" borderId="114" xfId="0" applyNumberFormat="1" applyFill="1" applyBorder="1"/>
    <xf numFmtId="3" fontId="0" fillId="7" borderId="120" xfId="0" applyNumberFormat="1" applyFill="1" applyBorder="1"/>
    <xf numFmtId="3" fontId="0" fillId="7" borderId="103" xfId="0" applyNumberFormat="1" applyFill="1" applyBorder="1"/>
    <xf numFmtId="0" fontId="1" fillId="4" borderId="5" xfId="0" applyFont="1" applyFill="1" applyBorder="1" applyAlignment="1">
      <alignment horizontal="center" vertical="center"/>
    </xf>
    <xf numFmtId="3" fontId="1" fillId="4" borderId="89" xfId="0" applyNumberFormat="1" applyFont="1" applyFill="1" applyBorder="1" applyAlignment="1">
      <alignment horizontal="left" vertical="center" wrapText="1"/>
    </xf>
    <xf numFmtId="3" fontId="0" fillId="4" borderId="90" xfId="0" applyNumberFormat="1" applyFill="1" applyBorder="1" applyAlignment="1" applyProtection="1">
      <alignment horizontal="left" vertical="center" wrapText="1"/>
      <protection locked="0"/>
    </xf>
    <xf numFmtId="164" fontId="0" fillId="4" borderId="5" xfId="0" applyNumberFormat="1" applyFill="1" applyBorder="1" applyAlignment="1">
      <alignment horizontal="center"/>
    </xf>
    <xf numFmtId="165" fontId="0" fillId="4" borderId="86" xfId="0" applyNumberFormat="1" applyFill="1" applyBorder="1" applyAlignment="1">
      <alignment horizontal="center"/>
    </xf>
    <xf numFmtId="164" fontId="0" fillId="4" borderId="86" xfId="0" applyNumberFormat="1" applyFill="1" applyBorder="1" applyAlignment="1">
      <alignment horizontal="center"/>
    </xf>
    <xf numFmtId="164" fontId="0" fillId="4" borderId="87" xfId="0" applyNumberFormat="1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3" fontId="0" fillId="4" borderId="87" xfId="0" applyNumberFormat="1" applyFill="1" applyBorder="1" applyAlignment="1">
      <alignment horizontal="center"/>
    </xf>
    <xf numFmtId="3" fontId="0" fillId="4" borderId="86" xfId="0" applyNumberFormat="1" applyFill="1" applyBorder="1" applyAlignment="1">
      <alignment horizontal="center"/>
    </xf>
    <xf numFmtId="3" fontId="0" fillId="4" borderId="88" xfId="0" applyNumberFormat="1" applyFill="1" applyBorder="1" applyAlignment="1">
      <alignment horizontal="center"/>
    </xf>
    <xf numFmtId="3" fontId="0" fillId="4" borderId="8" xfId="0" applyNumberFormat="1" applyFill="1" applyBorder="1" applyAlignment="1">
      <alignment horizontal="center"/>
    </xf>
    <xf numFmtId="3" fontId="0" fillId="4" borderId="89" xfId="0" applyNumberFormat="1" applyFill="1" applyBorder="1" applyAlignment="1">
      <alignment horizontal="center"/>
    </xf>
    <xf numFmtId="3" fontId="0" fillId="4" borderId="90" xfId="0" applyNumberFormat="1" applyFill="1" applyBorder="1" applyAlignment="1">
      <alignment horizontal="center"/>
    </xf>
    <xf numFmtId="3" fontId="0" fillId="4" borderId="91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0" fontId="1" fillId="4" borderId="6" xfId="0" applyFont="1" applyFill="1" applyBorder="1"/>
    <xf numFmtId="0" fontId="1" fillId="4" borderId="27" xfId="0" applyFont="1" applyFill="1" applyBorder="1" applyAlignment="1">
      <alignment horizontal="center"/>
    </xf>
    <xf numFmtId="3" fontId="1" fillId="4" borderId="77" xfId="0" applyNumberFormat="1" applyFont="1" applyFill="1" applyBorder="1" applyAlignment="1">
      <alignment horizontal="left" vertical="center" wrapText="1"/>
    </xf>
    <xf numFmtId="3" fontId="1" fillId="4" borderId="70" xfId="0" applyNumberFormat="1" applyFont="1" applyFill="1" applyBorder="1" applyAlignment="1">
      <alignment horizontal="left" vertical="center" wrapText="1"/>
    </xf>
    <xf numFmtId="164" fontId="0" fillId="4" borderId="121" xfId="0" applyNumberFormat="1" applyFill="1" applyBorder="1"/>
    <xf numFmtId="165" fontId="0" fillId="4" borderId="74" xfId="0" applyNumberFormat="1" applyFill="1" applyBorder="1"/>
    <xf numFmtId="164" fontId="0" fillId="4" borderId="74" xfId="0" applyNumberFormat="1" applyFill="1" applyBorder="1"/>
    <xf numFmtId="3" fontId="0" fillId="4" borderId="61" xfId="0" applyNumberFormat="1" applyFill="1" applyBorder="1"/>
    <xf numFmtId="3" fontId="0" fillId="4" borderId="62" xfId="0" applyNumberFormat="1" applyFill="1" applyBorder="1"/>
    <xf numFmtId="3" fontId="0" fillId="4" borderId="74" xfId="0" applyNumberFormat="1" applyFill="1" applyBorder="1"/>
    <xf numFmtId="3" fontId="0" fillId="4" borderId="71" xfId="0" applyNumberFormat="1" applyFill="1" applyBorder="1"/>
    <xf numFmtId="3" fontId="0" fillId="4" borderId="78" xfId="0" applyNumberFormat="1" applyFill="1" applyBorder="1"/>
    <xf numFmtId="3" fontId="0" fillId="4" borderId="77" xfId="0" applyNumberFormat="1" applyFill="1" applyBorder="1"/>
    <xf numFmtId="3" fontId="0" fillId="4" borderId="70" xfId="0" applyNumberFormat="1" applyFill="1" applyBorder="1"/>
    <xf numFmtId="164" fontId="0" fillId="4" borderId="73" xfId="0" applyNumberFormat="1" applyFill="1" applyBorder="1"/>
    <xf numFmtId="164" fontId="0" fillId="4" borderId="71" xfId="0" applyNumberFormat="1" applyFill="1" applyBorder="1"/>
    <xf numFmtId="3" fontId="0" fillId="4" borderId="122" xfId="0" applyNumberFormat="1" applyFill="1" applyBorder="1"/>
    <xf numFmtId="164" fontId="0" fillId="4" borderId="70" xfId="0" applyNumberFormat="1" applyFill="1" applyBorder="1"/>
    <xf numFmtId="166" fontId="0" fillId="4" borderId="74" xfId="0" applyNumberFormat="1" applyFill="1" applyBorder="1"/>
    <xf numFmtId="166" fontId="0" fillId="4" borderId="72" xfId="0" applyNumberFormat="1" applyFill="1" applyBorder="1"/>
    <xf numFmtId="3" fontId="0" fillId="4" borderId="123" xfId="0" applyNumberFormat="1" applyFill="1" applyBorder="1"/>
    <xf numFmtId="3" fontId="0" fillId="4" borderId="72" xfId="0" applyNumberFormat="1" applyFill="1" applyBorder="1"/>
    <xf numFmtId="166" fontId="0" fillId="4" borderId="62" xfId="0" applyNumberFormat="1" applyFill="1" applyBorder="1"/>
    <xf numFmtId="3" fontId="0" fillId="4" borderId="124" xfId="0" applyNumberFormat="1" applyFill="1" applyBorder="1"/>
    <xf numFmtId="3" fontId="0" fillId="4" borderId="125" xfId="0" applyNumberFormat="1" applyFill="1" applyBorder="1"/>
    <xf numFmtId="0" fontId="0" fillId="4" borderId="75" xfId="0" applyFill="1" applyBorder="1"/>
    <xf numFmtId="165" fontId="0" fillId="4" borderId="77" xfId="0" applyNumberFormat="1" applyFill="1" applyBorder="1"/>
    <xf numFmtId="165" fontId="0" fillId="4" borderId="62" xfId="0" applyNumberFormat="1" applyFill="1" applyBorder="1"/>
    <xf numFmtId="0" fontId="0" fillId="4" borderId="0" xfId="0" applyFill="1"/>
    <xf numFmtId="0" fontId="1" fillId="2" borderId="10" xfId="0" applyFont="1" applyFill="1" applyBorder="1" applyAlignment="1">
      <alignment vertical="center"/>
    </xf>
    <xf numFmtId="164" fontId="0" fillId="2" borderId="121" xfId="0" applyNumberFormat="1" applyFill="1" applyBorder="1"/>
    <xf numFmtId="0" fontId="0" fillId="6" borderId="64" xfId="0" applyFill="1" applyBorder="1"/>
    <xf numFmtId="3" fontId="0" fillId="0" borderId="64" xfId="0" applyNumberFormat="1" applyBorder="1"/>
    <xf numFmtId="3" fontId="0" fillId="0" borderId="58" xfId="0" applyNumberFormat="1" applyBorder="1"/>
    <xf numFmtId="0" fontId="0" fillId="0" borderId="64" xfId="0" applyBorder="1"/>
    <xf numFmtId="0" fontId="1" fillId="2" borderId="126" xfId="0" applyFont="1" applyFill="1" applyBorder="1" applyAlignment="1">
      <alignment vertical="center"/>
    </xf>
    <xf numFmtId="3" fontId="1" fillId="0" borderId="127" xfId="0" applyNumberFormat="1" applyFont="1" applyBorder="1" applyAlignment="1">
      <alignment horizontal="left" vertical="center" wrapText="1"/>
    </xf>
    <xf numFmtId="3" fontId="0" fillId="0" borderId="128" xfId="0" applyNumberFormat="1" applyBorder="1" applyAlignment="1" applyProtection="1">
      <alignment horizontal="left" vertical="center" wrapText="1"/>
      <protection locked="0"/>
    </xf>
    <xf numFmtId="164" fontId="0" fillId="2" borderId="129" xfId="0" applyNumberFormat="1" applyFill="1" applyBorder="1"/>
    <xf numFmtId="165" fontId="0" fillId="2" borderId="130" xfId="0" applyNumberFormat="1" applyFill="1" applyBorder="1"/>
    <xf numFmtId="164" fontId="0" fillId="2" borderId="130" xfId="0" applyNumberFormat="1" applyFill="1" applyBorder="1"/>
    <xf numFmtId="3" fontId="0" fillId="2" borderId="131" xfId="0" applyNumberFormat="1" applyFill="1" applyBorder="1"/>
    <xf numFmtId="3" fontId="0" fillId="2" borderId="132" xfId="0" applyNumberFormat="1" applyFill="1" applyBorder="1"/>
    <xf numFmtId="3" fontId="0" fillId="6" borderId="131" xfId="0" applyNumberFormat="1" applyFill="1" applyBorder="1"/>
    <xf numFmtId="3" fontId="0" fillId="6" borderId="130" xfId="0" applyNumberFormat="1" applyFill="1" applyBorder="1"/>
    <xf numFmtId="3" fontId="0" fillId="6" borderId="133" xfId="0" applyNumberFormat="1" applyFill="1" applyBorder="1"/>
    <xf numFmtId="3" fontId="0" fillId="6" borderId="134" xfId="0" applyNumberFormat="1" applyFill="1" applyBorder="1"/>
    <xf numFmtId="3" fontId="0" fillId="2" borderId="127" xfId="0" applyNumberFormat="1" applyFill="1" applyBorder="1"/>
    <xf numFmtId="3" fontId="0" fillId="0" borderId="130" xfId="0" applyNumberFormat="1" applyBorder="1"/>
    <xf numFmtId="3" fontId="0" fillId="2" borderId="130" xfId="0" applyNumberFormat="1" applyFill="1" applyBorder="1"/>
    <xf numFmtId="3" fontId="0" fillId="2" borderId="133" xfId="0" applyNumberFormat="1" applyFill="1" applyBorder="1"/>
    <xf numFmtId="3" fontId="0" fillId="0" borderId="132" xfId="0" applyNumberFormat="1" applyBorder="1"/>
    <xf numFmtId="3" fontId="0" fillId="2" borderId="135" xfId="0" applyNumberFormat="1" applyFill="1" applyBorder="1"/>
    <xf numFmtId="164" fontId="0" fillId="2" borderId="136" xfId="0" applyNumberFormat="1" applyFill="1" applyBorder="1"/>
    <xf numFmtId="164" fontId="0" fillId="2" borderId="133" xfId="0" applyNumberFormat="1" applyFill="1" applyBorder="1"/>
    <xf numFmtId="3" fontId="0" fillId="2" borderId="137" xfId="0" applyNumberFormat="1" applyFill="1" applyBorder="1"/>
    <xf numFmtId="164" fontId="0" fillId="2" borderId="22" xfId="0" applyNumberFormat="1" applyFill="1" applyBorder="1"/>
    <xf numFmtId="165" fontId="0" fillId="2" borderId="132" xfId="0" applyNumberFormat="1" applyFill="1" applyBorder="1"/>
    <xf numFmtId="3" fontId="0" fillId="6" borderId="128" xfId="0" applyNumberFormat="1" applyFill="1" applyBorder="1"/>
    <xf numFmtId="3" fontId="0" fillId="2" borderId="134" xfId="0" applyNumberFormat="1" applyFill="1" applyBorder="1"/>
    <xf numFmtId="3" fontId="0" fillId="2" borderId="128" xfId="0" applyNumberFormat="1" applyFill="1" applyBorder="1"/>
    <xf numFmtId="3" fontId="0" fillId="0" borderId="128" xfId="0" applyNumberFormat="1" applyBorder="1"/>
    <xf numFmtId="3" fontId="0" fillId="6" borderId="132" xfId="0" applyNumberFormat="1" applyFill="1" applyBorder="1"/>
    <xf numFmtId="0" fontId="0" fillId="0" borderId="130" xfId="0" applyBorder="1"/>
    <xf numFmtId="0" fontId="0" fillId="0" borderId="132" xfId="0" applyBorder="1"/>
    <xf numFmtId="164" fontId="0" fillId="2" borderId="21" xfId="0" applyNumberFormat="1" applyFill="1" applyBorder="1"/>
    <xf numFmtId="0" fontId="0" fillId="0" borderId="138" xfId="0" applyBorder="1"/>
    <xf numFmtId="0" fontId="0" fillId="0" borderId="22" xfId="0" applyBorder="1"/>
    <xf numFmtId="165" fontId="0" fillId="4" borderId="71" xfId="0" applyNumberFormat="1" applyFill="1" applyBorder="1"/>
    <xf numFmtId="165" fontId="0" fillId="4" borderId="70" xfId="0" applyNumberFormat="1" applyFill="1" applyBorder="1"/>
    <xf numFmtId="3" fontId="0" fillId="4" borderId="64" xfId="0" applyNumberFormat="1" applyFill="1" applyBorder="1"/>
    <xf numFmtId="3" fontId="0" fillId="4" borderId="67" xfId="0" applyNumberFormat="1" applyFill="1" applyBorder="1"/>
    <xf numFmtId="165" fontId="0" fillId="4" borderId="57" xfId="0" applyNumberFormat="1" applyFill="1" applyBorder="1"/>
    <xf numFmtId="3" fontId="0" fillId="4" borderId="63" xfId="0" applyNumberFormat="1" applyFill="1" applyBorder="1"/>
    <xf numFmtId="3" fontId="0" fillId="4" borderId="60" xfId="0" applyNumberFormat="1" applyFill="1" applyBorder="1"/>
    <xf numFmtId="3" fontId="0" fillId="4" borderId="66" xfId="0" applyNumberFormat="1" applyFill="1" applyBorder="1"/>
    <xf numFmtId="3" fontId="0" fillId="4" borderId="65" xfId="0" applyNumberFormat="1" applyFill="1" applyBorder="1"/>
    <xf numFmtId="3" fontId="0" fillId="4" borderId="69" xfId="0" applyNumberFormat="1" applyFill="1" applyBorder="1"/>
    <xf numFmtId="164" fontId="0" fillId="4" borderId="67" xfId="0" applyNumberFormat="1" applyFill="1" applyBorder="1"/>
    <xf numFmtId="165" fontId="0" fillId="4" borderId="60" xfId="0" applyNumberFormat="1" applyFill="1" applyBorder="1"/>
    <xf numFmtId="166" fontId="0" fillId="4" borderId="60" xfId="0" applyNumberFormat="1" applyFill="1" applyBorder="1"/>
    <xf numFmtId="166" fontId="0" fillId="4" borderId="58" xfId="0" applyNumberFormat="1" applyFill="1" applyBorder="1"/>
    <xf numFmtId="3" fontId="0" fillId="4" borderId="57" xfId="0" applyNumberFormat="1" applyFill="1" applyBorder="1"/>
    <xf numFmtId="3" fontId="0" fillId="4" borderId="58" xfId="0" applyNumberFormat="1" applyFill="1" applyBorder="1"/>
    <xf numFmtId="164" fontId="0" fillId="4" borderId="59" xfId="0" applyNumberFormat="1" applyFill="1" applyBorder="1"/>
    <xf numFmtId="166" fontId="0" fillId="4" borderId="66" xfId="0" applyNumberFormat="1" applyFill="1" applyBorder="1"/>
    <xf numFmtId="0" fontId="0" fillId="4" borderId="76" xfId="0" applyFill="1" applyBorder="1"/>
    <xf numFmtId="0" fontId="1" fillId="2" borderId="139" xfId="0" applyFont="1" applyFill="1" applyBorder="1" applyAlignment="1">
      <alignment horizontal="center" vertical="center"/>
    </xf>
    <xf numFmtId="3" fontId="1" fillId="2" borderId="119" xfId="0" applyNumberFormat="1" applyFont="1" applyFill="1" applyBorder="1" applyAlignment="1">
      <alignment horizontal="left" vertical="center" wrapText="1"/>
    </xf>
    <xf numFmtId="3" fontId="1" fillId="2" borderId="103" xfId="0" applyNumberFormat="1" applyFont="1" applyFill="1" applyBorder="1"/>
    <xf numFmtId="164" fontId="0" fillId="2" borderId="110" xfId="0" applyNumberFormat="1" applyFill="1" applyBorder="1" applyAlignment="1">
      <alignment horizontal="center"/>
    </xf>
    <xf numFmtId="3" fontId="0" fillId="2" borderId="113" xfId="0" applyNumberFormat="1" applyFill="1" applyBorder="1" applyAlignment="1">
      <alignment horizontal="center"/>
    </xf>
    <xf numFmtId="3" fontId="0" fillId="2" borderId="111" xfId="0" applyNumberFormat="1" applyFill="1" applyBorder="1" applyAlignment="1">
      <alignment horizontal="center"/>
    </xf>
    <xf numFmtId="3" fontId="1" fillId="2" borderId="104" xfId="0" applyNumberFormat="1" applyFont="1" applyFill="1" applyBorder="1"/>
    <xf numFmtId="3" fontId="1" fillId="2" borderId="111" xfId="0" applyNumberFormat="1" applyFont="1" applyFill="1" applyBorder="1"/>
    <xf numFmtId="3" fontId="1" fillId="2" borderId="109" xfId="0" applyNumberFormat="1" applyFont="1" applyFill="1" applyBorder="1"/>
    <xf numFmtId="3" fontId="1" fillId="2" borderId="113" xfId="0" applyNumberFormat="1" applyFont="1" applyFill="1" applyBorder="1"/>
    <xf numFmtId="3" fontId="1" fillId="0" borderId="109" xfId="0" applyNumberFormat="1" applyFont="1" applyBorder="1"/>
    <xf numFmtId="3" fontId="1" fillId="2" borderId="107" xfId="0" applyNumberFormat="1" applyFont="1" applyFill="1" applyBorder="1"/>
    <xf numFmtId="3" fontId="1" fillId="2" borderId="118" xfId="0" applyNumberFormat="1" applyFont="1" applyFill="1" applyBorder="1"/>
    <xf numFmtId="3" fontId="1" fillId="2" borderId="119" xfId="0" applyNumberFormat="1" applyFont="1" applyFill="1" applyBorder="1"/>
    <xf numFmtId="165" fontId="0" fillId="2" borderId="74" xfId="0" applyNumberFormat="1" applyFill="1" applyBorder="1" applyAlignment="1">
      <alignment horizontal="center"/>
    </xf>
    <xf numFmtId="165" fontId="0" fillId="2" borderId="72" xfId="0" applyNumberFormat="1" applyFill="1" applyBorder="1" applyAlignment="1">
      <alignment horizontal="center"/>
    </xf>
    <xf numFmtId="3" fontId="1" fillId="2" borderId="108" xfId="0" applyNumberFormat="1" applyFont="1" applyFill="1" applyBorder="1"/>
    <xf numFmtId="3" fontId="1" fillId="2" borderId="112" xfId="0" applyNumberFormat="1" applyFont="1" applyFill="1" applyBorder="1"/>
    <xf numFmtId="165" fontId="0" fillId="2" borderId="75" xfId="0" applyNumberFormat="1" applyFill="1" applyBorder="1" applyAlignment="1">
      <alignment horizontal="center"/>
    </xf>
    <xf numFmtId="164" fontId="0" fillId="2" borderId="115" xfId="0" applyNumberFormat="1" applyFill="1" applyBorder="1" applyAlignment="1">
      <alignment horizontal="center"/>
    </xf>
    <xf numFmtId="3" fontId="1" fillId="2" borderId="140" xfId="0" applyNumberFormat="1" applyFont="1" applyFill="1" applyBorder="1"/>
    <xf numFmtId="3" fontId="1" fillId="2" borderId="116" xfId="0" applyNumberFormat="1" applyFont="1" applyFill="1" applyBorder="1"/>
    <xf numFmtId="165" fontId="0" fillId="2" borderId="109" xfId="0" applyNumberFormat="1" applyFill="1" applyBorder="1" applyAlignment="1">
      <alignment horizontal="center"/>
    </xf>
    <xf numFmtId="0" fontId="0" fillId="2" borderId="22" xfId="0" applyFill="1" applyBorder="1"/>
    <xf numFmtId="0" fontId="1" fillId="7" borderId="141" xfId="0" applyFont="1" applyFill="1" applyBorder="1" applyAlignment="1">
      <alignment horizontal="center" vertical="center"/>
    </xf>
    <xf numFmtId="3" fontId="1" fillId="7" borderId="104" xfId="0" applyNumberFormat="1" applyFont="1" applyFill="1" applyBorder="1" applyAlignment="1">
      <alignment horizontal="left" vertical="center" wrapText="1"/>
    </xf>
    <xf numFmtId="164" fontId="1" fillId="7" borderId="142" xfId="0" applyNumberFormat="1" applyFont="1" applyFill="1" applyBorder="1"/>
    <xf numFmtId="3" fontId="1" fillId="7" borderId="143" xfId="0" applyNumberFormat="1" applyFont="1" applyFill="1" applyBorder="1"/>
    <xf numFmtId="3" fontId="1" fillId="7" borderId="144" xfId="0" applyNumberFormat="1" applyFont="1" applyFill="1" applyBorder="1"/>
    <xf numFmtId="3" fontId="1" fillId="7" borderId="145" xfId="0" applyNumberFormat="1" applyFont="1" applyFill="1" applyBorder="1"/>
    <xf numFmtId="3" fontId="1" fillId="7" borderId="146" xfId="0" applyNumberFormat="1" applyFont="1" applyFill="1" applyBorder="1"/>
    <xf numFmtId="3" fontId="1" fillId="7" borderId="147" xfId="0" applyNumberFormat="1" applyFont="1" applyFill="1" applyBorder="1"/>
    <xf numFmtId="3" fontId="1" fillId="7" borderId="148" xfId="0" applyNumberFormat="1" applyFont="1" applyFill="1" applyBorder="1"/>
    <xf numFmtId="164" fontId="1" fillId="7" borderId="146" xfId="0" applyNumberFormat="1" applyFont="1" applyFill="1" applyBorder="1"/>
    <xf numFmtId="0" fontId="1" fillId="2" borderId="149" xfId="0" applyFont="1" applyFill="1" applyBorder="1" applyAlignment="1">
      <alignment horizontal="center" vertical="center"/>
    </xf>
    <xf numFmtId="3" fontId="0" fillId="2" borderId="25" xfId="0" applyNumberFormat="1" applyFill="1" applyBorder="1" applyAlignment="1">
      <alignment horizontal="left" vertical="center" wrapText="1"/>
    </xf>
    <xf numFmtId="3" fontId="0" fillId="2" borderId="22" xfId="0" applyNumberFormat="1" applyFill="1" applyBorder="1" applyAlignment="1">
      <alignment horizontal="left" vertical="center" wrapText="1"/>
    </xf>
    <xf numFmtId="164" fontId="0" fillId="2" borderId="21" xfId="0" applyNumberFormat="1" applyFill="1" applyBorder="1" applyAlignment="1">
      <alignment horizontal="center"/>
    </xf>
    <xf numFmtId="3" fontId="0" fillId="2" borderId="101" xfId="0" applyNumberFormat="1" applyFill="1" applyBorder="1" applyAlignment="1">
      <alignment horizontal="center"/>
    </xf>
    <xf numFmtId="164" fontId="0" fillId="2" borderId="96" xfId="0" applyNumberFormat="1" applyFill="1" applyBorder="1" applyAlignment="1">
      <alignment horizontal="center"/>
    </xf>
    <xf numFmtId="3" fontId="0" fillId="2" borderId="23" xfId="0" applyNumberFormat="1" applyFill="1" applyBorder="1" applyAlignment="1">
      <alignment horizontal="center"/>
    </xf>
    <xf numFmtId="3" fontId="0" fillId="2" borderId="87" xfId="0" applyNumberFormat="1" applyFill="1" applyBorder="1"/>
    <xf numFmtId="3" fontId="0" fillId="2" borderId="90" xfId="0" applyNumberFormat="1" applyFill="1" applyBorder="1"/>
    <xf numFmtId="165" fontId="0" fillId="2" borderId="89" xfId="0" applyNumberFormat="1" applyFill="1" applyBorder="1" applyAlignment="1">
      <alignment horizontal="center"/>
    </xf>
    <xf numFmtId="165" fontId="0" fillId="2" borderId="90" xfId="0" applyNumberFormat="1" applyFill="1" applyBorder="1" applyAlignment="1">
      <alignment horizontal="center"/>
    </xf>
    <xf numFmtId="165" fontId="0" fillId="2" borderId="91" xfId="0" applyNumberFormat="1" applyFill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3" fontId="0" fillId="2" borderId="138" xfId="0" applyNumberFormat="1" applyFill="1" applyBorder="1"/>
    <xf numFmtId="3" fontId="0" fillId="2" borderId="77" xfId="0" applyNumberFormat="1" applyFill="1" applyBorder="1" applyAlignment="1">
      <alignment horizontal="left" vertical="center" wrapText="1"/>
    </xf>
    <xf numFmtId="3" fontId="0" fillId="2" borderId="75" xfId="0" applyNumberFormat="1" applyFill="1" applyBorder="1"/>
    <xf numFmtId="164" fontId="0" fillId="2" borderId="73" xfId="0" applyNumberFormat="1" applyFill="1" applyBorder="1" applyAlignment="1">
      <alignment horizontal="center"/>
    </xf>
    <xf numFmtId="165" fontId="0" fillId="2" borderId="62" xfId="0" applyNumberFormat="1" applyFill="1" applyBorder="1" applyAlignment="1">
      <alignment horizontal="center"/>
    </xf>
    <xf numFmtId="3" fontId="0" fillId="2" borderId="123" xfId="0" applyNumberFormat="1" applyFill="1" applyBorder="1"/>
    <xf numFmtId="3" fontId="0" fillId="2" borderId="150" xfId="0" applyNumberFormat="1" applyFill="1" applyBorder="1"/>
    <xf numFmtId="3" fontId="0" fillId="2" borderId="151" xfId="0" applyNumberFormat="1" applyFill="1" applyBorder="1"/>
    <xf numFmtId="165" fontId="0" fillId="2" borderId="123" xfId="0" applyNumberFormat="1" applyFill="1" applyBorder="1" applyAlignment="1">
      <alignment horizontal="center"/>
    </xf>
    <xf numFmtId="3" fontId="0" fillId="2" borderId="124" xfId="0" applyNumberFormat="1" applyFill="1" applyBorder="1"/>
    <xf numFmtId="3" fontId="0" fillId="2" borderId="152" xfId="0" applyNumberFormat="1" applyFill="1" applyBorder="1"/>
    <xf numFmtId="165" fontId="0" fillId="2" borderId="77" xfId="0" applyNumberFormat="1" applyFill="1" applyBorder="1" applyAlignment="1">
      <alignment horizontal="center"/>
    </xf>
    <xf numFmtId="164" fontId="0" fillId="2" borderId="71" xfId="0" applyNumberFormat="1" applyFill="1" applyBorder="1" applyAlignment="1">
      <alignment horizontal="center"/>
    </xf>
    <xf numFmtId="3" fontId="0" fillId="2" borderId="153" xfId="0" applyNumberFormat="1" applyFill="1" applyBorder="1"/>
    <xf numFmtId="3" fontId="0" fillId="2" borderId="76" xfId="0" applyNumberFormat="1" applyFill="1" applyBorder="1"/>
    <xf numFmtId="164" fontId="0" fillId="0" borderId="68" xfId="0" applyNumberFormat="1" applyBorder="1" applyAlignment="1">
      <alignment horizontal="center"/>
    </xf>
    <xf numFmtId="165" fontId="0" fillId="0" borderId="60" xfId="0" applyNumberFormat="1" applyBorder="1" applyAlignment="1">
      <alignment horizontal="center"/>
    </xf>
    <xf numFmtId="165" fontId="0" fillId="0" borderId="66" xfId="0" applyNumberFormat="1" applyBorder="1" applyAlignment="1">
      <alignment horizontal="center"/>
    </xf>
    <xf numFmtId="3" fontId="0" fillId="0" borderId="57" xfId="0" applyNumberFormat="1" applyBorder="1"/>
    <xf numFmtId="165" fontId="0" fillId="0" borderId="57" xfId="0" applyNumberFormat="1" applyBorder="1" applyAlignment="1">
      <alignment horizontal="center"/>
    </xf>
    <xf numFmtId="165" fontId="0" fillId="0" borderId="58" xfId="0" applyNumberFormat="1" applyBorder="1" applyAlignment="1">
      <alignment horizontal="center"/>
    </xf>
    <xf numFmtId="165" fontId="0" fillId="0" borderId="76" xfId="0" applyNumberFormat="1" applyBorder="1" applyAlignment="1">
      <alignment horizontal="center"/>
    </xf>
    <xf numFmtId="164" fontId="0" fillId="0" borderId="64" xfId="0" applyNumberFormat="1" applyBorder="1" applyAlignment="1">
      <alignment horizontal="center"/>
    </xf>
    <xf numFmtId="3" fontId="0" fillId="2" borderId="127" xfId="0" applyNumberFormat="1" applyFill="1" applyBorder="1" applyAlignment="1">
      <alignment horizontal="left" vertical="center" wrapText="1"/>
    </xf>
    <xf numFmtId="164" fontId="0" fillId="2" borderId="136" xfId="0" applyNumberFormat="1" applyFill="1" applyBorder="1" applyAlignment="1">
      <alignment horizontal="center"/>
    </xf>
    <xf numFmtId="165" fontId="0" fillId="2" borderId="130" xfId="0" applyNumberFormat="1" applyFill="1" applyBorder="1" applyAlignment="1">
      <alignment horizontal="center"/>
    </xf>
    <xf numFmtId="165" fontId="0" fillId="2" borderId="132" xfId="0" applyNumberFormat="1" applyFill="1" applyBorder="1" applyAlignment="1">
      <alignment horizontal="center"/>
    </xf>
    <xf numFmtId="165" fontId="0" fillId="2" borderId="127" xfId="0" applyNumberFormat="1" applyFill="1" applyBorder="1" applyAlignment="1">
      <alignment horizontal="center"/>
    </xf>
    <xf numFmtId="165" fontId="0" fillId="2" borderId="128" xfId="0" applyNumberFormat="1" applyFill="1" applyBorder="1" applyAlignment="1">
      <alignment horizontal="center"/>
    </xf>
    <xf numFmtId="165" fontId="0" fillId="2" borderId="138" xfId="0" applyNumberFormat="1" applyFill="1" applyBorder="1" applyAlignment="1">
      <alignment horizontal="center"/>
    </xf>
    <xf numFmtId="164" fontId="0" fillId="2" borderId="133" xfId="0" applyNumberFormat="1" applyFill="1" applyBorder="1" applyAlignment="1">
      <alignment horizontal="center"/>
    </xf>
    <xf numFmtId="3" fontId="1" fillId="2" borderId="132" xfId="0" applyNumberFormat="1" applyFont="1" applyFill="1" applyBorder="1"/>
    <xf numFmtId="0" fontId="1" fillId="2" borderId="154" xfId="0" applyFont="1" applyFill="1" applyBorder="1" applyAlignment="1">
      <alignment vertical="center"/>
    </xf>
    <xf numFmtId="3" fontId="1" fillId="5" borderId="155" xfId="0" applyNumberFormat="1" applyFont="1" applyFill="1" applyBorder="1" applyAlignment="1">
      <alignment horizontal="left" vertical="center" wrapText="1"/>
    </xf>
    <xf numFmtId="3" fontId="0" fillId="5" borderId="156" xfId="0" applyNumberFormat="1" applyFill="1" applyBorder="1" applyAlignment="1" applyProtection="1">
      <alignment horizontal="left" vertical="center" wrapText="1"/>
      <protection locked="0"/>
    </xf>
    <xf numFmtId="164" fontId="1" fillId="5" borderId="157" xfId="0" applyNumberFormat="1" applyFont="1" applyFill="1" applyBorder="1"/>
    <xf numFmtId="165" fontId="1" fillId="5" borderId="158" xfId="0" applyNumberFormat="1" applyFont="1" applyFill="1" applyBorder="1"/>
    <xf numFmtId="164" fontId="1" fillId="5" borderId="158" xfId="0" applyNumberFormat="1" applyFont="1" applyFill="1" applyBorder="1"/>
    <xf numFmtId="3" fontId="1" fillId="5" borderId="159" xfId="0" applyNumberFormat="1" applyFont="1" applyFill="1" applyBorder="1"/>
    <xf numFmtId="3" fontId="1" fillId="5" borderId="160" xfId="0" applyNumberFormat="1" applyFont="1" applyFill="1" applyBorder="1"/>
    <xf numFmtId="3" fontId="1" fillId="5" borderId="161" xfId="0" applyNumberFormat="1" applyFont="1" applyFill="1" applyBorder="1"/>
    <xf numFmtId="3" fontId="1" fillId="5" borderId="155" xfId="0" applyNumberFormat="1" applyFont="1" applyFill="1" applyBorder="1"/>
    <xf numFmtId="3" fontId="1" fillId="5" borderId="158" xfId="0" applyNumberFormat="1" applyFont="1" applyFill="1" applyBorder="1"/>
    <xf numFmtId="3" fontId="1" fillId="5" borderId="156" xfId="0" applyNumberFormat="1" applyFont="1" applyFill="1" applyBorder="1"/>
    <xf numFmtId="3" fontId="1" fillId="5" borderId="162" xfId="0" applyNumberFormat="1" applyFont="1" applyFill="1" applyBorder="1"/>
    <xf numFmtId="164" fontId="1" fillId="5" borderId="163" xfId="0" applyNumberFormat="1" applyFont="1" applyFill="1" applyBorder="1"/>
    <xf numFmtId="3" fontId="1" fillId="5" borderId="164" xfId="0" applyNumberFormat="1" applyFont="1" applyFill="1" applyBorder="1"/>
    <xf numFmtId="3" fontId="1" fillId="5" borderId="165" xfId="0" applyNumberFormat="1" applyFont="1" applyFill="1" applyBorder="1"/>
    <xf numFmtId="164" fontId="1" fillId="5" borderId="164" xfId="0" applyNumberFormat="1" applyFont="1" applyFill="1" applyBorder="1"/>
    <xf numFmtId="3" fontId="1" fillId="5" borderId="166" xfId="0" applyNumberFormat="1" applyFont="1" applyFill="1" applyBorder="1"/>
    <xf numFmtId="3" fontId="1" fillId="5" borderId="167" xfId="0" applyNumberFormat="1" applyFont="1" applyFill="1" applyBorder="1"/>
    <xf numFmtId="164" fontId="1" fillId="5" borderId="168" xfId="0" applyNumberFormat="1" applyFont="1" applyFill="1" applyBorder="1"/>
    <xf numFmtId="3" fontId="1" fillId="5" borderId="169" xfId="0" applyNumberFormat="1" applyFont="1" applyFill="1" applyBorder="1"/>
    <xf numFmtId="3" fontId="1" fillId="5" borderId="170" xfId="0" applyNumberFormat="1" applyFont="1" applyFill="1" applyBorder="1"/>
    <xf numFmtId="0" fontId="0" fillId="5" borderId="171" xfId="0" applyFill="1" applyBorder="1"/>
    <xf numFmtId="0" fontId="0" fillId="7" borderId="106" xfId="0" applyFill="1" applyBorder="1"/>
    <xf numFmtId="3" fontId="1" fillId="7" borderId="119" xfId="0" applyNumberFormat="1" applyFont="1" applyFill="1" applyBorder="1" applyAlignment="1">
      <alignment horizontal="left" vertical="center" wrapText="1"/>
    </xf>
    <xf numFmtId="164" fontId="0" fillId="7" borderId="106" xfId="0" applyNumberFormat="1" applyFill="1" applyBorder="1"/>
    <xf numFmtId="165" fontId="0" fillId="7" borderId="103" xfId="0" applyNumberFormat="1" applyFill="1" applyBorder="1"/>
    <xf numFmtId="3" fontId="1" fillId="7" borderId="172" xfId="0" applyNumberFormat="1" applyFont="1" applyFill="1" applyBorder="1"/>
    <xf numFmtId="3" fontId="1" fillId="7" borderId="173" xfId="0" applyNumberFormat="1" applyFont="1" applyFill="1" applyBorder="1"/>
    <xf numFmtId="3" fontId="1" fillId="7" borderId="174" xfId="0" applyNumberFormat="1" applyFont="1" applyFill="1" applyBorder="1"/>
    <xf numFmtId="3" fontId="1" fillId="7" borderId="175" xfId="0" applyNumberFormat="1" applyFont="1" applyFill="1" applyBorder="1"/>
    <xf numFmtId="164" fontId="1" fillId="7" borderId="176" xfId="0" applyNumberFormat="1" applyFont="1" applyFill="1" applyBorder="1"/>
    <xf numFmtId="3" fontId="1" fillId="7" borderId="177" xfId="0" applyNumberFormat="1" applyFont="1" applyFill="1" applyBorder="1"/>
    <xf numFmtId="164" fontId="1" fillId="7" borderId="178" xfId="0" applyNumberFormat="1" applyFont="1" applyFill="1" applyBorder="1"/>
    <xf numFmtId="3" fontId="1" fillId="7" borderId="179" xfId="0" applyNumberFormat="1" applyFont="1" applyFill="1" applyBorder="1"/>
    <xf numFmtId="0" fontId="0" fillId="7" borderId="103" xfId="0" applyFill="1" applyBorder="1"/>
    <xf numFmtId="0" fontId="0" fillId="2" borderId="180" xfId="0" applyFill="1" applyBorder="1"/>
    <xf numFmtId="3" fontId="1" fillId="2" borderId="56" xfId="0" applyNumberFormat="1" applyFont="1" applyFill="1" applyBorder="1" applyAlignment="1">
      <alignment horizontal="left" vertical="center" wrapText="1"/>
    </xf>
    <xf numFmtId="3" fontId="0" fillId="2" borderId="56" xfId="0" applyNumberFormat="1" applyFill="1" applyBorder="1"/>
    <xf numFmtId="164" fontId="0" fillId="2" borderId="56" xfId="0" applyNumberFormat="1" applyFill="1" applyBorder="1"/>
    <xf numFmtId="165" fontId="0" fillId="2" borderId="56" xfId="0" applyNumberFormat="1" applyFill="1" applyBorder="1"/>
    <xf numFmtId="3" fontId="1" fillId="2" borderId="56" xfId="0" applyNumberFormat="1" applyFont="1" applyFill="1" applyBorder="1"/>
    <xf numFmtId="0" fontId="0" fillId="0" borderId="180" xfId="0" applyBorder="1"/>
    <xf numFmtId="3" fontId="1" fillId="2" borderId="180" xfId="0" applyNumberFormat="1" applyFont="1" applyFill="1" applyBorder="1"/>
    <xf numFmtId="0" fontId="0" fillId="0" borderId="181" xfId="0" applyBorder="1"/>
    <xf numFmtId="164" fontId="1" fillId="2" borderId="56" xfId="0" applyNumberFormat="1" applyFont="1" applyFill="1" applyBorder="1"/>
    <xf numFmtId="0" fontId="0" fillId="2" borderId="56" xfId="0" applyFill="1" applyBorder="1"/>
    <xf numFmtId="0" fontId="0" fillId="2" borderId="43" xfId="0" applyFill="1" applyBorder="1"/>
    <xf numFmtId="3" fontId="1" fillId="7" borderId="182" xfId="0" applyNumberFormat="1" applyFont="1" applyFill="1" applyBorder="1" applyAlignment="1">
      <alignment horizontal="left" vertical="center" wrapText="1"/>
    </xf>
    <xf numFmtId="3" fontId="0" fillId="7" borderId="56" xfId="0" applyNumberFormat="1" applyFill="1" applyBorder="1"/>
    <xf numFmtId="164" fontId="0" fillId="7" borderId="56" xfId="0" applyNumberFormat="1" applyFill="1" applyBorder="1"/>
    <xf numFmtId="165" fontId="0" fillId="7" borderId="56" xfId="0" applyNumberFormat="1" applyFill="1" applyBorder="1"/>
    <xf numFmtId="3" fontId="1" fillId="7" borderId="56" xfId="0" applyNumberFormat="1" applyFont="1" applyFill="1" applyBorder="1"/>
    <xf numFmtId="3" fontId="1" fillId="7" borderId="50" xfId="0" applyNumberFormat="1" applyFont="1" applyFill="1" applyBorder="1"/>
    <xf numFmtId="0" fontId="0" fillId="7" borderId="50" xfId="0" applyFill="1" applyBorder="1"/>
    <xf numFmtId="0" fontId="0" fillId="7" borderId="54" xfId="0" applyFill="1" applyBorder="1"/>
    <xf numFmtId="164" fontId="0" fillId="7" borderId="46" xfId="0" applyNumberFormat="1" applyFill="1" applyBorder="1"/>
    <xf numFmtId="164" fontId="0" fillId="7" borderId="45" xfId="0" applyNumberFormat="1" applyFill="1" applyBorder="1"/>
    <xf numFmtId="3" fontId="0" fillId="7" borderId="45" xfId="0" applyNumberFormat="1" applyFill="1" applyBorder="1"/>
    <xf numFmtId="3" fontId="1" fillId="7" borderId="45" xfId="0" applyNumberFormat="1" applyFont="1" applyFill="1" applyBorder="1"/>
    <xf numFmtId="0" fontId="0" fillId="7" borderId="55" xfId="0" applyFill="1" applyBorder="1"/>
    <xf numFmtId="3" fontId="1" fillId="7" borderId="182" xfId="0" applyNumberFormat="1" applyFont="1" applyFill="1" applyBorder="1"/>
    <xf numFmtId="164" fontId="0" fillId="7" borderId="2" xfId="0" applyNumberFormat="1" applyFill="1" applyBorder="1"/>
    <xf numFmtId="164" fontId="1" fillId="7" borderId="46" xfId="0" applyNumberFormat="1" applyFont="1" applyFill="1" applyBorder="1"/>
    <xf numFmtId="0" fontId="0" fillId="7" borderId="44" xfId="0" applyFill="1" applyBorder="1"/>
    <xf numFmtId="0" fontId="0" fillId="2" borderId="10" xfId="0" applyFill="1" applyBorder="1"/>
    <xf numFmtId="3" fontId="1" fillId="2" borderId="57" xfId="0" applyNumberFormat="1" applyFont="1" applyFill="1" applyBorder="1" applyAlignment="1">
      <alignment horizontal="right" vertical="center" wrapText="1"/>
    </xf>
    <xf numFmtId="0" fontId="0" fillId="0" borderId="58" xfId="0" applyBorder="1"/>
    <xf numFmtId="0" fontId="0" fillId="2" borderId="33" xfId="0" applyFill="1" applyBorder="1"/>
    <xf numFmtId="3" fontId="1" fillId="2" borderId="183" xfId="0" applyNumberFormat="1" applyFont="1" applyFill="1" applyBorder="1" applyAlignment="1">
      <alignment horizontal="right" vertical="center" wrapText="1"/>
    </xf>
    <xf numFmtId="3" fontId="0" fillId="2" borderId="184" xfId="0" applyNumberFormat="1" applyFill="1" applyBorder="1"/>
    <xf numFmtId="164" fontId="0" fillId="2" borderId="184" xfId="0" applyNumberFormat="1" applyFill="1" applyBorder="1"/>
    <xf numFmtId="1" fontId="0" fillId="2" borderId="184" xfId="0" applyNumberFormat="1" applyFill="1" applyBorder="1"/>
    <xf numFmtId="3" fontId="0" fillId="2" borderId="185" xfId="0" applyNumberFormat="1" applyFill="1" applyBorder="1"/>
    <xf numFmtId="3" fontId="0" fillId="0" borderId="183" xfId="0" applyNumberFormat="1" applyBorder="1"/>
    <xf numFmtId="0" fontId="0" fillId="0" borderId="185" xfId="0" applyBorder="1"/>
    <xf numFmtId="164" fontId="0" fillId="2" borderId="186" xfId="0" applyNumberFormat="1" applyFill="1" applyBorder="1"/>
    <xf numFmtId="3" fontId="0" fillId="2" borderId="183" xfId="0" applyNumberFormat="1" applyFill="1" applyBorder="1"/>
    <xf numFmtId="3" fontId="0" fillId="2" borderId="187" xfId="0" applyNumberFormat="1" applyFill="1" applyBorder="1"/>
    <xf numFmtId="0" fontId="0" fillId="0" borderId="188" xfId="0" applyBorder="1"/>
    <xf numFmtId="164" fontId="0" fillId="2" borderId="189" xfId="0" applyNumberFormat="1" applyFill="1" applyBorder="1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1" fillId="2" borderId="4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12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25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29" xfId="0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2FFC6-CF6F-4081-AF08-9930AB3D6D05}">
  <sheetPr>
    <pageSetUpPr fitToPage="1"/>
  </sheetPr>
  <dimension ref="A1:CY107"/>
  <sheetViews>
    <sheetView tabSelected="1" workbookViewId="0">
      <pane xSplit="3" ySplit="8" topLeftCell="CA9" activePane="bottomRight" state="frozen"/>
      <selection pane="topRight" activeCell="D1" sqref="D1"/>
      <selection pane="bottomLeft" activeCell="A9" sqref="A9"/>
      <selection pane="bottomRight" sqref="A1:C1"/>
    </sheetView>
  </sheetViews>
  <sheetFormatPr defaultRowHeight="13.2" outlineLevelCol="1" x14ac:dyDescent="0.25"/>
  <cols>
    <col min="1" max="1" width="10" style="1" customWidth="1"/>
    <col min="2" max="2" width="39.5546875" style="2" customWidth="1"/>
    <col min="3" max="3" width="13.5546875" customWidth="1"/>
    <col min="4" max="4" width="10.6640625" style="549" customWidth="1"/>
    <col min="5" max="5" width="9" style="550" customWidth="1"/>
    <col min="6" max="7" width="9" customWidth="1"/>
    <col min="8" max="8" width="11.44140625" hidden="1" customWidth="1" outlineLevel="1"/>
    <col min="9" max="9" width="9.6640625" hidden="1" customWidth="1" outlineLevel="1"/>
    <col min="10" max="10" width="10.33203125" customWidth="1" collapsed="1"/>
    <col min="11" max="11" width="9" customWidth="1"/>
    <col min="12" max="12" width="9.5546875" customWidth="1"/>
    <col min="13" max="13" width="9" customWidth="1"/>
    <col min="14" max="14" width="9.6640625" customWidth="1"/>
    <col min="15" max="15" width="8.44140625" style="551" customWidth="1"/>
    <col min="16" max="16" width="9.6640625" customWidth="1"/>
    <col min="17" max="17" width="8.109375" customWidth="1"/>
    <col min="18" max="18" width="8.6640625" customWidth="1"/>
    <col min="19" max="19" width="7.44140625" customWidth="1"/>
    <col min="20" max="20" width="9.6640625" customWidth="1"/>
    <col min="21" max="21" width="7.5546875" style="551" customWidth="1"/>
    <col min="22" max="22" width="8.5546875" customWidth="1"/>
    <col min="23" max="23" width="7.6640625" customWidth="1"/>
    <col min="24" max="25" width="9.44140625" style="549" customWidth="1"/>
    <col min="26" max="27" width="7" customWidth="1"/>
    <col min="28" max="28" width="11.44140625" hidden="1" customWidth="1" outlineLevel="1"/>
    <col min="29" max="29" width="9.6640625" hidden="1" customWidth="1" outlineLevel="1"/>
    <col min="30" max="30" width="9.44140625" customWidth="1" collapsed="1"/>
    <col min="31" max="31" width="8.44140625" customWidth="1"/>
    <col min="32" max="32" width="9.5546875" customWidth="1"/>
    <col min="33" max="33" width="8.88671875" customWidth="1"/>
    <col min="34" max="34" width="9.6640625" style="551" customWidth="1"/>
    <col min="35" max="35" width="7.5546875" style="551" customWidth="1"/>
    <col min="36" max="36" width="9.6640625" customWidth="1"/>
    <col min="37" max="37" width="7.6640625" customWidth="1"/>
    <col min="38" max="38" width="9.6640625" customWidth="1"/>
    <col min="39" max="39" width="7.88671875" customWidth="1"/>
    <col min="40" max="40" width="9.6640625" customWidth="1"/>
    <col min="41" max="41" width="8.5546875" style="551" customWidth="1"/>
    <col min="42" max="42" width="7.33203125" customWidth="1"/>
    <col min="43" max="43" width="7.109375" customWidth="1"/>
    <col min="44" max="44" width="9.33203125" style="549" customWidth="1"/>
    <col min="45" max="46" width="8.33203125" style="550" customWidth="1"/>
    <col min="47" max="47" width="8.44140625" customWidth="1"/>
    <col min="48" max="48" width="11.44140625" hidden="1" customWidth="1" outlineLevel="1"/>
    <col min="49" max="49" width="10.5546875" hidden="1" customWidth="1" outlineLevel="1"/>
    <col min="50" max="50" width="10.44140625" customWidth="1" collapsed="1"/>
    <col min="51" max="51" width="8.109375" customWidth="1"/>
    <col min="52" max="52" width="9.33203125" customWidth="1"/>
    <col min="53" max="53" width="7.88671875" customWidth="1"/>
    <col min="54" max="54" width="9.6640625" style="551" customWidth="1"/>
    <col min="55" max="55" width="8" style="551" customWidth="1"/>
    <col min="56" max="56" width="9.6640625" customWidth="1"/>
    <col min="57" max="57" width="8.109375" customWidth="1"/>
    <col min="58" max="58" width="9.6640625" customWidth="1"/>
    <col min="59" max="59" width="8.33203125" customWidth="1"/>
    <col min="60" max="60" width="9.6640625" customWidth="1"/>
    <col min="61" max="61" width="8.33203125" style="551" customWidth="1"/>
    <col min="62" max="62" width="7.33203125" customWidth="1"/>
    <col min="63" max="63" width="7.109375" customWidth="1"/>
    <col min="64" max="64" width="9.33203125" style="549" customWidth="1"/>
    <col min="65" max="66" width="8.33203125" customWidth="1"/>
    <col min="67" max="67" width="8" customWidth="1"/>
    <col min="68" max="68" width="11.44140625" hidden="1" customWidth="1" outlineLevel="1"/>
    <col min="69" max="69" width="9.6640625" hidden="1" customWidth="1" outlineLevel="1"/>
    <col min="70" max="70" width="9.44140625" customWidth="1" collapsed="1"/>
    <col min="71" max="71" width="7.88671875" customWidth="1"/>
    <col min="72" max="72" width="9.5546875" customWidth="1"/>
    <col min="73" max="73" width="7.5546875" customWidth="1"/>
    <col min="74" max="74" width="9.6640625" style="551" customWidth="1"/>
    <col min="75" max="75" width="8.44140625" customWidth="1"/>
    <col min="77" max="77" width="8.44140625" customWidth="1"/>
    <col min="78" max="78" width="9.6640625" customWidth="1"/>
    <col min="79" max="79" width="8.88671875" customWidth="1"/>
    <col min="80" max="80" width="9.6640625" customWidth="1"/>
    <col min="81" max="81" width="8.44140625" customWidth="1"/>
    <col min="82" max="82" width="7.88671875" customWidth="1"/>
    <col min="83" max="83" width="7.109375" customWidth="1"/>
    <col min="84" max="84" width="9.33203125" style="549" customWidth="1"/>
    <col min="85" max="86" width="9.33203125" customWidth="1"/>
    <col min="87" max="87" width="8.6640625" customWidth="1"/>
    <col min="88" max="88" width="11" customWidth="1"/>
    <col min="89" max="89" width="8.33203125" customWidth="1"/>
    <col min="90" max="90" width="10.5546875" customWidth="1"/>
    <col min="91" max="91" width="7.6640625" customWidth="1"/>
    <col min="92" max="92" width="9.88671875" customWidth="1"/>
    <col min="93" max="93" width="7.33203125" customWidth="1"/>
    <col min="94" max="94" width="9.6640625" customWidth="1"/>
    <col min="95" max="95" width="8.109375" customWidth="1"/>
    <col min="96" max="96" width="9.6640625" customWidth="1"/>
    <col min="97" max="97" width="8.44140625" customWidth="1"/>
    <col min="98" max="98" width="8.6640625" customWidth="1"/>
    <col min="99" max="99" width="8.109375" customWidth="1"/>
    <col min="100" max="100" width="8.6640625" customWidth="1"/>
    <col min="101" max="101" width="8.33203125" customWidth="1"/>
    <col min="102" max="102" width="7.33203125" customWidth="1"/>
    <col min="103" max="103" width="7.109375" customWidth="1"/>
  </cols>
  <sheetData>
    <row r="1" spans="1:103" ht="36" customHeight="1" x14ac:dyDescent="0.4">
      <c r="A1" s="590" t="s">
        <v>0</v>
      </c>
      <c r="B1" s="590"/>
      <c r="C1" s="590"/>
      <c r="D1" s="3"/>
      <c r="E1" s="4"/>
      <c r="F1" s="5"/>
      <c r="G1" s="5"/>
      <c r="H1" s="5"/>
      <c r="I1" s="5"/>
      <c r="J1" s="5"/>
      <c r="K1" s="6"/>
      <c r="L1" s="6"/>
      <c r="M1" s="6"/>
      <c r="N1" s="7"/>
      <c r="O1" s="8"/>
      <c r="P1" s="5"/>
      <c r="Q1" s="5"/>
      <c r="R1" s="5"/>
      <c r="S1" s="5"/>
      <c r="T1" s="5"/>
      <c r="U1" s="8"/>
      <c r="V1" s="5"/>
      <c r="W1" s="5"/>
      <c r="X1" s="3"/>
      <c r="Y1" s="9"/>
      <c r="Z1" s="9"/>
      <c r="AA1" s="5"/>
      <c r="AB1" s="5"/>
      <c r="AC1" s="5"/>
      <c r="AD1" s="5"/>
      <c r="AE1" s="5"/>
      <c r="AF1" s="5"/>
      <c r="AG1" s="5"/>
      <c r="AH1" s="8"/>
      <c r="AI1" s="8"/>
      <c r="AJ1" s="5"/>
      <c r="AK1" s="5"/>
      <c r="AL1" s="5"/>
      <c r="AM1" s="5"/>
      <c r="AN1" s="5"/>
      <c r="AO1" s="8"/>
      <c r="AP1" s="5"/>
      <c r="AQ1" s="5"/>
      <c r="AR1" s="3"/>
      <c r="AS1" s="4"/>
      <c r="AT1" s="4"/>
      <c r="AU1" s="5"/>
      <c r="AV1" s="5"/>
      <c r="AW1" s="5"/>
      <c r="AX1" s="5"/>
      <c r="AY1" s="5"/>
      <c r="AZ1" s="5"/>
      <c r="BA1" s="5"/>
      <c r="BB1" s="8"/>
      <c r="BC1" s="8"/>
      <c r="BD1" s="5"/>
      <c r="BE1" s="5"/>
      <c r="BF1" s="5"/>
      <c r="BG1" s="5"/>
      <c r="BH1" s="5"/>
      <c r="BI1" s="8"/>
      <c r="BJ1" s="5"/>
      <c r="BK1" s="5"/>
      <c r="BL1" s="3"/>
      <c r="BM1" s="5"/>
      <c r="BN1" s="5"/>
      <c r="BO1" s="5"/>
      <c r="BP1" s="5"/>
      <c r="BQ1" s="5"/>
      <c r="BR1" s="5"/>
      <c r="BS1" s="5"/>
      <c r="BT1" s="5"/>
      <c r="BU1" s="5"/>
      <c r="BV1" s="8"/>
      <c r="BW1" s="5"/>
      <c r="BX1" s="5"/>
      <c r="BY1" s="5"/>
      <c r="BZ1" s="5"/>
      <c r="CA1" s="5"/>
      <c r="CB1" s="5"/>
      <c r="CC1" s="5"/>
      <c r="CD1" s="5"/>
      <c r="CE1" s="5"/>
      <c r="CF1" s="10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7"/>
      <c r="CY1" s="7"/>
    </row>
    <row r="2" spans="1:103" ht="21.6" thickBot="1" x14ac:dyDescent="0.45">
      <c r="A2" s="1" t="s">
        <v>1</v>
      </c>
      <c r="B2" s="12"/>
      <c r="C2" s="13"/>
      <c r="D2" s="14"/>
      <c r="E2" s="15"/>
      <c r="F2" s="16"/>
      <c r="G2" s="16"/>
      <c r="H2" s="16"/>
      <c r="I2" s="16"/>
      <c r="J2" s="16"/>
      <c r="K2" s="16"/>
      <c r="L2" s="16"/>
      <c r="M2" s="16"/>
      <c r="N2" s="16"/>
      <c r="O2" s="17"/>
      <c r="P2" s="16"/>
      <c r="Q2" s="16"/>
      <c r="R2" s="16"/>
      <c r="S2" s="16"/>
      <c r="T2" s="16"/>
      <c r="U2" s="17"/>
      <c r="V2" s="18"/>
      <c r="W2" s="18"/>
      <c r="X2" s="14"/>
      <c r="Y2" s="14"/>
      <c r="Z2" s="16"/>
      <c r="AA2" s="16"/>
      <c r="AB2" s="16"/>
      <c r="AC2" s="16"/>
      <c r="AD2" s="16"/>
      <c r="AE2" s="16"/>
      <c r="AF2" s="16"/>
      <c r="AG2" s="16"/>
      <c r="AH2" s="17"/>
      <c r="AI2" s="17"/>
      <c r="AJ2" s="16"/>
      <c r="AK2" s="16"/>
      <c r="AL2" s="16"/>
      <c r="AM2" s="16"/>
      <c r="AN2" s="16"/>
      <c r="AO2" s="17"/>
      <c r="AP2" s="18"/>
      <c r="AQ2" s="18"/>
      <c r="AR2" s="14"/>
      <c r="AS2" s="15"/>
      <c r="AT2" s="15"/>
      <c r="AU2" s="16"/>
      <c r="AV2" s="16"/>
      <c r="AW2" s="16"/>
      <c r="AX2" s="16"/>
      <c r="AY2" s="16"/>
      <c r="AZ2" s="16"/>
      <c r="BA2" s="16"/>
      <c r="BB2" s="17"/>
      <c r="BC2" s="17"/>
      <c r="BD2" s="16"/>
      <c r="BE2" s="16"/>
      <c r="BF2" s="16"/>
      <c r="BG2" s="16"/>
      <c r="BH2" s="16"/>
      <c r="BI2" s="17"/>
      <c r="BJ2" s="18"/>
      <c r="BK2" s="18"/>
      <c r="BL2" s="14"/>
      <c r="BM2" s="16"/>
      <c r="BN2" s="16"/>
      <c r="BO2" s="16"/>
      <c r="BP2" s="16"/>
      <c r="BQ2" s="16"/>
      <c r="BR2" s="16"/>
      <c r="BS2" s="16"/>
      <c r="BT2" s="16"/>
      <c r="BU2" s="16"/>
      <c r="BV2" s="17"/>
      <c r="BW2" s="16"/>
      <c r="BX2" s="16"/>
      <c r="BY2" s="16"/>
      <c r="BZ2" s="16"/>
      <c r="CA2" s="16"/>
      <c r="CB2" s="16"/>
      <c r="CC2" s="16"/>
      <c r="CD2" s="18"/>
      <c r="CE2" s="18"/>
      <c r="CF2" s="14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8"/>
      <c r="CY2" s="18"/>
    </row>
    <row r="3" spans="1:103" s="1" customFormat="1" ht="17.25" customHeight="1" x14ac:dyDescent="0.25">
      <c r="A3" s="19"/>
      <c r="B3" s="591" t="s">
        <v>2</v>
      </c>
      <c r="C3" s="594" t="s">
        <v>3</v>
      </c>
      <c r="D3" s="584" t="s">
        <v>4</v>
      </c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4" t="s">
        <v>5</v>
      </c>
      <c r="Y3" s="585"/>
      <c r="Z3" s="585"/>
      <c r="AA3" s="585"/>
      <c r="AB3" s="585"/>
      <c r="AC3" s="585"/>
      <c r="AD3" s="585"/>
      <c r="AE3" s="585"/>
      <c r="AF3" s="585"/>
      <c r="AG3" s="585"/>
      <c r="AH3" s="585"/>
      <c r="AI3" s="585"/>
      <c r="AJ3" s="585"/>
      <c r="AK3" s="585"/>
      <c r="AL3" s="585"/>
      <c r="AM3" s="585"/>
      <c r="AN3" s="585"/>
      <c r="AO3" s="585"/>
      <c r="AP3" s="585"/>
      <c r="AQ3" s="597"/>
      <c r="AR3" s="585" t="s">
        <v>6</v>
      </c>
      <c r="AS3" s="585"/>
      <c r="AT3" s="585"/>
      <c r="AU3" s="585"/>
      <c r="AV3" s="585"/>
      <c r="AW3" s="585"/>
      <c r="AX3" s="585"/>
      <c r="AY3" s="585"/>
      <c r="AZ3" s="585"/>
      <c r="BA3" s="585"/>
      <c r="BB3" s="585"/>
      <c r="BC3" s="585"/>
      <c r="BD3" s="585"/>
      <c r="BE3" s="585"/>
      <c r="BF3" s="585"/>
      <c r="BG3" s="585"/>
      <c r="BH3" s="585"/>
      <c r="BI3" s="586"/>
      <c r="BJ3" s="20"/>
      <c r="BK3" s="20"/>
      <c r="BL3" s="584" t="s">
        <v>7</v>
      </c>
      <c r="BM3" s="585"/>
      <c r="BN3" s="585"/>
      <c r="BO3" s="585"/>
      <c r="BP3" s="585"/>
      <c r="BQ3" s="585"/>
      <c r="BR3" s="585"/>
      <c r="BS3" s="585"/>
      <c r="BT3" s="585"/>
      <c r="BU3" s="585"/>
      <c r="BV3" s="585"/>
      <c r="BW3" s="585"/>
      <c r="BX3" s="585"/>
      <c r="BY3" s="585"/>
      <c r="BZ3" s="585"/>
      <c r="CA3" s="585"/>
      <c r="CB3" s="585"/>
      <c r="CC3" s="586"/>
      <c r="CD3" s="20"/>
      <c r="CE3" s="21"/>
      <c r="CF3" s="584" t="s">
        <v>8</v>
      </c>
      <c r="CG3" s="585"/>
      <c r="CH3" s="585"/>
      <c r="CI3" s="585"/>
      <c r="CJ3" s="585"/>
      <c r="CK3" s="585"/>
      <c r="CL3" s="585"/>
      <c r="CM3" s="585"/>
      <c r="CN3" s="585"/>
      <c r="CO3" s="585"/>
      <c r="CP3" s="585"/>
      <c r="CQ3" s="585"/>
      <c r="CR3" s="585"/>
      <c r="CS3" s="585"/>
      <c r="CT3" s="585"/>
      <c r="CU3" s="585"/>
      <c r="CV3" s="585"/>
      <c r="CW3" s="585"/>
      <c r="CX3" s="22"/>
      <c r="CY3" s="21"/>
    </row>
    <row r="4" spans="1:103" ht="20.25" customHeight="1" x14ac:dyDescent="0.25">
      <c r="A4" s="587" t="s">
        <v>9</v>
      </c>
      <c r="B4" s="592"/>
      <c r="C4" s="595"/>
      <c r="D4" s="571" t="s">
        <v>10</v>
      </c>
      <c r="E4" s="572"/>
      <c r="F4" s="572"/>
      <c r="G4" s="566"/>
      <c r="H4" s="575" t="s">
        <v>11</v>
      </c>
      <c r="I4" s="576"/>
      <c r="J4" s="565" t="s">
        <v>12</v>
      </c>
      <c r="K4" s="572"/>
      <c r="L4" s="572"/>
      <c r="M4" s="566"/>
      <c r="N4" s="557" t="s">
        <v>13</v>
      </c>
      <c r="O4" s="564"/>
      <c r="P4" s="564"/>
      <c r="Q4" s="564"/>
      <c r="R4" s="564"/>
      <c r="S4" s="564"/>
      <c r="T4" s="564"/>
      <c r="U4" s="558"/>
      <c r="V4" s="565" t="s">
        <v>14</v>
      </c>
      <c r="W4" s="572"/>
      <c r="X4" s="571" t="s">
        <v>10</v>
      </c>
      <c r="Y4" s="572"/>
      <c r="Z4" s="572"/>
      <c r="AA4" s="566"/>
      <c r="AB4" s="575" t="s">
        <v>11</v>
      </c>
      <c r="AC4" s="576"/>
      <c r="AD4" s="565" t="s">
        <v>12</v>
      </c>
      <c r="AE4" s="572"/>
      <c r="AF4" s="572"/>
      <c r="AG4" s="566"/>
      <c r="AH4" s="557" t="s">
        <v>13</v>
      </c>
      <c r="AI4" s="564"/>
      <c r="AJ4" s="564"/>
      <c r="AK4" s="564"/>
      <c r="AL4" s="564"/>
      <c r="AM4" s="564"/>
      <c r="AN4" s="564"/>
      <c r="AO4" s="558"/>
      <c r="AP4" s="565" t="s">
        <v>14</v>
      </c>
      <c r="AQ4" s="581"/>
      <c r="AR4" s="572" t="s">
        <v>10</v>
      </c>
      <c r="AS4" s="572"/>
      <c r="AT4" s="572"/>
      <c r="AU4" s="566"/>
      <c r="AV4" s="575" t="s">
        <v>11</v>
      </c>
      <c r="AW4" s="576"/>
      <c r="AX4" s="565" t="s">
        <v>12</v>
      </c>
      <c r="AY4" s="572"/>
      <c r="AZ4" s="572"/>
      <c r="BA4" s="566"/>
      <c r="BB4" s="557" t="s">
        <v>13</v>
      </c>
      <c r="BC4" s="564"/>
      <c r="BD4" s="564"/>
      <c r="BE4" s="564"/>
      <c r="BF4" s="564"/>
      <c r="BG4" s="564"/>
      <c r="BH4" s="564"/>
      <c r="BI4" s="558"/>
      <c r="BJ4" s="565" t="s">
        <v>14</v>
      </c>
      <c r="BK4" s="572"/>
      <c r="BL4" s="571" t="s">
        <v>10</v>
      </c>
      <c r="BM4" s="572"/>
      <c r="BN4" s="572"/>
      <c r="BO4" s="566"/>
      <c r="BP4" s="575" t="s">
        <v>11</v>
      </c>
      <c r="BQ4" s="576"/>
      <c r="BR4" s="565" t="s">
        <v>12</v>
      </c>
      <c r="BS4" s="572"/>
      <c r="BT4" s="572"/>
      <c r="BU4" s="566"/>
      <c r="BV4" s="557" t="s">
        <v>13</v>
      </c>
      <c r="BW4" s="564"/>
      <c r="BX4" s="564"/>
      <c r="BY4" s="564"/>
      <c r="BZ4" s="564"/>
      <c r="CA4" s="564"/>
      <c r="CB4" s="564"/>
      <c r="CC4" s="558"/>
      <c r="CD4" s="565" t="s">
        <v>14</v>
      </c>
      <c r="CE4" s="581"/>
      <c r="CF4" s="571" t="s">
        <v>10</v>
      </c>
      <c r="CG4" s="572"/>
      <c r="CH4" s="572"/>
      <c r="CI4" s="566"/>
      <c r="CJ4" s="565" t="s">
        <v>11</v>
      </c>
      <c r="CK4" s="566"/>
      <c r="CL4" s="565" t="s">
        <v>12</v>
      </c>
      <c r="CM4" s="572"/>
      <c r="CN4" s="572"/>
      <c r="CO4" s="566"/>
      <c r="CP4" s="557" t="s">
        <v>15</v>
      </c>
      <c r="CQ4" s="564"/>
      <c r="CR4" s="564"/>
      <c r="CS4" s="564"/>
      <c r="CT4" s="564"/>
      <c r="CU4" s="564"/>
      <c r="CV4" s="564"/>
      <c r="CW4" s="564"/>
      <c r="CX4" s="565" t="s">
        <v>14</v>
      </c>
      <c r="CY4" s="581"/>
    </row>
    <row r="5" spans="1:103" ht="20.25" customHeight="1" x14ac:dyDescent="0.25">
      <c r="A5" s="587"/>
      <c r="B5" s="592"/>
      <c r="C5" s="595"/>
      <c r="D5" s="573"/>
      <c r="E5" s="574"/>
      <c r="F5" s="574"/>
      <c r="G5" s="570"/>
      <c r="H5" s="577"/>
      <c r="I5" s="578"/>
      <c r="J5" s="569"/>
      <c r="K5" s="574"/>
      <c r="L5" s="574"/>
      <c r="M5" s="570"/>
      <c r="N5" s="557" t="s">
        <v>16</v>
      </c>
      <c r="O5" s="564"/>
      <c r="P5" s="564"/>
      <c r="Q5" s="558"/>
      <c r="R5" s="557" t="s">
        <v>17</v>
      </c>
      <c r="S5" s="564"/>
      <c r="T5" s="564"/>
      <c r="U5" s="558"/>
      <c r="V5" s="567"/>
      <c r="W5" s="589"/>
      <c r="X5" s="573"/>
      <c r="Y5" s="574"/>
      <c r="Z5" s="574"/>
      <c r="AA5" s="570"/>
      <c r="AB5" s="577"/>
      <c r="AC5" s="578"/>
      <c r="AD5" s="569"/>
      <c r="AE5" s="574"/>
      <c r="AF5" s="574"/>
      <c r="AG5" s="570"/>
      <c r="AH5" s="557" t="s">
        <v>16</v>
      </c>
      <c r="AI5" s="564"/>
      <c r="AJ5" s="564"/>
      <c r="AK5" s="558"/>
      <c r="AL5" s="557" t="s">
        <v>17</v>
      </c>
      <c r="AM5" s="564"/>
      <c r="AN5" s="564"/>
      <c r="AO5" s="558"/>
      <c r="AP5" s="567"/>
      <c r="AQ5" s="582"/>
      <c r="AR5" s="574"/>
      <c r="AS5" s="574"/>
      <c r="AT5" s="574"/>
      <c r="AU5" s="570"/>
      <c r="AV5" s="577"/>
      <c r="AW5" s="578"/>
      <c r="AX5" s="569"/>
      <c r="AY5" s="574"/>
      <c r="AZ5" s="574"/>
      <c r="BA5" s="570"/>
      <c r="BB5" s="557" t="s">
        <v>16</v>
      </c>
      <c r="BC5" s="564"/>
      <c r="BD5" s="564"/>
      <c r="BE5" s="558"/>
      <c r="BF5" s="557" t="s">
        <v>17</v>
      </c>
      <c r="BG5" s="564"/>
      <c r="BH5" s="564"/>
      <c r="BI5" s="558"/>
      <c r="BJ5" s="567"/>
      <c r="BK5" s="589"/>
      <c r="BL5" s="573"/>
      <c r="BM5" s="574"/>
      <c r="BN5" s="574"/>
      <c r="BO5" s="570"/>
      <c r="BP5" s="577"/>
      <c r="BQ5" s="578"/>
      <c r="BR5" s="569"/>
      <c r="BS5" s="574"/>
      <c r="BT5" s="574"/>
      <c r="BU5" s="570"/>
      <c r="BV5" s="557" t="s">
        <v>16</v>
      </c>
      <c r="BW5" s="564"/>
      <c r="BX5" s="564"/>
      <c r="BY5" s="558"/>
      <c r="BZ5" s="557" t="s">
        <v>17</v>
      </c>
      <c r="CA5" s="564"/>
      <c r="CB5" s="564"/>
      <c r="CC5" s="558"/>
      <c r="CD5" s="567"/>
      <c r="CE5" s="582"/>
      <c r="CF5" s="573"/>
      <c r="CG5" s="574"/>
      <c r="CH5" s="574"/>
      <c r="CI5" s="570"/>
      <c r="CJ5" s="567"/>
      <c r="CK5" s="568"/>
      <c r="CL5" s="569"/>
      <c r="CM5" s="574"/>
      <c r="CN5" s="574"/>
      <c r="CO5" s="570"/>
      <c r="CP5" s="557" t="s">
        <v>16</v>
      </c>
      <c r="CQ5" s="564"/>
      <c r="CR5" s="564"/>
      <c r="CS5" s="558"/>
      <c r="CT5" s="557" t="s">
        <v>17</v>
      </c>
      <c r="CU5" s="564"/>
      <c r="CV5" s="564"/>
      <c r="CW5" s="564"/>
      <c r="CX5" s="567"/>
      <c r="CY5" s="582"/>
    </row>
    <row r="6" spans="1:103" ht="56.25" customHeight="1" x14ac:dyDescent="0.25">
      <c r="A6" s="587"/>
      <c r="B6" s="592"/>
      <c r="C6" s="595"/>
      <c r="D6" s="561" t="s">
        <v>18</v>
      </c>
      <c r="E6" s="560"/>
      <c r="F6" s="562" t="s">
        <v>19</v>
      </c>
      <c r="G6" s="563"/>
      <c r="H6" s="579"/>
      <c r="I6" s="580"/>
      <c r="J6" s="557" t="s">
        <v>20</v>
      </c>
      <c r="K6" s="558"/>
      <c r="L6" s="557" t="s">
        <v>21</v>
      </c>
      <c r="M6" s="558"/>
      <c r="N6" s="557" t="s">
        <v>20</v>
      </c>
      <c r="O6" s="558"/>
      <c r="P6" s="557" t="s">
        <v>21</v>
      </c>
      <c r="Q6" s="558"/>
      <c r="R6" s="557" t="s">
        <v>20</v>
      </c>
      <c r="S6" s="558"/>
      <c r="T6" s="557" t="s">
        <v>21</v>
      </c>
      <c r="U6" s="558"/>
      <c r="V6" s="569"/>
      <c r="W6" s="574"/>
      <c r="X6" s="561" t="s">
        <v>18</v>
      </c>
      <c r="Y6" s="560"/>
      <c r="Z6" s="562" t="s">
        <v>19</v>
      </c>
      <c r="AA6" s="563"/>
      <c r="AB6" s="579"/>
      <c r="AC6" s="580"/>
      <c r="AD6" s="557" t="s">
        <v>20</v>
      </c>
      <c r="AE6" s="558"/>
      <c r="AF6" s="557" t="s">
        <v>21</v>
      </c>
      <c r="AG6" s="558"/>
      <c r="AH6" s="557" t="s">
        <v>20</v>
      </c>
      <c r="AI6" s="558"/>
      <c r="AJ6" s="557" t="s">
        <v>21</v>
      </c>
      <c r="AK6" s="558"/>
      <c r="AL6" s="557" t="s">
        <v>20</v>
      </c>
      <c r="AM6" s="558"/>
      <c r="AN6" s="557" t="s">
        <v>21</v>
      </c>
      <c r="AO6" s="558"/>
      <c r="AP6" s="569"/>
      <c r="AQ6" s="583"/>
      <c r="AR6" s="559" t="s">
        <v>18</v>
      </c>
      <c r="AS6" s="560"/>
      <c r="AT6" s="557" t="s">
        <v>19</v>
      </c>
      <c r="AU6" s="558"/>
      <c r="AV6" s="579"/>
      <c r="AW6" s="580"/>
      <c r="AX6" s="557" t="s">
        <v>20</v>
      </c>
      <c r="AY6" s="558"/>
      <c r="AZ6" s="557" t="s">
        <v>21</v>
      </c>
      <c r="BA6" s="558"/>
      <c r="BB6" s="557" t="s">
        <v>20</v>
      </c>
      <c r="BC6" s="558"/>
      <c r="BD6" s="557" t="s">
        <v>21</v>
      </c>
      <c r="BE6" s="558"/>
      <c r="BF6" s="557" t="s">
        <v>20</v>
      </c>
      <c r="BG6" s="558"/>
      <c r="BH6" s="557" t="s">
        <v>21</v>
      </c>
      <c r="BI6" s="558"/>
      <c r="BJ6" s="569"/>
      <c r="BK6" s="574"/>
      <c r="BL6" s="561" t="s">
        <v>18</v>
      </c>
      <c r="BM6" s="560"/>
      <c r="BN6" s="562" t="s">
        <v>19</v>
      </c>
      <c r="BO6" s="563"/>
      <c r="BP6" s="579"/>
      <c r="BQ6" s="580"/>
      <c r="BR6" s="557" t="s">
        <v>20</v>
      </c>
      <c r="BS6" s="558"/>
      <c r="BT6" s="557" t="s">
        <v>21</v>
      </c>
      <c r="BU6" s="558"/>
      <c r="BV6" s="557" t="s">
        <v>20</v>
      </c>
      <c r="BW6" s="558"/>
      <c r="BX6" s="557" t="s">
        <v>21</v>
      </c>
      <c r="BY6" s="558"/>
      <c r="BZ6" s="557" t="s">
        <v>20</v>
      </c>
      <c r="CA6" s="558"/>
      <c r="CB6" s="557" t="s">
        <v>21</v>
      </c>
      <c r="CC6" s="558"/>
      <c r="CD6" s="569"/>
      <c r="CE6" s="583"/>
      <c r="CF6" s="561" t="s">
        <v>18</v>
      </c>
      <c r="CG6" s="560"/>
      <c r="CH6" s="562" t="s">
        <v>19</v>
      </c>
      <c r="CI6" s="563"/>
      <c r="CJ6" s="569"/>
      <c r="CK6" s="570"/>
      <c r="CL6" s="557" t="s">
        <v>20</v>
      </c>
      <c r="CM6" s="558"/>
      <c r="CN6" s="557" t="s">
        <v>21</v>
      </c>
      <c r="CO6" s="558"/>
      <c r="CP6" s="557" t="s">
        <v>20</v>
      </c>
      <c r="CQ6" s="558"/>
      <c r="CR6" s="557" t="s">
        <v>21</v>
      </c>
      <c r="CS6" s="558"/>
      <c r="CT6" s="557" t="s">
        <v>20</v>
      </c>
      <c r="CU6" s="558"/>
      <c r="CV6" s="557" t="s">
        <v>21</v>
      </c>
      <c r="CW6" s="564"/>
      <c r="CX6" s="569"/>
      <c r="CY6" s="583"/>
    </row>
    <row r="7" spans="1:103" s="1" customFormat="1" ht="15.75" customHeight="1" x14ac:dyDescent="0.25">
      <c r="A7" s="587"/>
      <c r="B7" s="592"/>
      <c r="C7" s="595"/>
      <c r="D7" s="23" t="s">
        <v>22</v>
      </c>
      <c r="E7" s="24" t="s">
        <v>23</v>
      </c>
      <c r="F7" s="25" t="s">
        <v>22</v>
      </c>
      <c r="G7" s="24" t="s">
        <v>23</v>
      </c>
      <c r="H7" s="26" t="s">
        <v>22</v>
      </c>
      <c r="I7" s="26" t="s">
        <v>24</v>
      </c>
      <c r="J7" s="26" t="s">
        <v>22</v>
      </c>
      <c r="K7" s="26" t="s">
        <v>24</v>
      </c>
      <c r="L7" s="26" t="s">
        <v>22</v>
      </c>
      <c r="M7" s="25" t="s">
        <v>24</v>
      </c>
      <c r="N7" s="26" t="s">
        <v>22</v>
      </c>
      <c r="O7" s="27" t="s">
        <v>24</v>
      </c>
      <c r="P7" s="26" t="s">
        <v>22</v>
      </c>
      <c r="Q7" s="25" t="s">
        <v>24</v>
      </c>
      <c r="R7" s="28" t="s">
        <v>22</v>
      </c>
      <c r="S7" s="26" t="s">
        <v>24</v>
      </c>
      <c r="T7" s="26" t="s">
        <v>22</v>
      </c>
      <c r="U7" s="29" t="s">
        <v>24</v>
      </c>
      <c r="V7" s="28" t="s">
        <v>22</v>
      </c>
      <c r="W7" s="26" t="s">
        <v>24</v>
      </c>
      <c r="X7" s="23" t="s">
        <v>22</v>
      </c>
      <c r="Y7" s="30" t="s">
        <v>23</v>
      </c>
      <c r="Z7" s="25" t="s">
        <v>22</v>
      </c>
      <c r="AA7" s="24" t="s">
        <v>23</v>
      </c>
      <c r="AB7" s="26" t="s">
        <v>22</v>
      </c>
      <c r="AC7" s="26" t="s">
        <v>24</v>
      </c>
      <c r="AD7" s="26" t="s">
        <v>22</v>
      </c>
      <c r="AE7" s="26" t="s">
        <v>24</v>
      </c>
      <c r="AF7" s="26" t="s">
        <v>22</v>
      </c>
      <c r="AG7" s="25" t="s">
        <v>24</v>
      </c>
      <c r="AH7" s="26" t="s">
        <v>22</v>
      </c>
      <c r="AI7" s="27" t="s">
        <v>24</v>
      </c>
      <c r="AJ7" s="26" t="s">
        <v>22</v>
      </c>
      <c r="AK7" s="25" t="s">
        <v>24</v>
      </c>
      <c r="AL7" s="28" t="s">
        <v>22</v>
      </c>
      <c r="AM7" s="26" t="s">
        <v>24</v>
      </c>
      <c r="AN7" s="26" t="s">
        <v>22</v>
      </c>
      <c r="AO7" s="29" t="s">
        <v>24</v>
      </c>
      <c r="AP7" s="28" t="s">
        <v>22</v>
      </c>
      <c r="AQ7" s="31" t="s">
        <v>24</v>
      </c>
      <c r="AR7" s="32" t="s">
        <v>22</v>
      </c>
      <c r="AS7" s="24" t="s">
        <v>23</v>
      </c>
      <c r="AT7" s="24" t="s">
        <v>22</v>
      </c>
      <c r="AU7" s="24" t="s">
        <v>23</v>
      </c>
      <c r="AV7" s="28" t="s">
        <v>22</v>
      </c>
      <c r="AW7" s="26" t="s">
        <v>24</v>
      </c>
      <c r="AX7" s="26" t="s">
        <v>22</v>
      </c>
      <c r="AY7" s="26" t="s">
        <v>24</v>
      </c>
      <c r="AZ7" s="26" t="s">
        <v>22</v>
      </c>
      <c r="BA7" s="26" t="s">
        <v>24</v>
      </c>
      <c r="BB7" s="26" t="s">
        <v>22</v>
      </c>
      <c r="BC7" s="27" t="s">
        <v>24</v>
      </c>
      <c r="BD7" s="26" t="s">
        <v>22</v>
      </c>
      <c r="BE7" s="25" t="s">
        <v>24</v>
      </c>
      <c r="BF7" s="28" t="s">
        <v>22</v>
      </c>
      <c r="BG7" s="26" t="s">
        <v>24</v>
      </c>
      <c r="BH7" s="26" t="s">
        <v>22</v>
      </c>
      <c r="BI7" s="29" t="s">
        <v>24</v>
      </c>
      <c r="BJ7" s="28" t="s">
        <v>22</v>
      </c>
      <c r="BK7" s="26" t="s">
        <v>24</v>
      </c>
      <c r="BL7" s="23" t="s">
        <v>22</v>
      </c>
      <c r="BM7" s="24" t="s">
        <v>23</v>
      </c>
      <c r="BN7" s="25" t="s">
        <v>22</v>
      </c>
      <c r="BO7" s="24" t="s">
        <v>23</v>
      </c>
      <c r="BP7" s="26" t="s">
        <v>22</v>
      </c>
      <c r="BQ7" s="26" t="s">
        <v>24</v>
      </c>
      <c r="BR7" s="26" t="s">
        <v>22</v>
      </c>
      <c r="BS7" s="26" t="s">
        <v>24</v>
      </c>
      <c r="BT7" s="26" t="s">
        <v>22</v>
      </c>
      <c r="BU7" s="25" t="s">
        <v>24</v>
      </c>
      <c r="BV7" s="26" t="s">
        <v>22</v>
      </c>
      <c r="BW7" s="27" t="s">
        <v>24</v>
      </c>
      <c r="BX7" s="26" t="s">
        <v>22</v>
      </c>
      <c r="BY7" s="25" t="s">
        <v>24</v>
      </c>
      <c r="BZ7" s="28" t="s">
        <v>22</v>
      </c>
      <c r="CA7" s="26" t="s">
        <v>24</v>
      </c>
      <c r="CB7" s="26" t="s">
        <v>22</v>
      </c>
      <c r="CC7" s="29" t="s">
        <v>24</v>
      </c>
      <c r="CD7" s="28" t="s">
        <v>22</v>
      </c>
      <c r="CE7" s="31" t="s">
        <v>24</v>
      </c>
      <c r="CF7" s="23" t="s">
        <v>22</v>
      </c>
      <c r="CG7" s="24" t="s">
        <v>23</v>
      </c>
      <c r="CH7" s="25" t="s">
        <v>22</v>
      </c>
      <c r="CI7" s="24" t="s">
        <v>23</v>
      </c>
      <c r="CJ7" s="26" t="s">
        <v>22</v>
      </c>
      <c r="CK7" s="26" t="s">
        <v>24</v>
      </c>
      <c r="CL7" s="26" t="s">
        <v>22</v>
      </c>
      <c r="CM7" s="26" t="s">
        <v>24</v>
      </c>
      <c r="CN7" s="26" t="s">
        <v>22</v>
      </c>
      <c r="CO7" s="26" t="s">
        <v>24</v>
      </c>
      <c r="CP7" s="26" t="s">
        <v>22</v>
      </c>
      <c r="CQ7" s="27" t="s">
        <v>24</v>
      </c>
      <c r="CR7" s="26" t="s">
        <v>22</v>
      </c>
      <c r="CS7" s="25" t="s">
        <v>24</v>
      </c>
      <c r="CT7" s="28" t="s">
        <v>22</v>
      </c>
      <c r="CU7" s="26" t="s">
        <v>24</v>
      </c>
      <c r="CV7" s="26" t="s">
        <v>22</v>
      </c>
      <c r="CW7" s="27" t="s">
        <v>24</v>
      </c>
      <c r="CX7" s="26" t="s">
        <v>22</v>
      </c>
      <c r="CY7" s="31" t="s">
        <v>24</v>
      </c>
    </row>
    <row r="8" spans="1:103" s="1" customFormat="1" ht="13.8" thickBot="1" x14ac:dyDescent="0.3">
      <c r="A8" s="588"/>
      <c r="B8" s="593"/>
      <c r="C8" s="596"/>
      <c r="D8" s="33" t="s">
        <v>25</v>
      </c>
      <c r="E8" s="34" t="s">
        <v>25</v>
      </c>
      <c r="F8" s="35" t="s">
        <v>26</v>
      </c>
      <c r="G8" s="34" t="s">
        <v>26</v>
      </c>
      <c r="H8" s="36" t="s">
        <v>27</v>
      </c>
      <c r="I8" s="37" t="s">
        <v>27</v>
      </c>
      <c r="J8" s="38" t="s">
        <v>27</v>
      </c>
      <c r="K8" s="36" t="s">
        <v>27</v>
      </c>
      <c r="L8" s="36" t="s">
        <v>27</v>
      </c>
      <c r="M8" s="37" t="s">
        <v>27</v>
      </c>
      <c r="N8" s="39" t="s">
        <v>27</v>
      </c>
      <c r="O8" s="40" t="s">
        <v>27</v>
      </c>
      <c r="P8" s="38" t="s">
        <v>27</v>
      </c>
      <c r="Q8" s="37" t="s">
        <v>27</v>
      </c>
      <c r="R8" s="38" t="s">
        <v>27</v>
      </c>
      <c r="S8" s="36" t="s">
        <v>27</v>
      </c>
      <c r="T8" s="36" t="s">
        <v>27</v>
      </c>
      <c r="U8" s="41" t="s">
        <v>27</v>
      </c>
      <c r="V8" s="42" t="s">
        <v>27</v>
      </c>
      <c r="W8" s="38" t="s">
        <v>27</v>
      </c>
      <c r="X8" s="33" t="s">
        <v>25</v>
      </c>
      <c r="Y8" s="43" t="s">
        <v>25</v>
      </c>
      <c r="Z8" s="35" t="s">
        <v>26</v>
      </c>
      <c r="AA8" s="34" t="s">
        <v>26</v>
      </c>
      <c r="AB8" s="36" t="s">
        <v>27</v>
      </c>
      <c r="AC8" s="37" t="s">
        <v>27</v>
      </c>
      <c r="AD8" s="38" t="s">
        <v>27</v>
      </c>
      <c r="AE8" s="36" t="s">
        <v>27</v>
      </c>
      <c r="AF8" s="36" t="s">
        <v>27</v>
      </c>
      <c r="AG8" s="37" t="s">
        <v>27</v>
      </c>
      <c r="AH8" s="44" t="s">
        <v>27</v>
      </c>
      <c r="AI8" s="40" t="s">
        <v>27</v>
      </c>
      <c r="AJ8" s="38" t="s">
        <v>27</v>
      </c>
      <c r="AK8" s="37" t="s">
        <v>27</v>
      </c>
      <c r="AL8" s="38" t="s">
        <v>27</v>
      </c>
      <c r="AM8" s="36" t="s">
        <v>27</v>
      </c>
      <c r="AN8" s="36" t="s">
        <v>27</v>
      </c>
      <c r="AO8" s="41" t="s">
        <v>27</v>
      </c>
      <c r="AP8" s="42" t="s">
        <v>27</v>
      </c>
      <c r="AQ8" s="45" t="s">
        <v>27</v>
      </c>
      <c r="AR8" s="46" t="s">
        <v>25</v>
      </c>
      <c r="AS8" s="34" t="s">
        <v>25</v>
      </c>
      <c r="AT8" s="34" t="s">
        <v>26</v>
      </c>
      <c r="AU8" s="34" t="s">
        <v>26</v>
      </c>
      <c r="AV8" s="38" t="s">
        <v>27</v>
      </c>
      <c r="AW8" s="37" t="s">
        <v>27</v>
      </c>
      <c r="AX8" s="36" t="s">
        <v>27</v>
      </c>
      <c r="AY8" s="36" t="s">
        <v>27</v>
      </c>
      <c r="AZ8" s="36" t="s">
        <v>27</v>
      </c>
      <c r="BA8" s="36" t="s">
        <v>27</v>
      </c>
      <c r="BB8" s="47" t="s">
        <v>27</v>
      </c>
      <c r="BC8" s="48" t="s">
        <v>27</v>
      </c>
      <c r="BD8" s="38" t="s">
        <v>27</v>
      </c>
      <c r="BE8" s="37" t="s">
        <v>27</v>
      </c>
      <c r="BF8" s="38" t="s">
        <v>27</v>
      </c>
      <c r="BG8" s="36" t="s">
        <v>27</v>
      </c>
      <c r="BH8" s="36" t="s">
        <v>27</v>
      </c>
      <c r="BI8" s="41" t="s">
        <v>27</v>
      </c>
      <c r="BJ8" s="42" t="s">
        <v>27</v>
      </c>
      <c r="BK8" s="38" t="s">
        <v>27</v>
      </c>
      <c r="BL8" s="33" t="s">
        <v>25</v>
      </c>
      <c r="BM8" s="34" t="s">
        <v>25</v>
      </c>
      <c r="BN8" s="35" t="s">
        <v>26</v>
      </c>
      <c r="BO8" s="34" t="s">
        <v>26</v>
      </c>
      <c r="BP8" s="36" t="s">
        <v>27</v>
      </c>
      <c r="BQ8" s="37" t="s">
        <v>27</v>
      </c>
      <c r="BR8" s="38" t="s">
        <v>27</v>
      </c>
      <c r="BS8" s="36" t="s">
        <v>27</v>
      </c>
      <c r="BT8" s="36" t="s">
        <v>27</v>
      </c>
      <c r="BU8" s="37" t="s">
        <v>27</v>
      </c>
      <c r="BV8" s="44" t="s">
        <v>27</v>
      </c>
      <c r="BW8" s="49" t="s">
        <v>27</v>
      </c>
      <c r="BX8" s="38" t="s">
        <v>27</v>
      </c>
      <c r="BY8" s="37" t="s">
        <v>27</v>
      </c>
      <c r="BZ8" s="38" t="s">
        <v>27</v>
      </c>
      <c r="CA8" s="36" t="s">
        <v>27</v>
      </c>
      <c r="CB8" s="36" t="s">
        <v>27</v>
      </c>
      <c r="CC8" s="37" t="s">
        <v>27</v>
      </c>
      <c r="CD8" s="42" t="s">
        <v>27</v>
      </c>
      <c r="CE8" s="45" t="s">
        <v>27</v>
      </c>
      <c r="CF8" s="33" t="s">
        <v>25</v>
      </c>
      <c r="CG8" s="34" t="s">
        <v>25</v>
      </c>
      <c r="CH8" s="35" t="s">
        <v>26</v>
      </c>
      <c r="CI8" s="34" t="s">
        <v>26</v>
      </c>
      <c r="CJ8" s="36" t="s">
        <v>27</v>
      </c>
      <c r="CK8" s="50" t="s">
        <v>27</v>
      </c>
      <c r="CL8" s="38" t="s">
        <v>27</v>
      </c>
      <c r="CM8" s="36" t="s">
        <v>27</v>
      </c>
      <c r="CN8" s="36" t="s">
        <v>27</v>
      </c>
      <c r="CO8" s="36" t="s">
        <v>27</v>
      </c>
      <c r="CP8" s="39" t="s">
        <v>27</v>
      </c>
      <c r="CQ8" s="49" t="s">
        <v>27</v>
      </c>
      <c r="CR8" s="38" t="s">
        <v>27</v>
      </c>
      <c r="CS8" s="37" t="s">
        <v>27</v>
      </c>
      <c r="CT8" s="38" t="s">
        <v>27</v>
      </c>
      <c r="CU8" s="36" t="s">
        <v>27</v>
      </c>
      <c r="CV8" s="36" t="s">
        <v>27</v>
      </c>
      <c r="CW8" s="36" t="s">
        <v>27</v>
      </c>
      <c r="CX8" s="37" t="s">
        <v>27</v>
      </c>
      <c r="CY8" s="45" t="s">
        <v>27</v>
      </c>
    </row>
    <row r="9" spans="1:103" s="70" customFormat="1" x14ac:dyDescent="0.25">
      <c r="A9" s="552" t="s">
        <v>28</v>
      </c>
      <c r="B9" s="51" t="s">
        <v>29</v>
      </c>
      <c r="C9" s="52"/>
      <c r="D9" s="53">
        <f>SUM(D10:D14)</f>
        <v>933.1</v>
      </c>
      <c r="E9" s="54"/>
      <c r="F9" s="55"/>
      <c r="G9" s="55"/>
      <c r="H9" s="56">
        <f t="shared" ref="H9:N9" si="0">SUM(H10:H14)</f>
        <v>418155</v>
      </c>
      <c r="I9" s="57">
        <f t="shared" si="0"/>
        <v>0</v>
      </c>
      <c r="J9" s="56">
        <f t="shared" si="0"/>
        <v>270871</v>
      </c>
      <c r="K9" s="58"/>
      <c r="L9" s="59">
        <f t="shared" si="0"/>
        <v>147284</v>
      </c>
      <c r="M9" s="60"/>
      <c r="N9" s="61">
        <f t="shared" si="0"/>
        <v>270871</v>
      </c>
      <c r="O9" s="59"/>
      <c r="P9" s="58">
        <f t="shared" ref="P9" si="1">SUM(P10:P14)</f>
        <v>140592</v>
      </c>
      <c r="Q9" s="57"/>
      <c r="R9" s="59">
        <f>SUM(R10:R14)</f>
        <v>0</v>
      </c>
      <c r="S9" s="59"/>
      <c r="T9" s="58">
        <f>SUM(T10:T14)</f>
        <v>6692</v>
      </c>
      <c r="U9" s="57"/>
      <c r="V9" s="59">
        <f>J9/D9</f>
        <v>290.29150144679028</v>
      </c>
      <c r="W9" s="62"/>
      <c r="X9" s="63">
        <f>SUM(X10:X14)</f>
        <v>936.7</v>
      </c>
      <c r="Y9" s="64"/>
      <c r="Z9" s="55"/>
      <c r="AA9" s="65"/>
      <c r="AB9" s="56">
        <f>SUM(AB10:AB14)</f>
        <v>518886</v>
      </c>
      <c r="AC9" s="57">
        <f>SUM(AC10:AC14)</f>
        <v>0</v>
      </c>
      <c r="AD9" s="56">
        <f t="shared" ref="AD9:AJ9" si="2">SUM(AD10:AD14)</f>
        <v>271207</v>
      </c>
      <c r="AE9" s="58"/>
      <c r="AF9" s="59">
        <f t="shared" si="2"/>
        <v>247679</v>
      </c>
      <c r="AG9" s="60"/>
      <c r="AH9" s="59">
        <f t="shared" si="2"/>
        <v>271207</v>
      </c>
      <c r="AI9" s="59"/>
      <c r="AJ9" s="58">
        <f t="shared" si="2"/>
        <v>240771</v>
      </c>
      <c r="AK9" s="57"/>
      <c r="AL9" s="59">
        <f>SUM(AL10:AL14)</f>
        <v>0</v>
      </c>
      <c r="AM9" s="59"/>
      <c r="AN9" s="59">
        <f t="shared" ref="AN9" si="3">SUM(AN10:AN14)</f>
        <v>6908</v>
      </c>
      <c r="AO9" s="60"/>
      <c r="AP9" s="59">
        <f>AD9/X9</f>
        <v>289.53453613750401</v>
      </c>
      <c r="AQ9" s="66"/>
      <c r="AR9" s="67">
        <f>SUM(AR10:AR14)</f>
        <v>953</v>
      </c>
      <c r="AS9" s="54"/>
      <c r="AT9" s="54"/>
      <c r="AU9" s="57"/>
      <c r="AV9" s="59">
        <f>SUM(AV10:AV14)</f>
        <v>512149</v>
      </c>
      <c r="AW9" s="59">
        <f>SUM(AW10:AW14)</f>
        <v>0</v>
      </c>
      <c r="AX9" s="56">
        <f t="shared" ref="AX9:BD9" si="4">SUM(AX10:AX14)</f>
        <v>271561</v>
      </c>
      <c r="AY9" s="68"/>
      <c r="AZ9" s="58">
        <f t="shared" si="4"/>
        <v>240588</v>
      </c>
      <c r="BA9" s="68"/>
      <c r="BB9" s="56">
        <f t="shared" si="4"/>
        <v>271561</v>
      </c>
      <c r="BC9" s="58"/>
      <c r="BD9" s="58">
        <f t="shared" si="4"/>
        <v>234488</v>
      </c>
      <c r="BE9" s="57"/>
      <c r="BF9" s="59">
        <f>SUM(BF10:BF14)</f>
        <v>0</v>
      </c>
      <c r="BG9" s="59"/>
      <c r="BH9" s="59">
        <f t="shared" ref="BH9" si="5">SUM(BH10:BH14)</f>
        <v>6100</v>
      </c>
      <c r="BI9" s="57"/>
      <c r="BJ9" s="62">
        <f t="shared" ref="BJ9:BJ30" si="6">AX9/AR9</f>
        <v>284.95383001049316</v>
      </c>
      <c r="BK9" s="68"/>
      <c r="BL9" s="63">
        <f>SUM(BL10:BL14)</f>
        <v>953.70000000000016</v>
      </c>
      <c r="BM9" s="58"/>
      <c r="BN9" s="58"/>
      <c r="BO9" s="57"/>
      <c r="BP9" s="61">
        <f t="shared" ref="BP9:BX9" si="7">SUM(BP10:BP14)</f>
        <v>476136</v>
      </c>
      <c r="BQ9" s="61">
        <f t="shared" si="7"/>
        <v>0</v>
      </c>
      <c r="BR9" s="56">
        <f t="shared" si="7"/>
        <v>271605</v>
      </c>
      <c r="BS9" s="58"/>
      <c r="BT9" s="58">
        <f t="shared" si="7"/>
        <v>204531</v>
      </c>
      <c r="BU9" s="57"/>
      <c r="BV9" s="59">
        <f t="shared" si="7"/>
        <v>271605</v>
      </c>
      <c r="BW9" s="59"/>
      <c r="BX9" s="59">
        <f t="shared" si="7"/>
        <v>198464</v>
      </c>
      <c r="BY9" s="57"/>
      <c r="BZ9" s="59">
        <f>SUM(BZ10:BZ14)</f>
        <v>0</v>
      </c>
      <c r="CA9" s="59"/>
      <c r="CB9" s="59">
        <f t="shared" ref="CB9" si="8">SUM(CB10:CB14)</f>
        <v>6067</v>
      </c>
      <c r="CC9" s="62"/>
      <c r="CD9" s="61">
        <f>BR9/BL9</f>
        <v>284.7908147216105</v>
      </c>
      <c r="CE9" s="66"/>
      <c r="CF9" s="53">
        <f>SUM(CF10:CF14)</f>
        <v>3776.5</v>
      </c>
      <c r="CG9" s="59"/>
      <c r="CH9" s="58"/>
      <c r="CI9" s="57"/>
      <c r="CJ9" s="56">
        <f>SUM(CJ10:CJ14)</f>
        <v>1925326</v>
      </c>
      <c r="CK9" s="57"/>
      <c r="CL9" s="61">
        <f t="shared" ref="CL9:CL57" si="9">J9+AD9+AX9+BR9</f>
        <v>1085244</v>
      </c>
      <c r="CM9" s="68"/>
      <c r="CN9" s="58">
        <f t="shared" ref="CN9:CN58" si="10">L9+AF9+AZ9+BT9</f>
        <v>840082</v>
      </c>
      <c r="CO9" s="68"/>
      <c r="CP9" s="61">
        <f t="shared" ref="CP9:CP58" si="11">N9+AH9+BB9+BV9</f>
        <v>1085244</v>
      </c>
      <c r="CQ9" s="58"/>
      <c r="CR9" s="58">
        <f t="shared" ref="CR9:CR58" si="12">P9+AJ9+BD9+BX9</f>
        <v>814315</v>
      </c>
      <c r="CS9" s="68"/>
      <c r="CT9" s="61">
        <f t="shared" ref="CT9:CT58" si="13">R9+AL9+BF9+BZ9</f>
        <v>0</v>
      </c>
      <c r="CU9" s="58"/>
      <c r="CV9" s="58">
        <f t="shared" ref="CV9:CV58" si="14">T9+AN9+BH9+CB9</f>
        <v>25767</v>
      </c>
      <c r="CW9" s="68"/>
      <c r="CX9" s="61">
        <f>CL9/CF9</f>
        <v>287.36766847610221</v>
      </c>
      <c r="CY9" s="69"/>
    </row>
    <row r="10" spans="1:103" s="101" customFormat="1" ht="15.75" customHeight="1" x14ac:dyDescent="0.25">
      <c r="A10" s="553"/>
      <c r="B10" s="71"/>
      <c r="C10" s="72" t="s">
        <v>30</v>
      </c>
      <c r="D10" s="73">
        <v>515.9</v>
      </c>
      <c r="E10" s="74"/>
      <c r="F10" s="75">
        <f>(D10/2159)*100</f>
        <v>23.895321908290875</v>
      </c>
      <c r="G10" s="75"/>
      <c r="H10" s="76">
        <f t="shared" ref="H10:I14" si="15">J10+L10</f>
        <v>315689</v>
      </c>
      <c r="I10" s="77">
        <f t="shared" si="15"/>
        <v>0</v>
      </c>
      <c r="J10" s="78">
        <f>N10+R10</f>
        <v>204496</v>
      </c>
      <c r="K10" s="79"/>
      <c r="L10" s="80">
        <f>P10+T10</f>
        <v>111193</v>
      </c>
      <c r="M10" s="81"/>
      <c r="N10" s="82">
        <v>204496</v>
      </c>
      <c r="O10" s="83"/>
      <c r="P10" s="79">
        <v>106141</v>
      </c>
      <c r="Q10" s="84"/>
      <c r="R10" s="80">
        <v>0</v>
      </c>
      <c r="S10" s="79"/>
      <c r="T10" s="79">
        <v>5052</v>
      </c>
      <c r="U10" s="85"/>
      <c r="V10" s="80">
        <f>J10/D10</f>
        <v>396.38689668540417</v>
      </c>
      <c r="W10" s="86"/>
      <c r="X10" s="87">
        <v>523.9</v>
      </c>
      <c r="Y10" s="88"/>
      <c r="Z10" s="75">
        <f>(X10/2184)*100</f>
        <v>23.988095238095237</v>
      </c>
      <c r="AA10" s="75"/>
      <c r="AB10" s="76">
        <f t="shared" ref="AB10:AC14" si="16">AD10+AF10</f>
        <v>392036</v>
      </c>
      <c r="AC10" s="77">
        <f t="shared" si="16"/>
        <v>0</v>
      </c>
      <c r="AD10" s="78">
        <f>AH10+AL10</f>
        <v>204906</v>
      </c>
      <c r="AE10" s="79"/>
      <c r="AF10" s="80">
        <f>AJ10+AN10</f>
        <v>187130</v>
      </c>
      <c r="AG10" s="81"/>
      <c r="AH10" s="80">
        <v>204906</v>
      </c>
      <c r="AI10" s="83"/>
      <c r="AJ10" s="79">
        <v>181911</v>
      </c>
      <c r="AK10" s="84"/>
      <c r="AL10" s="80">
        <v>0</v>
      </c>
      <c r="AM10" s="79"/>
      <c r="AN10" s="79">
        <v>5219</v>
      </c>
      <c r="AO10" s="85"/>
      <c r="AP10" s="80">
        <f>AD10/X10</f>
        <v>391.11662531017373</v>
      </c>
      <c r="AQ10" s="89"/>
      <c r="AR10" s="90">
        <v>535.79999999999995</v>
      </c>
      <c r="AS10" s="74"/>
      <c r="AT10" s="74">
        <f>(AR10/2208)*100</f>
        <v>24.266304347826086</v>
      </c>
      <c r="AU10" s="91"/>
      <c r="AV10" s="92">
        <f t="shared" ref="AV10:AW14" si="17">AX10+AZ10</f>
        <v>387225</v>
      </c>
      <c r="AW10" s="92">
        <f t="shared" si="17"/>
        <v>0</v>
      </c>
      <c r="AX10" s="78">
        <f>BB10+BF10</f>
        <v>205321</v>
      </c>
      <c r="AY10" s="93"/>
      <c r="AZ10" s="79">
        <f>BD10+BH10</f>
        <v>181904</v>
      </c>
      <c r="BA10" s="93"/>
      <c r="BB10" s="78">
        <v>205321</v>
      </c>
      <c r="BC10" s="83"/>
      <c r="BD10" s="79">
        <v>177292</v>
      </c>
      <c r="BE10" s="84"/>
      <c r="BF10" s="86">
        <v>0</v>
      </c>
      <c r="BG10" s="93"/>
      <c r="BH10" s="93">
        <v>4612</v>
      </c>
      <c r="BI10" s="85"/>
      <c r="BJ10" s="94">
        <f t="shared" si="6"/>
        <v>383.20455393803661</v>
      </c>
      <c r="BK10" s="94"/>
      <c r="BL10" s="87">
        <v>532.1</v>
      </c>
      <c r="BM10" s="79"/>
      <c r="BN10" s="75">
        <f>(BL10/2209)*100</f>
        <v>24.087822544137619</v>
      </c>
      <c r="BO10" s="84"/>
      <c r="BP10" s="76">
        <f t="shared" ref="BP10:BQ14" si="18">BR10+BT10</f>
        <v>359793</v>
      </c>
      <c r="BQ10" s="76">
        <f t="shared" si="18"/>
        <v>0</v>
      </c>
      <c r="BR10" s="78">
        <f>BV10+BZ10</f>
        <v>205239</v>
      </c>
      <c r="BS10" s="79"/>
      <c r="BT10" s="79">
        <f>BX10+CB10</f>
        <v>154554</v>
      </c>
      <c r="BU10" s="84"/>
      <c r="BV10" s="80">
        <v>205239</v>
      </c>
      <c r="BW10" s="95"/>
      <c r="BX10" s="79">
        <v>149970</v>
      </c>
      <c r="BY10" s="84"/>
      <c r="BZ10" s="80">
        <v>0</v>
      </c>
      <c r="CA10" s="79"/>
      <c r="CB10" s="79">
        <v>4584</v>
      </c>
      <c r="CC10" s="96"/>
      <c r="CD10" s="82">
        <f>BR10/BL10</f>
        <v>385.71509114828041</v>
      </c>
      <c r="CE10" s="89"/>
      <c r="CF10" s="97">
        <f>D10+X10+AR10+BL10</f>
        <v>2107.6999999999998</v>
      </c>
      <c r="CG10" s="92"/>
      <c r="CH10" s="98">
        <f>(CF10/8760)*100</f>
        <v>24.06050228310502</v>
      </c>
      <c r="CI10" s="77"/>
      <c r="CJ10" s="76">
        <f>CL10+CN10</f>
        <v>1454743</v>
      </c>
      <c r="CK10" s="77"/>
      <c r="CL10" s="82">
        <f t="shared" si="9"/>
        <v>819962</v>
      </c>
      <c r="CM10" s="94"/>
      <c r="CN10" s="99">
        <f t="shared" si="10"/>
        <v>634781</v>
      </c>
      <c r="CO10" s="94"/>
      <c r="CP10" s="82">
        <f t="shared" si="11"/>
        <v>819962</v>
      </c>
      <c r="CQ10" s="79"/>
      <c r="CR10" s="79">
        <f t="shared" si="12"/>
        <v>615314</v>
      </c>
      <c r="CS10" s="93"/>
      <c r="CT10" s="82">
        <f t="shared" si="13"/>
        <v>0</v>
      </c>
      <c r="CU10" s="79"/>
      <c r="CV10" s="79">
        <f t="shared" si="14"/>
        <v>19467</v>
      </c>
      <c r="CW10" s="93"/>
      <c r="CX10" s="82">
        <f>CL10/CF10</f>
        <v>389.03164586990562</v>
      </c>
      <c r="CY10" s="100"/>
    </row>
    <row r="11" spans="1:103" ht="15.75" customHeight="1" x14ac:dyDescent="0.25">
      <c r="A11" s="553"/>
      <c r="B11" s="71"/>
      <c r="C11" s="72" t="s">
        <v>31</v>
      </c>
      <c r="D11" s="73">
        <v>84.5</v>
      </c>
      <c r="E11" s="74"/>
      <c r="F11" s="75">
        <f t="shared" ref="F11:F14" si="19">(D11/2159)*100</f>
        <v>3.9138490041685965</v>
      </c>
      <c r="G11" s="75"/>
      <c r="H11" s="78">
        <f t="shared" si="15"/>
        <v>800</v>
      </c>
      <c r="I11" s="84">
        <f t="shared" si="15"/>
        <v>0</v>
      </c>
      <c r="J11" s="76">
        <f t="shared" ref="J11:L14" si="20">N11+R11</f>
        <v>518</v>
      </c>
      <c r="K11" s="99"/>
      <c r="L11" s="80">
        <f t="shared" si="20"/>
        <v>282</v>
      </c>
      <c r="M11" s="81"/>
      <c r="N11" s="82">
        <v>518</v>
      </c>
      <c r="O11" s="102"/>
      <c r="P11" s="79">
        <v>269</v>
      </c>
      <c r="Q11" s="84"/>
      <c r="R11" s="80">
        <v>0</v>
      </c>
      <c r="S11" s="79"/>
      <c r="T11" s="79">
        <v>13</v>
      </c>
      <c r="U11" s="103"/>
      <c r="V11" s="80">
        <f t="shared" ref="V11:V73" si="21">J11/D11</f>
        <v>6.1301775147928996</v>
      </c>
      <c r="W11" s="86"/>
      <c r="X11" s="87">
        <v>85.6</v>
      </c>
      <c r="Y11" s="88"/>
      <c r="Z11" s="75">
        <f t="shared" ref="Z11:Z14" si="22">(X11/2184)*100</f>
        <v>3.9194139194139193</v>
      </c>
      <c r="AA11" s="75"/>
      <c r="AB11" s="78">
        <f t="shared" si="16"/>
        <v>992</v>
      </c>
      <c r="AC11" s="84">
        <f t="shared" si="16"/>
        <v>0</v>
      </c>
      <c r="AD11" s="76">
        <f t="shared" ref="AD11:AF14" si="23">AH11+AL11</f>
        <v>519</v>
      </c>
      <c r="AE11" s="99"/>
      <c r="AF11" s="80">
        <f t="shared" si="23"/>
        <v>473</v>
      </c>
      <c r="AG11" s="81"/>
      <c r="AH11" s="80">
        <v>519</v>
      </c>
      <c r="AI11" s="102"/>
      <c r="AJ11" s="79">
        <v>460</v>
      </c>
      <c r="AK11" s="84"/>
      <c r="AL11" s="80">
        <v>0</v>
      </c>
      <c r="AM11" s="79"/>
      <c r="AN11" s="79">
        <v>13</v>
      </c>
      <c r="AO11" s="103"/>
      <c r="AP11" s="80">
        <f t="shared" ref="AP11:AP74" si="24">AD11/X11</f>
        <v>6.0630841121495331</v>
      </c>
      <c r="AQ11" s="89"/>
      <c r="AR11" s="90">
        <v>86.7</v>
      </c>
      <c r="AS11" s="74"/>
      <c r="AT11" s="74">
        <f>(AR11/2208)*100</f>
        <v>3.9266304347826089</v>
      </c>
      <c r="AU11" s="91"/>
      <c r="AV11" s="92">
        <f t="shared" si="17"/>
        <v>981</v>
      </c>
      <c r="AW11" s="92">
        <f t="shared" si="17"/>
        <v>0</v>
      </c>
      <c r="AX11" s="78">
        <f t="shared" ref="AX11:AZ14" si="25">BB11+BF11</f>
        <v>520</v>
      </c>
      <c r="AY11" s="93"/>
      <c r="AZ11" s="79">
        <f t="shared" si="25"/>
        <v>461</v>
      </c>
      <c r="BA11" s="93"/>
      <c r="BB11" s="76">
        <v>520</v>
      </c>
      <c r="BC11" s="102"/>
      <c r="BD11" s="79">
        <v>449</v>
      </c>
      <c r="BE11" s="77"/>
      <c r="BF11" s="104">
        <v>0</v>
      </c>
      <c r="BG11" s="94"/>
      <c r="BH11" s="94">
        <v>12</v>
      </c>
      <c r="BI11" s="103"/>
      <c r="BJ11" s="94">
        <f t="shared" si="6"/>
        <v>5.9976931949250289</v>
      </c>
      <c r="BK11" s="94"/>
      <c r="BL11" s="87">
        <v>86.2</v>
      </c>
      <c r="BM11" s="79"/>
      <c r="BN11" s="75">
        <f t="shared" ref="BN11:BN68" si="26">(BL11/2209)*100</f>
        <v>3.9022181982797646</v>
      </c>
      <c r="BO11" s="84"/>
      <c r="BP11" s="82">
        <f t="shared" si="18"/>
        <v>906</v>
      </c>
      <c r="BQ11" s="82">
        <f t="shared" si="18"/>
        <v>0</v>
      </c>
      <c r="BR11" s="76">
        <f t="shared" ref="BR11:BT14" si="27">BV11+BZ11</f>
        <v>517</v>
      </c>
      <c r="BS11" s="79"/>
      <c r="BT11" s="79">
        <f t="shared" si="27"/>
        <v>389</v>
      </c>
      <c r="BU11" s="84"/>
      <c r="BV11" s="80">
        <v>517</v>
      </c>
      <c r="BW11" s="105"/>
      <c r="BX11" s="79">
        <v>377</v>
      </c>
      <c r="BY11" s="84"/>
      <c r="BZ11" s="80">
        <v>0</v>
      </c>
      <c r="CA11" s="79"/>
      <c r="CB11" s="79">
        <v>12</v>
      </c>
      <c r="CC11" s="106"/>
      <c r="CD11" s="82">
        <f t="shared" ref="CD11:CD73" si="28">BR11/BL11</f>
        <v>5.9976798143851502</v>
      </c>
      <c r="CE11" s="89"/>
      <c r="CF11" s="97">
        <f>D11+X11+AR11+BL11</f>
        <v>343</v>
      </c>
      <c r="CG11" s="80"/>
      <c r="CH11" s="98">
        <f t="shared" ref="CH11:CH14" si="29">(CF11/8760)*100</f>
        <v>3.9155251141552516</v>
      </c>
      <c r="CI11" s="84"/>
      <c r="CJ11" s="76">
        <f>CL11+CN11</f>
        <v>3679</v>
      </c>
      <c r="CK11" s="77"/>
      <c r="CL11" s="82">
        <f t="shared" si="9"/>
        <v>2074</v>
      </c>
      <c r="CM11" s="94"/>
      <c r="CN11" s="99">
        <f t="shared" si="10"/>
        <v>1605</v>
      </c>
      <c r="CO11" s="94"/>
      <c r="CP11" s="82">
        <f t="shared" si="11"/>
        <v>2074</v>
      </c>
      <c r="CQ11" s="79"/>
      <c r="CR11" s="79">
        <f t="shared" si="12"/>
        <v>1555</v>
      </c>
      <c r="CS11" s="93"/>
      <c r="CT11" s="82">
        <f t="shared" si="13"/>
        <v>0</v>
      </c>
      <c r="CU11" s="79"/>
      <c r="CV11" s="79">
        <f t="shared" si="14"/>
        <v>50</v>
      </c>
      <c r="CW11" s="93"/>
      <c r="CX11" s="82">
        <f t="shared" ref="CX11:CX74" si="30">CL11/CF11</f>
        <v>6.0466472303206995</v>
      </c>
      <c r="CY11" s="107"/>
    </row>
    <row r="12" spans="1:103" ht="15.75" customHeight="1" x14ac:dyDescent="0.25">
      <c r="A12" s="553"/>
      <c r="B12" s="71"/>
      <c r="C12" s="72" t="s">
        <v>32</v>
      </c>
      <c r="D12" s="73">
        <v>80.900000000000006</v>
      </c>
      <c r="E12" s="74"/>
      <c r="F12" s="75">
        <f t="shared" si="19"/>
        <v>3.7471051412691061</v>
      </c>
      <c r="G12" s="75"/>
      <c r="H12" s="78">
        <f t="shared" si="15"/>
        <v>755</v>
      </c>
      <c r="I12" s="84">
        <f t="shared" si="15"/>
        <v>0</v>
      </c>
      <c r="J12" s="76">
        <f t="shared" si="20"/>
        <v>489</v>
      </c>
      <c r="K12" s="99"/>
      <c r="L12" s="80">
        <f t="shared" si="20"/>
        <v>266</v>
      </c>
      <c r="M12" s="81"/>
      <c r="N12" s="82">
        <v>489</v>
      </c>
      <c r="O12" s="102"/>
      <c r="P12" s="79">
        <v>254</v>
      </c>
      <c r="Q12" s="84"/>
      <c r="R12" s="80">
        <v>0</v>
      </c>
      <c r="S12" s="79"/>
      <c r="T12" s="79">
        <v>12</v>
      </c>
      <c r="U12" s="103"/>
      <c r="V12" s="80">
        <f t="shared" si="21"/>
        <v>6.0444993819530284</v>
      </c>
      <c r="W12" s="86"/>
      <c r="X12" s="87">
        <v>81</v>
      </c>
      <c r="Y12" s="88"/>
      <c r="Z12" s="75">
        <f t="shared" si="22"/>
        <v>3.7087912087912089</v>
      </c>
      <c r="AA12" s="75"/>
      <c r="AB12" s="78">
        <f t="shared" si="16"/>
        <v>930</v>
      </c>
      <c r="AC12" s="84">
        <f t="shared" si="16"/>
        <v>0</v>
      </c>
      <c r="AD12" s="76">
        <f>AH12+AL12</f>
        <v>486</v>
      </c>
      <c r="AE12" s="99"/>
      <c r="AF12" s="80">
        <f t="shared" si="23"/>
        <v>444</v>
      </c>
      <c r="AG12" s="81"/>
      <c r="AH12" s="80">
        <v>486</v>
      </c>
      <c r="AI12" s="102"/>
      <c r="AJ12" s="79">
        <v>432</v>
      </c>
      <c r="AK12" s="84"/>
      <c r="AL12" s="80">
        <v>0</v>
      </c>
      <c r="AM12" s="79"/>
      <c r="AN12" s="79">
        <v>12</v>
      </c>
      <c r="AO12" s="103"/>
      <c r="AP12" s="80">
        <f t="shared" si="24"/>
        <v>6</v>
      </c>
      <c r="AQ12" s="89"/>
      <c r="AR12" s="90">
        <v>82.3</v>
      </c>
      <c r="AS12" s="74"/>
      <c r="AT12" s="74">
        <f>(AR12/2208)*100</f>
        <v>3.7273550724637681</v>
      </c>
      <c r="AU12" s="91"/>
      <c r="AV12" s="92">
        <f t="shared" si="17"/>
        <v>918</v>
      </c>
      <c r="AW12" s="92">
        <f t="shared" si="17"/>
        <v>0</v>
      </c>
      <c r="AX12" s="78">
        <f t="shared" si="25"/>
        <v>487</v>
      </c>
      <c r="AY12" s="93"/>
      <c r="AZ12" s="79">
        <f t="shared" si="25"/>
        <v>431</v>
      </c>
      <c r="BA12" s="93"/>
      <c r="BB12" s="76">
        <v>487</v>
      </c>
      <c r="BC12" s="102"/>
      <c r="BD12" s="79">
        <v>420</v>
      </c>
      <c r="BE12" s="77"/>
      <c r="BF12" s="104">
        <v>0</v>
      </c>
      <c r="BG12" s="94"/>
      <c r="BH12" s="94">
        <v>11</v>
      </c>
      <c r="BI12" s="103"/>
      <c r="BJ12" s="94">
        <f t="shared" si="6"/>
        <v>5.9173754556500606</v>
      </c>
      <c r="BK12" s="94"/>
      <c r="BL12" s="87">
        <v>81.2</v>
      </c>
      <c r="BM12" s="79"/>
      <c r="BN12" s="75">
        <f t="shared" si="26"/>
        <v>3.6758714350384789</v>
      </c>
      <c r="BO12" s="84"/>
      <c r="BP12" s="82">
        <f t="shared" si="18"/>
        <v>842</v>
      </c>
      <c r="BQ12" s="82">
        <f t="shared" si="18"/>
        <v>0</v>
      </c>
      <c r="BR12" s="76">
        <f t="shared" si="27"/>
        <v>480</v>
      </c>
      <c r="BS12" s="79"/>
      <c r="BT12" s="79">
        <f t="shared" si="27"/>
        <v>362</v>
      </c>
      <c r="BU12" s="84"/>
      <c r="BV12" s="80">
        <v>480</v>
      </c>
      <c r="BW12" s="105"/>
      <c r="BX12" s="79">
        <v>351</v>
      </c>
      <c r="BY12" s="84"/>
      <c r="BZ12" s="80">
        <v>0</v>
      </c>
      <c r="CA12" s="79"/>
      <c r="CB12" s="79">
        <v>11</v>
      </c>
      <c r="CC12" s="106"/>
      <c r="CD12" s="82">
        <f t="shared" si="28"/>
        <v>5.9113300492610836</v>
      </c>
      <c r="CE12" s="89"/>
      <c r="CF12" s="97">
        <f>D12+X12+AR12+BL12</f>
        <v>325.39999999999998</v>
      </c>
      <c r="CG12" s="80"/>
      <c r="CH12" s="98">
        <f t="shared" si="29"/>
        <v>3.7146118721461181</v>
      </c>
      <c r="CI12" s="84"/>
      <c r="CJ12" s="76">
        <f>CL12+CN12</f>
        <v>3445</v>
      </c>
      <c r="CK12" s="77"/>
      <c r="CL12" s="82">
        <f t="shared" si="9"/>
        <v>1942</v>
      </c>
      <c r="CM12" s="94"/>
      <c r="CN12" s="99">
        <f t="shared" si="10"/>
        <v>1503</v>
      </c>
      <c r="CO12" s="94"/>
      <c r="CP12" s="82">
        <f t="shared" si="11"/>
        <v>1942</v>
      </c>
      <c r="CQ12" s="79"/>
      <c r="CR12" s="79">
        <f t="shared" si="12"/>
        <v>1457</v>
      </c>
      <c r="CS12" s="93"/>
      <c r="CT12" s="82">
        <f t="shared" si="13"/>
        <v>0</v>
      </c>
      <c r="CU12" s="79"/>
      <c r="CV12" s="79">
        <f t="shared" si="14"/>
        <v>46</v>
      </c>
      <c r="CW12" s="93"/>
      <c r="CX12" s="82">
        <f t="shared" si="30"/>
        <v>5.9680393362015982</v>
      </c>
      <c r="CY12" s="108"/>
    </row>
    <row r="13" spans="1:103" ht="15.75" customHeight="1" x14ac:dyDescent="0.25">
      <c r="A13" s="553"/>
      <c r="B13" s="71"/>
      <c r="C13" s="72" t="s">
        <v>33</v>
      </c>
      <c r="D13" s="73">
        <v>193.2</v>
      </c>
      <c r="E13" s="74"/>
      <c r="F13" s="75">
        <f t="shared" si="19"/>
        <v>8.9485873089393237</v>
      </c>
      <c r="G13" s="75"/>
      <c r="H13" s="78">
        <f t="shared" si="15"/>
        <v>100544</v>
      </c>
      <c r="I13" s="84">
        <f t="shared" si="15"/>
        <v>0</v>
      </c>
      <c r="J13" s="76">
        <f t="shared" si="20"/>
        <v>65130</v>
      </c>
      <c r="K13" s="99"/>
      <c r="L13" s="80">
        <f t="shared" si="20"/>
        <v>35414</v>
      </c>
      <c r="M13" s="81"/>
      <c r="N13" s="82">
        <v>65130</v>
      </c>
      <c r="O13" s="102"/>
      <c r="P13" s="79">
        <v>33805</v>
      </c>
      <c r="Q13" s="84"/>
      <c r="R13" s="80">
        <v>0</v>
      </c>
      <c r="S13" s="79"/>
      <c r="T13" s="79">
        <v>1609</v>
      </c>
      <c r="U13" s="103"/>
      <c r="V13" s="80">
        <f t="shared" si="21"/>
        <v>337.11180124223603</v>
      </c>
      <c r="W13" s="86"/>
      <c r="X13" s="87">
        <v>191.2</v>
      </c>
      <c r="Y13" s="88"/>
      <c r="Z13" s="75">
        <f t="shared" si="22"/>
        <v>8.7545787545787537</v>
      </c>
      <c r="AA13" s="75"/>
      <c r="AB13" s="78">
        <f t="shared" si="16"/>
        <v>124505</v>
      </c>
      <c r="AC13" s="84">
        <f t="shared" si="16"/>
        <v>0</v>
      </c>
      <c r="AD13" s="76">
        <f t="shared" si="23"/>
        <v>65075</v>
      </c>
      <c r="AE13" s="99"/>
      <c r="AF13" s="80">
        <f t="shared" si="23"/>
        <v>59430</v>
      </c>
      <c r="AG13" s="81"/>
      <c r="AH13" s="80">
        <v>65075</v>
      </c>
      <c r="AI13" s="102"/>
      <c r="AJ13" s="79">
        <v>57772</v>
      </c>
      <c r="AK13" s="84"/>
      <c r="AL13" s="80">
        <v>0</v>
      </c>
      <c r="AM13" s="79"/>
      <c r="AN13" s="79">
        <v>1658</v>
      </c>
      <c r="AO13" s="103"/>
      <c r="AP13" s="80">
        <f t="shared" si="24"/>
        <v>340.35041841004187</v>
      </c>
      <c r="AQ13" s="89"/>
      <c r="AR13" s="90">
        <v>187.7</v>
      </c>
      <c r="AS13" s="74"/>
      <c r="AT13" s="74">
        <f>(AR13/2208)*100</f>
        <v>8.5009057971014492</v>
      </c>
      <c r="AU13" s="91"/>
      <c r="AV13" s="92">
        <f t="shared" si="17"/>
        <v>122573</v>
      </c>
      <c r="AW13" s="92">
        <f t="shared" si="17"/>
        <v>0</v>
      </c>
      <c r="AX13" s="78">
        <f t="shared" si="25"/>
        <v>64993</v>
      </c>
      <c r="AY13" s="93"/>
      <c r="AZ13" s="79">
        <f t="shared" si="25"/>
        <v>57580</v>
      </c>
      <c r="BA13" s="93"/>
      <c r="BB13" s="76">
        <v>64993</v>
      </c>
      <c r="BC13" s="102"/>
      <c r="BD13" s="79">
        <v>56120</v>
      </c>
      <c r="BE13" s="77"/>
      <c r="BF13" s="104">
        <v>0</v>
      </c>
      <c r="BG13" s="94"/>
      <c r="BH13" s="94">
        <v>1460</v>
      </c>
      <c r="BI13" s="103"/>
      <c r="BJ13" s="94">
        <f t="shared" si="6"/>
        <v>346.25998934469902</v>
      </c>
      <c r="BK13" s="94"/>
      <c r="BL13" s="87">
        <v>196</v>
      </c>
      <c r="BM13" s="79"/>
      <c r="BN13" s="75">
        <f t="shared" si="26"/>
        <v>8.8727931190583966</v>
      </c>
      <c r="BO13" s="84"/>
      <c r="BP13" s="82">
        <f t="shared" si="18"/>
        <v>114190</v>
      </c>
      <c r="BQ13" s="82">
        <f t="shared" si="18"/>
        <v>0</v>
      </c>
      <c r="BR13" s="76">
        <f t="shared" si="27"/>
        <v>65138</v>
      </c>
      <c r="BS13" s="79"/>
      <c r="BT13" s="79">
        <f t="shared" si="27"/>
        <v>49052</v>
      </c>
      <c r="BU13" s="84"/>
      <c r="BV13" s="80">
        <v>65138</v>
      </c>
      <c r="BW13" s="105"/>
      <c r="BX13" s="79">
        <v>47597</v>
      </c>
      <c r="BY13" s="84"/>
      <c r="BZ13" s="80">
        <v>0</v>
      </c>
      <c r="CA13" s="79"/>
      <c r="CB13" s="79">
        <v>1455</v>
      </c>
      <c r="CC13" s="106"/>
      <c r="CD13" s="82">
        <f t="shared" si="28"/>
        <v>332.33673469387753</v>
      </c>
      <c r="CE13" s="89"/>
      <c r="CF13" s="97">
        <f>D13+X13+AR13+BL13</f>
        <v>768.09999999999991</v>
      </c>
      <c r="CG13" s="80"/>
      <c r="CH13" s="98">
        <f t="shared" si="29"/>
        <v>8.7682648401826473</v>
      </c>
      <c r="CI13" s="84"/>
      <c r="CJ13" s="76">
        <f>CL13+CN13</f>
        <v>461812</v>
      </c>
      <c r="CK13" s="77"/>
      <c r="CL13" s="82">
        <f t="shared" si="9"/>
        <v>260336</v>
      </c>
      <c r="CM13" s="94"/>
      <c r="CN13" s="99">
        <f t="shared" si="10"/>
        <v>201476</v>
      </c>
      <c r="CO13" s="94"/>
      <c r="CP13" s="82">
        <f t="shared" si="11"/>
        <v>260336</v>
      </c>
      <c r="CQ13" s="79"/>
      <c r="CR13" s="79">
        <f t="shared" si="12"/>
        <v>195294</v>
      </c>
      <c r="CS13" s="93"/>
      <c r="CT13" s="82">
        <f t="shared" si="13"/>
        <v>0</v>
      </c>
      <c r="CU13" s="79"/>
      <c r="CV13" s="79">
        <f t="shared" si="14"/>
        <v>6182</v>
      </c>
      <c r="CW13" s="93"/>
      <c r="CX13" s="82">
        <f t="shared" si="30"/>
        <v>338.93503450071609</v>
      </c>
      <c r="CY13" s="108"/>
    </row>
    <row r="14" spans="1:103" ht="15.75" customHeight="1" x14ac:dyDescent="0.25">
      <c r="A14" s="553"/>
      <c r="B14" s="71"/>
      <c r="C14" s="72" t="s">
        <v>34</v>
      </c>
      <c r="D14" s="73">
        <v>58.6</v>
      </c>
      <c r="E14" s="74"/>
      <c r="F14" s="75">
        <f t="shared" si="19"/>
        <v>2.7142195460861509</v>
      </c>
      <c r="G14" s="75"/>
      <c r="H14" s="76">
        <f t="shared" si="15"/>
        <v>367</v>
      </c>
      <c r="I14" s="77">
        <f t="shared" si="15"/>
        <v>0</v>
      </c>
      <c r="J14" s="76">
        <f t="shared" si="20"/>
        <v>238</v>
      </c>
      <c r="K14" s="99"/>
      <c r="L14" s="80">
        <f t="shared" si="20"/>
        <v>129</v>
      </c>
      <c r="M14" s="81"/>
      <c r="N14" s="82">
        <v>238</v>
      </c>
      <c r="O14" s="102"/>
      <c r="P14" s="79">
        <v>123</v>
      </c>
      <c r="Q14" s="84"/>
      <c r="R14" s="80">
        <v>0</v>
      </c>
      <c r="S14" s="79"/>
      <c r="T14" s="79">
        <v>6</v>
      </c>
      <c r="U14" s="103"/>
      <c r="V14" s="80">
        <f t="shared" si="21"/>
        <v>4.0614334470989757</v>
      </c>
      <c r="W14" s="86"/>
      <c r="X14" s="87">
        <v>55</v>
      </c>
      <c r="Y14" s="88"/>
      <c r="Z14" s="75">
        <f t="shared" si="22"/>
        <v>2.5183150183150182</v>
      </c>
      <c r="AA14" s="75"/>
      <c r="AB14" s="76">
        <f t="shared" si="16"/>
        <v>423</v>
      </c>
      <c r="AC14" s="77">
        <f t="shared" si="16"/>
        <v>0</v>
      </c>
      <c r="AD14" s="76">
        <f t="shared" si="23"/>
        <v>221</v>
      </c>
      <c r="AE14" s="99"/>
      <c r="AF14" s="80">
        <f t="shared" si="23"/>
        <v>202</v>
      </c>
      <c r="AG14" s="81"/>
      <c r="AH14" s="80">
        <v>221</v>
      </c>
      <c r="AI14" s="102"/>
      <c r="AJ14" s="79">
        <v>196</v>
      </c>
      <c r="AK14" s="84"/>
      <c r="AL14" s="80">
        <v>0</v>
      </c>
      <c r="AM14" s="79"/>
      <c r="AN14" s="79">
        <v>6</v>
      </c>
      <c r="AO14" s="103"/>
      <c r="AP14" s="80">
        <f t="shared" si="24"/>
        <v>4.0181818181818185</v>
      </c>
      <c r="AQ14" s="89"/>
      <c r="AR14" s="90">
        <v>60.5</v>
      </c>
      <c r="AS14" s="74"/>
      <c r="AT14" s="74">
        <f>(AR14/2208)*100</f>
        <v>2.7400362318840581</v>
      </c>
      <c r="AU14" s="91"/>
      <c r="AV14" s="92">
        <f t="shared" si="17"/>
        <v>452</v>
      </c>
      <c r="AW14" s="92">
        <f t="shared" si="17"/>
        <v>0</v>
      </c>
      <c r="AX14" s="78">
        <f t="shared" si="25"/>
        <v>240</v>
      </c>
      <c r="AY14" s="93"/>
      <c r="AZ14" s="79">
        <f t="shared" si="25"/>
        <v>212</v>
      </c>
      <c r="BA14" s="93"/>
      <c r="BB14" s="76">
        <v>240</v>
      </c>
      <c r="BC14" s="102"/>
      <c r="BD14" s="79">
        <v>207</v>
      </c>
      <c r="BE14" s="77"/>
      <c r="BF14" s="104">
        <v>0</v>
      </c>
      <c r="BG14" s="94"/>
      <c r="BH14" s="94">
        <v>5</v>
      </c>
      <c r="BI14" s="103"/>
      <c r="BJ14" s="94">
        <f t="shared" si="6"/>
        <v>3.9669421487603307</v>
      </c>
      <c r="BK14" s="94"/>
      <c r="BL14" s="87">
        <v>58.2</v>
      </c>
      <c r="BM14" s="79"/>
      <c r="BN14" s="75">
        <f t="shared" si="26"/>
        <v>2.6346763241285651</v>
      </c>
      <c r="BO14" s="84"/>
      <c r="BP14" s="109">
        <f t="shared" si="18"/>
        <v>405</v>
      </c>
      <c r="BQ14" s="109">
        <f t="shared" si="18"/>
        <v>0</v>
      </c>
      <c r="BR14" s="76">
        <f t="shared" si="27"/>
        <v>231</v>
      </c>
      <c r="BS14" s="79"/>
      <c r="BT14" s="79">
        <f t="shared" si="27"/>
        <v>174</v>
      </c>
      <c r="BU14" s="84"/>
      <c r="BV14" s="80">
        <v>231</v>
      </c>
      <c r="BW14" s="105"/>
      <c r="BX14" s="79">
        <v>169</v>
      </c>
      <c r="BY14" s="84"/>
      <c r="BZ14" s="80">
        <v>0</v>
      </c>
      <c r="CA14" s="79"/>
      <c r="CB14" s="79">
        <v>5</v>
      </c>
      <c r="CC14" s="106"/>
      <c r="CD14" s="82">
        <f t="shared" si="28"/>
        <v>3.9690721649484533</v>
      </c>
      <c r="CE14" s="89"/>
      <c r="CF14" s="97">
        <f>D14+X14+AR14+BL14</f>
        <v>232.3</v>
      </c>
      <c r="CG14" s="80"/>
      <c r="CH14" s="98">
        <f t="shared" si="29"/>
        <v>2.6518264840182648</v>
      </c>
      <c r="CI14" s="84"/>
      <c r="CJ14" s="76">
        <f>CL14+CN14</f>
        <v>1647</v>
      </c>
      <c r="CK14" s="77"/>
      <c r="CL14" s="82">
        <f t="shared" si="9"/>
        <v>930</v>
      </c>
      <c r="CM14" s="94"/>
      <c r="CN14" s="99">
        <f t="shared" si="10"/>
        <v>717</v>
      </c>
      <c r="CO14" s="94"/>
      <c r="CP14" s="82">
        <f t="shared" si="11"/>
        <v>930</v>
      </c>
      <c r="CQ14" s="79"/>
      <c r="CR14" s="79">
        <f t="shared" si="12"/>
        <v>695</v>
      </c>
      <c r="CS14" s="93"/>
      <c r="CT14" s="82">
        <f t="shared" si="13"/>
        <v>0</v>
      </c>
      <c r="CU14" s="79"/>
      <c r="CV14" s="79">
        <f t="shared" si="14"/>
        <v>22</v>
      </c>
      <c r="CW14" s="93"/>
      <c r="CX14" s="82">
        <f t="shared" si="30"/>
        <v>4.0034438226431339</v>
      </c>
      <c r="CY14" s="108"/>
    </row>
    <row r="15" spans="1:103" s="138" customFormat="1" ht="26.25" customHeight="1" x14ac:dyDescent="0.25">
      <c r="A15" s="553"/>
      <c r="B15" s="110" t="s">
        <v>35</v>
      </c>
      <c r="C15" s="111"/>
      <c r="D15" s="112">
        <f>SUM(D16:D21)</f>
        <v>1193.5</v>
      </c>
      <c r="E15" s="113"/>
      <c r="F15" s="114"/>
      <c r="G15" s="114"/>
      <c r="H15" s="115">
        <f t="shared" ref="H15:N15" si="31">SUM(H16:H21)</f>
        <v>396973</v>
      </c>
      <c r="I15" s="116">
        <f t="shared" si="31"/>
        <v>0</v>
      </c>
      <c r="J15" s="115">
        <f t="shared" si="31"/>
        <v>257149</v>
      </c>
      <c r="K15" s="117"/>
      <c r="L15" s="118">
        <f t="shared" si="31"/>
        <v>139824</v>
      </c>
      <c r="M15" s="119"/>
      <c r="N15" s="120">
        <f t="shared" si="31"/>
        <v>257149</v>
      </c>
      <c r="O15" s="121"/>
      <c r="P15" s="122">
        <f t="shared" ref="P15" si="32">SUM(P16:P21)</f>
        <v>133470</v>
      </c>
      <c r="Q15" s="123"/>
      <c r="R15" s="121">
        <f>SUM(R16:R21)</f>
        <v>0</v>
      </c>
      <c r="S15" s="121"/>
      <c r="T15" s="121">
        <f t="shared" ref="T15" si="33">SUM(T16:T21)</f>
        <v>6354</v>
      </c>
      <c r="U15" s="124"/>
      <c r="V15" s="121">
        <f t="shared" si="21"/>
        <v>215.4578969417679</v>
      </c>
      <c r="W15" s="125"/>
      <c r="X15" s="126">
        <f>SUM(X16:X21)</f>
        <v>1168.8000000000002</v>
      </c>
      <c r="Y15" s="127"/>
      <c r="Z15" s="114"/>
      <c r="AA15" s="114"/>
      <c r="AB15" s="115">
        <f t="shared" ref="AB15:AJ15" si="34">SUM(AB16:AB21)</f>
        <v>484451</v>
      </c>
      <c r="AC15" s="116">
        <f t="shared" si="34"/>
        <v>0</v>
      </c>
      <c r="AD15" s="115">
        <f t="shared" si="34"/>
        <v>253209</v>
      </c>
      <c r="AE15" s="117"/>
      <c r="AF15" s="118">
        <f t="shared" si="34"/>
        <v>231242</v>
      </c>
      <c r="AG15" s="119"/>
      <c r="AH15" s="121">
        <f t="shared" si="34"/>
        <v>253209</v>
      </c>
      <c r="AI15" s="121"/>
      <c r="AJ15" s="122">
        <f t="shared" si="34"/>
        <v>224794</v>
      </c>
      <c r="AK15" s="123"/>
      <c r="AL15" s="121">
        <f>SUM(AL16:AL21)</f>
        <v>0</v>
      </c>
      <c r="AM15" s="121"/>
      <c r="AN15" s="122">
        <f>SUM(AN16:AN21)</f>
        <v>6448</v>
      </c>
      <c r="AO15" s="123"/>
      <c r="AP15" s="121">
        <f t="shared" si="24"/>
        <v>216.64014373716628</v>
      </c>
      <c r="AQ15" s="128"/>
      <c r="AR15" s="129">
        <f t="shared" ref="AR15" si="35">SUM(AR16:AR21)</f>
        <v>1143</v>
      </c>
      <c r="AS15" s="130"/>
      <c r="AT15" s="113"/>
      <c r="AU15" s="131"/>
      <c r="AV15" s="118">
        <f t="shared" ref="AV15:BQ15" si="36">SUM(AV16:AV21)</f>
        <v>437201</v>
      </c>
      <c r="AW15" s="118">
        <f t="shared" si="36"/>
        <v>0</v>
      </c>
      <c r="AX15" s="115">
        <f>SUM(AX16:AX21)</f>
        <v>231821</v>
      </c>
      <c r="AY15" s="132"/>
      <c r="AZ15" s="117">
        <f>SUM(AZ16:AZ21)</f>
        <v>205380</v>
      </c>
      <c r="BA15" s="132"/>
      <c r="BB15" s="115">
        <f>SUM(BB16:BB21)</f>
        <v>231821</v>
      </c>
      <c r="BC15" s="122"/>
      <c r="BD15" s="122">
        <f t="shared" ref="BD15" si="37">SUM(BD16:BD21)</f>
        <v>200172</v>
      </c>
      <c r="BE15" s="116"/>
      <c r="BF15" s="118">
        <f>SUM(BF16:BF21)</f>
        <v>0</v>
      </c>
      <c r="BG15" s="118"/>
      <c r="BH15" s="118">
        <f t="shared" ref="BH15" si="38">SUM(BH16:BH21)</f>
        <v>5208</v>
      </c>
      <c r="BI15" s="123"/>
      <c r="BJ15" s="133">
        <f t="shared" si="6"/>
        <v>202.81802274715662</v>
      </c>
      <c r="BK15" s="132"/>
      <c r="BL15" s="126">
        <f>SUM(BL16:BL21)</f>
        <v>1353.8000000000002</v>
      </c>
      <c r="BM15" s="122"/>
      <c r="BN15" s="114"/>
      <c r="BO15" s="123"/>
      <c r="BP15" s="134">
        <f t="shared" si="36"/>
        <v>455748</v>
      </c>
      <c r="BQ15" s="134">
        <f t="shared" si="36"/>
        <v>0</v>
      </c>
      <c r="BR15" s="115">
        <f>SUM(BR16:BR21)</f>
        <v>259976</v>
      </c>
      <c r="BS15" s="122"/>
      <c r="BT15" s="122">
        <f>SUM(BT16:BT21)</f>
        <v>195772</v>
      </c>
      <c r="BU15" s="123"/>
      <c r="BV15" s="121">
        <f>SUM(BV16:BV21)</f>
        <v>259976</v>
      </c>
      <c r="BW15" s="121"/>
      <c r="BX15" s="121">
        <f t="shared" ref="BX15:CB15" si="39">SUM(BX16:BX21)</f>
        <v>189966</v>
      </c>
      <c r="BY15" s="123"/>
      <c r="BZ15" s="121">
        <f t="shared" si="39"/>
        <v>0</v>
      </c>
      <c r="CA15" s="121"/>
      <c r="CB15" s="121">
        <f t="shared" si="39"/>
        <v>5806</v>
      </c>
      <c r="CC15" s="121"/>
      <c r="CD15" s="120">
        <f t="shared" si="28"/>
        <v>192.03427389570098</v>
      </c>
      <c r="CE15" s="128"/>
      <c r="CF15" s="135">
        <f>SUM(CF16:CF21)</f>
        <v>4859.1000000000004</v>
      </c>
      <c r="CG15" s="121"/>
      <c r="CH15" s="114"/>
      <c r="CI15" s="123"/>
      <c r="CJ15" s="115">
        <f>SUM(CJ16:CJ21)</f>
        <v>1774373</v>
      </c>
      <c r="CK15" s="116"/>
      <c r="CL15" s="120">
        <f t="shared" si="9"/>
        <v>1002155</v>
      </c>
      <c r="CM15" s="132"/>
      <c r="CN15" s="117">
        <f t="shared" si="10"/>
        <v>772218</v>
      </c>
      <c r="CO15" s="132"/>
      <c r="CP15" s="120">
        <f t="shared" si="11"/>
        <v>1002155</v>
      </c>
      <c r="CQ15" s="122"/>
      <c r="CR15" s="122">
        <f t="shared" si="12"/>
        <v>748402</v>
      </c>
      <c r="CS15" s="136"/>
      <c r="CT15" s="120">
        <f t="shared" si="13"/>
        <v>0</v>
      </c>
      <c r="CU15" s="122"/>
      <c r="CV15" s="122">
        <f t="shared" si="14"/>
        <v>23816</v>
      </c>
      <c r="CW15" s="136"/>
      <c r="CX15" s="120">
        <f>CL15/CF15</f>
        <v>206.24292564466668</v>
      </c>
      <c r="CY15" s="137"/>
    </row>
    <row r="16" spans="1:103" s="101" customFormat="1" ht="15.75" customHeight="1" x14ac:dyDescent="0.25">
      <c r="A16" s="553"/>
      <c r="B16" s="71"/>
      <c r="C16" s="72" t="s">
        <v>30</v>
      </c>
      <c r="D16" s="73">
        <f>402.2-D21</f>
        <v>391.2</v>
      </c>
      <c r="E16" s="74"/>
      <c r="F16" s="75">
        <f>(D16/2159)*100</f>
        <v>18.119499768411302</v>
      </c>
      <c r="G16" s="75"/>
      <c r="H16" s="78">
        <f t="shared" ref="H16:I21" si="40">J16+L16</f>
        <v>181813</v>
      </c>
      <c r="I16" s="84">
        <f t="shared" si="40"/>
        <v>0</v>
      </c>
      <c r="J16" s="78">
        <f t="shared" ref="J16:L21" si="41">N16+R16</f>
        <v>117774</v>
      </c>
      <c r="K16" s="79"/>
      <c r="L16" s="80">
        <f t="shared" si="41"/>
        <v>64039</v>
      </c>
      <c r="M16" s="81"/>
      <c r="N16" s="82">
        <f>122032-N21</f>
        <v>117774</v>
      </c>
      <c r="O16" s="83"/>
      <c r="P16" s="79">
        <f>63339-P21</f>
        <v>61129</v>
      </c>
      <c r="Q16" s="84"/>
      <c r="R16" s="80">
        <v>0</v>
      </c>
      <c r="S16" s="79"/>
      <c r="T16" s="79">
        <f>3015-T21</f>
        <v>2910</v>
      </c>
      <c r="U16" s="85"/>
      <c r="V16" s="80">
        <f t="shared" si="21"/>
        <v>301.05828220858899</v>
      </c>
      <c r="W16" s="86"/>
      <c r="X16" s="87">
        <f>394.4-X21</f>
        <v>382.5</v>
      </c>
      <c r="Y16" s="88"/>
      <c r="Z16" s="75">
        <f t="shared" ref="Z16:Z20" si="42">(X16/2184)*100</f>
        <v>17.513736263736263</v>
      </c>
      <c r="AA16" s="75"/>
      <c r="AB16" s="78">
        <f t="shared" ref="AB16:AC21" si="43">AD16+AF16</f>
        <v>222741</v>
      </c>
      <c r="AC16" s="84">
        <f t="shared" si="43"/>
        <v>0</v>
      </c>
      <c r="AD16" s="78">
        <f t="shared" ref="AD16:AF21" si="44">AH16+AL16</f>
        <v>116420</v>
      </c>
      <c r="AE16" s="79"/>
      <c r="AF16" s="80">
        <f t="shared" si="44"/>
        <v>106321</v>
      </c>
      <c r="AG16" s="81"/>
      <c r="AH16" s="80">
        <f>120853-AH21</f>
        <v>116420</v>
      </c>
      <c r="AI16" s="83"/>
      <c r="AJ16" s="79">
        <f>107291-AJ21</f>
        <v>103356</v>
      </c>
      <c r="AK16" s="84"/>
      <c r="AL16" s="80">
        <v>0</v>
      </c>
      <c r="AM16" s="79"/>
      <c r="AN16" s="79">
        <f>3078-AN21</f>
        <v>2965</v>
      </c>
      <c r="AO16" s="85"/>
      <c r="AP16" s="80">
        <f t="shared" si="24"/>
        <v>304.36601307189545</v>
      </c>
      <c r="AQ16" s="89"/>
      <c r="AR16" s="90">
        <f>391.8-AR21</f>
        <v>379</v>
      </c>
      <c r="AS16" s="74"/>
      <c r="AT16" s="74">
        <f>(AR16/2208)*100</f>
        <v>17.164855072463769</v>
      </c>
      <c r="AU16" s="91"/>
      <c r="AV16" s="80">
        <f>AX16+AZ16</f>
        <v>187882</v>
      </c>
      <c r="AW16" s="80">
        <f>AY16+BA16</f>
        <v>0</v>
      </c>
      <c r="AX16" s="78">
        <f>BB16+BF16</f>
        <v>99622</v>
      </c>
      <c r="AY16" s="93"/>
      <c r="AZ16" s="79">
        <f>BD16+BH16</f>
        <v>88260</v>
      </c>
      <c r="BA16" s="93"/>
      <c r="BB16" s="78">
        <f>104238-BB21</f>
        <v>99622</v>
      </c>
      <c r="BC16" s="83"/>
      <c r="BD16" s="79">
        <f>90008-BD21</f>
        <v>86022</v>
      </c>
      <c r="BE16" s="84"/>
      <c r="BF16" s="86">
        <v>0</v>
      </c>
      <c r="BG16" s="93"/>
      <c r="BH16" s="93">
        <f>2342-BH21</f>
        <v>2238</v>
      </c>
      <c r="BI16" s="85"/>
      <c r="BJ16" s="94">
        <f t="shared" si="6"/>
        <v>262.85488126649079</v>
      </c>
      <c r="BK16" s="94"/>
      <c r="BL16" s="87">
        <f>412.8-BL21</f>
        <v>400.90000000000003</v>
      </c>
      <c r="BM16" s="79"/>
      <c r="BN16" s="75">
        <f t="shared" si="26"/>
        <v>18.148483476686287</v>
      </c>
      <c r="BO16" s="84"/>
      <c r="BP16" s="82">
        <f>BR16+BT16</f>
        <v>213168</v>
      </c>
      <c r="BQ16" s="82">
        <f>BS16+BU16</f>
        <v>0</v>
      </c>
      <c r="BR16" s="78">
        <f t="shared" ref="BR16:BT21" si="45">BV16+BZ16</f>
        <v>121599</v>
      </c>
      <c r="BS16" s="79"/>
      <c r="BT16" s="79">
        <f t="shared" si="45"/>
        <v>91569</v>
      </c>
      <c r="BU16" s="84"/>
      <c r="BV16" s="80">
        <f>126049-BV21</f>
        <v>121599</v>
      </c>
      <c r="BW16" s="95"/>
      <c r="BX16" s="79">
        <f>92105-BX21</f>
        <v>88853</v>
      </c>
      <c r="BY16" s="84"/>
      <c r="BZ16" s="80">
        <v>0</v>
      </c>
      <c r="CA16" s="79"/>
      <c r="CB16" s="79">
        <f>2815-CB21</f>
        <v>2716</v>
      </c>
      <c r="CC16" s="96"/>
      <c r="CD16" s="82">
        <f t="shared" si="28"/>
        <v>303.31504115739585</v>
      </c>
      <c r="CE16" s="89"/>
      <c r="CF16" s="97">
        <f t="shared" ref="CF16:CF21" si="46">D16+X16+AR16+BL16</f>
        <v>1553.6000000000001</v>
      </c>
      <c r="CG16" s="80"/>
      <c r="CH16" s="75">
        <f>(CF16/8760)*100</f>
        <v>17.735159817351601</v>
      </c>
      <c r="CI16" s="84"/>
      <c r="CJ16" s="76">
        <f>CL16+CN16</f>
        <v>805604</v>
      </c>
      <c r="CK16" s="77"/>
      <c r="CL16" s="82">
        <f t="shared" si="9"/>
        <v>455415</v>
      </c>
      <c r="CM16" s="94"/>
      <c r="CN16" s="99">
        <f t="shared" si="10"/>
        <v>350189</v>
      </c>
      <c r="CO16" s="94"/>
      <c r="CP16" s="82">
        <f t="shared" si="11"/>
        <v>455415</v>
      </c>
      <c r="CQ16" s="79"/>
      <c r="CR16" s="79">
        <f t="shared" si="12"/>
        <v>339360</v>
      </c>
      <c r="CS16" s="93"/>
      <c r="CT16" s="82">
        <f t="shared" si="13"/>
        <v>0</v>
      </c>
      <c r="CU16" s="79"/>
      <c r="CV16" s="79">
        <f t="shared" si="14"/>
        <v>10829</v>
      </c>
      <c r="CW16" s="93"/>
      <c r="CX16" s="82">
        <f t="shared" si="30"/>
        <v>293.13529866117403</v>
      </c>
      <c r="CY16" s="108"/>
    </row>
    <row r="17" spans="1:103" s="101" customFormat="1" ht="15.75" customHeight="1" x14ac:dyDescent="0.25">
      <c r="A17" s="553"/>
      <c r="B17" s="71"/>
      <c r="C17" s="72" t="s">
        <v>31</v>
      </c>
      <c r="D17" s="73">
        <f>7.6+12.8</f>
        <v>20.399999999999999</v>
      </c>
      <c r="E17" s="74"/>
      <c r="F17" s="75">
        <f t="shared" ref="F17:F20" si="47">(D17/2159)*100</f>
        <v>0.94488188976377951</v>
      </c>
      <c r="G17" s="75"/>
      <c r="H17" s="78">
        <f t="shared" si="40"/>
        <v>8819</v>
      </c>
      <c r="I17" s="84">
        <f t="shared" si="40"/>
        <v>0</v>
      </c>
      <c r="J17" s="78">
        <f t="shared" si="41"/>
        <v>5713</v>
      </c>
      <c r="K17" s="79"/>
      <c r="L17" s="80">
        <f t="shared" si="41"/>
        <v>3106</v>
      </c>
      <c r="M17" s="81"/>
      <c r="N17" s="82">
        <f>2361+3352</f>
        <v>5713</v>
      </c>
      <c r="O17" s="83"/>
      <c r="P17" s="79">
        <f>1225+1740</f>
        <v>2965</v>
      </c>
      <c r="Q17" s="84"/>
      <c r="R17" s="80">
        <v>0</v>
      </c>
      <c r="S17" s="79"/>
      <c r="T17" s="79">
        <f>58+83</f>
        <v>141</v>
      </c>
      <c r="U17" s="85"/>
      <c r="V17" s="80">
        <f t="shared" si="21"/>
        <v>280.04901960784315</v>
      </c>
      <c r="W17" s="86"/>
      <c r="X17" s="87">
        <f>7+12.8</f>
        <v>19.8</v>
      </c>
      <c r="Y17" s="88"/>
      <c r="Z17" s="75">
        <f t="shared" si="42"/>
        <v>0.9065934065934067</v>
      </c>
      <c r="AA17" s="75"/>
      <c r="AB17" s="78">
        <f t="shared" si="43"/>
        <v>10554</v>
      </c>
      <c r="AC17" s="84">
        <f t="shared" si="43"/>
        <v>0</v>
      </c>
      <c r="AD17" s="78">
        <f t="shared" si="44"/>
        <v>5516</v>
      </c>
      <c r="AE17" s="79"/>
      <c r="AF17" s="80">
        <f t="shared" si="44"/>
        <v>5038</v>
      </c>
      <c r="AG17" s="81"/>
      <c r="AH17" s="80">
        <f>2178+3338</f>
        <v>5516</v>
      </c>
      <c r="AI17" s="83"/>
      <c r="AJ17" s="79">
        <f>1934+2964</f>
        <v>4898</v>
      </c>
      <c r="AK17" s="84"/>
      <c r="AL17" s="80">
        <v>0</v>
      </c>
      <c r="AM17" s="79"/>
      <c r="AN17" s="79">
        <f>55+85</f>
        <v>140</v>
      </c>
      <c r="AO17" s="85"/>
      <c r="AP17" s="80">
        <f t="shared" si="24"/>
        <v>278.5858585858586</v>
      </c>
      <c r="AQ17" s="89"/>
      <c r="AR17" s="90">
        <f>7.6+13.2</f>
        <v>20.799999999999997</v>
      </c>
      <c r="AS17" s="74"/>
      <c r="AT17" s="74">
        <f>(AR17/2208)*100</f>
        <v>0.94202898550724623</v>
      </c>
      <c r="AU17" s="91"/>
      <c r="AV17" s="80">
        <f t="shared" ref="AV17:AW21" si="48">AX17+AZ17</f>
        <v>10966</v>
      </c>
      <c r="AW17" s="80">
        <f t="shared" si="48"/>
        <v>0</v>
      </c>
      <c r="AX17" s="78">
        <f>BB17+BF17</f>
        <v>5815</v>
      </c>
      <c r="AY17" s="93"/>
      <c r="AZ17" s="79">
        <f t="shared" ref="AZ17:AZ21" si="49">BD17+BH17</f>
        <v>5151</v>
      </c>
      <c r="BA17" s="93"/>
      <c r="BB17" s="78">
        <f>2360+3455</f>
        <v>5815</v>
      </c>
      <c r="BC17" s="83"/>
      <c r="BD17" s="79">
        <f>2037+2983</f>
        <v>5020</v>
      </c>
      <c r="BE17" s="84"/>
      <c r="BF17" s="86">
        <v>0</v>
      </c>
      <c r="BG17" s="93"/>
      <c r="BH17" s="93">
        <f>53+78</f>
        <v>131</v>
      </c>
      <c r="BI17" s="85"/>
      <c r="BJ17" s="94">
        <f t="shared" si="6"/>
        <v>279.56730769230774</v>
      </c>
      <c r="BK17" s="94"/>
      <c r="BL17" s="87">
        <f>7+12.9</f>
        <v>19.899999999999999</v>
      </c>
      <c r="BM17" s="79"/>
      <c r="BN17" s="75">
        <f>(BL17/2209)*100</f>
        <v>0.90086011770031693</v>
      </c>
      <c r="BO17" s="84"/>
      <c r="BP17" s="82">
        <f t="shared" ref="BP17:BQ21" si="50">BR17+BT17</f>
        <v>9736</v>
      </c>
      <c r="BQ17" s="82">
        <f t="shared" si="50"/>
        <v>0</v>
      </c>
      <c r="BR17" s="78">
        <f t="shared" si="45"/>
        <v>5554</v>
      </c>
      <c r="BS17" s="79"/>
      <c r="BT17" s="79">
        <f t="shared" si="45"/>
        <v>4182</v>
      </c>
      <c r="BU17" s="84"/>
      <c r="BV17" s="80">
        <f>2178+3376</f>
        <v>5554</v>
      </c>
      <c r="BW17" s="95"/>
      <c r="BX17" s="79">
        <f>1591+2467</f>
        <v>4058</v>
      </c>
      <c r="BY17" s="84"/>
      <c r="BZ17" s="80">
        <v>0</v>
      </c>
      <c r="CA17" s="79"/>
      <c r="CB17" s="79">
        <f>49+75</f>
        <v>124</v>
      </c>
      <c r="CC17" s="96"/>
      <c r="CD17" s="82">
        <f t="shared" si="28"/>
        <v>279.0954773869347</v>
      </c>
      <c r="CE17" s="89"/>
      <c r="CF17" s="97">
        <f t="shared" si="46"/>
        <v>80.900000000000006</v>
      </c>
      <c r="CG17" s="80"/>
      <c r="CH17" s="75">
        <f t="shared" ref="CH17:CH20" si="51">(CF17/8760)*100</f>
        <v>0.92351598173515992</v>
      </c>
      <c r="CI17" s="84"/>
      <c r="CJ17" s="76">
        <f t="shared" ref="CJ17" si="52">CL17+CN17</f>
        <v>40075</v>
      </c>
      <c r="CK17" s="77"/>
      <c r="CL17" s="82">
        <f t="shared" si="9"/>
        <v>22598</v>
      </c>
      <c r="CM17" s="94"/>
      <c r="CN17" s="99">
        <f t="shared" si="10"/>
        <v>17477</v>
      </c>
      <c r="CO17" s="94"/>
      <c r="CP17" s="82">
        <f t="shared" si="11"/>
        <v>22598</v>
      </c>
      <c r="CQ17" s="79"/>
      <c r="CR17" s="79">
        <f t="shared" si="12"/>
        <v>16941</v>
      </c>
      <c r="CS17" s="93"/>
      <c r="CT17" s="82">
        <f t="shared" si="13"/>
        <v>0</v>
      </c>
      <c r="CU17" s="79"/>
      <c r="CV17" s="79">
        <f t="shared" si="14"/>
        <v>536</v>
      </c>
      <c r="CW17" s="93"/>
      <c r="CX17" s="82">
        <f>CL17/CF17</f>
        <v>279.33250927070458</v>
      </c>
      <c r="CY17" s="108"/>
    </row>
    <row r="18" spans="1:103" s="101" customFormat="1" ht="15.75" customHeight="1" x14ac:dyDescent="0.25">
      <c r="A18" s="553"/>
      <c r="B18" s="71"/>
      <c r="C18" s="72" t="s">
        <v>32</v>
      </c>
      <c r="D18" s="73">
        <v>46</v>
      </c>
      <c r="E18" s="74"/>
      <c r="F18" s="75">
        <f t="shared" si="47"/>
        <v>2.1306160259379343</v>
      </c>
      <c r="G18" s="75"/>
      <c r="H18" s="78">
        <f t="shared" si="40"/>
        <v>15094</v>
      </c>
      <c r="I18" s="84">
        <f t="shared" si="40"/>
        <v>0</v>
      </c>
      <c r="J18" s="78">
        <f t="shared" si="41"/>
        <v>9777</v>
      </c>
      <c r="K18" s="79"/>
      <c r="L18" s="80">
        <f t="shared" si="41"/>
        <v>5317</v>
      </c>
      <c r="M18" s="81"/>
      <c r="N18" s="82">
        <v>9777</v>
      </c>
      <c r="O18" s="83"/>
      <c r="P18" s="79">
        <v>5075</v>
      </c>
      <c r="Q18" s="84"/>
      <c r="R18" s="80">
        <v>0</v>
      </c>
      <c r="S18" s="79"/>
      <c r="T18" s="79">
        <v>242</v>
      </c>
      <c r="U18" s="85"/>
      <c r="V18" s="80">
        <f t="shared" si="21"/>
        <v>212.54347826086956</v>
      </c>
      <c r="W18" s="86"/>
      <c r="X18" s="87">
        <v>27.3</v>
      </c>
      <c r="Y18" s="88"/>
      <c r="Z18" s="75">
        <f t="shared" si="42"/>
        <v>1.25</v>
      </c>
      <c r="AA18" s="75"/>
      <c r="AB18" s="78">
        <f t="shared" si="43"/>
        <v>16635</v>
      </c>
      <c r="AC18" s="84">
        <f t="shared" si="43"/>
        <v>0</v>
      </c>
      <c r="AD18" s="78">
        <f t="shared" si="44"/>
        <v>8695</v>
      </c>
      <c r="AE18" s="79"/>
      <c r="AF18" s="80">
        <f t="shared" si="44"/>
        <v>7940</v>
      </c>
      <c r="AG18" s="81"/>
      <c r="AH18" s="80">
        <v>8695</v>
      </c>
      <c r="AI18" s="83"/>
      <c r="AJ18" s="79">
        <v>7719</v>
      </c>
      <c r="AK18" s="84"/>
      <c r="AL18" s="80">
        <v>0</v>
      </c>
      <c r="AM18" s="79"/>
      <c r="AN18" s="79">
        <v>221</v>
      </c>
      <c r="AO18" s="85"/>
      <c r="AP18" s="80">
        <f t="shared" si="24"/>
        <v>318.49816849816847</v>
      </c>
      <c r="AQ18" s="89"/>
      <c r="AR18" s="90">
        <v>6</v>
      </c>
      <c r="AS18" s="74"/>
      <c r="AT18" s="74">
        <f>(AR18/2208)*100</f>
        <v>0.27173913043478259</v>
      </c>
      <c r="AU18" s="91"/>
      <c r="AV18" s="80">
        <f t="shared" si="48"/>
        <v>12205</v>
      </c>
      <c r="AW18" s="80">
        <f t="shared" si="48"/>
        <v>0</v>
      </c>
      <c r="AX18" s="78">
        <f>BB18+BF18</f>
        <v>6472</v>
      </c>
      <c r="AY18" s="93"/>
      <c r="AZ18" s="79">
        <f t="shared" si="49"/>
        <v>5733</v>
      </c>
      <c r="BA18" s="93"/>
      <c r="BB18" s="78">
        <v>6472</v>
      </c>
      <c r="BC18" s="83"/>
      <c r="BD18" s="79">
        <v>5588</v>
      </c>
      <c r="BE18" s="84"/>
      <c r="BF18" s="86">
        <v>0</v>
      </c>
      <c r="BG18" s="93"/>
      <c r="BH18" s="93">
        <v>145</v>
      </c>
      <c r="BI18" s="85"/>
      <c r="BJ18" s="94">
        <f t="shared" si="6"/>
        <v>1078.6666666666667</v>
      </c>
      <c r="BK18" s="94"/>
      <c r="BL18" s="87">
        <v>29.7</v>
      </c>
      <c r="BM18" s="79"/>
      <c r="BN18" s="75">
        <f>(BL18/2209)*100</f>
        <v>1.3444997736532367</v>
      </c>
      <c r="BO18" s="84"/>
      <c r="BP18" s="82">
        <f t="shared" si="50"/>
        <v>16561</v>
      </c>
      <c r="BQ18" s="82">
        <f t="shared" si="50"/>
        <v>0</v>
      </c>
      <c r="BR18" s="78">
        <f t="shared" si="45"/>
        <v>9447</v>
      </c>
      <c r="BS18" s="79"/>
      <c r="BT18" s="79">
        <f t="shared" si="45"/>
        <v>7114</v>
      </c>
      <c r="BU18" s="84"/>
      <c r="BV18" s="80">
        <v>9447</v>
      </c>
      <c r="BW18" s="95"/>
      <c r="BX18" s="79">
        <v>6903</v>
      </c>
      <c r="BY18" s="84"/>
      <c r="BZ18" s="80">
        <v>0</v>
      </c>
      <c r="CA18" s="79"/>
      <c r="CB18" s="79">
        <v>211</v>
      </c>
      <c r="CC18" s="96"/>
      <c r="CD18" s="82">
        <f t="shared" si="28"/>
        <v>318.08080808080808</v>
      </c>
      <c r="CE18" s="89"/>
      <c r="CF18" s="97">
        <f t="shared" si="46"/>
        <v>109</v>
      </c>
      <c r="CG18" s="80"/>
      <c r="CH18" s="75">
        <f t="shared" si="51"/>
        <v>1.2442922374429224</v>
      </c>
      <c r="CI18" s="84"/>
      <c r="CJ18" s="76">
        <f>CL18+CN18</f>
        <v>60495</v>
      </c>
      <c r="CK18" s="77"/>
      <c r="CL18" s="82">
        <f t="shared" si="9"/>
        <v>34391</v>
      </c>
      <c r="CM18" s="94"/>
      <c r="CN18" s="99">
        <f t="shared" si="10"/>
        <v>26104</v>
      </c>
      <c r="CO18" s="94"/>
      <c r="CP18" s="82">
        <f t="shared" si="11"/>
        <v>34391</v>
      </c>
      <c r="CQ18" s="79"/>
      <c r="CR18" s="79">
        <f t="shared" si="12"/>
        <v>25285</v>
      </c>
      <c r="CS18" s="93"/>
      <c r="CT18" s="82">
        <f t="shared" si="13"/>
        <v>0</v>
      </c>
      <c r="CU18" s="79"/>
      <c r="CV18" s="79">
        <f t="shared" si="14"/>
        <v>819</v>
      </c>
      <c r="CW18" s="93"/>
      <c r="CX18" s="82">
        <f t="shared" si="30"/>
        <v>315.51376146788994</v>
      </c>
      <c r="CY18" s="108"/>
    </row>
    <row r="19" spans="1:103" ht="15.75" customHeight="1" x14ac:dyDescent="0.25">
      <c r="A19" s="553"/>
      <c r="B19" s="139"/>
      <c r="C19" s="72" t="s">
        <v>33</v>
      </c>
      <c r="D19" s="73">
        <v>670</v>
      </c>
      <c r="E19" s="74"/>
      <c r="F19" s="75">
        <f t="shared" si="47"/>
        <v>31.032885595182957</v>
      </c>
      <c r="G19" s="75"/>
      <c r="H19" s="78">
        <f t="shared" si="40"/>
        <v>169818</v>
      </c>
      <c r="I19" s="84">
        <f t="shared" si="40"/>
        <v>0</v>
      </c>
      <c r="J19" s="78">
        <f t="shared" si="41"/>
        <v>110004</v>
      </c>
      <c r="K19" s="79"/>
      <c r="L19" s="80">
        <f t="shared" si="41"/>
        <v>59814</v>
      </c>
      <c r="M19" s="81"/>
      <c r="N19" s="82">
        <v>110004</v>
      </c>
      <c r="O19" s="102"/>
      <c r="P19" s="79">
        <v>57096</v>
      </c>
      <c r="Q19" s="84"/>
      <c r="R19" s="80">
        <v>0</v>
      </c>
      <c r="S19" s="79"/>
      <c r="T19" s="79">
        <v>2718</v>
      </c>
      <c r="U19" s="103"/>
      <c r="V19" s="80">
        <f t="shared" si="21"/>
        <v>164.18507462686568</v>
      </c>
      <c r="W19" s="86"/>
      <c r="X19" s="87">
        <v>676.4</v>
      </c>
      <c r="Y19" s="88"/>
      <c r="Z19" s="75">
        <f t="shared" si="42"/>
        <v>30.970695970695971</v>
      </c>
      <c r="AA19" s="75"/>
      <c r="AB19" s="78">
        <f t="shared" si="43"/>
        <v>210312</v>
      </c>
      <c r="AC19" s="84">
        <f t="shared" si="43"/>
        <v>0</v>
      </c>
      <c r="AD19" s="78">
        <f t="shared" si="44"/>
        <v>109924</v>
      </c>
      <c r="AE19" s="79"/>
      <c r="AF19" s="80">
        <f t="shared" si="44"/>
        <v>100388</v>
      </c>
      <c r="AG19" s="81"/>
      <c r="AH19" s="80">
        <v>109924</v>
      </c>
      <c r="AI19" s="102"/>
      <c r="AJ19" s="79">
        <v>97588</v>
      </c>
      <c r="AK19" s="84"/>
      <c r="AL19" s="80">
        <v>0</v>
      </c>
      <c r="AM19" s="79"/>
      <c r="AN19" s="79">
        <v>2800</v>
      </c>
      <c r="AO19" s="103"/>
      <c r="AP19" s="80">
        <f t="shared" si="24"/>
        <v>162.51330573625074</v>
      </c>
      <c r="AQ19" s="89"/>
      <c r="AR19" s="90">
        <v>678.4</v>
      </c>
      <c r="AS19" s="74"/>
      <c r="AT19" s="74">
        <f>(AR19/2208)*100</f>
        <v>30.724637681159418</v>
      </c>
      <c r="AU19" s="91"/>
      <c r="AV19" s="80">
        <f t="shared" si="48"/>
        <v>207573</v>
      </c>
      <c r="AW19" s="80">
        <f t="shared" si="48"/>
        <v>0</v>
      </c>
      <c r="AX19" s="78">
        <f t="shared" ref="AX19:AX21" si="53">BB19+BF19</f>
        <v>110063</v>
      </c>
      <c r="AY19" s="93"/>
      <c r="AZ19" s="79">
        <f t="shared" si="49"/>
        <v>97510</v>
      </c>
      <c r="BA19" s="93"/>
      <c r="BB19" s="78">
        <v>110063</v>
      </c>
      <c r="BC19" s="102"/>
      <c r="BD19" s="79">
        <v>95038</v>
      </c>
      <c r="BE19" s="84"/>
      <c r="BF19" s="86">
        <v>0</v>
      </c>
      <c r="BG19" s="93"/>
      <c r="BH19" s="93">
        <v>2472</v>
      </c>
      <c r="BI19" s="103"/>
      <c r="BJ19" s="94">
        <f t="shared" si="6"/>
        <v>162.23909198113208</v>
      </c>
      <c r="BK19" s="94"/>
      <c r="BL19" s="87">
        <v>687</v>
      </c>
      <c r="BM19" s="79"/>
      <c r="BN19" s="75">
        <f t="shared" si="26"/>
        <v>31.100045269352648</v>
      </c>
      <c r="BO19" s="84"/>
      <c r="BP19" s="82">
        <f t="shared" si="50"/>
        <v>196109</v>
      </c>
      <c r="BQ19" s="82">
        <f t="shared" si="50"/>
        <v>0</v>
      </c>
      <c r="BR19" s="78">
        <f t="shared" si="45"/>
        <v>111868</v>
      </c>
      <c r="BS19" s="79"/>
      <c r="BT19" s="79">
        <f t="shared" si="45"/>
        <v>84241</v>
      </c>
      <c r="BU19" s="84"/>
      <c r="BV19" s="80">
        <v>111868</v>
      </c>
      <c r="BW19" s="105"/>
      <c r="BX19" s="79">
        <v>81743</v>
      </c>
      <c r="BY19" s="84"/>
      <c r="BZ19" s="80">
        <v>0</v>
      </c>
      <c r="CA19" s="79"/>
      <c r="CB19" s="79">
        <v>2498</v>
      </c>
      <c r="CC19" s="106"/>
      <c r="CD19" s="82">
        <f t="shared" si="28"/>
        <v>162.83551673944686</v>
      </c>
      <c r="CE19" s="89"/>
      <c r="CF19" s="97">
        <f t="shared" si="46"/>
        <v>2711.8</v>
      </c>
      <c r="CG19" s="80"/>
      <c r="CH19" s="75">
        <f t="shared" si="51"/>
        <v>30.956621004566209</v>
      </c>
      <c r="CI19" s="84"/>
      <c r="CJ19" s="76">
        <f>CL19+CN19</f>
        <v>783812</v>
      </c>
      <c r="CK19" s="77"/>
      <c r="CL19" s="82">
        <f t="shared" si="9"/>
        <v>441859</v>
      </c>
      <c r="CM19" s="94"/>
      <c r="CN19" s="99">
        <f t="shared" si="10"/>
        <v>341953</v>
      </c>
      <c r="CO19" s="94"/>
      <c r="CP19" s="82">
        <f t="shared" si="11"/>
        <v>441859</v>
      </c>
      <c r="CQ19" s="79"/>
      <c r="CR19" s="79">
        <f t="shared" si="12"/>
        <v>331465</v>
      </c>
      <c r="CS19" s="93"/>
      <c r="CT19" s="82">
        <f t="shared" si="13"/>
        <v>0</v>
      </c>
      <c r="CU19" s="79"/>
      <c r="CV19" s="79">
        <f t="shared" si="14"/>
        <v>10488</v>
      </c>
      <c r="CW19" s="93"/>
      <c r="CX19" s="82">
        <f t="shared" si="30"/>
        <v>162.93937606018142</v>
      </c>
      <c r="CY19" s="108"/>
    </row>
    <row r="20" spans="1:103" ht="15.75" customHeight="1" x14ac:dyDescent="0.25">
      <c r="A20" s="553"/>
      <c r="B20" s="139"/>
      <c r="C20" s="72" t="s">
        <v>34</v>
      </c>
      <c r="D20" s="73">
        <v>54.9</v>
      </c>
      <c r="E20" s="74"/>
      <c r="F20" s="75">
        <f t="shared" si="47"/>
        <v>2.5428439092172304</v>
      </c>
      <c r="G20" s="75"/>
      <c r="H20" s="78">
        <f t="shared" si="40"/>
        <v>14856</v>
      </c>
      <c r="I20" s="84">
        <f t="shared" si="40"/>
        <v>0</v>
      </c>
      <c r="J20" s="78">
        <f t="shared" si="41"/>
        <v>9623</v>
      </c>
      <c r="K20" s="79"/>
      <c r="L20" s="80">
        <f t="shared" si="41"/>
        <v>5233</v>
      </c>
      <c r="M20" s="81"/>
      <c r="N20" s="82">
        <v>9623</v>
      </c>
      <c r="O20" s="102"/>
      <c r="P20" s="79">
        <v>4995</v>
      </c>
      <c r="Q20" s="84"/>
      <c r="R20" s="80">
        <v>0</v>
      </c>
      <c r="S20" s="79"/>
      <c r="T20" s="79">
        <v>238</v>
      </c>
      <c r="U20" s="103"/>
      <c r="V20" s="80">
        <f t="shared" si="21"/>
        <v>175.28233151183971</v>
      </c>
      <c r="W20" s="86"/>
      <c r="X20" s="87">
        <v>50.9</v>
      </c>
      <c r="Y20" s="88"/>
      <c r="Z20" s="75">
        <f t="shared" si="42"/>
        <v>2.3305860805860807</v>
      </c>
      <c r="AA20" s="75"/>
      <c r="AB20" s="78">
        <f t="shared" si="43"/>
        <v>15728</v>
      </c>
      <c r="AC20" s="84">
        <f t="shared" si="43"/>
        <v>0</v>
      </c>
      <c r="AD20" s="78">
        <f t="shared" si="44"/>
        <v>8221</v>
      </c>
      <c r="AE20" s="79"/>
      <c r="AF20" s="80">
        <f t="shared" si="44"/>
        <v>7507</v>
      </c>
      <c r="AG20" s="81"/>
      <c r="AH20" s="80">
        <v>8221</v>
      </c>
      <c r="AI20" s="102"/>
      <c r="AJ20" s="79">
        <v>7298</v>
      </c>
      <c r="AK20" s="84"/>
      <c r="AL20" s="80">
        <v>0</v>
      </c>
      <c r="AM20" s="79"/>
      <c r="AN20" s="79">
        <v>209</v>
      </c>
      <c r="AO20" s="103"/>
      <c r="AP20" s="80">
        <f t="shared" si="24"/>
        <v>161.51277013752457</v>
      </c>
      <c r="AQ20" s="89"/>
      <c r="AR20" s="90">
        <v>46</v>
      </c>
      <c r="AS20" s="74"/>
      <c r="AT20" s="74">
        <f>(AR20/2208)*100</f>
        <v>2.083333333333333</v>
      </c>
      <c r="AU20" s="91"/>
      <c r="AV20" s="80">
        <f t="shared" si="48"/>
        <v>9869</v>
      </c>
      <c r="AW20" s="80">
        <f t="shared" si="48"/>
        <v>0</v>
      </c>
      <c r="AX20" s="78">
        <f t="shared" si="53"/>
        <v>5233</v>
      </c>
      <c r="AY20" s="93"/>
      <c r="AZ20" s="79">
        <f t="shared" si="49"/>
        <v>4636</v>
      </c>
      <c r="BA20" s="93"/>
      <c r="BB20" s="78">
        <v>5233</v>
      </c>
      <c r="BC20" s="102"/>
      <c r="BD20" s="79">
        <v>4518</v>
      </c>
      <c r="BE20" s="84"/>
      <c r="BF20" s="86">
        <v>0</v>
      </c>
      <c r="BG20" s="93"/>
      <c r="BH20" s="93">
        <v>118</v>
      </c>
      <c r="BI20" s="103"/>
      <c r="BJ20" s="94">
        <f t="shared" si="6"/>
        <v>113.76086956521739</v>
      </c>
      <c r="BK20" s="94"/>
      <c r="BL20" s="87">
        <v>204.4</v>
      </c>
      <c r="BM20" s="79"/>
      <c r="BN20" s="75">
        <f t="shared" si="26"/>
        <v>9.2530556813037581</v>
      </c>
      <c r="BO20" s="84"/>
      <c r="BP20" s="82">
        <f t="shared" si="50"/>
        <v>12373</v>
      </c>
      <c r="BQ20" s="82">
        <f t="shared" si="50"/>
        <v>0</v>
      </c>
      <c r="BR20" s="78">
        <f t="shared" si="45"/>
        <v>7058</v>
      </c>
      <c r="BS20" s="79"/>
      <c r="BT20" s="79">
        <f t="shared" si="45"/>
        <v>5315</v>
      </c>
      <c r="BU20" s="84"/>
      <c r="BV20" s="80">
        <v>7058</v>
      </c>
      <c r="BW20" s="105"/>
      <c r="BX20" s="79">
        <v>5157</v>
      </c>
      <c r="BY20" s="84"/>
      <c r="BZ20" s="80">
        <v>0</v>
      </c>
      <c r="CA20" s="79"/>
      <c r="CB20" s="79">
        <v>158</v>
      </c>
      <c r="CC20" s="106"/>
      <c r="CD20" s="82">
        <f t="shared" si="28"/>
        <v>34.530332681017612</v>
      </c>
      <c r="CE20" s="89"/>
      <c r="CF20" s="97">
        <f t="shared" si="46"/>
        <v>356.20000000000005</v>
      </c>
      <c r="CG20" s="80"/>
      <c r="CH20" s="75">
        <f t="shared" si="51"/>
        <v>4.0662100456621015</v>
      </c>
      <c r="CI20" s="84"/>
      <c r="CJ20" s="76">
        <f>CL20+CN20</f>
        <v>52826</v>
      </c>
      <c r="CK20" s="77"/>
      <c r="CL20" s="82">
        <f t="shared" si="9"/>
        <v>30135</v>
      </c>
      <c r="CM20" s="94"/>
      <c r="CN20" s="99">
        <f t="shared" si="10"/>
        <v>22691</v>
      </c>
      <c r="CO20" s="94"/>
      <c r="CP20" s="82">
        <f t="shared" si="11"/>
        <v>30135</v>
      </c>
      <c r="CQ20" s="79"/>
      <c r="CR20" s="79">
        <f t="shared" si="12"/>
        <v>21968</v>
      </c>
      <c r="CS20" s="93"/>
      <c r="CT20" s="82">
        <f t="shared" si="13"/>
        <v>0</v>
      </c>
      <c r="CU20" s="79"/>
      <c r="CV20" s="79">
        <f t="shared" si="14"/>
        <v>723</v>
      </c>
      <c r="CW20" s="93"/>
      <c r="CX20" s="82">
        <f t="shared" si="30"/>
        <v>84.601347557551932</v>
      </c>
      <c r="CY20" s="108"/>
    </row>
    <row r="21" spans="1:103" ht="15.75" customHeight="1" x14ac:dyDescent="0.25">
      <c r="A21" s="553"/>
      <c r="B21" s="139"/>
      <c r="C21" s="140" t="s">
        <v>36</v>
      </c>
      <c r="D21" s="73">
        <v>11</v>
      </c>
      <c r="E21" s="74"/>
      <c r="F21" s="75">
        <f>(D21/D21)*100</f>
        <v>100</v>
      </c>
      <c r="G21" s="75"/>
      <c r="H21" s="78">
        <f>J21+L21</f>
        <v>6573</v>
      </c>
      <c r="I21" s="84">
        <f t="shared" si="40"/>
        <v>0</v>
      </c>
      <c r="J21" s="78">
        <f t="shared" si="41"/>
        <v>4258</v>
      </c>
      <c r="K21" s="79"/>
      <c r="L21" s="80">
        <f t="shared" si="41"/>
        <v>2315</v>
      </c>
      <c r="M21" s="81"/>
      <c r="N21" s="82">
        <v>4258</v>
      </c>
      <c r="O21" s="102"/>
      <c r="P21" s="79">
        <v>2210</v>
      </c>
      <c r="Q21" s="84"/>
      <c r="R21" s="80">
        <v>0</v>
      </c>
      <c r="S21" s="79"/>
      <c r="T21" s="79">
        <v>105</v>
      </c>
      <c r="U21" s="103"/>
      <c r="V21" s="80">
        <f>J21/D21</f>
        <v>387.09090909090907</v>
      </c>
      <c r="W21" s="86"/>
      <c r="X21" s="87">
        <v>11.9</v>
      </c>
      <c r="Y21" s="88"/>
      <c r="Z21" s="75">
        <f>(X21/X21)*100</f>
        <v>100</v>
      </c>
      <c r="AA21" s="75"/>
      <c r="AB21" s="78">
        <f t="shared" si="43"/>
        <v>8481</v>
      </c>
      <c r="AC21" s="84">
        <f t="shared" si="43"/>
        <v>0</v>
      </c>
      <c r="AD21" s="78">
        <f t="shared" si="44"/>
        <v>4433</v>
      </c>
      <c r="AE21" s="79"/>
      <c r="AF21" s="80">
        <f t="shared" si="44"/>
        <v>4048</v>
      </c>
      <c r="AG21" s="81"/>
      <c r="AH21" s="80">
        <v>4433</v>
      </c>
      <c r="AI21" s="102"/>
      <c r="AJ21" s="79">
        <v>3935</v>
      </c>
      <c r="AK21" s="84"/>
      <c r="AL21" s="80">
        <v>0</v>
      </c>
      <c r="AM21" s="79"/>
      <c r="AN21" s="79">
        <v>113</v>
      </c>
      <c r="AO21" s="103"/>
      <c r="AP21" s="80">
        <f t="shared" si="24"/>
        <v>372.52100840336135</v>
      </c>
      <c r="AQ21" s="89"/>
      <c r="AR21" s="90">
        <v>12.8</v>
      </c>
      <c r="AS21" s="141"/>
      <c r="AT21" s="74">
        <f>(AR21/AR21)*100</f>
        <v>100</v>
      </c>
      <c r="AU21" s="91"/>
      <c r="AV21" s="80">
        <f t="shared" si="48"/>
        <v>8706</v>
      </c>
      <c r="AW21" s="80">
        <f t="shared" si="48"/>
        <v>0</v>
      </c>
      <c r="AX21" s="78">
        <f t="shared" si="53"/>
        <v>4616</v>
      </c>
      <c r="AY21" s="93"/>
      <c r="AZ21" s="79">
        <f t="shared" si="49"/>
        <v>4090</v>
      </c>
      <c r="BA21" s="93"/>
      <c r="BB21" s="76">
        <v>4616</v>
      </c>
      <c r="BC21" s="102"/>
      <c r="BD21" s="79">
        <v>3986</v>
      </c>
      <c r="BE21" s="77"/>
      <c r="BF21" s="104">
        <v>0</v>
      </c>
      <c r="BG21" s="94"/>
      <c r="BH21" s="94">
        <v>104</v>
      </c>
      <c r="BI21" s="103"/>
      <c r="BJ21" s="94">
        <f t="shared" si="6"/>
        <v>360.625</v>
      </c>
      <c r="BK21" s="94"/>
      <c r="BL21" s="87">
        <v>11.9</v>
      </c>
      <c r="BM21" s="79"/>
      <c r="BN21" s="75">
        <f>(BL21/BL21)*100</f>
        <v>100</v>
      </c>
      <c r="BO21" s="84"/>
      <c r="BP21" s="82">
        <f t="shared" si="50"/>
        <v>7801</v>
      </c>
      <c r="BQ21" s="82">
        <f t="shared" si="50"/>
        <v>0</v>
      </c>
      <c r="BR21" s="78">
        <f t="shared" si="45"/>
        <v>4450</v>
      </c>
      <c r="BS21" s="79"/>
      <c r="BT21" s="79">
        <f t="shared" si="45"/>
        <v>3351</v>
      </c>
      <c r="BU21" s="84"/>
      <c r="BV21" s="80">
        <v>4450</v>
      </c>
      <c r="BW21" s="105"/>
      <c r="BX21" s="79">
        <v>3252</v>
      </c>
      <c r="BY21" s="84"/>
      <c r="BZ21" s="80">
        <v>0</v>
      </c>
      <c r="CA21" s="79"/>
      <c r="CB21" s="79">
        <v>99</v>
      </c>
      <c r="CC21" s="106"/>
      <c r="CD21" s="82">
        <f t="shared" si="28"/>
        <v>373.94957983193274</v>
      </c>
      <c r="CE21" s="89"/>
      <c r="CF21" s="97">
        <f t="shared" si="46"/>
        <v>47.6</v>
      </c>
      <c r="CG21" s="80"/>
      <c r="CH21" s="75">
        <f>(CF21/(CF21)*100)</f>
        <v>100</v>
      </c>
      <c r="CI21" s="84"/>
      <c r="CJ21" s="76">
        <f>CL21+CN21</f>
        <v>31561</v>
      </c>
      <c r="CK21" s="77"/>
      <c r="CL21" s="82">
        <f t="shared" si="9"/>
        <v>17757</v>
      </c>
      <c r="CM21" s="94"/>
      <c r="CN21" s="99">
        <f t="shared" si="10"/>
        <v>13804</v>
      </c>
      <c r="CO21" s="94"/>
      <c r="CP21" s="82">
        <f t="shared" si="11"/>
        <v>17757</v>
      </c>
      <c r="CQ21" s="79"/>
      <c r="CR21" s="79">
        <f t="shared" si="12"/>
        <v>13383</v>
      </c>
      <c r="CS21" s="93"/>
      <c r="CT21" s="82">
        <f t="shared" si="13"/>
        <v>0</v>
      </c>
      <c r="CU21" s="79"/>
      <c r="CV21" s="79">
        <f t="shared" si="14"/>
        <v>421</v>
      </c>
      <c r="CW21" s="93"/>
      <c r="CX21" s="82">
        <f t="shared" si="30"/>
        <v>373.04621848739492</v>
      </c>
      <c r="CY21" s="108"/>
    </row>
    <row r="22" spans="1:103" s="138" customFormat="1" ht="26.25" customHeight="1" x14ac:dyDescent="0.25">
      <c r="A22" s="553"/>
      <c r="B22" s="110" t="s">
        <v>37</v>
      </c>
      <c r="C22" s="111"/>
      <c r="D22" s="112">
        <f>SUM(D23)</f>
        <v>18.2</v>
      </c>
      <c r="E22" s="113"/>
      <c r="F22" s="114"/>
      <c r="G22" s="114"/>
      <c r="H22" s="115">
        <f t="shared" ref="H22:T22" si="54">SUM(H23)</f>
        <v>60632</v>
      </c>
      <c r="I22" s="116">
        <f t="shared" si="54"/>
        <v>0</v>
      </c>
      <c r="J22" s="115">
        <f t="shared" si="54"/>
        <v>39276</v>
      </c>
      <c r="K22" s="117"/>
      <c r="L22" s="118">
        <f t="shared" si="54"/>
        <v>21356</v>
      </c>
      <c r="M22" s="119"/>
      <c r="N22" s="120">
        <f t="shared" si="54"/>
        <v>39276</v>
      </c>
      <c r="O22" s="121"/>
      <c r="P22" s="121">
        <f t="shared" si="54"/>
        <v>20386</v>
      </c>
      <c r="Q22" s="124"/>
      <c r="R22" s="121">
        <f t="shared" si="54"/>
        <v>0</v>
      </c>
      <c r="S22" s="121"/>
      <c r="T22" s="121">
        <f t="shared" si="54"/>
        <v>970</v>
      </c>
      <c r="U22" s="124"/>
      <c r="V22" s="121">
        <f t="shared" si="21"/>
        <v>2158.0219780219782</v>
      </c>
      <c r="W22" s="125"/>
      <c r="X22" s="126">
        <f>SUM(X23)</f>
        <v>15.4</v>
      </c>
      <c r="Y22" s="127"/>
      <c r="Z22" s="114"/>
      <c r="AA22" s="114"/>
      <c r="AB22" s="115">
        <f t="shared" ref="AB22:AJ22" si="55">SUM(AB23)</f>
        <v>74822</v>
      </c>
      <c r="AC22" s="116">
        <f t="shared" si="55"/>
        <v>0</v>
      </c>
      <c r="AD22" s="115">
        <f t="shared" si="55"/>
        <v>39107</v>
      </c>
      <c r="AE22" s="117"/>
      <c r="AF22" s="118">
        <f t="shared" si="55"/>
        <v>35715</v>
      </c>
      <c r="AG22" s="119"/>
      <c r="AH22" s="121">
        <f t="shared" si="55"/>
        <v>39107</v>
      </c>
      <c r="AI22" s="121"/>
      <c r="AJ22" s="121">
        <f t="shared" si="55"/>
        <v>34719</v>
      </c>
      <c r="AK22" s="123"/>
      <c r="AL22" s="121">
        <f>SUM(AL23)</f>
        <v>0</v>
      </c>
      <c r="AM22" s="121"/>
      <c r="AN22" s="121">
        <f>SUM(AN23)</f>
        <v>996</v>
      </c>
      <c r="AO22" s="124"/>
      <c r="AP22" s="121">
        <f t="shared" si="24"/>
        <v>2539.4155844155844</v>
      </c>
      <c r="AQ22" s="128"/>
      <c r="AR22" s="129">
        <f>SUM(AR23)</f>
        <v>7</v>
      </c>
      <c r="AS22" s="130"/>
      <c r="AT22" s="113"/>
      <c r="AU22" s="131"/>
      <c r="AV22" s="118">
        <f t="shared" ref="AV22:BH22" si="56">SUM(AV23)</f>
        <v>72809</v>
      </c>
      <c r="AW22" s="118">
        <f t="shared" si="56"/>
        <v>0</v>
      </c>
      <c r="AX22" s="115">
        <f t="shared" si="56"/>
        <v>38606</v>
      </c>
      <c r="AY22" s="132"/>
      <c r="AZ22" s="122">
        <f t="shared" si="56"/>
        <v>34203</v>
      </c>
      <c r="BA22" s="136"/>
      <c r="BB22" s="115">
        <f t="shared" si="56"/>
        <v>38606</v>
      </c>
      <c r="BC22" s="122"/>
      <c r="BD22" s="122">
        <f t="shared" si="56"/>
        <v>33336</v>
      </c>
      <c r="BE22" s="116"/>
      <c r="BF22" s="118">
        <f t="shared" si="56"/>
        <v>0</v>
      </c>
      <c r="BG22" s="118"/>
      <c r="BH22" s="118">
        <f t="shared" si="56"/>
        <v>867</v>
      </c>
      <c r="BI22" s="123"/>
      <c r="BJ22" s="133">
        <f t="shared" si="6"/>
        <v>5515.1428571428569</v>
      </c>
      <c r="BK22" s="132"/>
      <c r="BL22" s="126">
        <f>SUM(BL23)</f>
        <v>18.2</v>
      </c>
      <c r="BM22" s="122"/>
      <c r="BN22" s="114"/>
      <c r="BO22" s="123"/>
      <c r="BP22" s="134">
        <f t="shared" ref="BP22:CB22" si="57">SUM(BP23)</f>
        <v>68847</v>
      </c>
      <c r="BQ22" s="134">
        <f t="shared" si="57"/>
        <v>0</v>
      </c>
      <c r="BR22" s="115">
        <f t="shared" si="57"/>
        <v>39273</v>
      </c>
      <c r="BS22" s="122"/>
      <c r="BT22" s="122">
        <f t="shared" si="57"/>
        <v>29574</v>
      </c>
      <c r="BU22" s="123"/>
      <c r="BV22" s="121">
        <f t="shared" si="57"/>
        <v>39273</v>
      </c>
      <c r="BW22" s="121"/>
      <c r="BX22" s="121">
        <f t="shared" si="57"/>
        <v>28697</v>
      </c>
      <c r="BY22" s="123"/>
      <c r="BZ22" s="121">
        <f t="shared" si="57"/>
        <v>0</v>
      </c>
      <c r="CA22" s="121"/>
      <c r="CB22" s="121">
        <f t="shared" si="57"/>
        <v>877</v>
      </c>
      <c r="CC22" s="121"/>
      <c r="CD22" s="120">
        <f t="shared" si="28"/>
        <v>2157.8571428571431</v>
      </c>
      <c r="CE22" s="128"/>
      <c r="CF22" s="135">
        <f>SUM(CF23)</f>
        <v>58.8</v>
      </c>
      <c r="CG22" s="121"/>
      <c r="CH22" s="114"/>
      <c r="CI22" s="123"/>
      <c r="CJ22" s="115">
        <f>SUM(CJ23)</f>
        <v>277110</v>
      </c>
      <c r="CK22" s="116"/>
      <c r="CL22" s="120">
        <f t="shared" si="9"/>
        <v>156262</v>
      </c>
      <c r="CM22" s="132"/>
      <c r="CN22" s="117">
        <f t="shared" si="10"/>
        <v>120848</v>
      </c>
      <c r="CO22" s="132"/>
      <c r="CP22" s="120">
        <f t="shared" si="11"/>
        <v>156262</v>
      </c>
      <c r="CQ22" s="122"/>
      <c r="CR22" s="122">
        <f t="shared" si="12"/>
        <v>117138</v>
      </c>
      <c r="CS22" s="136"/>
      <c r="CT22" s="120">
        <f t="shared" si="13"/>
        <v>0</v>
      </c>
      <c r="CU22" s="122"/>
      <c r="CV22" s="122">
        <f t="shared" si="14"/>
        <v>3710</v>
      </c>
      <c r="CW22" s="136"/>
      <c r="CX22" s="120">
        <f>CL22/CF22</f>
        <v>2657.5170068027214</v>
      </c>
      <c r="CY22" s="137"/>
    </row>
    <row r="23" spans="1:103" s="101" customFormat="1" ht="15.75" customHeight="1" x14ac:dyDescent="0.25">
      <c r="A23" s="553"/>
      <c r="B23" s="71"/>
      <c r="C23" s="72" t="s">
        <v>30</v>
      </c>
      <c r="D23" s="73">
        <v>18.2</v>
      </c>
      <c r="E23" s="74"/>
      <c r="F23" s="75">
        <f>(D23/2159)*100</f>
        <v>0.84298286243631315</v>
      </c>
      <c r="G23" s="75"/>
      <c r="H23" s="93">
        <f>J23+L23</f>
        <v>60632</v>
      </c>
      <c r="I23" s="84">
        <f>K23+M23</f>
        <v>0</v>
      </c>
      <c r="J23" s="78">
        <f>N23+R23</f>
        <v>39276</v>
      </c>
      <c r="K23" s="79"/>
      <c r="L23" s="80">
        <f>P23+T23</f>
        <v>21356</v>
      </c>
      <c r="M23" s="81"/>
      <c r="N23" s="82">
        <v>39276</v>
      </c>
      <c r="O23" s="83"/>
      <c r="P23" s="79">
        <v>20386</v>
      </c>
      <c r="Q23" s="84"/>
      <c r="R23" s="80">
        <v>0</v>
      </c>
      <c r="S23" s="79"/>
      <c r="T23" s="79">
        <v>970</v>
      </c>
      <c r="U23" s="85"/>
      <c r="V23" s="80">
        <f t="shared" si="21"/>
        <v>2158.0219780219782</v>
      </c>
      <c r="W23" s="86"/>
      <c r="X23" s="87">
        <v>15.4</v>
      </c>
      <c r="Y23" s="88"/>
      <c r="Z23" s="75">
        <f>(X23/2184)*100</f>
        <v>0.70512820512820518</v>
      </c>
      <c r="AA23" s="75"/>
      <c r="AB23" s="78">
        <f>AD23+AF23</f>
        <v>74822</v>
      </c>
      <c r="AC23" s="84">
        <f>AE23+AG23</f>
        <v>0</v>
      </c>
      <c r="AD23" s="78">
        <f>AH23+AL23</f>
        <v>39107</v>
      </c>
      <c r="AE23" s="79"/>
      <c r="AF23" s="80">
        <f>AJ23+AN23</f>
        <v>35715</v>
      </c>
      <c r="AG23" s="81"/>
      <c r="AH23" s="80">
        <v>39107</v>
      </c>
      <c r="AI23" s="83"/>
      <c r="AJ23" s="79">
        <v>34719</v>
      </c>
      <c r="AK23" s="84"/>
      <c r="AL23" s="80">
        <v>0</v>
      </c>
      <c r="AM23" s="79"/>
      <c r="AN23" s="79">
        <v>996</v>
      </c>
      <c r="AO23" s="85"/>
      <c r="AP23" s="80">
        <f t="shared" si="24"/>
        <v>2539.4155844155844</v>
      </c>
      <c r="AQ23" s="89"/>
      <c r="AR23" s="90">
        <v>7</v>
      </c>
      <c r="AS23" s="74"/>
      <c r="AT23" s="74">
        <f>(AR23/2208)*100</f>
        <v>0.3170289855072464</v>
      </c>
      <c r="AU23" s="91"/>
      <c r="AV23" s="80">
        <f>AX23+AZ23</f>
        <v>72809</v>
      </c>
      <c r="AW23" s="80">
        <f>AY23+BA23</f>
        <v>0</v>
      </c>
      <c r="AX23" s="78">
        <f>BB23+BF23</f>
        <v>38606</v>
      </c>
      <c r="AY23" s="93"/>
      <c r="AZ23" s="79">
        <f>BD23+BH23</f>
        <v>34203</v>
      </c>
      <c r="BA23" s="93"/>
      <c r="BB23" s="78">
        <v>38606</v>
      </c>
      <c r="BC23" s="83"/>
      <c r="BD23" s="79">
        <v>33336</v>
      </c>
      <c r="BE23" s="84"/>
      <c r="BF23" s="86">
        <v>0</v>
      </c>
      <c r="BG23" s="93"/>
      <c r="BH23" s="93">
        <v>867</v>
      </c>
      <c r="BI23" s="85"/>
      <c r="BJ23" s="94">
        <f t="shared" si="6"/>
        <v>5515.1428571428569</v>
      </c>
      <c r="BK23" s="94"/>
      <c r="BL23" s="87">
        <v>18.2</v>
      </c>
      <c r="BM23" s="79"/>
      <c r="BN23" s="75">
        <f t="shared" ref="BN23" si="58">(BL23/2209)*100</f>
        <v>0.82390221819827969</v>
      </c>
      <c r="BO23" s="84"/>
      <c r="BP23" s="82">
        <f>BR23+BT23</f>
        <v>68847</v>
      </c>
      <c r="BQ23" s="82">
        <f>BS23+BU23</f>
        <v>0</v>
      </c>
      <c r="BR23" s="78">
        <f>BV23+BZ23</f>
        <v>39273</v>
      </c>
      <c r="BS23" s="79"/>
      <c r="BT23" s="79">
        <f>BX23+CB23</f>
        <v>29574</v>
      </c>
      <c r="BU23" s="84"/>
      <c r="BV23" s="80">
        <v>39273</v>
      </c>
      <c r="BW23" s="95"/>
      <c r="BX23" s="79">
        <v>28697</v>
      </c>
      <c r="BY23" s="84"/>
      <c r="BZ23" s="80">
        <v>0</v>
      </c>
      <c r="CA23" s="79"/>
      <c r="CB23" s="79">
        <v>877</v>
      </c>
      <c r="CC23" s="96"/>
      <c r="CD23" s="82">
        <f t="shared" si="28"/>
        <v>2157.8571428571431</v>
      </c>
      <c r="CE23" s="89"/>
      <c r="CF23" s="97">
        <f>D23+X23+AR23+BL23</f>
        <v>58.8</v>
      </c>
      <c r="CG23" s="80"/>
      <c r="CH23" s="75">
        <f>(CF23/8760)*100</f>
        <v>0.67123287671232879</v>
      </c>
      <c r="CI23" s="84"/>
      <c r="CJ23" s="76">
        <f>CL23+CN23</f>
        <v>277110</v>
      </c>
      <c r="CK23" s="77"/>
      <c r="CL23" s="82">
        <f t="shared" si="9"/>
        <v>156262</v>
      </c>
      <c r="CM23" s="94"/>
      <c r="CN23" s="99">
        <f>L23+AF23+AZ23+BT23</f>
        <v>120848</v>
      </c>
      <c r="CO23" s="94"/>
      <c r="CP23" s="82">
        <f t="shared" si="11"/>
        <v>156262</v>
      </c>
      <c r="CQ23" s="79"/>
      <c r="CR23" s="79">
        <f t="shared" si="12"/>
        <v>117138</v>
      </c>
      <c r="CS23" s="93"/>
      <c r="CT23" s="82">
        <f t="shared" si="13"/>
        <v>0</v>
      </c>
      <c r="CU23" s="79"/>
      <c r="CV23" s="79">
        <f t="shared" si="14"/>
        <v>3710</v>
      </c>
      <c r="CW23" s="93"/>
      <c r="CX23" s="82">
        <f>CL23/CF23</f>
        <v>2657.5170068027214</v>
      </c>
      <c r="CY23" s="108"/>
    </row>
    <row r="24" spans="1:103" s="138" customFormat="1" ht="15.75" customHeight="1" x14ac:dyDescent="0.25">
      <c r="A24" s="553"/>
      <c r="B24" s="142" t="s">
        <v>38</v>
      </c>
      <c r="C24" s="143"/>
      <c r="D24" s="112">
        <f t="shared" ref="D24" si="59">SUM(D25:D28)</f>
        <v>104</v>
      </c>
      <c r="E24" s="113"/>
      <c r="F24" s="114"/>
      <c r="G24" s="114"/>
      <c r="H24" s="115">
        <f t="shared" ref="H24:T24" si="60">SUM(H25:H28)</f>
        <v>130814</v>
      </c>
      <c r="I24" s="116">
        <f t="shared" si="60"/>
        <v>0</v>
      </c>
      <c r="J24" s="115">
        <f t="shared" si="60"/>
        <v>84738</v>
      </c>
      <c r="K24" s="117"/>
      <c r="L24" s="118">
        <f t="shared" si="60"/>
        <v>46076</v>
      </c>
      <c r="M24" s="119"/>
      <c r="N24" s="120">
        <f t="shared" si="60"/>
        <v>84738</v>
      </c>
      <c r="O24" s="121"/>
      <c r="P24" s="121">
        <f t="shared" si="60"/>
        <v>43982</v>
      </c>
      <c r="Q24" s="124"/>
      <c r="R24" s="121">
        <f t="shared" si="60"/>
        <v>0</v>
      </c>
      <c r="S24" s="121"/>
      <c r="T24" s="121">
        <f t="shared" si="60"/>
        <v>2094</v>
      </c>
      <c r="U24" s="124"/>
      <c r="V24" s="121">
        <f t="shared" si="21"/>
        <v>814.78846153846155</v>
      </c>
      <c r="W24" s="125"/>
      <c r="X24" s="126">
        <f t="shared" ref="X24" si="61">SUM(X25:X28)</f>
        <v>89.4</v>
      </c>
      <c r="Y24" s="127"/>
      <c r="Z24" s="114"/>
      <c r="AA24" s="114"/>
      <c r="AB24" s="115">
        <f t="shared" ref="AB24:AH24" si="62">SUM(AB25:AB28)</f>
        <v>36125</v>
      </c>
      <c r="AC24" s="116">
        <f t="shared" si="62"/>
        <v>0</v>
      </c>
      <c r="AD24" s="115">
        <f t="shared" si="62"/>
        <v>18881</v>
      </c>
      <c r="AE24" s="117"/>
      <c r="AF24" s="118">
        <f t="shared" si="62"/>
        <v>17244</v>
      </c>
      <c r="AG24" s="119"/>
      <c r="AH24" s="121">
        <f t="shared" si="62"/>
        <v>18881</v>
      </c>
      <c r="AI24" s="121"/>
      <c r="AJ24" s="121">
        <f t="shared" ref="AJ24" si="63">SUM(AJ25:AJ28)</f>
        <v>16762</v>
      </c>
      <c r="AK24" s="123"/>
      <c r="AL24" s="121">
        <f>SUM(AL25:AL28)</f>
        <v>0</v>
      </c>
      <c r="AM24" s="121"/>
      <c r="AN24" s="121">
        <f t="shared" ref="AN24" si="64">SUM(AN25:AN28)</f>
        <v>482</v>
      </c>
      <c r="AO24" s="124"/>
      <c r="AP24" s="121">
        <f t="shared" si="24"/>
        <v>211.19686800894854</v>
      </c>
      <c r="AQ24" s="128"/>
      <c r="AR24" s="129">
        <f t="shared" ref="AR24" si="65">SUM(AR25:AR28)</f>
        <v>91.9</v>
      </c>
      <c r="AS24" s="130"/>
      <c r="AT24" s="113"/>
      <c r="AU24" s="131"/>
      <c r="AV24" s="118">
        <f t="shared" ref="AV24" si="66">SUM(AV25:AV28)</f>
        <v>31260</v>
      </c>
      <c r="AW24" s="119">
        <f>AY24+BA24</f>
        <v>0</v>
      </c>
      <c r="AX24" s="115">
        <f>SUM(AX25:AX28)</f>
        <v>16576</v>
      </c>
      <c r="AY24" s="132"/>
      <c r="AZ24" s="117">
        <f>SUM(AZ25:AZ28)</f>
        <v>14684</v>
      </c>
      <c r="BA24" s="132"/>
      <c r="BB24" s="115">
        <f>SUM(BB25:BB28)</f>
        <v>16576</v>
      </c>
      <c r="BC24" s="122"/>
      <c r="BD24" s="122">
        <f t="shared" ref="BD24" si="67">SUM(BD25:BD28)</f>
        <v>14313</v>
      </c>
      <c r="BE24" s="116"/>
      <c r="BF24" s="118">
        <f>SUM(BF25:BF28)</f>
        <v>0</v>
      </c>
      <c r="BG24" s="118"/>
      <c r="BH24" s="132">
        <f>SUM(BH25:BH28)</f>
        <v>371</v>
      </c>
      <c r="BI24" s="123"/>
      <c r="BJ24" s="133">
        <f t="shared" si="6"/>
        <v>180.36996735582153</v>
      </c>
      <c r="BK24" s="132"/>
      <c r="BL24" s="126">
        <f t="shared" ref="BL24" si="68">SUM(BL25:BL28)</f>
        <v>90.100000000000009</v>
      </c>
      <c r="BM24" s="122"/>
      <c r="BN24" s="114"/>
      <c r="BO24" s="123"/>
      <c r="BP24" s="134">
        <f t="shared" ref="BP24:CB24" si="69">SUM(BP25:BP28)</f>
        <v>33105</v>
      </c>
      <c r="BQ24" s="134">
        <f t="shared" si="69"/>
        <v>0</v>
      </c>
      <c r="BR24" s="115">
        <f t="shared" si="69"/>
        <v>18885</v>
      </c>
      <c r="BS24" s="122"/>
      <c r="BT24" s="122">
        <f t="shared" si="69"/>
        <v>14220</v>
      </c>
      <c r="BU24" s="123"/>
      <c r="BV24" s="121">
        <f t="shared" si="69"/>
        <v>18885</v>
      </c>
      <c r="BW24" s="121"/>
      <c r="BX24" s="121">
        <f t="shared" si="69"/>
        <v>13799</v>
      </c>
      <c r="BY24" s="123"/>
      <c r="BZ24" s="121">
        <f t="shared" si="69"/>
        <v>0</v>
      </c>
      <c r="CA24" s="121"/>
      <c r="CB24" s="121">
        <f t="shared" si="69"/>
        <v>421</v>
      </c>
      <c r="CC24" s="121"/>
      <c r="CD24" s="120">
        <f t="shared" si="28"/>
        <v>209.60044395116535</v>
      </c>
      <c r="CE24" s="128"/>
      <c r="CF24" s="135">
        <f>SUM(CF25:CF28)</f>
        <v>375.4</v>
      </c>
      <c r="CG24" s="121"/>
      <c r="CH24" s="114"/>
      <c r="CI24" s="123"/>
      <c r="CJ24" s="115">
        <f>SUM(CJ25:CJ28)</f>
        <v>231304</v>
      </c>
      <c r="CK24" s="116"/>
      <c r="CL24" s="120">
        <f t="shared" si="9"/>
        <v>139080</v>
      </c>
      <c r="CM24" s="132"/>
      <c r="CN24" s="117">
        <f t="shared" si="10"/>
        <v>92224</v>
      </c>
      <c r="CO24" s="132"/>
      <c r="CP24" s="120">
        <f t="shared" si="11"/>
        <v>139080</v>
      </c>
      <c r="CQ24" s="122"/>
      <c r="CR24" s="122">
        <f t="shared" si="12"/>
        <v>88856</v>
      </c>
      <c r="CS24" s="136"/>
      <c r="CT24" s="120">
        <f t="shared" si="13"/>
        <v>0</v>
      </c>
      <c r="CU24" s="122"/>
      <c r="CV24" s="122">
        <f t="shared" si="14"/>
        <v>3368</v>
      </c>
      <c r="CW24" s="136"/>
      <c r="CX24" s="120">
        <f>CL24/CF24</f>
        <v>370.48481619605758</v>
      </c>
      <c r="CY24" s="137"/>
    </row>
    <row r="25" spans="1:103" s="101" customFormat="1" ht="15.75" customHeight="1" x14ac:dyDescent="0.25">
      <c r="A25" s="553"/>
      <c r="B25" s="71"/>
      <c r="C25" s="72" t="s">
        <v>30</v>
      </c>
      <c r="D25" s="73">
        <v>62.5</v>
      </c>
      <c r="E25" s="74"/>
      <c r="F25" s="75">
        <f>(D25/2159)*100</f>
        <v>2.8948587308939322</v>
      </c>
      <c r="G25" s="75"/>
      <c r="H25" s="78">
        <f t="shared" ref="H25:I28" si="70">J25+L25</f>
        <v>123910</v>
      </c>
      <c r="I25" s="84">
        <f t="shared" si="70"/>
        <v>0</v>
      </c>
      <c r="J25" s="78">
        <f>N25+R25</f>
        <v>80266</v>
      </c>
      <c r="K25" s="79"/>
      <c r="L25" s="92">
        <f>P25+T25</f>
        <v>43644</v>
      </c>
      <c r="M25" s="144"/>
      <c r="N25" s="82">
        <v>80266</v>
      </c>
      <c r="O25" s="83"/>
      <c r="P25" s="79">
        <v>41661</v>
      </c>
      <c r="Q25" s="84"/>
      <c r="R25" s="80">
        <v>0</v>
      </c>
      <c r="S25" s="79"/>
      <c r="T25" s="79">
        <v>1983</v>
      </c>
      <c r="U25" s="85"/>
      <c r="V25" s="80">
        <f t="shared" si="21"/>
        <v>1284.2560000000001</v>
      </c>
      <c r="W25" s="86"/>
      <c r="X25" s="87">
        <v>47.7</v>
      </c>
      <c r="Y25" s="88"/>
      <c r="Z25" s="75">
        <f t="shared" ref="Z25:Z28" si="71">(X25/2184)*100</f>
        <v>2.1840659340659343</v>
      </c>
      <c r="AA25" s="75"/>
      <c r="AB25" s="78">
        <f t="shared" ref="AB25:AC28" si="72">AD25+AF25</f>
        <v>27547</v>
      </c>
      <c r="AC25" s="84">
        <f t="shared" si="72"/>
        <v>0</v>
      </c>
      <c r="AD25" s="78">
        <f>AH25+AL25</f>
        <v>14398</v>
      </c>
      <c r="AE25" s="79"/>
      <c r="AF25" s="92">
        <f>AJ25+AN25</f>
        <v>13149</v>
      </c>
      <c r="AG25" s="144"/>
      <c r="AH25" s="80">
        <v>14398</v>
      </c>
      <c r="AI25" s="83"/>
      <c r="AJ25" s="79">
        <v>12782</v>
      </c>
      <c r="AK25" s="84"/>
      <c r="AL25" s="80">
        <v>0</v>
      </c>
      <c r="AM25" s="79"/>
      <c r="AN25" s="79">
        <v>367</v>
      </c>
      <c r="AO25" s="85"/>
      <c r="AP25" s="80">
        <f t="shared" si="24"/>
        <v>301.84486373165618</v>
      </c>
      <c r="AQ25" s="89"/>
      <c r="AR25" s="90">
        <v>48.9</v>
      </c>
      <c r="AS25" s="74"/>
      <c r="AT25" s="74">
        <f>(AR25/2208)*100</f>
        <v>2.2146739130434785</v>
      </c>
      <c r="AU25" s="91"/>
      <c r="AV25" s="80">
        <f>AX25+AZ25</f>
        <v>22522</v>
      </c>
      <c r="AW25" s="144">
        <f>AY25+BA25</f>
        <v>0</v>
      </c>
      <c r="AX25" s="78">
        <f>BB25+BF25</f>
        <v>11942</v>
      </c>
      <c r="AY25" s="93"/>
      <c r="AZ25" s="99">
        <f>BD25+BH25</f>
        <v>10580</v>
      </c>
      <c r="BA25" s="94"/>
      <c r="BB25" s="76">
        <v>11942</v>
      </c>
      <c r="BC25" s="83"/>
      <c r="BD25" s="79">
        <v>10312</v>
      </c>
      <c r="BE25" s="77"/>
      <c r="BF25" s="104">
        <v>0</v>
      </c>
      <c r="BG25" s="94"/>
      <c r="BH25" s="94">
        <v>268</v>
      </c>
      <c r="BI25" s="85"/>
      <c r="BJ25" s="94">
        <f t="shared" si="6"/>
        <v>244.21267893660533</v>
      </c>
      <c r="BK25" s="94"/>
      <c r="BL25" s="87">
        <v>47.7</v>
      </c>
      <c r="BM25" s="79"/>
      <c r="BN25" s="75">
        <f t="shared" si="26"/>
        <v>2.159348121321865</v>
      </c>
      <c r="BO25" s="84"/>
      <c r="BP25" s="82">
        <f t="shared" ref="BP25:BQ28" si="73">BR25+BT25</f>
        <v>25233</v>
      </c>
      <c r="BQ25" s="82">
        <f t="shared" si="73"/>
        <v>0</v>
      </c>
      <c r="BR25" s="78">
        <f>BV25+BZ25</f>
        <v>14394</v>
      </c>
      <c r="BS25" s="79"/>
      <c r="BT25" s="79">
        <f>BX25+CB25</f>
        <v>10839</v>
      </c>
      <c r="BU25" s="84"/>
      <c r="BV25" s="80">
        <v>14394</v>
      </c>
      <c r="BW25" s="95"/>
      <c r="BX25" s="79">
        <v>10518</v>
      </c>
      <c r="BY25" s="84"/>
      <c r="BZ25" s="80">
        <v>0</v>
      </c>
      <c r="CA25" s="79"/>
      <c r="CB25" s="79">
        <v>321</v>
      </c>
      <c r="CC25" s="96"/>
      <c r="CD25" s="82">
        <f t="shared" si="28"/>
        <v>301.76100628930817</v>
      </c>
      <c r="CE25" s="89"/>
      <c r="CF25" s="97">
        <f>D25+X25+AR25+BL25</f>
        <v>206.8</v>
      </c>
      <c r="CG25" s="80"/>
      <c r="CH25" s="75">
        <f>(CF25/8760)*100</f>
        <v>2.3607305936073062</v>
      </c>
      <c r="CI25" s="84"/>
      <c r="CJ25" s="76">
        <f>CL25+CN25</f>
        <v>199212</v>
      </c>
      <c r="CK25" s="77"/>
      <c r="CL25" s="82">
        <f t="shared" si="9"/>
        <v>121000</v>
      </c>
      <c r="CM25" s="94"/>
      <c r="CN25" s="99">
        <f t="shared" si="10"/>
        <v>78212</v>
      </c>
      <c r="CO25" s="94"/>
      <c r="CP25" s="82">
        <f t="shared" si="11"/>
        <v>121000</v>
      </c>
      <c r="CQ25" s="79"/>
      <c r="CR25" s="79">
        <f t="shared" si="12"/>
        <v>75273</v>
      </c>
      <c r="CS25" s="93"/>
      <c r="CT25" s="82">
        <f t="shared" si="13"/>
        <v>0</v>
      </c>
      <c r="CU25" s="79"/>
      <c r="CV25" s="79">
        <f t="shared" si="14"/>
        <v>2939</v>
      </c>
      <c r="CW25" s="93"/>
      <c r="CX25" s="82">
        <f>CL25/CF25</f>
        <v>585.10638297872333</v>
      </c>
      <c r="CY25" s="108"/>
    </row>
    <row r="26" spans="1:103" s="101" customFormat="1" ht="15.75" customHeight="1" x14ac:dyDescent="0.25">
      <c r="A26" s="553"/>
      <c r="B26" s="71"/>
      <c r="C26" s="72" t="s">
        <v>31</v>
      </c>
      <c r="D26" s="73">
        <v>3.2</v>
      </c>
      <c r="E26" s="74"/>
      <c r="F26" s="75">
        <f t="shared" ref="F26:F28" si="74">(D26/2159)*100</f>
        <v>0.14821676702176934</v>
      </c>
      <c r="G26" s="75"/>
      <c r="H26" s="78">
        <f t="shared" si="70"/>
        <v>1294</v>
      </c>
      <c r="I26" s="84">
        <f t="shared" si="70"/>
        <v>0</v>
      </c>
      <c r="J26" s="78">
        <f t="shared" ref="J26:L28" si="75">N26+R26</f>
        <v>838</v>
      </c>
      <c r="K26" s="79"/>
      <c r="L26" s="92">
        <f t="shared" si="75"/>
        <v>456</v>
      </c>
      <c r="M26" s="144"/>
      <c r="N26" s="82">
        <v>838</v>
      </c>
      <c r="O26" s="83"/>
      <c r="P26" s="79">
        <v>435</v>
      </c>
      <c r="Q26" s="84"/>
      <c r="R26" s="80">
        <v>0</v>
      </c>
      <c r="S26" s="79"/>
      <c r="T26" s="79">
        <v>21</v>
      </c>
      <c r="U26" s="85"/>
      <c r="V26" s="80">
        <f t="shared" si="21"/>
        <v>261.875</v>
      </c>
      <c r="W26" s="86"/>
      <c r="X26" s="87">
        <v>3.2</v>
      </c>
      <c r="Y26" s="88"/>
      <c r="Z26" s="75">
        <f t="shared" si="71"/>
        <v>0.14652014652014653</v>
      </c>
      <c r="AA26" s="75"/>
      <c r="AB26" s="78">
        <f t="shared" si="72"/>
        <v>1628</v>
      </c>
      <c r="AC26" s="84">
        <f t="shared" si="72"/>
        <v>0</v>
      </c>
      <c r="AD26" s="78">
        <f t="shared" ref="AD26:AF28" si="76">AH26+AL26</f>
        <v>851</v>
      </c>
      <c r="AE26" s="79"/>
      <c r="AF26" s="92">
        <f t="shared" si="76"/>
        <v>777</v>
      </c>
      <c r="AG26" s="144"/>
      <c r="AH26" s="80">
        <v>851</v>
      </c>
      <c r="AI26" s="83"/>
      <c r="AJ26" s="79">
        <v>755</v>
      </c>
      <c r="AK26" s="84"/>
      <c r="AL26" s="80">
        <v>0</v>
      </c>
      <c r="AM26" s="79"/>
      <c r="AN26" s="79">
        <v>22</v>
      </c>
      <c r="AO26" s="85"/>
      <c r="AP26" s="80">
        <f t="shared" si="24"/>
        <v>265.9375</v>
      </c>
      <c r="AQ26" s="89"/>
      <c r="AR26" s="90">
        <v>3.3</v>
      </c>
      <c r="AS26" s="74"/>
      <c r="AT26" s="74">
        <f>(AR26/2208)*100</f>
        <v>0.1494565217391304</v>
      </c>
      <c r="AU26" s="91"/>
      <c r="AV26" s="80">
        <f>AX26+AZ26</f>
        <v>1629</v>
      </c>
      <c r="AW26" s="144">
        <f t="shared" ref="AW26:AW57" si="77">AY26+BA26</f>
        <v>0</v>
      </c>
      <c r="AX26" s="78">
        <f>BB26+BF26</f>
        <v>864</v>
      </c>
      <c r="AY26" s="93"/>
      <c r="AZ26" s="99">
        <f t="shared" ref="AZ26:AZ28" si="78">BD26+BH26</f>
        <v>765</v>
      </c>
      <c r="BA26" s="94"/>
      <c r="BB26" s="76">
        <v>864</v>
      </c>
      <c r="BC26" s="83"/>
      <c r="BD26" s="79">
        <v>746</v>
      </c>
      <c r="BE26" s="77"/>
      <c r="BF26" s="104">
        <v>0</v>
      </c>
      <c r="BG26" s="94"/>
      <c r="BH26" s="94">
        <v>19</v>
      </c>
      <c r="BI26" s="85"/>
      <c r="BJ26" s="94">
        <f t="shared" si="6"/>
        <v>261.81818181818181</v>
      </c>
      <c r="BK26" s="94"/>
      <c r="BL26" s="87">
        <v>3.2</v>
      </c>
      <c r="BM26" s="79"/>
      <c r="BN26" s="75">
        <f t="shared" si="26"/>
        <v>0.14486192847442281</v>
      </c>
      <c r="BO26" s="84"/>
      <c r="BP26" s="82">
        <f t="shared" si="73"/>
        <v>1490</v>
      </c>
      <c r="BQ26" s="82">
        <f t="shared" si="73"/>
        <v>0</v>
      </c>
      <c r="BR26" s="78">
        <f t="shared" ref="BR26:BT28" si="79">BV26+BZ26</f>
        <v>850</v>
      </c>
      <c r="BS26" s="79"/>
      <c r="BT26" s="79">
        <f t="shared" si="79"/>
        <v>640</v>
      </c>
      <c r="BU26" s="84"/>
      <c r="BV26" s="80">
        <v>850</v>
      </c>
      <c r="BW26" s="95"/>
      <c r="BX26" s="79">
        <v>621</v>
      </c>
      <c r="BY26" s="84"/>
      <c r="BZ26" s="80">
        <v>0</v>
      </c>
      <c r="CA26" s="79"/>
      <c r="CB26" s="79">
        <v>19</v>
      </c>
      <c r="CC26" s="96"/>
      <c r="CD26" s="82">
        <f t="shared" si="28"/>
        <v>265.625</v>
      </c>
      <c r="CE26" s="89"/>
      <c r="CF26" s="97">
        <f>D26+X26+AR26+BL26</f>
        <v>12.899999999999999</v>
      </c>
      <c r="CG26" s="80"/>
      <c r="CH26" s="75">
        <f t="shared" ref="CH26:CH28" si="80">(CF26/8760)*100</f>
        <v>0.14726027397260275</v>
      </c>
      <c r="CI26" s="84"/>
      <c r="CJ26" s="76">
        <f>CL26+CN26</f>
        <v>6041</v>
      </c>
      <c r="CK26" s="77"/>
      <c r="CL26" s="82">
        <f t="shared" si="9"/>
        <v>3403</v>
      </c>
      <c r="CM26" s="94"/>
      <c r="CN26" s="99">
        <f t="shared" si="10"/>
        <v>2638</v>
      </c>
      <c r="CO26" s="94"/>
      <c r="CP26" s="82">
        <f t="shared" si="11"/>
        <v>3403</v>
      </c>
      <c r="CQ26" s="79"/>
      <c r="CR26" s="79">
        <f t="shared" si="12"/>
        <v>2557</v>
      </c>
      <c r="CS26" s="93"/>
      <c r="CT26" s="82">
        <f t="shared" si="13"/>
        <v>0</v>
      </c>
      <c r="CU26" s="79"/>
      <c r="CV26" s="79">
        <f t="shared" si="14"/>
        <v>81</v>
      </c>
      <c r="CW26" s="93"/>
      <c r="CX26" s="82">
        <f t="shared" si="30"/>
        <v>263.79844961240315</v>
      </c>
      <c r="CY26" s="108"/>
    </row>
    <row r="27" spans="1:103" ht="15.75" customHeight="1" x14ac:dyDescent="0.25">
      <c r="A27" s="553"/>
      <c r="B27" s="145"/>
      <c r="C27" s="72" t="s">
        <v>33</v>
      </c>
      <c r="D27" s="73">
        <v>31.8</v>
      </c>
      <c r="E27" s="74"/>
      <c r="F27" s="75">
        <f t="shared" si="74"/>
        <v>1.4729041222788328</v>
      </c>
      <c r="G27" s="75"/>
      <c r="H27" s="78">
        <f t="shared" si="70"/>
        <v>4010</v>
      </c>
      <c r="I27" s="84">
        <f t="shared" si="70"/>
        <v>0</v>
      </c>
      <c r="J27" s="78">
        <f t="shared" si="75"/>
        <v>2598</v>
      </c>
      <c r="K27" s="79"/>
      <c r="L27" s="92">
        <f t="shared" si="75"/>
        <v>1412</v>
      </c>
      <c r="M27" s="144"/>
      <c r="N27" s="82">
        <v>2598</v>
      </c>
      <c r="O27" s="102"/>
      <c r="P27" s="79">
        <v>1348</v>
      </c>
      <c r="Q27" s="84"/>
      <c r="R27" s="80">
        <v>0</v>
      </c>
      <c r="S27" s="79"/>
      <c r="T27" s="79">
        <v>64</v>
      </c>
      <c r="U27" s="103"/>
      <c r="V27" s="80">
        <f>J27/D27</f>
        <v>81.698113207547166</v>
      </c>
      <c r="W27" s="86"/>
      <c r="X27" s="87">
        <v>32.5</v>
      </c>
      <c r="Y27" s="88"/>
      <c r="Z27" s="75">
        <f t="shared" si="71"/>
        <v>1.4880952380952379</v>
      </c>
      <c r="AA27" s="75"/>
      <c r="AB27" s="78">
        <f t="shared" si="72"/>
        <v>5107</v>
      </c>
      <c r="AC27" s="84">
        <f t="shared" si="72"/>
        <v>0</v>
      </c>
      <c r="AD27" s="78">
        <f t="shared" si="76"/>
        <v>2669</v>
      </c>
      <c r="AE27" s="79"/>
      <c r="AF27" s="92">
        <f t="shared" si="76"/>
        <v>2438</v>
      </c>
      <c r="AG27" s="144"/>
      <c r="AH27" s="80">
        <v>2669</v>
      </c>
      <c r="AI27" s="102"/>
      <c r="AJ27" s="79">
        <v>2370</v>
      </c>
      <c r="AK27" s="84"/>
      <c r="AL27" s="80">
        <v>0</v>
      </c>
      <c r="AM27" s="79"/>
      <c r="AN27" s="79">
        <v>68</v>
      </c>
      <c r="AO27" s="103"/>
      <c r="AP27" s="80">
        <f t="shared" si="24"/>
        <v>82.123076923076923</v>
      </c>
      <c r="AQ27" s="89"/>
      <c r="AR27" s="90">
        <v>33.200000000000003</v>
      </c>
      <c r="AS27" s="74"/>
      <c r="AT27" s="74">
        <f>(AR27/2208)*100</f>
        <v>1.5036231884057971</v>
      </c>
      <c r="AU27" s="91"/>
      <c r="AV27" s="80">
        <f>AX27+AZ27</f>
        <v>5156</v>
      </c>
      <c r="AW27" s="144">
        <f t="shared" si="77"/>
        <v>0</v>
      </c>
      <c r="AX27" s="78">
        <f t="shared" ref="AX27:AX28" si="81">BB27+BF27</f>
        <v>2734</v>
      </c>
      <c r="AY27" s="93"/>
      <c r="AZ27" s="99">
        <f t="shared" si="78"/>
        <v>2422</v>
      </c>
      <c r="BA27" s="94"/>
      <c r="BB27" s="76">
        <v>2734</v>
      </c>
      <c r="BC27" s="102"/>
      <c r="BD27" s="79">
        <v>2361</v>
      </c>
      <c r="BE27" s="77"/>
      <c r="BF27" s="104">
        <v>0</v>
      </c>
      <c r="BG27" s="94"/>
      <c r="BH27" s="94">
        <v>61</v>
      </c>
      <c r="BI27" s="103"/>
      <c r="BJ27" s="94">
        <f t="shared" si="6"/>
        <v>82.349397590361434</v>
      </c>
      <c r="BK27" s="94"/>
      <c r="BL27" s="87">
        <v>33.200000000000003</v>
      </c>
      <c r="BM27" s="79"/>
      <c r="BN27" s="75">
        <f t="shared" si="26"/>
        <v>1.5029425079221368</v>
      </c>
      <c r="BO27" s="84"/>
      <c r="BP27" s="82">
        <f t="shared" si="73"/>
        <v>4695</v>
      </c>
      <c r="BQ27" s="82">
        <f t="shared" si="73"/>
        <v>0</v>
      </c>
      <c r="BR27" s="78">
        <f t="shared" si="79"/>
        <v>2678</v>
      </c>
      <c r="BS27" s="79"/>
      <c r="BT27" s="79">
        <f t="shared" si="79"/>
        <v>2017</v>
      </c>
      <c r="BU27" s="84"/>
      <c r="BV27" s="80">
        <v>2678</v>
      </c>
      <c r="BW27" s="105"/>
      <c r="BX27" s="79">
        <v>1957</v>
      </c>
      <c r="BY27" s="84"/>
      <c r="BZ27" s="80">
        <v>0</v>
      </c>
      <c r="CA27" s="79"/>
      <c r="CB27" s="79">
        <v>60</v>
      </c>
      <c r="CC27" s="106"/>
      <c r="CD27" s="82">
        <f t="shared" si="28"/>
        <v>80.662650602409627</v>
      </c>
      <c r="CE27" s="89"/>
      <c r="CF27" s="97">
        <f>D27+X27+AR27+BL27</f>
        <v>130.69999999999999</v>
      </c>
      <c r="CG27" s="80"/>
      <c r="CH27" s="75">
        <f t="shared" si="80"/>
        <v>1.4920091324200913</v>
      </c>
      <c r="CI27" s="84"/>
      <c r="CJ27" s="76">
        <f>CL27+CN27</f>
        <v>18968</v>
      </c>
      <c r="CK27" s="77"/>
      <c r="CL27" s="82">
        <f t="shared" si="9"/>
        <v>10679</v>
      </c>
      <c r="CM27" s="94"/>
      <c r="CN27" s="99">
        <f t="shared" si="10"/>
        <v>8289</v>
      </c>
      <c r="CO27" s="94"/>
      <c r="CP27" s="82">
        <f t="shared" si="11"/>
        <v>10679</v>
      </c>
      <c r="CQ27" s="79"/>
      <c r="CR27" s="79">
        <f t="shared" si="12"/>
        <v>8036</v>
      </c>
      <c r="CS27" s="93"/>
      <c r="CT27" s="82">
        <f t="shared" si="13"/>
        <v>0</v>
      </c>
      <c r="CU27" s="79"/>
      <c r="CV27" s="79">
        <f t="shared" si="14"/>
        <v>253</v>
      </c>
      <c r="CW27" s="93"/>
      <c r="CX27" s="82">
        <f t="shared" si="30"/>
        <v>81.706197398622805</v>
      </c>
      <c r="CY27" s="108"/>
    </row>
    <row r="28" spans="1:103" ht="15.75" customHeight="1" x14ac:dyDescent="0.25">
      <c r="A28" s="553"/>
      <c r="B28" s="145"/>
      <c r="C28" s="72" t="s">
        <v>34</v>
      </c>
      <c r="D28" s="73">
        <v>6.5</v>
      </c>
      <c r="E28" s="74"/>
      <c r="F28" s="75">
        <f t="shared" si="74"/>
        <v>0.30106530801296894</v>
      </c>
      <c r="G28" s="75"/>
      <c r="H28" s="78">
        <f t="shared" si="70"/>
        <v>1600</v>
      </c>
      <c r="I28" s="84">
        <f t="shared" si="70"/>
        <v>0</v>
      </c>
      <c r="J28" s="78">
        <f t="shared" si="75"/>
        <v>1036</v>
      </c>
      <c r="K28" s="79"/>
      <c r="L28" s="92">
        <f t="shared" si="75"/>
        <v>564</v>
      </c>
      <c r="M28" s="144"/>
      <c r="N28" s="82">
        <v>1036</v>
      </c>
      <c r="O28" s="102"/>
      <c r="P28" s="79">
        <v>538</v>
      </c>
      <c r="Q28" s="84"/>
      <c r="R28" s="80">
        <v>0</v>
      </c>
      <c r="S28" s="79"/>
      <c r="T28" s="79">
        <v>26</v>
      </c>
      <c r="U28" s="103"/>
      <c r="V28" s="80">
        <f t="shared" si="21"/>
        <v>159.38461538461539</v>
      </c>
      <c r="W28" s="86"/>
      <c r="X28" s="87">
        <v>6</v>
      </c>
      <c r="Y28" s="88"/>
      <c r="Z28" s="75">
        <f t="shared" si="71"/>
        <v>0.27472527472527475</v>
      </c>
      <c r="AA28" s="75"/>
      <c r="AB28" s="78">
        <f t="shared" si="72"/>
        <v>1843</v>
      </c>
      <c r="AC28" s="84">
        <f t="shared" si="72"/>
        <v>0</v>
      </c>
      <c r="AD28" s="78">
        <f t="shared" si="76"/>
        <v>963</v>
      </c>
      <c r="AE28" s="79"/>
      <c r="AF28" s="92">
        <f t="shared" si="76"/>
        <v>880</v>
      </c>
      <c r="AG28" s="144"/>
      <c r="AH28" s="80">
        <v>963</v>
      </c>
      <c r="AI28" s="102"/>
      <c r="AJ28" s="79">
        <v>855</v>
      </c>
      <c r="AK28" s="84"/>
      <c r="AL28" s="80">
        <v>0</v>
      </c>
      <c r="AM28" s="79"/>
      <c r="AN28" s="79">
        <v>25</v>
      </c>
      <c r="AO28" s="103"/>
      <c r="AP28" s="80">
        <f t="shared" si="24"/>
        <v>160.5</v>
      </c>
      <c r="AQ28" s="89"/>
      <c r="AR28" s="90">
        <v>6.5</v>
      </c>
      <c r="AS28" s="74"/>
      <c r="AT28" s="74">
        <f>(AR28/2208)*100</f>
        <v>0.29438405797101452</v>
      </c>
      <c r="AU28" s="91"/>
      <c r="AV28" s="80">
        <f>AX28+AZ28</f>
        <v>1953</v>
      </c>
      <c r="AW28" s="144">
        <f t="shared" si="77"/>
        <v>0</v>
      </c>
      <c r="AX28" s="78">
        <f t="shared" si="81"/>
        <v>1036</v>
      </c>
      <c r="AY28" s="93"/>
      <c r="AZ28" s="99">
        <f t="shared" si="78"/>
        <v>917</v>
      </c>
      <c r="BA28" s="94"/>
      <c r="BB28" s="76">
        <v>1036</v>
      </c>
      <c r="BC28" s="102"/>
      <c r="BD28" s="79">
        <v>894</v>
      </c>
      <c r="BE28" s="77"/>
      <c r="BF28" s="104">
        <v>0</v>
      </c>
      <c r="BG28" s="94"/>
      <c r="BH28" s="94">
        <v>23</v>
      </c>
      <c r="BI28" s="103"/>
      <c r="BJ28" s="104">
        <f t="shared" si="6"/>
        <v>159.38461538461539</v>
      </c>
      <c r="BK28" s="94"/>
      <c r="BL28" s="87">
        <v>6</v>
      </c>
      <c r="BM28" s="79"/>
      <c r="BN28" s="75">
        <f t="shared" si="26"/>
        <v>0.27161611588954282</v>
      </c>
      <c r="BO28" s="84"/>
      <c r="BP28" s="82">
        <f t="shared" si="73"/>
        <v>1687</v>
      </c>
      <c r="BQ28" s="82">
        <f t="shared" si="73"/>
        <v>0</v>
      </c>
      <c r="BR28" s="78">
        <f t="shared" si="79"/>
        <v>963</v>
      </c>
      <c r="BS28" s="79"/>
      <c r="BT28" s="79">
        <f t="shared" si="79"/>
        <v>724</v>
      </c>
      <c r="BU28" s="84"/>
      <c r="BV28" s="80">
        <v>963</v>
      </c>
      <c r="BW28" s="105"/>
      <c r="BX28" s="79">
        <v>703</v>
      </c>
      <c r="BY28" s="84"/>
      <c r="BZ28" s="80">
        <v>0</v>
      </c>
      <c r="CA28" s="79"/>
      <c r="CB28" s="79">
        <v>21</v>
      </c>
      <c r="CC28" s="106"/>
      <c r="CD28" s="82">
        <f t="shared" si="28"/>
        <v>160.5</v>
      </c>
      <c r="CE28" s="89"/>
      <c r="CF28" s="97">
        <f>D28+X28+AR28+BL28</f>
        <v>25</v>
      </c>
      <c r="CG28" s="80"/>
      <c r="CH28" s="75">
        <f t="shared" si="80"/>
        <v>0.28538812785388123</v>
      </c>
      <c r="CI28" s="84"/>
      <c r="CJ28" s="76">
        <f>CL28+CN28</f>
        <v>7083</v>
      </c>
      <c r="CK28" s="77"/>
      <c r="CL28" s="82">
        <f t="shared" si="9"/>
        <v>3998</v>
      </c>
      <c r="CM28" s="94"/>
      <c r="CN28" s="99">
        <f t="shared" si="10"/>
        <v>3085</v>
      </c>
      <c r="CO28" s="94"/>
      <c r="CP28" s="82">
        <f t="shared" si="11"/>
        <v>3998</v>
      </c>
      <c r="CQ28" s="79"/>
      <c r="CR28" s="79">
        <f t="shared" si="12"/>
        <v>2990</v>
      </c>
      <c r="CS28" s="93"/>
      <c r="CT28" s="82">
        <f t="shared" si="13"/>
        <v>0</v>
      </c>
      <c r="CU28" s="79"/>
      <c r="CV28" s="79">
        <f t="shared" si="14"/>
        <v>95</v>
      </c>
      <c r="CW28" s="93"/>
      <c r="CX28" s="82">
        <f t="shared" si="30"/>
        <v>159.91999999999999</v>
      </c>
      <c r="CY28" s="108"/>
    </row>
    <row r="29" spans="1:103" s="138" customFormat="1" ht="29.25" customHeight="1" x14ac:dyDescent="0.25">
      <c r="A29" s="553"/>
      <c r="B29" s="142" t="s">
        <v>39</v>
      </c>
      <c r="C29" s="143"/>
      <c r="D29" s="112">
        <f t="shared" ref="D29" si="82">SUM(D30:D34)</f>
        <v>662.5</v>
      </c>
      <c r="E29" s="113"/>
      <c r="F29" s="114"/>
      <c r="G29" s="114"/>
      <c r="H29" s="115">
        <f>SUM(H30:H34)</f>
        <v>110685</v>
      </c>
      <c r="I29" s="116">
        <f t="shared" ref="I29:T29" si="83">SUM(I30:I34)</f>
        <v>0</v>
      </c>
      <c r="J29" s="115">
        <f>SUM(J30:J34)</f>
        <v>71700</v>
      </c>
      <c r="K29" s="117"/>
      <c r="L29" s="121">
        <f t="shared" si="83"/>
        <v>38985</v>
      </c>
      <c r="M29" s="124"/>
      <c r="N29" s="120">
        <f t="shared" si="83"/>
        <v>71700</v>
      </c>
      <c r="O29" s="121"/>
      <c r="P29" s="121">
        <f t="shared" si="83"/>
        <v>37214</v>
      </c>
      <c r="Q29" s="124"/>
      <c r="R29" s="121">
        <f t="shared" si="83"/>
        <v>0</v>
      </c>
      <c r="S29" s="121"/>
      <c r="T29" s="121">
        <f t="shared" si="83"/>
        <v>1771</v>
      </c>
      <c r="U29" s="124"/>
      <c r="V29" s="121">
        <f t="shared" si="21"/>
        <v>108.22641509433963</v>
      </c>
      <c r="W29" s="125"/>
      <c r="X29" s="126">
        <f t="shared" ref="X29" si="84">SUM(X30:X34)</f>
        <v>608.4</v>
      </c>
      <c r="Y29" s="127"/>
      <c r="Z29" s="114"/>
      <c r="AA29" s="114"/>
      <c r="AB29" s="115">
        <f t="shared" ref="AB29:AH29" si="85">SUM(AB30:AB34)</f>
        <v>145293</v>
      </c>
      <c r="AC29" s="116">
        <f t="shared" si="85"/>
        <v>0</v>
      </c>
      <c r="AD29" s="115">
        <f t="shared" si="85"/>
        <v>75940</v>
      </c>
      <c r="AE29" s="117"/>
      <c r="AF29" s="121">
        <f t="shared" si="85"/>
        <v>69353</v>
      </c>
      <c r="AG29" s="124"/>
      <c r="AH29" s="121">
        <f t="shared" si="85"/>
        <v>75940</v>
      </c>
      <c r="AI29" s="121"/>
      <c r="AJ29" s="121">
        <f t="shared" ref="AJ29" si="86">SUM(AJ30:AJ34)</f>
        <v>67418</v>
      </c>
      <c r="AK29" s="123"/>
      <c r="AL29" s="121">
        <f>SUM(AL30:AL34)</f>
        <v>0</v>
      </c>
      <c r="AM29" s="121"/>
      <c r="AN29" s="121">
        <f t="shared" ref="AN29" si="87">SUM(AN30:AN34)</f>
        <v>1935</v>
      </c>
      <c r="AO29" s="124"/>
      <c r="AP29" s="121">
        <f t="shared" si="24"/>
        <v>124.81919789612098</v>
      </c>
      <c r="AQ29" s="128"/>
      <c r="AR29" s="129">
        <f t="shared" ref="AR29" si="88">SUM(AR30:AR34)</f>
        <v>629.09999999999991</v>
      </c>
      <c r="AS29" s="130"/>
      <c r="AT29" s="113"/>
      <c r="AU29" s="131"/>
      <c r="AV29" s="118">
        <f t="shared" ref="AV29" si="89">SUM(AV30:AV34)</f>
        <v>111499</v>
      </c>
      <c r="AW29" s="119">
        <f t="shared" si="77"/>
        <v>0</v>
      </c>
      <c r="AX29" s="115">
        <f>SUM(AX30:AX34)</f>
        <v>59121</v>
      </c>
      <c r="AY29" s="132"/>
      <c r="AZ29" s="117">
        <f>SUM(AZ30:AZ34)</f>
        <v>52378</v>
      </c>
      <c r="BA29" s="132"/>
      <c r="BB29" s="115">
        <f>SUM(BB30:BB34)</f>
        <v>59121</v>
      </c>
      <c r="BC29" s="122"/>
      <c r="BD29" s="122">
        <f t="shared" ref="BD29" si="90">SUM(BD30:BD34)</f>
        <v>51050</v>
      </c>
      <c r="BE29" s="116"/>
      <c r="BF29" s="118">
        <f>SUM(BF30:BF34)</f>
        <v>0</v>
      </c>
      <c r="BG29" s="118"/>
      <c r="BH29" s="118">
        <f t="shared" ref="BH29" si="91">SUM(BH30:BH34)</f>
        <v>1328</v>
      </c>
      <c r="BI29" s="116"/>
      <c r="BJ29" s="133">
        <f t="shared" si="6"/>
        <v>93.977110157367676</v>
      </c>
      <c r="BK29" s="132"/>
      <c r="BL29" s="126">
        <f>SUM(BL30:BL34)</f>
        <v>575.79999999999995</v>
      </c>
      <c r="BM29" s="122"/>
      <c r="BN29" s="114"/>
      <c r="BO29" s="123"/>
      <c r="BP29" s="134">
        <f t="shared" ref="BP29:CB29" si="92">SUM(BP30:BP34)</f>
        <v>116977</v>
      </c>
      <c r="BQ29" s="134">
        <f t="shared" si="92"/>
        <v>0</v>
      </c>
      <c r="BR29" s="115">
        <f t="shared" si="92"/>
        <v>66728</v>
      </c>
      <c r="BS29" s="122"/>
      <c r="BT29" s="122">
        <f t="shared" si="92"/>
        <v>50249</v>
      </c>
      <c r="BU29" s="123"/>
      <c r="BV29" s="121">
        <f t="shared" si="92"/>
        <v>66728</v>
      </c>
      <c r="BW29" s="121"/>
      <c r="BX29" s="121">
        <f t="shared" si="92"/>
        <v>48759</v>
      </c>
      <c r="BY29" s="123"/>
      <c r="BZ29" s="121">
        <f t="shared" si="92"/>
        <v>0</v>
      </c>
      <c r="CA29" s="121"/>
      <c r="CB29" s="121">
        <f t="shared" si="92"/>
        <v>1490</v>
      </c>
      <c r="CC29" s="121"/>
      <c r="CD29" s="120">
        <f t="shared" si="28"/>
        <v>115.88746092393193</v>
      </c>
      <c r="CE29" s="128"/>
      <c r="CF29" s="135">
        <f>SUM(CF30:CF34)</f>
        <v>2475.8000000000002</v>
      </c>
      <c r="CG29" s="121"/>
      <c r="CH29" s="114"/>
      <c r="CI29" s="123"/>
      <c r="CJ29" s="115">
        <f>SUM(CJ30:CJ34)</f>
        <v>484454</v>
      </c>
      <c r="CK29" s="116"/>
      <c r="CL29" s="120">
        <f t="shared" si="9"/>
        <v>273489</v>
      </c>
      <c r="CM29" s="132"/>
      <c r="CN29" s="117">
        <f t="shared" si="10"/>
        <v>210965</v>
      </c>
      <c r="CO29" s="132"/>
      <c r="CP29" s="120">
        <f t="shared" si="11"/>
        <v>273489</v>
      </c>
      <c r="CQ29" s="122"/>
      <c r="CR29" s="122">
        <f t="shared" si="12"/>
        <v>204441</v>
      </c>
      <c r="CS29" s="136"/>
      <c r="CT29" s="120">
        <f t="shared" si="13"/>
        <v>0</v>
      </c>
      <c r="CU29" s="122"/>
      <c r="CV29" s="122">
        <f t="shared" si="14"/>
        <v>6524</v>
      </c>
      <c r="CW29" s="136"/>
      <c r="CX29" s="120">
        <f t="shared" si="30"/>
        <v>110.4649002342677</v>
      </c>
      <c r="CY29" s="137"/>
    </row>
    <row r="30" spans="1:103" ht="15.75" customHeight="1" x14ac:dyDescent="0.25">
      <c r="A30" s="553"/>
      <c r="B30" s="139"/>
      <c r="C30" s="72" t="s">
        <v>30</v>
      </c>
      <c r="D30" s="73">
        <v>58.1</v>
      </c>
      <c r="E30" s="74"/>
      <c r="F30" s="75">
        <f>(D30/2159)*100</f>
        <v>2.6910606762389997</v>
      </c>
      <c r="G30" s="75"/>
      <c r="H30" s="78">
        <f t="shared" ref="H30:I34" si="93">J30+L30</f>
        <v>37533</v>
      </c>
      <c r="I30" s="84">
        <f t="shared" si="93"/>
        <v>0</v>
      </c>
      <c r="J30" s="78">
        <f>N30+R30</f>
        <v>24313</v>
      </c>
      <c r="K30" s="79"/>
      <c r="L30" s="80">
        <f>P30+T30</f>
        <v>13220</v>
      </c>
      <c r="M30" s="81"/>
      <c r="N30" s="82">
        <v>24313</v>
      </c>
      <c r="O30" s="102"/>
      <c r="P30" s="79">
        <v>12619</v>
      </c>
      <c r="Q30" s="84"/>
      <c r="R30" s="80">
        <v>0</v>
      </c>
      <c r="S30" s="79"/>
      <c r="T30" s="79">
        <v>601</v>
      </c>
      <c r="U30" s="103"/>
      <c r="V30" s="80">
        <f t="shared" si="21"/>
        <v>418.46815834767642</v>
      </c>
      <c r="W30" s="86"/>
      <c r="X30" s="87">
        <v>59.9</v>
      </c>
      <c r="Y30" s="88"/>
      <c r="Z30" s="75">
        <f t="shared" ref="Z30:Z34" si="94">(X30/2184)*100</f>
        <v>2.7426739926739927</v>
      </c>
      <c r="AA30" s="75"/>
      <c r="AB30" s="78">
        <f t="shared" ref="AB30:AC34" si="95">AD30+AF30</f>
        <v>51798</v>
      </c>
      <c r="AC30" s="84">
        <f t="shared" si="95"/>
        <v>0</v>
      </c>
      <c r="AD30" s="78">
        <f t="shared" ref="AD30:AF34" si="96">AH30+AL30</f>
        <v>27073</v>
      </c>
      <c r="AE30" s="79"/>
      <c r="AF30" s="80">
        <f t="shared" si="96"/>
        <v>24725</v>
      </c>
      <c r="AG30" s="81"/>
      <c r="AH30" s="80">
        <v>27073</v>
      </c>
      <c r="AI30" s="102"/>
      <c r="AJ30" s="79">
        <v>24035</v>
      </c>
      <c r="AK30" s="84"/>
      <c r="AL30" s="80">
        <v>0</v>
      </c>
      <c r="AM30" s="79"/>
      <c r="AN30" s="79">
        <v>690</v>
      </c>
      <c r="AO30" s="103"/>
      <c r="AP30" s="80">
        <f t="shared" si="24"/>
        <v>451.96994991652758</v>
      </c>
      <c r="AQ30" s="89"/>
      <c r="AR30" s="90">
        <v>58.3</v>
      </c>
      <c r="AS30" s="74"/>
      <c r="AT30" s="74">
        <f>(AR30/2208)*100</f>
        <v>2.6403985507246377</v>
      </c>
      <c r="AU30" s="91"/>
      <c r="AV30" s="80">
        <f>AX30+AZ30</f>
        <v>45696</v>
      </c>
      <c r="AW30" s="144">
        <f t="shared" si="77"/>
        <v>0</v>
      </c>
      <c r="AX30" s="78">
        <f t="shared" ref="AX30:AZ34" si="97">BB30+BF30</f>
        <v>24230</v>
      </c>
      <c r="AY30" s="93"/>
      <c r="AZ30" s="79">
        <f t="shared" si="97"/>
        <v>21466</v>
      </c>
      <c r="BA30" s="93"/>
      <c r="BB30" s="78">
        <v>24230</v>
      </c>
      <c r="BC30" s="102"/>
      <c r="BD30" s="79">
        <v>20922</v>
      </c>
      <c r="BE30" s="84"/>
      <c r="BF30" s="86">
        <v>0</v>
      </c>
      <c r="BG30" s="93"/>
      <c r="BH30" s="93">
        <v>544</v>
      </c>
      <c r="BI30" s="103"/>
      <c r="BJ30" s="104">
        <f t="shared" si="6"/>
        <v>415.60891938250433</v>
      </c>
      <c r="BK30" s="94"/>
      <c r="BL30" s="87">
        <v>57.8</v>
      </c>
      <c r="BM30" s="79"/>
      <c r="BN30" s="75">
        <f t="shared" si="26"/>
        <v>2.6165685830692622</v>
      </c>
      <c r="BO30" s="84"/>
      <c r="BP30" s="82">
        <f t="shared" ref="BP30:BQ34" si="98">BR30+BT30</f>
        <v>48291</v>
      </c>
      <c r="BQ30" s="82">
        <f t="shared" si="98"/>
        <v>0</v>
      </c>
      <c r="BR30" s="78">
        <f t="shared" ref="BR30:BT34" si="99">BV30+BZ30</f>
        <v>27547</v>
      </c>
      <c r="BS30" s="79"/>
      <c r="BT30" s="79">
        <f t="shared" si="99"/>
        <v>20744</v>
      </c>
      <c r="BU30" s="84"/>
      <c r="BV30" s="80">
        <v>27547</v>
      </c>
      <c r="BW30" s="105"/>
      <c r="BX30" s="79">
        <v>20129</v>
      </c>
      <c r="BY30" s="84"/>
      <c r="BZ30" s="80">
        <v>0</v>
      </c>
      <c r="CA30" s="79"/>
      <c r="CB30" s="79">
        <v>615</v>
      </c>
      <c r="CC30" s="106"/>
      <c r="CD30" s="82">
        <f t="shared" si="28"/>
        <v>476.5916955017301</v>
      </c>
      <c r="CE30" s="89"/>
      <c r="CF30" s="97">
        <f>D30+X30+AR30+BL30</f>
        <v>234.10000000000002</v>
      </c>
      <c r="CG30" s="80"/>
      <c r="CH30" s="75">
        <f>(CF30/8760)*100</f>
        <v>2.6723744292237446</v>
      </c>
      <c r="CI30" s="84"/>
      <c r="CJ30" s="76">
        <f>CL30+CN30</f>
        <v>183318</v>
      </c>
      <c r="CK30" s="77"/>
      <c r="CL30" s="82">
        <f t="shared" si="9"/>
        <v>103163</v>
      </c>
      <c r="CM30" s="94"/>
      <c r="CN30" s="99">
        <f t="shared" si="10"/>
        <v>80155</v>
      </c>
      <c r="CO30" s="94"/>
      <c r="CP30" s="82">
        <f t="shared" si="11"/>
        <v>103163</v>
      </c>
      <c r="CQ30" s="79"/>
      <c r="CR30" s="79">
        <f t="shared" si="12"/>
        <v>77705</v>
      </c>
      <c r="CS30" s="93"/>
      <c r="CT30" s="82">
        <f t="shared" si="13"/>
        <v>0</v>
      </c>
      <c r="CU30" s="79"/>
      <c r="CV30" s="79">
        <f t="shared" si="14"/>
        <v>2450</v>
      </c>
      <c r="CW30" s="93"/>
      <c r="CX30" s="82">
        <f t="shared" si="30"/>
        <v>440.67919692439125</v>
      </c>
      <c r="CY30" s="108"/>
    </row>
    <row r="31" spans="1:103" ht="15.75" customHeight="1" x14ac:dyDescent="0.25">
      <c r="A31" s="553"/>
      <c r="B31" s="139"/>
      <c r="C31" s="72" t="s">
        <v>31</v>
      </c>
      <c r="D31" s="73">
        <v>10.7</v>
      </c>
      <c r="E31" s="74"/>
      <c r="F31" s="75">
        <f>(D31/2159)*100</f>
        <v>0.49559981472904124</v>
      </c>
      <c r="G31" s="75"/>
      <c r="H31" s="78">
        <f>J31+L31</f>
        <v>13311</v>
      </c>
      <c r="I31" s="84"/>
      <c r="J31" s="78">
        <f>N31+R31</f>
        <v>8623</v>
      </c>
      <c r="K31" s="79"/>
      <c r="L31" s="80">
        <f>P31+T31</f>
        <v>4688</v>
      </c>
      <c r="M31" s="81"/>
      <c r="N31" s="82">
        <v>8623</v>
      </c>
      <c r="O31" s="102"/>
      <c r="P31" s="79">
        <v>4475</v>
      </c>
      <c r="Q31" s="84"/>
      <c r="R31" s="80">
        <v>0</v>
      </c>
      <c r="S31" s="79"/>
      <c r="T31" s="79">
        <v>213</v>
      </c>
      <c r="U31" s="103"/>
      <c r="V31" s="80">
        <f t="shared" si="21"/>
        <v>805.88785046728981</v>
      </c>
      <c r="W31" s="86"/>
      <c r="X31" s="87">
        <v>10.8</v>
      </c>
      <c r="Y31" s="88"/>
      <c r="Z31" s="75">
        <f t="shared" si="94"/>
        <v>0.49450549450549458</v>
      </c>
      <c r="AA31" s="75"/>
      <c r="AB31" s="78">
        <f t="shared" si="95"/>
        <v>16753</v>
      </c>
      <c r="AC31" s="84">
        <f t="shared" si="95"/>
        <v>0</v>
      </c>
      <c r="AD31" s="78">
        <f t="shared" si="96"/>
        <v>8756</v>
      </c>
      <c r="AE31" s="79"/>
      <c r="AF31" s="80">
        <f t="shared" si="96"/>
        <v>7997</v>
      </c>
      <c r="AG31" s="81"/>
      <c r="AH31" s="80">
        <v>8756</v>
      </c>
      <c r="AI31" s="102"/>
      <c r="AJ31" s="79">
        <v>7774</v>
      </c>
      <c r="AK31" s="84"/>
      <c r="AL31" s="80">
        <v>0</v>
      </c>
      <c r="AM31" s="79"/>
      <c r="AN31" s="79">
        <v>223</v>
      </c>
      <c r="AO31" s="103"/>
      <c r="AP31" s="80">
        <f>AD31/X31</f>
        <v>810.74074074074065</v>
      </c>
      <c r="AQ31" s="89"/>
      <c r="AR31" s="90">
        <v>0</v>
      </c>
      <c r="AS31" s="74"/>
      <c r="AT31" s="74">
        <f>(AR31/2208)*100</f>
        <v>0</v>
      </c>
      <c r="AU31" s="91"/>
      <c r="AV31" s="80">
        <f>AX31+AZ31</f>
        <v>0</v>
      </c>
      <c r="AW31" s="144">
        <f t="shared" si="77"/>
        <v>0</v>
      </c>
      <c r="AX31" s="78">
        <f t="shared" si="97"/>
        <v>0</v>
      </c>
      <c r="AY31" s="93"/>
      <c r="AZ31" s="79">
        <f t="shared" si="97"/>
        <v>0</v>
      </c>
      <c r="BA31" s="93"/>
      <c r="BB31" s="78">
        <v>0</v>
      </c>
      <c r="BC31" s="102"/>
      <c r="BD31" s="79">
        <v>0</v>
      </c>
      <c r="BE31" s="84"/>
      <c r="BF31" s="86">
        <v>0</v>
      </c>
      <c r="BG31" s="93"/>
      <c r="BH31" s="93">
        <v>0</v>
      </c>
      <c r="BI31" s="103"/>
      <c r="BJ31" s="104">
        <v>0</v>
      </c>
      <c r="BK31" s="94"/>
      <c r="BL31" s="87">
        <v>0</v>
      </c>
      <c r="BM31" s="79"/>
      <c r="BN31" s="75">
        <f t="shared" si="26"/>
        <v>0</v>
      </c>
      <c r="BO31" s="84"/>
      <c r="BP31" s="82">
        <f t="shared" si="98"/>
        <v>0</v>
      </c>
      <c r="BQ31" s="82">
        <f t="shared" si="98"/>
        <v>0</v>
      </c>
      <c r="BR31" s="78">
        <f t="shared" si="99"/>
        <v>0</v>
      </c>
      <c r="BS31" s="79"/>
      <c r="BT31" s="79">
        <f t="shared" si="99"/>
        <v>0</v>
      </c>
      <c r="BU31" s="84"/>
      <c r="BV31" s="80">
        <v>0</v>
      </c>
      <c r="BW31" s="105"/>
      <c r="BX31" s="79">
        <v>0</v>
      </c>
      <c r="BY31" s="84"/>
      <c r="BZ31" s="80">
        <v>0</v>
      </c>
      <c r="CA31" s="79"/>
      <c r="CB31" s="79">
        <v>0</v>
      </c>
      <c r="CC31" s="106"/>
      <c r="CD31" s="82">
        <v>0</v>
      </c>
      <c r="CE31" s="89"/>
      <c r="CF31" s="97">
        <f>D31+X31+AR31+BL31</f>
        <v>21.5</v>
      </c>
      <c r="CG31" s="80"/>
      <c r="CH31" s="75">
        <f>(CF31/8760)*100</f>
        <v>0.2454337899543379</v>
      </c>
      <c r="CI31" s="84"/>
      <c r="CJ31" s="76">
        <f t="shared" ref="CJ31:CJ32" si="100">CL31+CN31</f>
        <v>30064</v>
      </c>
      <c r="CK31" s="77"/>
      <c r="CL31" s="82">
        <f t="shared" si="9"/>
        <v>17379</v>
      </c>
      <c r="CM31" s="94"/>
      <c r="CN31" s="99">
        <f t="shared" si="10"/>
        <v>12685</v>
      </c>
      <c r="CO31" s="94"/>
      <c r="CP31" s="82">
        <f t="shared" si="11"/>
        <v>17379</v>
      </c>
      <c r="CQ31" s="79"/>
      <c r="CR31" s="79">
        <f t="shared" si="12"/>
        <v>12249</v>
      </c>
      <c r="CS31" s="93"/>
      <c r="CT31" s="82">
        <f t="shared" si="13"/>
        <v>0</v>
      </c>
      <c r="CU31" s="79"/>
      <c r="CV31" s="79">
        <f t="shared" si="14"/>
        <v>436</v>
      </c>
      <c r="CW31" s="93"/>
      <c r="CX31" s="82">
        <f t="shared" si="30"/>
        <v>808.32558139534888</v>
      </c>
      <c r="CY31" s="108"/>
    </row>
    <row r="32" spans="1:103" ht="15.75" customHeight="1" x14ac:dyDescent="0.25">
      <c r="A32" s="553"/>
      <c r="B32" s="146"/>
      <c r="C32" s="72" t="s">
        <v>32</v>
      </c>
      <c r="D32" s="73">
        <v>13.5</v>
      </c>
      <c r="E32" s="74"/>
      <c r="F32" s="75">
        <f t="shared" ref="F32:F34" si="101">(D32/2159)*100</f>
        <v>0.62528948587308941</v>
      </c>
      <c r="G32" s="75"/>
      <c r="H32" s="78">
        <f t="shared" si="93"/>
        <v>8205</v>
      </c>
      <c r="I32" s="84">
        <f t="shared" si="93"/>
        <v>0</v>
      </c>
      <c r="J32" s="78">
        <f t="shared" ref="J32:L34" si="102">N32+R32</f>
        <v>5315</v>
      </c>
      <c r="K32" s="79"/>
      <c r="L32" s="80">
        <f t="shared" si="102"/>
        <v>2890</v>
      </c>
      <c r="M32" s="81"/>
      <c r="N32" s="82">
        <v>5315</v>
      </c>
      <c r="O32" s="102"/>
      <c r="P32" s="79">
        <v>2759</v>
      </c>
      <c r="Q32" s="84"/>
      <c r="R32" s="80">
        <v>0</v>
      </c>
      <c r="S32" s="79"/>
      <c r="T32" s="79">
        <v>131</v>
      </c>
      <c r="U32" s="103"/>
      <c r="V32" s="80">
        <f t="shared" si="21"/>
        <v>393.7037037037037</v>
      </c>
      <c r="W32" s="86"/>
      <c r="X32" s="87">
        <v>18</v>
      </c>
      <c r="Y32" s="88"/>
      <c r="Z32" s="75">
        <f t="shared" si="94"/>
        <v>0.82417582417582425</v>
      </c>
      <c r="AA32" s="75"/>
      <c r="AB32" s="78">
        <f t="shared" si="95"/>
        <v>14112</v>
      </c>
      <c r="AC32" s="84">
        <f t="shared" si="95"/>
        <v>0</v>
      </c>
      <c r="AD32" s="78">
        <f t="shared" si="96"/>
        <v>7376</v>
      </c>
      <c r="AE32" s="79"/>
      <c r="AF32" s="80">
        <f t="shared" si="96"/>
        <v>6736</v>
      </c>
      <c r="AG32" s="81"/>
      <c r="AH32" s="80">
        <v>7376</v>
      </c>
      <c r="AI32" s="102"/>
      <c r="AJ32" s="79">
        <v>6548</v>
      </c>
      <c r="AK32" s="84"/>
      <c r="AL32" s="80">
        <v>0</v>
      </c>
      <c r="AM32" s="79"/>
      <c r="AN32" s="79">
        <v>188</v>
      </c>
      <c r="AO32" s="103"/>
      <c r="AP32" s="80">
        <f t="shared" si="24"/>
        <v>409.77777777777777</v>
      </c>
      <c r="AQ32" s="89"/>
      <c r="AR32" s="90">
        <v>3</v>
      </c>
      <c r="AS32" s="74"/>
      <c r="AT32" s="74">
        <f>(AR32/2208)*100</f>
        <v>0.1358695652173913</v>
      </c>
      <c r="AU32" s="91"/>
      <c r="AV32" s="80">
        <f>AX32+AZ32</f>
        <v>2346</v>
      </c>
      <c r="AW32" s="144">
        <f t="shared" si="77"/>
        <v>0</v>
      </c>
      <c r="AX32" s="78">
        <f t="shared" si="97"/>
        <v>1244</v>
      </c>
      <c r="AY32" s="93"/>
      <c r="AZ32" s="79">
        <f t="shared" si="97"/>
        <v>1102</v>
      </c>
      <c r="BA32" s="93"/>
      <c r="BB32" s="78">
        <v>1244</v>
      </c>
      <c r="BC32" s="102"/>
      <c r="BD32" s="79">
        <v>1074</v>
      </c>
      <c r="BE32" s="84"/>
      <c r="BF32" s="86">
        <v>0</v>
      </c>
      <c r="BG32" s="93"/>
      <c r="BH32" s="93">
        <v>28</v>
      </c>
      <c r="BI32" s="103"/>
      <c r="BJ32" s="104">
        <f t="shared" ref="BJ32:BJ78" si="103">AX32/AR32</f>
        <v>414.66666666666669</v>
      </c>
      <c r="BK32" s="94"/>
      <c r="BL32" s="87">
        <v>18</v>
      </c>
      <c r="BM32" s="79"/>
      <c r="BN32" s="75">
        <f t="shared" si="26"/>
        <v>0.81484834766862835</v>
      </c>
      <c r="BO32" s="84"/>
      <c r="BP32" s="82">
        <f t="shared" si="98"/>
        <v>11986</v>
      </c>
      <c r="BQ32" s="82">
        <f t="shared" si="98"/>
        <v>0</v>
      </c>
      <c r="BR32" s="78">
        <f t="shared" si="99"/>
        <v>6837</v>
      </c>
      <c r="BS32" s="79"/>
      <c r="BT32" s="79">
        <f t="shared" si="99"/>
        <v>5149</v>
      </c>
      <c r="BU32" s="84"/>
      <c r="BV32" s="80">
        <v>6837</v>
      </c>
      <c r="BW32" s="105"/>
      <c r="BX32" s="79">
        <v>4996</v>
      </c>
      <c r="BY32" s="84"/>
      <c r="BZ32" s="80">
        <v>0</v>
      </c>
      <c r="CA32" s="79"/>
      <c r="CB32" s="79">
        <v>153</v>
      </c>
      <c r="CC32" s="106"/>
      <c r="CD32" s="82">
        <f t="shared" si="28"/>
        <v>379.83333333333331</v>
      </c>
      <c r="CE32" s="89"/>
      <c r="CF32" s="97">
        <f>D32+X32+AR32+BL32</f>
        <v>52.5</v>
      </c>
      <c r="CG32" s="80"/>
      <c r="CH32" s="75">
        <f t="shared" ref="CH32:CH34" si="104">(CF32/8760)*100</f>
        <v>0.59931506849315064</v>
      </c>
      <c r="CI32" s="84"/>
      <c r="CJ32" s="76">
        <f t="shared" si="100"/>
        <v>36649</v>
      </c>
      <c r="CK32" s="77"/>
      <c r="CL32" s="82">
        <f t="shared" si="9"/>
        <v>20772</v>
      </c>
      <c r="CM32" s="94"/>
      <c r="CN32" s="99">
        <f t="shared" si="10"/>
        <v>15877</v>
      </c>
      <c r="CO32" s="94"/>
      <c r="CP32" s="82">
        <f t="shared" si="11"/>
        <v>20772</v>
      </c>
      <c r="CQ32" s="79"/>
      <c r="CR32" s="79">
        <f t="shared" si="12"/>
        <v>15377</v>
      </c>
      <c r="CS32" s="93"/>
      <c r="CT32" s="82">
        <f t="shared" si="13"/>
        <v>0</v>
      </c>
      <c r="CU32" s="79"/>
      <c r="CV32" s="79">
        <f t="shared" si="14"/>
        <v>500</v>
      </c>
      <c r="CW32" s="93"/>
      <c r="CX32" s="82">
        <f t="shared" si="30"/>
        <v>395.65714285714284</v>
      </c>
      <c r="CY32" s="147"/>
    </row>
    <row r="33" spans="1:103" ht="15.75" customHeight="1" x14ac:dyDescent="0.25">
      <c r="A33" s="553"/>
      <c r="B33" s="146"/>
      <c r="C33" s="72" t="s">
        <v>33</v>
      </c>
      <c r="D33" s="73">
        <v>47.6</v>
      </c>
      <c r="E33" s="74"/>
      <c r="F33" s="75">
        <f t="shared" si="101"/>
        <v>2.204724409448819</v>
      </c>
      <c r="G33" s="75"/>
      <c r="H33" s="78">
        <f t="shared" si="93"/>
        <v>18390</v>
      </c>
      <c r="I33" s="84">
        <f t="shared" si="93"/>
        <v>0</v>
      </c>
      <c r="J33" s="78">
        <f t="shared" si="102"/>
        <v>11913</v>
      </c>
      <c r="K33" s="79"/>
      <c r="L33" s="80">
        <f t="shared" si="102"/>
        <v>6477</v>
      </c>
      <c r="M33" s="81"/>
      <c r="N33" s="82">
        <v>11913</v>
      </c>
      <c r="O33" s="102"/>
      <c r="P33" s="79">
        <v>6183</v>
      </c>
      <c r="Q33" s="84"/>
      <c r="R33" s="80">
        <v>0</v>
      </c>
      <c r="S33" s="79"/>
      <c r="T33" s="79">
        <v>294</v>
      </c>
      <c r="U33" s="103"/>
      <c r="V33" s="80">
        <f t="shared" si="21"/>
        <v>250.27310924369746</v>
      </c>
      <c r="W33" s="86"/>
      <c r="X33" s="87">
        <v>47.9</v>
      </c>
      <c r="Y33" s="88"/>
      <c r="Z33" s="75">
        <f t="shared" si="94"/>
        <v>2.193223443223443</v>
      </c>
      <c r="AA33" s="75"/>
      <c r="AB33" s="78">
        <f t="shared" si="95"/>
        <v>23077</v>
      </c>
      <c r="AC33" s="84">
        <f t="shared" si="95"/>
        <v>0</v>
      </c>
      <c r="AD33" s="78">
        <f t="shared" si="96"/>
        <v>12062</v>
      </c>
      <c r="AE33" s="79"/>
      <c r="AF33" s="80">
        <f t="shared" si="96"/>
        <v>11015</v>
      </c>
      <c r="AG33" s="81"/>
      <c r="AH33" s="80">
        <v>12062</v>
      </c>
      <c r="AI33" s="102"/>
      <c r="AJ33" s="79">
        <v>10708</v>
      </c>
      <c r="AK33" s="84"/>
      <c r="AL33" s="80">
        <v>0</v>
      </c>
      <c r="AM33" s="79"/>
      <c r="AN33" s="79">
        <v>307</v>
      </c>
      <c r="AO33" s="103"/>
      <c r="AP33" s="80">
        <f t="shared" si="24"/>
        <v>251.81628392484342</v>
      </c>
      <c r="AQ33" s="89"/>
      <c r="AR33" s="90">
        <v>47.9</v>
      </c>
      <c r="AS33" s="74"/>
      <c r="AT33" s="74">
        <f>(AR33/2208)*100</f>
        <v>2.1693840579710142</v>
      </c>
      <c r="AU33" s="91"/>
      <c r="AV33" s="80">
        <f>AX33+AZ33</f>
        <v>22894</v>
      </c>
      <c r="AW33" s="144">
        <f t="shared" si="77"/>
        <v>0</v>
      </c>
      <c r="AX33" s="78">
        <f t="shared" si="97"/>
        <v>12139</v>
      </c>
      <c r="AY33" s="93"/>
      <c r="AZ33" s="79">
        <f t="shared" si="97"/>
        <v>10755</v>
      </c>
      <c r="BA33" s="93"/>
      <c r="BB33" s="78">
        <v>12139</v>
      </c>
      <c r="BC33" s="102"/>
      <c r="BD33" s="79">
        <v>10482</v>
      </c>
      <c r="BE33" s="84"/>
      <c r="BF33" s="86">
        <v>0</v>
      </c>
      <c r="BG33" s="93"/>
      <c r="BH33" s="93">
        <v>273</v>
      </c>
      <c r="BI33" s="103"/>
      <c r="BJ33" s="104">
        <f t="shared" si="103"/>
        <v>253.42379958246346</v>
      </c>
      <c r="BK33" s="94"/>
      <c r="BL33" s="87">
        <v>47.8</v>
      </c>
      <c r="BM33" s="79"/>
      <c r="BN33" s="75">
        <f t="shared" si="26"/>
        <v>2.1638750565866909</v>
      </c>
      <c r="BO33" s="84"/>
      <c r="BP33" s="82">
        <f t="shared" si="98"/>
        <v>21133</v>
      </c>
      <c r="BQ33" s="82">
        <f t="shared" si="98"/>
        <v>0</v>
      </c>
      <c r="BR33" s="78">
        <f t="shared" si="99"/>
        <v>12055</v>
      </c>
      <c r="BS33" s="79"/>
      <c r="BT33" s="79">
        <f t="shared" si="99"/>
        <v>9078</v>
      </c>
      <c r="BU33" s="84"/>
      <c r="BV33" s="80">
        <v>12055</v>
      </c>
      <c r="BW33" s="105"/>
      <c r="BX33" s="79">
        <v>8809</v>
      </c>
      <c r="BY33" s="84"/>
      <c r="BZ33" s="80">
        <v>0</v>
      </c>
      <c r="CA33" s="79"/>
      <c r="CB33" s="79">
        <v>269</v>
      </c>
      <c r="CC33" s="106"/>
      <c r="CD33" s="82">
        <f t="shared" si="28"/>
        <v>252.19665271966528</v>
      </c>
      <c r="CE33" s="89"/>
      <c r="CF33" s="97">
        <f>D33+X33+AR33+BL33</f>
        <v>191.2</v>
      </c>
      <c r="CG33" s="80"/>
      <c r="CH33" s="75">
        <f t="shared" si="104"/>
        <v>2.1826484018264836</v>
      </c>
      <c r="CI33" s="84"/>
      <c r="CJ33" s="76">
        <f>CL33+CN33</f>
        <v>85494</v>
      </c>
      <c r="CK33" s="77"/>
      <c r="CL33" s="82">
        <f t="shared" si="9"/>
        <v>48169</v>
      </c>
      <c r="CM33" s="94"/>
      <c r="CN33" s="99">
        <f t="shared" si="10"/>
        <v>37325</v>
      </c>
      <c r="CO33" s="94"/>
      <c r="CP33" s="82">
        <f t="shared" si="11"/>
        <v>48169</v>
      </c>
      <c r="CQ33" s="79"/>
      <c r="CR33" s="79">
        <f t="shared" si="12"/>
        <v>36182</v>
      </c>
      <c r="CS33" s="93"/>
      <c r="CT33" s="82">
        <f t="shared" si="13"/>
        <v>0</v>
      </c>
      <c r="CU33" s="79"/>
      <c r="CV33" s="79">
        <f t="shared" si="14"/>
        <v>1143</v>
      </c>
      <c r="CW33" s="93"/>
      <c r="CX33" s="82">
        <f t="shared" si="30"/>
        <v>251.92991631799165</v>
      </c>
      <c r="CY33" s="147"/>
    </row>
    <row r="34" spans="1:103" ht="15.75" customHeight="1" x14ac:dyDescent="0.25">
      <c r="A34" s="553"/>
      <c r="B34" s="145"/>
      <c r="C34" s="72" t="s">
        <v>34</v>
      </c>
      <c r="D34" s="73">
        <v>532.6</v>
      </c>
      <c r="E34" s="74"/>
      <c r="F34" s="75">
        <f t="shared" si="101"/>
        <v>24.668828161185736</v>
      </c>
      <c r="G34" s="75"/>
      <c r="H34" s="78">
        <f t="shared" si="93"/>
        <v>33246</v>
      </c>
      <c r="I34" s="84">
        <f t="shared" si="93"/>
        <v>0</v>
      </c>
      <c r="J34" s="78">
        <f t="shared" si="102"/>
        <v>21536</v>
      </c>
      <c r="K34" s="79"/>
      <c r="L34" s="80">
        <f t="shared" si="102"/>
        <v>11710</v>
      </c>
      <c r="M34" s="81"/>
      <c r="N34" s="82">
        <v>21536</v>
      </c>
      <c r="O34" s="102"/>
      <c r="P34" s="79">
        <v>11178</v>
      </c>
      <c r="Q34" s="84"/>
      <c r="R34" s="80">
        <v>0</v>
      </c>
      <c r="S34" s="79"/>
      <c r="T34" s="79">
        <v>532</v>
      </c>
      <c r="U34" s="103"/>
      <c r="V34" s="80">
        <f t="shared" si="21"/>
        <v>40.435598948554258</v>
      </c>
      <c r="W34" s="86"/>
      <c r="X34" s="87">
        <v>471.8</v>
      </c>
      <c r="Y34" s="88"/>
      <c r="Z34" s="75">
        <f t="shared" si="94"/>
        <v>21.602564102564102</v>
      </c>
      <c r="AA34" s="75"/>
      <c r="AB34" s="78">
        <f t="shared" si="95"/>
        <v>39553</v>
      </c>
      <c r="AC34" s="84">
        <f t="shared" si="95"/>
        <v>0</v>
      </c>
      <c r="AD34" s="78">
        <f t="shared" si="96"/>
        <v>20673</v>
      </c>
      <c r="AE34" s="79"/>
      <c r="AF34" s="80">
        <f t="shared" si="96"/>
        <v>18880</v>
      </c>
      <c r="AG34" s="81"/>
      <c r="AH34" s="80">
        <v>20673</v>
      </c>
      <c r="AI34" s="102"/>
      <c r="AJ34" s="79">
        <v>18353</v>
      </c>
      <c r="AK34" s="84"/>
      <c r="AL34" s="80">
        <v>0</v>
      </c>
      <c r="AM34" s="79"/>
      <c r="AN34" s="79">
        <v>527</v>
      </c>
      <c r="AO34" s="103"/>
      <c r="AP34" s="80">
        <f t="shared" si="24"/>
        <v>43.817295464179736</v>
      </c>
      <c r="AQ34" s="89"/>
      <c r="AR34" s="90">
        <v>519.9</v>
      </c>
      <c r="AS34" s="74"/>
      <c r="AT34" s="74">
        <f>(AR34/2208)*100</f>
        <v>23.546195652173914</v>
      </c>
      <c r="AU34" s="91"/>
      <c r="AV34" s="80">
        <f>AX34+AZ34</f>
        <v>40563</v>
      </c>
      <c r="AW34" s="144">
        <f t="shared" si="77"/>
        <v>0</v>
      </c>
      <c r="AX34" s="78">
        <f t="shared" si="97"/>
        <v>21508</v>
      </c>
      <c r="AY34" s="93"/>
      <c r="AZ34" s="79">
        <f t="shared" si="97"/>
        <v>19055</v>
      </c>
      <c r="BA34" s="93"/>
      <c r="BB34" s="78">
        <v>21508</v>
      </c>
      <c r="BC34" s="102"/>
      <c r="BD34" s="79">
        <v>18572</v>
      </c>
      <c r="BE34" s="84"/>
      <c r="BF34" s="86">
        <v>0</v>
      </c>
      <c r="BG34" s="93"/>
      <c r="BH34" s="93">
        <v>483</v>
      </c>
      <c r="BI34" s="103"/>
      <c r="BJ34" s="104">
        <f t="shared" si="103"/>
        <v>41.369494133487208</v>
      </c>
      <c r="BK34" s="94"/>
      <c r="BL34" s="87">
        <v>452.2</v>
      </c>
      <c r="BM34" s="79"/>
      <c r="BN34" s="75">
        <f t="shared" si="26"/>
        <v>20.470801267541873</v>
      </c>
      <c r="BO34" s="84"/>
      <c r="BP34" s="82">
        <f t="shared" si="98"/>
        <v>35567</v>
      </c>
      <c r="BQ34" s="82">
        <f t="shared" si="98"/>
        <v>0</v>
      </c>
      <c r="BR34" s="78">
        <f t="shared" si="99"/>
        <v>20289</v>
      </c>
      <c r="BS34" s="79"/>
      <c r="BT34" s="79">
        <f t="shared" si="99"/>
        <v>15278</v>
      </c>
      <c r="BU34" s="84"/>
      <c r="BV34" s="80">
        <v>20289</v>
      </c>
      <c r="BW34" s="105"/>
      <c r="BX34" s="79">
        <v>14825</v>
      </c>
      <c r="BY34" s="84"/>
      <c r="BZ34" s="80">
        <v>0</v>
      </c>
      <c r="CA34" s="79"/>
      <c r="CB34" s="79">
        <v>453</v>
      </c>
      <c r="CC34" s="106"/>
      <c r="CD34" s="82">
        <f t="shared" si="28"/>
        <v>44.867315347191507</v>
      </c>
      <c r="CE34" s="89"/>
      <c r="CF34" s="97">
        <f>D34+X34+AR34+BL34</f>
        <v>1976.5000000000002</v>
      </c>
      <c r="CG34" s="80"/>
      <c r="CH34" s="75">
        <f t="shared" si="104"/>
        <v>22.562785388127857</v>
      </c>
      <c r="CI34" s="84"/>
      <c r="CJ34" s="76">
        <f>CL34+CN34</f>
        <v>148929</v>
      </c>
      <c r="CK34" s="77"/>
      <c r="CL34" s="82">
        <f t="shared" si="9"/>
        <v>84006</v>
      </c>
      <c r="CM34" s="94"/>
      <c r="CN34" s="99">
        <f t="shared" si="10"/>
        <v>64923</v>
      </c>
      <c r="CO34" s="94"/>
      <c r="CP34" s="82">
        <f t="shared" si="11"/>
        <v>84006</v>
      </c>
      <c r="CQ34" s="79"/>
      <c r="CR34" s="79">
        <f t="shared" si="12"/>
        <v>62928</v>
      </c>
      <c r="CS34" s="93"/>
      <c r="CT34" s="82">
        <f t="shared" si="13"/>
        <v>0</v>
      </c>
      <c r="CU34" s="79"/>
      <c r="CV34" s="79">
        <f t="shared" si="14"/>
        <v>1995</v>
      </c>
      <c r="CW34" s="93"/>
      <c r="CX34" s="82">
        <f t="shared" si="30"/>
        <v>42.502403238047044</v>
      </c>
      <c r="CY34" s="147"/>
    </row>
    <row r="35" spans="1:103" s="138" customFormat="1" ht="27" customHeight="1" x14ac:dyDescent="0.25">
      <c r="A35" s="553"/>
      <c r="B35" s="142" t="s">
        <v>40</v>
      </c>
      <c r="C35" s="143"/>
      <c r="D35" s="112">
        <f t="shared" ref="D35" si="105">SUM(D36:D40)</f>
        <v>1230.2</v>
      </c>
      <c r="E35" s="113"/>
      <c r="F35" s="114"/>
      <c r="G35" s="114"/>
      <c r="H35" s="115">
        <f t="shared" ref="H35:T35" si="106">SUM(H36:H40)</f>
        <v>277219</v>
      </c>
      <c r="I35" s="116">
        <f t="shared" si="106"/>
        <v>0</v>
      </c>
      <c r="J35" s="115">
        <f t="shared" si="106"/>
        <v>179575</v>
      </c>
      <c r="K35" s="117"/>
      <c r="L35" s="118">
        <f t="shared" si="106"/>
        <v>97644</v>
      </c>
      <c r="M35" s="119"/>
      <c r="N35" s="120">
        <f t="shared" si="106"/>
        <v>169804</v>
      </c>
      <c r="O35" s="121"/>
      <c r="P35" s="121">
        <f t="shared" si="106"/>
        <v>93207</v>
      </c>
      <c r="Q35" s="124"/>
      <c r="R35" s="121">
        <f t="shared" si="106"/>
        <v>9771</v>
      </c>
      <c r="S35" s="121"/>
      <c r="T35" s="121">
        <f t="shared" si="106"/>
        <v>4437</v>
      </c>
      <c r="U35" s="124"/>
      <c r="V35" s="121">
        <f t="shared" si="21"/>
        <v>145.97219964233457</v>
      </c>
      <c r="W35" s="125"/>
      <c r="X35" s="126">
        <f t="shared" ref="X35" si="107">SUM(X36:X40)</f>
        <v>1275.8000000000002</v>
      </c>
      <c r="Y35" s="127"/>
      <c r="Z35" s="114"/>
      <c r="AA35" s="114"/>
      <c r="AB35" s="115">
        <f t="shared" ref="AB35:AH35" si="108">SUM(AB36:AB40)</f>
        <v>345379</v>
      </c>
      <c r="AC35" s="116">
        <f t="shared" si="108"/>
        <v>0</v>
      </c>
      <c r="AD35" s="115">
        <f t="shared" si="108"/>
        <v>180519</v>
      </c>
      <c r="AE35" s="117"/>
      <c r="AF35" s="118">
        <f t="shared" si="108"/>
        <v>164860</v>
      </c>
      <c r="AG35" s="119"/>
      <c r="AH35" s="121">
        <f t="shared" si="108"/>
        <v>170425</v>
      </c>
      <c r="AI35" s="121"/>
      <c r="AJ35" s="121">
        <f t="shared" ref="AJ35" si="109">SUM(AJ36:AJ40)</f>
        <v>160262</v>
      </c>
      <c r="AK35" s="123"/>
      <c r="AL35" s="121">
        <f>SUM(AL36:AL40)</f>
        <v>10094</v>
      </c>
      <c r="AM35" s="121"/>
      <c r="AN35" s="121">
        <f t="shared" ref="AN35" si="110">SUM(AN36:AN40)</f>
        <v>4598</v>
      </c>
      <c r="AO35" s="124"/>
      <c r="AP35" s="121">
        <f t="shared" si="24"/>
        <v>141.49474839316505</v>
      </c>
      <c r="AQ35" s="128"/>
      <c r="AR35" s="129">
        <f t="shared" ref="AR35" si="111">SUM(AR36:AR40)</f>
        <v>1268.9000000000001</v>
      </c>
      <c r="AS35" s="130"/>
      <c r="AT35" s="113"/>
      <c r="AU35" s="131"/>
      <c r="AV35" s="118">
        <f t="shared" ref="AV35" si="112">SUM(AV36:AV40)</f>
        <v>310296</v>
      </c>
      <c r="AW35" s="119">
        <f t="shared" si="77"/>
        <v>0</v>
      </c>
      <c r="AX35" s="115">
        <f>SUM(AX36:AX40)</f>
        <v>164530</v>
      </c>
      <c r="AY35" s="132"/>
      <c r="AZ35" s="117">
        <f>SUM(AZ36:AZ40)</f>
        <v>145766</v>
      </c>
      <c r="BA35" s="132"/>
      <c r="BB35" s="115">
        <f>SUM(BB36:BB40)</f>
        <v>159332</v>
      </c>
      <c r="BC35" s="122"/>
      <c r="BD35" s="122">
        <f t="shared" ref="BD35" si="113">SUM(BD36:BD40)</f>
        <v>142070</v>
      </c>
      <c r="BE35" s="116"/>
      <c r="BF35" s="118">
        <f>SUM(BF36:BF40)</f>
        <v>5198</v>
      </c>
      <c r="BG35" s="118"/>
      <c r="BH35" s="118">
        <f t="shared" ref="BH35" si="114">SUM(BH36:BH40)</f>
        <v>3696</v>
      </c>
      <c r="BI35" s="116"/>
      <c r="BJ35" s="133">
        <f t="shared" si="103"/>
        <v>129.66348806052486</v>
      </c>
      <c r="BK35" s="132"/>
      <c r="BL35" s="126">
        <f t="shared" ref="BL35" si="115">SUM(BL36:BL40)</f>
        <v>1308.3</v>
      </c>
      <c r="BM35" s="122"/>
      <c r="BN35" s="114"/>
      <c r="BO35" s="123"/>
      <c r="BP35" s="134">
        <f t="shared" ref="BP35:CB35" si="116">SUM(BP36:BP40)</f>
        <v>291289</v>
      </c>
      <c r="BQ35" s="134">
        <f t="shared" si="116"/>
        <v>0</v>
      </c>
      <c r="BR35" s="115">
        <f t="shared" si="116"/>
        <v>166163</v>
      </c>
      <c r="BS35" s="122"/>
      <c r="BT35" s="122">
        <f t="shared" si="116"/>
        <v>125126</v>
      </c>
      <c r="BU35" s="123"/>
      <c r="BV35" s="121">
        <f t="shared" si="116"/>
        <v>163886</v>
      </c>
      <c r="BW35" s="121"/>
      <c r="BX35" s="121">
        <f t="shared" si="116"/>
        <v>121417</v>
      </c>
      <c r="BY35" s="123"/>
      <c r="BZ35" s="121">
        <f t="shared" si="116"/>
        <v>2277</v>
      </c>
      <c r="CA35" s="121"/>
      <c r="CB35" s="121">
        <f t="shared" si="116"/>
        <v>3709</v>
      </c>
      <c r="CC35" s="121"/>
      <c r="CD35" s="120">
        <f t="shared" si="28"/>
        <v>127.00680272108843</v>
      </c>
      <c r="CE35" s="128"/>
      <c r="CF35" s="135">
        <f>SUM(CF36:CF40)</f>
        <v>5083.2</v>
      </c>
      <c r="CG35" s="121"/>
      <c r="CH35" s="114"/>
      <c r="CI35" s="123"/>
      <c r="CJ35" s="115">
        <f>SUM(CJ36:CJ40)</f>
        <v>1224183</v>
      </c>
      <c r="CK35" s="116"/>
      <c r="CL35" s="120">
        <f t="shared" si="9"/>
        <v>690787</v>
      </c>
      <c r="CM35" s="132"/>
      <c r="CN35" s="117">
        <f t="shared" si="10"/>
        <v>533396</v>
      </c>
      <c r="CO35" s="132"/>
      <c r="CP35" s="120">
        <f t="shared" si="11"/>
        <v>663447</v>
      </c>
      <c r="CQ35" s="122"/>
      <c r="CR35" s="122">
        <f t="shared" si="12"/>
        <v>516956</v>
      </c>
      <c r="CS35" s="136"/>
      <c r="CT35" s="120">
        <f t="shared" si="13"/>
        <v>27340</v>
      </c>
      <c r="CU35" s="122"/>
      <c r="CV35" s="122">
        <f t="shared" si="14"/>
        <v>16440</v>
      </c>
      <c r="CW35" s="136"/>
      <c r="CX35" s="120">
        <f>CL35/CF35</f>
        <v>135.8960890777463</v>
      </c>
      <c r="CY35" s="148"/>
    </row>
    <row r="36" spans="1:103" s="101" customFormat="1" ht="15.75" customHeight="1" x14ac:dyDescent="0.25">
      <c r="A36" s="553"/>
      <c r="B36" s="71"/>
      <c r="C36" s="72" t="s">
        <v>30</v>
      </c>
      <c r="D36" s="73">
        <f>225.6+17.2+78</f>
        <v>320.79999999999995</v>
      </c>
      <c r="E36" s="74"/>
      <c r="F36" s="75">
        <f>(D36/2159)*100</f>
        <v>14.858730893932373</v>
      </c>
      <c r="G36" s="75"/>
      <c r="H36" s="78">
        <f t="shared" ref="H36:I40" si="117">J36+L36</f>
        <v>122437</v>
      </c>
      <c r="I36" s="84">
        <f t="shared" si="117"/>
        <v>0</v>
      </c>
      <c r="J36" s="78">
        <f>N36+R36</f>
        <v>79312</v>
      </c>
      <c r="K36" s="79"/>
      <c r="L36" s="80">
        <f>P36+T36</f>
        <v>43125</v>
      </c>
      <c r="M36" s="81"/>
      <c r="N36" s="82">
        <f>41871+1953+31466</f>
        <v>75290</v>
      </c>
      <c r="O36" s="83"/>
      <c r="P36" s="79">
        <f>23820+1014+16332</f>
        <v>41166</v>
      </c>
      <c r="Q36" s="84"/>
      <c r="R36" s="80">
        <v>4022</v>
      </c>
      <c r="S36" s="79"/>
      <c r="T36" s="79">
        <f>1134+48+777</f>
        <v>1959</v>
      </c>
      <c r="U36" s="85"/>
      <c r="V36" s="80">
        <f t="shared" si="21"/>
        <v>247.23192019950127</v>
      </c>
      <c r="W36" s="86"/>
      <c r="X36" s="87">
        <f>227.7+23.7+85.3</f>
        <v>336.7</v>
      </c>
      <c r="Y36" s="88"/>
      <c r="Z36" s="75">
        <f t="shared" ref="Z36:Z40" si="118">(X36/2184)*100</f>
        <v>15.416666666666668</v>
      </c>
      <c r="AA36" s="75"/>
      <c r="AB36" s="78">
        <f t="shared" ref="AB36:AC40" si="119">AD36+AF36</f>
        <v>157542</v>
      </c>
      <c r="AC36" s="84">
        <f t="shared" si="119"/>
        <v>0</v>
      </c>
      <c r="AD36" s="78">
        <f>AH36+AL36</f>
        <v>82343</v>
      </c>
      <c r="AE36" s="79"/>
      <c r="AF36" s="80">
        <f>AJ36+AN36</f>
        <v>75199</v>
      </c>
      <c r="AG36" s="81"/>
      <c r="AH36" s="80">
        <f>43609+2817+31572</f>
        <v>77998</v>
      </c>
      <c r="AI36" s="83"/>
      <c r="AJ36" s="79">
        <f>42572+2501+28029</f>
        <v>73102</v>
      </c>
      <c r="AK36" s="84"/>
      <c r="AL36" s="80">
        <f>4345</f>
        <v>4345</v>
      </c>
      <c r="AM36" s="79"/>
      <c r="AN36" s="79">
        <f>1221+72+804</f>
        <v>2097</v>
      </c>
      <c r="AO36" s="85"/>
      <c r="AP36" s="80">
        <f t="shared" si="24"/>
        <v>244.55895455895455</v>
      </c>
      <c r="AQ36" s="89"/>
      <c r="AR36" s="90">
        <f>234.4+19.2+81.7</f>
        <v>335.3</v>
      </c>
      <c r="AS36" s="74"/>
      <c r="AT36" s="74">
        <f>(AR36/2208)*100</f>
        <v>15.185688405797102</v>
      </c>
      <c r="AU36" s="91"/>
      <c r="AV36" s="80">
        <f>AX36+AZ36</f>
        <v>155025</v>
      </c>
      <c r="AW36" s="144">
        <f t="shared" si="77"/>
        <v>0</v>
      </c>
      <c r="AX36" s="78">
        <f>BB36+BF36</f>
        <v>82200</v>
      </c>
      <c r="AY36" s="93"/>
      <c r="AZ36" s="79">
        <f>BD36+BH36</f>
        <v>72825</v>
      </c>
      <c r="BA36" s="93"/>
      <c r="BB36" s="78">
        <f>48594+2134+27127</f>
        <v>77855</v>
      </c>
      <c r="BC36" s="83"/>
      <c r="BD36" s="79">
        <f>45712+1843+23424</f>
        <v>70979</v>
      </c>
      <c r="BE36" s="84"/>
      <c r="BF36" s="86">
        <v>4345</v>
      </c>
      <c r="BG36" s="93"/>
      <c r="BH36" s="93">
        <f>1189+48+609</f>
        <v>1846</v>
      </c>
      <c r="BI36" s="85"/>
      <c r="BJ36" s="104">
        <f t="shared" si="103"/>
        <v>245.15359379660006</v>
      </c>
      <c r="BK36" s="94"/>
      <c r="BL36" s="87">
        <f>256.8+20.9+84.4</f>
        <v>362.1</v>
      </c>
      <c r="BM36" s="79"/>
      <c r="BN36" s="75">
        <f t="shared" si="26"/>
        <v>16.392032593933909</v>
      </c>
      <c r="BO36" s="84"/>
      <c r="BP36" s="82">
        <f t="shared" ref="BP36:BQ40" si="120">BR36+BT36</f>
        <v>130552</v>
      </c>
      <c r="BQ36" s="82">
        <f t="shared" si="120"/>
        <v>0</v>
      </c>
      <c r="BR36" s="78">
        <f>BV36+BZ36</f>
        <v>74472</v>
      </c>
      <c r="BS36" s="79"/>
      <c r="BT36" s="79">
        <f>BX36+CB36</f>
        <v>56080</v>
      </c>
      <c r="BU36" s="84"/>
      <c r="BV36" s="80">
        <f>45607+2466+24975</f>
        <v>73048</v>
      </c>
      <c r="BW36" s="95"/>
      <c r="BX36" s="79">
        <f>34366+1802+18249</f>
        <v>54417</v>
      </c>
      <c r="BY36" s="84"/>
      <c r="BZ36" s="80">
        <v>1424</v>
      </c>
      <c r="CA36" s="79"/>
      <c r="CB36" s="79">
        <f>1050+55+558</f>
        <v>1663</v>
      </c>
      <c r="CC36" s="96"/>
      <c r="CD36" s="82">
        <f t="shared" si="28"/>
        <v>205.66694283347141</v>
      </c>
      <c r="CE36" s="89"/>
      <c r="CF36" s="97">
        <f>D36+X36+AR36+BL36</f>
        <v>1354.9</v>
      </c>
      <c r="CG36" s="80"/>
      <c r="CH36" s="75">
        <f>(CF36/8760)*100</f>
        <v>15.466894977168952</v>
      </c>
      <c r="CI36" s="84"/>
      <c r="CJ36" s="76">
        <f>CL36+CN36</f>
        <v>565556</v>
      </c>
      <c r="CK36" s="77"/>
      <c r="CL36" s="82">
        <f t="shared" si="9"/>
        <v>318327</v>
      </c>
      <c r="CM36" s="94"/>
      <c r="CN36" s="99">
        <f t="shared" si="10"/>
        <v>247229</v>
      </c>
      <c r="CO36" s="94"/>
      <c r="CP36" s="82">
        <f t="shared" si="11"/>
        <v>304191</v>
      </c>
      <c r="CQ36" s="79"/>
      <c r="CR36" s="79">
        <f t="shared" si="12"/>
        <v>239664</v>
      </c>
      <c r="CS36" s="93"/>
      <c r="CT36" s="82">
        <f t="shared" si="13"/>
        <v>14136</v>
      </c>
      <c r="CU36" s="79"/>
      <c r="CV36" s="79">
        <f t="shared" si="14"/>
        <v>7565</v>
      </c>
      <c r="CW36" s="93"/>
      <c r="CX36" s="82">
        <f t="shared" si="30"/>
        <v>234.94501439220605</v>
      </c>
      <c r="CY36" s="147"/>
    </row>
    <row r="37" spans="1:103" ht="15.75" customHeight="1" x14ac:dyDescent="0.25">
      <c r="A37" s="553"/>
      <c r="B37" s="145"/>
      <c r="C37" s="72" t="s">
        <v>31</v>
      </c>
      <c r="D37" s="73">
        <v>149.9</v>
      </c>
      <c r="E37" s="74"/>
      <c r="F37" s="75">
        <f t="shared" ref="F37:F40" si="121">(D37/2159)*100</f>
        <v>6.9430291801760085</v>
      </c>
      <c r="G37" s="75"/>
      <c r="H37" s="78">
        <f t="shared" si="117"/>
        <v>18036</v>
      </c>
      <c r="I37" s="84">
        <f t="shared" si="117"/>
        <v>0</v>
      </c>
      <c r="J37" s="78">
        <f t="shared" ref="J37:L40" si="122">N37+R37</f>
        <v>11683</v>
      </c>
      <c r="K37" s="79"/>
      <c r="L37" s="80">
        <f t="shared" si="122"/>
        <v>6353</v>
      </c>
      <c r="M37" s="81"/>
      <c r="N37" s="82">
        <v>11683</v>
      </c>
      <c r="O37" s="102"/>
      <c r="P37" s="79">
        <v>6064</v>
      </c>
      <c r="Q37" s="84"/>
      <c r="R37" s="80">
        <v>0</v>
      </c>
      <c r="S37" s="79"/>
      <c r="T37" s="79">
        <v>289</v>
      </c>
      <c r="U37" s="103"/>
      <c r="V37" s="80">
        <f t="shared" si="21"/>
        <v>77.938625750500336</v>
      </c>
      <c r="W37" s="86"/>
      <c r="X37" s="87">
        <v>163.1</v>
      </c>
      <c r="Y37" s="88"/>
      <c r="Z37" s="75">
        <f t="shared" si="118"/>
        <v>7.4679487179487181</v>
      </c>
      <c r="AA37" s="75"/>
      <c r="AB37" s="78">
        <f t="shared" si="119"/>
        <v>26527</v>
      </c>
      <c r="AC37" s="84">
        <f t="shared" si="119"/>
        <v>0</v>
      </c>
      <c r="AD37" s="78">
        <f t="shared" ref="AD37:AF40" si="123">AH37+AL37</f>
        <v>13865</v>
      </c>
      <c r="AE37" s="79"/>
      <c r="AF37" s="80">
        <f t="shared" si="123"/>
        <v>12662</v>
      </c>
      <c r="AG37" s="81"/>
      <c r="AH37" s="80">
        <v>13865</v>
      </c>
      <c r="AI37" s="102"/>
      <c r="AJ37" s="79">
        <v>12309</v>
      </c>
      <c r="AK37" s="84"/>
      <c r="AL37" s="80">
        <v>0</v>
      </c>
      <c r="AM37" s="79"/>
      <c r="AN37" s="79">
        <v>353</v>
      </c>
      <c r="AO37" s="103"/>
      <c r="AP37" s="80">
        <f t="shared" si="24"/>
        <v>85.009196811771929</v>
      </c>
      <c r="AQ37" s="89"/>
      <c r="AR37" s="90">
        <v>154.19999999999999</v>
      </c>
      <c r="AS37" s="74"/>
      <c r="AT37" s="74">
        <f>(AR37/2208)*100</f>
        <v>6.9836956521739131</v>
      </c>
      <c r="AU37" s="91"/>
      <c r="AV37" s="80">
        <f>AX37+AZ37</f>
        <v>22127</v>
      </c>
      <c r="AW37" s="144">
        <f t="shared" si="77"/>
        <v>0</v>
      </c>
      <c r="AX37" s="78">
        <f t="shared" ref="AX37:AZ40" si="124">BB37+BF37</f>
        <v>11732</v>
      </c>
      <c r="AY37" s="93"/>
      <c r="AZ37" s="79">
        <f t="shared" si="124"/>
        <v>10395</v>
      </c>
      <c r="BA37" s="93"/>
      <c r="BB37" s="78">
        <v>11732</v>
      </c>
      <c r="BC37" s="102"/>
      <c r="BD37" s="79">
        <v>10131</v>
      </c>
      <c r="BE37" s="84"/>
      <c r="BF37" s="86">
        <v>0</v>
      </c>
      <c r="BG37" s="93"/>
      <c r="BH37" s="93">
        <v>264</v>
      </c>
      <c r="BI37" s="103"/>
      <c r="BJ37" s="94">
        <f t="shared" si="103"/>
        <v>76.083009079118028</v>
      </c>
      <c r="BK37" s="94"/>
      <c r="BL37" s="87">
        <v>153.4</v>
      </c>
      <c r="BM37" s="79"/>
      <c r="BN37" s="75">
        <f t="shared" si="26"/>
        <v>6.9443186962426431</v>
      </c>
      <c r="BO37" s="84"/>
      <c r="BP37" s="82">
        <f t="shared" si="120"/>
        <v>20519</v>
      </c>
      <c r="BQ37" s="82">
        <f t="shared" si="120"/>
        <v>0</v>
      </c>
      <c r="BR37" s="78">
        <f t="shared" ref="BR37:BT40" si="125">BV37+BZ37</f>
        <v>11705</v>
      </c>
      <c r="BS37" s="79"/>
      <c r="BT37" s="79">
        <f t="shared" si="125"/>
        <v>8814</v>
      </c>
      <c r="BU37" s="84"/>
      <c r="BV37" s="80">
        <v>11705</v>
      </c>
      <c r="BW37" s="105"/>
      <c r="BX37" s="79">
        <v>8553</v>
      </c>
      <c r="BY37" s="84"/>
      <c r="BZ37" s="80">
        <v>0</v>
      </c>
      <c r="CA37" s="79"/>
      <c r="CB37" s="79">
        <v>261</v>
      </c>
      <c r="CC37" s="106"/>
      <c r="CD37" s="82">
        <f t="shared" si="28"/>
        <v>76.303780964797909</v>
      </c>
      <c r="CE37" s="89"/>
      <c r="CF37" s="97">
        <f>D37+X37+AR37+BL37</f>
        <v>620.6</v>
      </c>
      <c r="CG37" s="80"/>
      <c r="CH37" s="75">
        <f t="shared" ref="CH37:CH40" si="126">(CF37/8760)*100</f>
        <v>7.0844748858447488</v>
      </c>
      <c r="CI37" s="84"/>
      <c r="CJ37" s="76">
        <f>CL37+CN37</f>
        <v>87209</v>
      </c>
      <c r="CK37" s="77"/>
      <c r="CL37" s="82">
        <f t="shared" si="9"/>
        <v>48985</v>
      </c>
      <c r="CM37" s="94"/>
      <c r="CN37" s="99">
        <f t="shared" si="10"/>
        <v>38224</v>
      </c>
      <c r="CO37" s="94"/>
      <c r="CP37" s="82">
        <f t="shared" si="11"/>
        <v>48985</v>
      </c>
      <c r="CQ37" s="79"/>
      <c r="CR37" s="79">
        <f t="shared" si="12"/>
        <v>37057</v>
      </c>
      <c r="CS37" s="93"/>
      <c r="CT37" s="82">
        <f t="shared" si="13"/>
        <v>0</v>
      </c>
      <c r="CU37" s="79"/>
      <c r="CV37" s="79">
        <f t="shared" si="14"/>
        <v>1167</v>
      </c>
      <c r="CW37" s="93"/>
      <c r="CX37" s="82">
        <f t="shared" si="30"/>
        <v>78.931679020302923</v>
      </c>
      <c r="CY37" s="147"/>
    </row>
    <row r="38" spans="1:103" ht="15.75" customHeight="1" x14ac:dyDescent="0.25">
      <c r="A38" s="553"/>
      <c r="B38" s="145"/>
      <c r="C38" s="72" t="s">
        <v>32</v>
      </c>
      <c r="D38" s="73">
        <v>555.1</v>
      </c>
      <c r="E38" s="74"/>
      <c r="F38" s="75">
        <f t="shared" si="121"/>
        <v>25.710977304307551</v>
      </c>
      <c r="G38" s="75"/>
      <c r="H38" s="78">
        <f t="shared" si="117"/>
        <v>96909</v>
      </c>
      <c r="I38" s="84">
        <f t="shared" si="117"/>
        <v>0</v>
      </c>
      <c r="J38" s="78">
        <f t="shared" si="122"/>
        <v>62775</v>
      </c>
      <c r="K38" s="79"/>
      <c r="L38" s="80">
        <f t="shared" si="122"/>
        <v>34134</v>
      </c>
      <c r="M38" s="81"/>
      <c r="N38" s="82">
        <v>62775</v>
      </c>
      <c r="O38" s="102"/>
      <c r="P38" s="79">
        <v>32583</v>
      </c>
      <c r="Q38" s="84"/>
      <c r="R38" s="80">
        <v>0</v>
      </c>
      <c r="S38" s="79"/>
      <c r="T38" s="79">
        <v>1551</v>
      </c>
      <c r="U38" s="103"/>
      <c r="V38" s="80">
        <f t="shared" si="21"/>
        <v>113.08773194019095</v>
      </c>
      <c r="W38" s="86"/>
      <c r="X38" s="87">
        <v>569.6</v>
      </c>
      <c r="Y38" s="88"/>
      <c r="Z38" s="75">
        <f t="shared" si="118"/>
        <v>26.080586080586084</v>
      </c>
      <c r="AA38" s="75"/>
      <c r="AB38" s="78">
        <f t="shared" si="119"/>
        <v>112146</v>
      </c>
      <c r="AC38" s="84">
        <f t="shared" si="119"/>
        <v>0</v>
      </c>
      <c r="AD38" s="78">
        <f t="shared" si="123"/>
        <v>58615</v>
      </c>
      <c r="AE38" s="79"/>
      <c r="AF38" s="80">
        <f t="shared" si="123"/>
        <v>53531</v>
      </c>
      <c r="AG38" s="81"/>
      <c r="AH38" s="80">
        <v>58615</v>
      </c>
      <c r="AI38" s="102"/>
      <c r="AJ38" s="79">
        <v>52038</v>
      </c>
      <c r="AK38" s="84"/>
      <c r="AL38" s="80">
        <v>0</v>
      </c>
      <c r="AM38" s="79"/>
      <c r="AN38" s="79">
        <v>1493</v>
      </c>
      <c r="AO38" s="103"/>
      <c r="AP38" s="80">
        <f t="shared" si="24"/>
        <v>102.90554775280899</v>
      </c>
      <c r="AQ38" s="89"/>
      <c r="AR38" s="90">
        <v>568.9</v>
      </c>
      <c r="AS38" s="74"/>
      <c r="AT38" s="74">
        <f>(AR38/2208)*100</f>
        <v>25.76539855072464</v>
      </c>
      <c r="AU38" s="91"/>
      <c r="AV38" s="80">
        <f>AX38+AZ38</f>
        <v>93153</v>
      </c>
      <c r="AW38" s="144">
        <f t="shared" si="77"/>
        <v>0</v>
      </c>
      <c r="AX38" s="78">
        <f t="shared" si="124"/>
        <v>49393</v>
      </c>
      <c r="AY38" s="93"/>
      <c r="AZ38" s="79">
        <f t="shared" si="124"/>
        <v>43760</v>
      </c>
      <c r="BA38" s="93"/>
      <c r="BB38" s="78">
        <v>49393</v>
      </c>
      <c r="BC38" s="102"/>
      <c r="BD38" s="79">
        <v>42650</v>
      </c>
      <c r="BE38" s="84"/>
      <c r="BF38" s="86">
        <v>0</v>
      </c>
      <c r="BG38" s="93"/>
      <c r="BH38" s="93">
        <v>1110</v>
      </c>
      <c r="BI38" s="103"/>
      <c r="BJ38" s="94">
        <f t="shared" si="103"/>
        <v>86.821937071541569</v>
      </c>
      <c r="BK38" s="94"/>
      <c r="BL38" s="87">
        <v>585.29999999999995</v>
      </c>
      <c r="BM38" s="79"/>
      <c r="BN38" s="75">
        <f t="shared" si="26"/>
        <v>26.496152105024894</v>
      </c>
      <c r="BO38" s="84"/>
      <c r="BP38" s="82">
        <f t="shared" si="120"/>
        <v>103334</v>
      </c>
      <c r="BQ38" s="82">
        <f t="shared" si="120"/>
        <v>0</v>
      </c>
      <c r="BR38" s="78">
        <f t="shared" si="125"/>
        <v>58946</v>
      </c>
      <c r="BS38" s="79"/>
      <c r="BT38" s="79">
        <f t="shared" si="125"/>
        <v>44388</v>
      </c>
      <c r="BU38" s="84"/>
      <c r="BV38" s="80">
        <v>58946</v>
      </c>
      <c r="BW38" s="105"/>
      <c r="BX38" s="79">
        <v>43072</v>
      </c>
      <c r="BY38" s="84"/>
      <c r="BZ38" s="80">
        <v>0</v>
      </c>
      <c r="CA38" s="79"/>
      <c r="CB38" s="79">
        <v>1316</v>
      </c>
      <c r="CC38" s="106"/>
      <c r="CD38" s="82">
        <f t="shared" si="28"/>
        <v>100.71074662566207</v>
      </c>
      <c r="CE38" s="89"/>
      <c r="CF38" s="97">
        <f>D38+X38+AR38+BL38</f>
        <v>2278.8999999999996</v>
      </c>
      <c r="CG38" s="80"/>
      <c r="CH38" s="75">
        <f t="shared" si="126"/>
        <v>26.014840182648395</v>
      </c>
      <c r="CI38" s="84"/>
      <c r="CJ38" s="76">
        <f>CL38+CN38</f>
        <v>405542</v>
      </c>
      <c r="CK38" s="77"/>
      <c r="CL38" s="82">
        <f t="shared" si="9"/>
        <v>229729</v>
      </c>
      <c r="CM38" s="94"/>
      <c r="CN38" s="99">
        <f t="shared" si="10"/>
        <v>175813</v>
      </c>
      <c r="CO38" s="94"/>
      <c r="CP38" s="82">
        <f t="shared" si="11"/>
        <v>229729</v>
      </c>
      <c r="CQ38" s="79"/>
      <c r="CR38" s="79">
        <f t="shared" si="12"/>
        <v>170343</v>
      </c>
      <c r="CS38" s="93"/>
      <c r="CT38" s="82">
        <f t="shared" si="13"/>
        <v>0</v>
      </c>
      <c r="CU38" s="79"/>
      <c r="CV38" s="79">
        <f t="shared" si="14"/>
        <v>5470</v>
      </c>
      <c r="CW38" s="93"/>
      <c r="CX38" s="82">
        <f t="shared" si="30"/>
        <v>100.80696827416737</v>
      </c>
      <c r="CY38" s="147"/>
    </row>
    <row r="39" spans="1:103" ht="15.75" customHeight="1" x14ac:dyDescent="0.25">
      <c r="A39" s="553"/>
      <c r="B39" s="145"/>
      <c r="C39" s="72" t="s">
        <v>33</v>
      </c>
      <c r="D39" s="73">
        <f>169.1+29.3</f>
        <v>198.4</v>
      </c>
      <c r="E39" s="74"/>
      <c r="F39" s="75">
        <f t="shared" si="121"/>
        <v>9.1894395553496988</v>
      </c>
      <c r="G39" s="75"/>
      <c r="H39" s="78">
        <f t="shared" si="117"/>
        <v>38350</v>
      </c>
      <c r="I39" s="84">
        <f t="shared" si="117"/>
        <v>0</v>
      </c>
      <c r="J39" s="78">
        <f t="shared" si="122"/>
        <v>24842</v>
      </c>
      <c r="K39" s="79"/>
      <c r="L39" s="80">
        <f t="shared" si="122"/>
        <v>13508</v>
      </c>
      <c r="M39" s="81"/>
      <c r="N39" s="82">
        <f>17554+1539</f>
        <v>19093</v>
      </c>
      <c r="O39" s="102"/>
      <c r="P39" s="79">
        <f>12095+799</f>
        <v>12894</v>
      </c>
      <c r="Q39" s="84"/>
      <c r="R39" s="80">
        <v>5749</v>
      </c>
      <c r="S39" s="79"/>
      <c r="T39" s="79">
        <f>576+38</f>
        <v>614</v>
      </c>
      <c r="U39" s="103"/>
      <c r="V39" s="80">
        <f t="shared" si="21"/>
        <v>125.21169354838709</v>
      </c>
      <c r="W39" s="86"/>
      <c r="X39" s="87">
        <f>171.7+29.2</f>
        <v>200.89999999999998</v>
      </c>
      <c r="Y39" s="88"/>
      <c r="Z39" s="75">
        <f t="shared" si="118"/>
        <v>9.1987179487179471</v>
      </c>
      <c r="AA39" s="75"/>
      <c r="AB39" s="78">
        <f t="shared" si="119"/>
        <v>47461</v>
      </c>
      <c r="AC39" s="84">
        <f t="shared" si="119"/>
        <v>0</v>
      </c>
      <c r="AD39" s="78">
        <f t="shared" si="123"/>
        <v>24806</v>
      </c>
      <c r="AE39" s="79"/>
      <c r="AF39" s="80">
        <f t="shared" si="123"/>
        <v>22655</v>
      </c>
      <c r="AG39" s="81"/>
      <c r="AH39" s="80">
        <f>17522+1535</f>
        <v>19057</v>
      </c>
      <c r="AI39" s="102"/>
      <c r="AJ39" s="79">
        <f>20660+1363</f>
        <v>22023</v>
      </c>
      <c r="AK39" s="84"/>
      <c r="AL39" s="80">
        <v>5749</v>
      </c>
      <c r="AM39" s="79"/>
      <c r="AN39" s="79">
        <f>593+39</f>
        <v>632</v>
      </c>
      <c r="AO39" s="103"/>
      <c r="AP39" s="80">
        <f t="shared" si="24"/>
        <v>123.47436535589847</v>
      </c>
      <c r="AQ39" s="89"/>
      <c r="AR39" s="90">
        <f>174.2+29.3</f>
        <v>203.5</v>
      </c>
      <c r="AS39" s="74"/>
      <c r="AT39" s="74">
        <f>(AR39/2208)*100</f>
        <v>9.2164855072463769</v>
      </c>
      <c r="AU39" s="91"/>
      <c r="AV39" s="80">
        <f>AX39+AZ39</f>
        <v>37900</v>
      </c>
      <c r="AW39" s="144">
        <f t="shared" si="77"/>
        <v>0</v>
      </c>
      <c r="AX39" s="78">
        <f t="shared" si="124"/>
        <v>20096</v>
      </c>
      <c r="AY39" s="93"/>
      <c r="AZ39" s="79">
        <f t="shared" si="124"/>
        <v>17804</v>
      </c>
      <c r="BA39" s="93"/>
      <c r="BB39" s="78">
        <f>17710+1533</f>
        <v>19243</v>
      </c>
      <c r="BC39" s="102"/>
      <c r="BD39" s="79">
        <f>16029+1324</f>
        <v>17353</v>
      </c>
      <c r="BE39" s="84"/>
      <c r="BF39" s="86">
        <v>853</v>
      </c>
      <c r="BG39" s="93"/>
      <c r="BH39" s="93">
        <f>417+34</f>
        <v>451</v>
      </c>
      <c r="BI39" s="103"/>
      <c r="BJ39" s="94">
        <f t="shared" si="103"/>
        <v>98.751842751842759</v>
      </c>
      <c r="BK39" s="94"/>
      <c r="BL39" s="87">
        <f>173.2+29.3</f>
        <v>202.5</v>
      </c>
      <c r="BM39" s="79"/>
      <c r="BN39" s="75">
        <f t="shared" si="26"/>
        <v>9.167043911272069</v>
      </c>
      <c r="BO39" s="84"/>
      <c r="BP39" s="82">
        <f t="shared" si="120"/>
        <v>35453</v>
      </c>
      <c r="BQ39" s="82">
        <f t="shared" si="120"/>
        <v>0</v>
      </c>
      <c r="BR39" s="78">
        <f t="shared" si="125"/>
        <v>20224</v>
      </c>
      <c r="BS39" s="79"/>
      <c r="BT39" s="79">
        <f t="shared" si="125"/>
        <v>15229</v>
      </c>
      <c r="BU39" s="84"/>
      <c r="BV39" s="80">
        <f>17838+1533</f>
        <v>19371</v>
      </c>
      <c r="BW39" s="105"/>
      <c r="BX39" s="79">
        <f>13658+1120</f>
        <v>14778</v>
      </c>
      <c r="BY39" s="84"/>
      <c r="BZ39" s="80">
        <v>853</v>
      </c>
      <c r="CA39" s="79"/>
      <c r="CB39" s="79">
        <f>417+34</f>
        <v>451</v>
      </c>
      <c r="CC39" s="106"/>
      <c r="CD39" s="82">
        <f t="shared" si="28"/>
        <v>99.871604938271602</v>
      </c>
      <c r="CE39" s="89"/>
      <c r="CF39" s="97">
        <f>D39+X39+AR39+BL39</f>
        <v>805.3</v>
      </c>
      <c r="CG39" s="80"/>
      <c r="CH39" s="75">
        <f t="shared" si="126"/>
        <v>9.192922374429223</v>
      </c>
      <c r="CI39" s="84"/>
      <c r="CJ39" s="76">
        <f>CL39+CN39</f>
        <v>159164</v>
      </c>
      <c r="CK39" s="77"/>
      <c r="CL39" s="82">
        <f t="shared" si="9"/>
        <v>89968</v>
      </c>
      <c r="CM39" s="94"/>
      <c r="CN39" s="99">
        <f t="shared" si="10"/>
        <v>69196</v>
      </c>
      <c r="CO39" s="94"/>
      <c r="CP39" s="82">
        <f t="shared" si="11"/>
        <v>76764</v>
      </c>
      <c r="CQ39" s="79"/>
      <c r="CR39" s="79">
        <f t="shared" si="12"/>
        <v>67048</v>
      </c>
      <c r="CS39" s="93"/>
      <c r="CT39" s="82">
        <f t="shared" si="13"/>
        <v>13204</v>
      </c>
      <c r="CU39" s="79"/>
      <c r="CV39" s="79">
        <f t="shared" si="14"/>
        <v>2148</v>
      </c>
      <c r="CW39" s="93"/>
      <c r="CX39" s="82">
        <f t="shared" si="30"/>
        <v>111.71985595430274</v>
      </c>
      <c r="CY39" s="147"/>
    </row>
    <row r="40" spans="1:103" ht="15.75" customHeight="1" x14ac:dyDescent="0.25">
      <c r="A40" s="553"/>
      <c r="B40" s="145"/>
      <c r="C40" s="72" t="s">
        <v>34</v>
      </c>
      <c r="D40" s="73">
        <v>6</v>
      </c>
      <c r="E40" s="74"/>
      <c r="F40" s="75">
        <f t="shared" si="121"/>
        <v>0.2779064381658175</v>
      </c>
      <c r="G40" s="75"/>
      <c r="H40" s="78">
        <f t="shared" si="117"/>
        <v>1487</v>
      </c>
      <c r="I40" s="84">
        <f t="shared" si="117"/>
        <v>0</v>
      </c>
      <c r="J40" s="78">
        <f t="shared" si="122"/>
        <v>963</v>
      </c>
      <c r="K40" s="79"/>
      <c r="L40" s="80">
        <f t="shared" si="122"/>
        <v>524</v>
      </c>
      <c r="M40" s="81"/>
      <c r="N40" s="82">
        <v>963</v>
      </c>
      <c r="O40" s="102"/>
      <c r="P40" s="79">
        <v>500</v>
      </c>
      <c r="Q40" s="84"/>
      <c r="R40" s="80">
        <v>0</v>
      </c>
      <c r="S40" s="79"/>
      <c r="T40" s="79">
        <v>24</v>
      </c>
      <c r="U40" s="103"/>
      <c r="V40" s="80">
        <f t="shared" si="21"/>
        <v>160.5</v>
      </c>
      <c r="W40" s="86"/>
      <c r="X40" s="87">
        <v>5.5</v>
      </c>
      <c r="Y40" s="88"/>
      <c r="Z40" s="75">
        <f t="shared" si="118"/>
        <v>0.25183150183150182</v>
      </c>
      <c r="AA40" s="75"/>
      <c r="AB40" s="78">
        <f t="shared" si="119"/>
        <v>1703</v>
      </c>
      <c r="AC40" s="84">
        <f t="shared" si="119"/>
        <v>0</v>
      </c>
      <c r="AD40" s="78">
        <f t="shared" si="123"/>
        <v>890</v>
      </c>
      <c r="AE40" s="79"/>
      <c r="AF40" s="80">
        <f t="shared" si="123"/>
        <v>813</v>
      </c>
      <c r="AG40" s="81"/>
      <c r="AH40" s="80">
        <v>890</v>
      </c>
      <c r="AI40" s="102"/>
      <c r="AJ40" s="79">
        <v>790</v>
      </c>
      <c r="AK40" s="84"/>
      <c r="AL40" s="80">
        <v>0</v>
      </c>
      <c r="AM40" s="79"/>
      <c r="AN40" s="79">
        <v>23</v>
      </c>
      <c r="AO40" s="103"/>
      <c r="AP40" s="80">
        <f t="shared" si="24"/>
        <v>161.81818181818181</v>
      </c>
      <c r="AQ40" s="89"/>
      <c r="AR40" s="90">
        <v>7</v>
      </c>
      <c r="AS40" s="74"/>
      <c r="AT40" s="74">
        <f>(AR40/2208)*100</f>
        <v>0.3170289855072464</v>
      </c>
      <c r="AU40" s="91"/>
      <c r="AV40" s="80">
        <f>AX40+AZ40</f>
        <v>2091</v>
      </c>
      <c r="AW40" s="144">
        <f t="shared" si="77"/>
        <v>0</v>
      </c>
      <c r="AX40" s="78">
        <f t="shared" si="124"/>
        <v>1109</v>
      </c>
      <c r="AY40" s="93"/>
      <c r="AZ40" s="79">
        <f t="shared" si="124"/>
        <v>982</v>
      </c>
      <c r="BA40" s="93"/>
      <c r="BB40" s="78">
        <v>1109</v>
      </c>
      <c r="BC40" s="102"/>
      <c r="BD40" s="79">
        <v>957</v>
      </c>
      <c r="BE40" s="84"/>
      <c r="BF40" s="86">
        <v>0</v>
      </c>
      <c r="BG40" s="93"/>
      <c r="BH40" s="93">
        <v>25</v>
      </c>
      <c r="BI40" s="103"/>
      <c r="BJ40" s="94">
        <f t="shared" si="103"/>
        <v>158.42857142857142</v>
      </c>
      <c r="BK40" s="94"/>
      <c r="BL40" s="87">
        <v>5</v>
      </c>
      <c r="BM40" s="79"/>
      <c r="BN40" s="75">
        <f t="shared" si="26"/>
        <v>0.22634676324128564</v>
      </c>
      <c r="BO40" s="84"/>
      <c r="BP40" s="82">
        <f t="shared" si="120"/>
        <v>1431</v>
      </c>
      <c r="BQ40" s="82">
        <f t="shared" si="120"/>
        <v>0</v>
      </c>
      <c r="BR40" s="78">
        <f t="shared" si="125"/>
        <v>816</v>
      </c>
      <c r="BS40" s="79"/>
      <c r="BT40" s="79">
        <f t="shared" si="125"/>
        <v>615</v>
      </c>
      <c r="BU40" s="84"/>
      <c r="BV40" s="80">
        <v>816</v>
      </c>
      <c r="BW40" s="105"/>
      <c r="BX40" s="79">
        <v>597</v>
      </c>
      <c r="BY40" s="84"/>
      <c r="BZ40" s="80">
        <v>0</v>
      </c>
      <c r="CA40" s="79"/>
      <c r="CB40" s="79">
        <v>18</v>
      </c>
      <c r="CC40" s="106"/>
      <c r="CD40" s="82">
        <f t="shared" si="28"/>
        <v>163.19999999999999</v>
      </c>
      <c r="CE40" s="89"/>
      <c r="CF40" s="97">
        <f>D40+X40+AR40+BL40</f>
        <v>23.5</v>
      </c>
      <c r="CG40" s="80"/>
      <c r="CH40" s="75">
        <f t="shared" si="126"/>
        <v>0.2682648401826484</v>
      </c>
      <c r="CI40" s="84"/>
      <c r="CJ40" s="76">
        <f>CL40+CN40</f>
        <v>6712</v>
      </c>
      <c r="CK40" s="77"/>
      <c r="CL40" s="82">
        <f t="shared" si="9"/>
        <v>3778</v>
      </c>
      <c r="CM40" s="94"/>
      <c r="CN40" s="99">
        <f t="shared" si="10"/>
        <v>2934</v>
      </c>
      <c r="CO40" s="94"/>
      <c r="CP40" s="82">
        <f t="shared" si="11"/>
        <v>3778</v>
      </c>
      <c r="CQ40" s="79"/>
      <c r="CR40" s="79">
        <f t="shared" si="12"/>
        <v>2844</v>
      </c>
      <c r="CS40" s="93"/>
      <c r="CT40" s="82">
        <f t="shared" si="13"/>
        <v>0</v>
      </c>
      <c r="CU40" s="79"/>
      <c r="CV40" s="79">
        <f t="shared" si="14"/>
        <v>90</v>
      </c>
      <c r="CW40" s="93"/>
      <c r="CX40" s="82">
        <f t="shared" si="30"/>
        <v>160.7659574468085</v>
      </c>
      <c r="CY40" s="147"/>
    </row>
    <row r="41" spans="1:103" s="138" customFormat="1" ht="29.25" customHeight="1" x14ac:dyDescent="0.25">
      <c r="A41" s="553"/>
      <c r="B41" s="142" t="s">
        <v>41</v>
      </c>
      <c r="C41" s="143"/>
      <c r="D41" s="112">
        <f>SUM(D42:D45)</f>
        <v>651.1</v>
      </c>
      <c r="E41" s="113"/>
      <c r="F41" s="114"/>
      <c r="G41" s="114"/>
      <c r="H41" s="115">
        <f t="shared" ref="H41:T41" si="127">SUM(H42:H45)</f>
        <v>127176</v>
      </c>
      <c r="I41" s="116">
        <f t="shared" si="127"/>
        <v>0</v>
      </c>
      <c r="J41" s="115">
        <f t="shared" si="127"/>
        <v>82382</v>
      </c>
      <c r="K41" s="117"/>
      <c r="L41" s="118">
        <f t="shared" si="127"/>
        <v>44794</v>
      </c>
      <c r="M41" s="119"/>
      <c r="N41" s="120">
        <f t="shared" si="127"/>
        <v>82382</v>
      </c>
      <c r="O41" s="121"/>
      <c r="P41" s="121">
        <f t="shared" si="127"/>
        <v>42759</v>
      </c>
      <c r="Q41" s="124"/>
      <c r="R41" s="121">
        <f t="shared" si="127"/>
        <v>0</v>
      </c>
      <c r="S41" s="121"/>
      <c r="T41" s="121">
        <f t="shared" si="127"/>
        <v>2035</v>
      </c>
      <c r="U41" s="124"/>
      <c r="V41" s="121">
        <f t="shared" si="21"/>
        <v>126.52741514360312</v>
      </c>
      <c r="W41" s="125"/>
      <c r="X41" s="126">
        <f>SUM(X42:X45)</f>
        <v>659.8</v>
      </c>
      <c r="Y41" s="127"/>
      <c r="Z41" s="114"/>
      <c r="AA41" s="114"/>
      <c r="AB41" s="115">
        <f t="shared" ref="AB41:AN41" si="128">SUM(AB42:AB45)</f>
        <v>164307</v>
      </c>
      <c r="AC41" s="116">
        <f t="shared" si="128"/>
        <v>0</v>
      </c>
      <c r="AD41" s="115">
        <f t="shared" si="128"/>
        <v>85878</v>
      </c>
      <c r="AE41" s="117"/>
      <c r="AF41" s="118">
        <f t="shared" si="128"/>
        <v>78429</v>
      </c>
      <c r="AG41" s="119"/>
      <c r="AH41" s="121">
        <f t="shared" si="128"/>
        <v>85878</v>
      </c>
      <c r="AI41" s="121"/>
      <c r="AJ41" s="121">
        <f t="shared" si="128"/>
        <v>76241</v>
      </c>
      <c r="AK41" s="123"/>
      <c r="AL41" s="121">
        <f t="shared" si="128"/>
        <v>0</v>
      </c>
      <c r="AM41" s="121"/>
      <c r="AN41" s="121">
        <f t="shared" si="128"/>
        <v>2188</v>
      </c>
      <c r="AO41" s="124"/>
      <c r="AP41" s="121">
        <f t="shared" si="24"/>
        <v>130.15762352227949</v>
      </c>
      <c r="AQ41" s="128"/>
      <c r="AR41" s="129">
        <f>SUM(AR42:AR45)</f>
        <v>668.19999999999993</v>
      </c>
      <c r="AS41" s="130"/>
      <c r="AT41" s="113"/>
      <c r="AU41" s="131"/>
      <c r="AV41" s="118">
        <f>SUM(AV42:AV45)</f>
        <v>154994</v>
      </c>
      <c r="AW41" s="119">
        <f t="shared" si="77"/>
        <v>0</v>
      </c>
      <c r="AX41" s="115">
        <f t="shared" ref="AX41:BH41" si="129">SUM(AX42:AX45)</f>
        <v>82184</v>
      </c>
      <c r="AY41" s="132"/>
      <c r="AZ41" s="117">
        <f t="shared" si="129"/>
        <v>72810</v>
      </c>
      <c r="BA41" s="132"/>
      <c r="BB41" s="115">
        <f t="shared" si="129"/>
        <v>82184</v>
      </c>
      <c r="BC41" s="122"/>
      <c r="BD41" s="122">
        <f t="shared" si="129"/>
        <v>70964</v>
      </c>
      <c r="BE41" s="116"/>
      <c r="BF41" s="118">
        <f t="shared" si="129"/>
        <v>0</v>
      </c>
      <c r="BG41" s="118"/>
      <c r="BH41" s="118">
        <f t="shared" si="129"/>
        <v>1846</v>
      </c>
      <c r="BI41" s="133"/>
      <c r="BJ41" s="120">
        <f t="shared" si="103"/>
        <v>122.99311583358278</v>
      </c>
      <c r="BK41" s="132"/>
      <c r="BL41" s="126">
        <f>SUM(BL42:BL45)</f>
        <v>662.4</v>
      </c>
      <c r="BM41" s="122"/>
      <c r="BN41" s="114"/>
      <c r="BO41" s="123"/>
      <c r="BP41" s="134">
        <f t="shared" ref="BP41:CB41" si="130">SUM(BP42:BP45)</f>
        <v>143357</v>
      </c>
      <c r="BQ41" s="134">
        <f t="shared" si="130"/>
        <v>0</v>
      </c>
      <c r="BR41" s="115">
        <f t="shared" si="130"/>
        <v>81776</v>
      </c>
      <c r="BS41" s="122"/>
      <c r="BT41" s="122">
        <f t="shared" si="130"/>
        <v>61581</v>
      </c>
      <c r="BU41" s="123"/>
      <c r="BV41" s="121">
        <f t="shared" si="130"/>
        <v>81776</v>
      </c>
      <c r="BW41" s="121"/>
      <c r="BX41" s="121">
        <f t="shared" si="130"/>
        <v>59754</v>
      </c>
      <c r="BY41" s="123"/>
      <c r="BZ41" s="121">
        <f t="shared" si="130"/>
        <v>0</v>
      </c>
      <c r="CA41" s="121"/>
      <c r="CB41" s="121">
        <f t="shared" si="130"/>
        <v>1827</v>
      </c>
      <c r="CC41" s="121"/>
      <c r="CD41" s="120">
        <f t="shared" si="28"/>
        <v>123.45410628019324</v>
      </c>
      <c r="CE41" s="128"/>
      <c r="CF41" s="135">
        <f>SUM(CF42:CF45)</f>
        <v>2641.5</v>
      </c>
      <c r="CG41" s="121"/>
      <c r="CH41" s="114"/>
      <c r="CI41" s="123"/>
      <c r="CJ41" s="115">
        <f>SUM(CJ42:CJ45)</f>
        <v>589834</v>
      </c>
      <c r="CK41" s="116"/>
      <c r="CL41" s="120">
        <f t="shared" si="9"/>
        <v>332220</v>
      </c>
      <c r="CM41" s="132"/>
      <c r="CN41" s="117">
        <f t="shared" si="10"/>
        <v>257614</v>
      </c>
      <c r="CO41" s="132"/>
      <c r="CP41" s="120">
        <f t="shared" si="11"/>
        <v>332220</v>
      </c>
      <c r="CQ41" s="122"/>
      <c r="CR41" s="122">
        <f t="shared" si="12"/>
        <v>249718</v>
      </c>
      <c r="CS41" s="136"/>
      <c r="CT41" s="120">
        <f t="shared" si="13"/>
        <v>0</v>
      </c>
      <c r="CU41" s="122"/>
      <c r="CV41" s="122">
        <f t="shared" si="14"/>
        <v>7896</v>
      </c>
      <c r="CW41" s="136"/>
      <c r="CX41" s="120">
        <f t="shared" si="30"/>
        <v>125.7694491766042</v>
      </c>
      <c r="CY41" s="148"/>
    </row>
    <row r="42" spans="1:103" s="1" customFormat="1" ht="15.75" customHeight="1" x14ac:dyDescent="0.25">
      <c r="A42" s="553"/>
      <c r="B42" s="149"/>
      <c r="C42" s="72" t="s">
        <v>30</v>
      </c>
      <c r="D42" s="73">
        <v>386</v>
      </c>
      <c r="E42" s="74"/>
      <c r="F42" s="75">
        <f>(D42/2159)*100</f>
        <v>17.878647522000925</v>
      </c>
      <c r="G42" s="75"/>
      <c r="H42" s="78">
        <f t="shared" ref="H42:I45" si="131">J42+L42</f>
        <v>87731</v>
      </c>
      <c r="I42" s="84">
        <f t="shared" si="131"/>
        <v>0</v>
      </c>
      <c r="J42" s="78">
        <f>N42+R42</f>
        <v>56830</v>
      </c>
      <c r="K42" s="79"/>
      <c r="L42" s="80">
        <f>P42+T42</f>
        <v>30901</v>
      </c>
      <c r="M42" s="81"/>
      <c r="N42" s="82">
        <v>56830</v>
      </c>
      <c r="O42" s="79"/>
      <c r="P42" s="79">
        <v>29497</v>
      </c>
      <c r="Q42" s="84"/>
      <c r="R42" s="80">
        <v>0</v>
      </c>
      <c r="S42" s="79"/>
      <c r="T42" s="79">
        <v>1404</v>
      </c>
      <c r="U42" s="84"/>
      <c r="V42" s="80">
        <f t="shared" si="21"/>
        <v>147.22797927461139</v>
      </c>
      <c r="W42" s="86"/>
      <c r="X42" s="87">
        <v>389.7</v>
      </c>
      <c r="Y42" s="88"/>
      <c r="Z42" s="75">
        <f t="shared" ref="Z42:Z45" si="132">(X42/2184)*100</f>
        <v>17.843406593406595</v>
      </c>
      <c r="AA42" s="75"/>
      <c r="AB42" s="78">
        <f t="shared" ref="AB42:AC45" si="133">AD42+AF42</f>
        <v>115996</v>
      </c>
      <c r="AC42" s="84">
        <f t="shared" si="133"/>
        <v>0</v>
      </c>
      <c r="AD42" s="78">
        <f>AH42+AL42</f>
        <v>60628</v>
      </c>
      <c r="AE42" s="79"/>
      <c r="AF42" s="80">
        <f>AJ42+AN42</f>
        <v>55368</v>
      </c>
      <c r="AG42" s="81"/>
      <c r="AH42" s="80">
        <v>60628</v>
      </c>
      <c r="AI42" s="79"/>
      <c r="AJ42" s="79">
        <v>53824</v>
      </c>
      <c r="AK42" s="84"/>
      <c r="AL42" s="80">
        <v>0</v>
      </c>
      <c r="AM42" s="79"/>
      <c r="AN42" s="79">
        <v>1544</v>
      </c>
      <c r="AO42" s="84"/>
      <c r="AP42" s="80">
        <f t="shared" si="24"/>
        <v>155.57608416730818</v>
      </c>
      <c r="AQ42" s="89"/>
      <c r="AR42" s="90">
        <v>393.5</v>
      </c>
      <c r="AS42" s="74"/>
      <c r="AT42" s="74">
        <f>(AR42/2208)*100</f>
        <v>17.821557971014492</v>
      </c>
      <c r="AU42" s="91"/>
      <c r="AV42" s="80">
        <f>AX42+AZ42</f>
        <v>106630</v>
      </c>
      <c r="AW42" s="144">
        <f t="shared" si="77"/>
        <v>0</v>
      </c>
      <c r="AX42" s="78">
        <f>BB42+BF42</f>
        <v>56539</v>
      </c>
      <c r="AY42" s="93"/>
      <c r="AZ42" s="79">
        <f>BD42+BH42</f>
        <v>50091</v>
      </c>
      <c r="BA42" s="93"/>
      <c r="BB42" s="78">
        <v>56539</v>
      </c>
      <c r="BC42" s="79"/>
      <c r="BD42" s="79">
        <v>48821</v>
      </c>
      <c r="BE42" s="84"/>
      <c r="BF42" s="86">
        <v>0</v>
      </c>
      <c r="BG42" s="93"/>
      <c r="BH42" s="93">
        <v>1270</v>
      </c>
      <c r="BI42" s="84"/>
      <c r="BJ42" s="94">
        <f t="shared" si="103"/>
        <v>143.68233799237612</v>
      </c>
      <c r="BK42" s="94"/>
      <c r="BL42" s="87">
        <v>387.6</v>
      </c>
      <c r="BM42" s="79"/>
      <c r="BN42" s="75">
        <f t="shared" si="26"/>
        <v>17.546401086464464</v>
      </c>
      <c r="BO42" s="84"/>
      <c r="BP42" s="82">
        <f t="shared" ref="BP42:BQ45" si="134">BR42+BT42</f>
        <v>98754</v>
      </c>
      <c r="BQ42" s="82">
        <f t="shared" si="134"/>
        <v>0</v>
      </c>
      <c r="BR42" s="78">
        <f>BV42+BZ42</f>
        <v>56333</v>
      </c>
      <c r="BS42" s="79"/>
      <c r="BT42" s="79">
        <f>BX42+CB42</f>
        <v>42421</v>
      </c>
      <c r="BU42" s="84"/>
      <c r="BV42" s="80">
        <v>56333</v>
      </c>
      <c r="BW42" s="150"/>
      <c r="BX42" s="79">
        <v>41163</v>
      </c>
      <c r="BY42" s="84"/>
      <c r="BZ42" s="80">
        <v>0</v>
      </c>
      <c r="CA42" s="79"/>
      <c r="CB42" s="79">
        <v>1258</v>
      </c>
      <c r="CC42" s="151"/>
      <c r="CD42" s="82">
        <f t="shared" si="28"/>
        <v>145.33797729618163</v>
      </c>
      <c r="CE42" s="89"/>
      <c r="CF42" s="97">
        <f>D42+X42+AR42+BL42</f>
        <v>1556.8000000000002</v>
      </c>
      <c r="CG42" s="80"/>
      <c r="CH42" s="75">
        <f>(CF42/8760)*100</f>
        <v>17.771689497716896</v>
      </c>
      <c r="CI42" s="103"/>
      <c r="CJ42" s="76">
        <f>CL42+CN42</f>
        <v>409111</v>
      </c>
      <c r="CK42" s="77"/>
      <c r="CL42" s="82">
        <f t="shared" si="9"/>
        <v>230330</v>
      </c>
      <c r="CM42" s="94"/>
      <c r="CN42" s="99">
        <f t="shared" si="10"/>
        <v>178781</v>
      </c>
      <c r="CO42" s="152"/>
      <c r="CP42" s="82">
        <f t="shared" si="11"/>
        <v>230330</v>
      </c>
      <c r="CQ42" s="79"/>
      <c r="CR42" s="79">
        <f t="shared" si="12"/>
        <v>173305</v>
      </c>
      <c r="CS42" s="93"/>
      <c r="CT42" s="82">
        <f t="shared" si="13"/>
        <v>0</v>
      </c>
      <c r="CU42" s="79"/>
      <c r="CV42" s="79">
        <f t="shared" si="14"/>
        <v>5476</v>
      </c>
      <c r="CW42" s="93"/>
      <c r="CX42" s="82">
        <f t="shared" si="30"/>
        <v>147.95092497430625</v>
      </c>
      <c r="CY42" s="147"/>
    </row>
    <row r="43" spans="1:103" s="1" customFormat="1" ht="15.75" customHeight="1" x14ac:dyDescent="0.25">
      <c r="A43" s="553"/>
      <c r="B43" s="149"/>
      <c r="C43" s="153" t="s">
        <v>31</v>
      </c>
      <c r="D43" s="73">
        <v>54</v>
      </c>
      <c r="E43" s="74"/>
      <c r="F43" s="75">
        <f t="shared" ref="F43:F45" si="135">(D43/2159)*100</f>
        <v>2.5011579434923576</v>
      </c>
      <c r="G43" s="75"/>
      <c r="H43" s="78">
        <f t="shared" si="131"/>
        <v>14699</v>
      </c>
      <c r="I43" s="84">
        <f t="shared" si="131"/>
        <v>0</v>
      </c>
      <c r="J43" s="78">
        <f t="shared" ref="J43:L45" si="136">N43+R43</f>
        <v>9522</v>
      </c>
      <c r="K43" s="79"/>
      <c r="L43" s="80">
        <f t="shared" si="136"/>
        <v>5177</v>
      </c>
      <c r="M43" s="81"/>
      <c r="N43" s="82">
        <f>7915+1607</f>
        <v>9522</v>
      </c>
      <c r="O43" s="79"/>
      <c r="P43" s="79">
        <v>4942</v>
      </c>
      <c r="Q43" s="84"/>
      <c r="R43" s="80">
        <v>0</v>
      </c>
      <c r="S43" s="79"/>
      <c r="T43" s="79">
        <v>235</v>
      </c>
      <c r="U43" s="84"/>
      <c r="V43" s="80">
        <f t="shared" si="21"/>
        <v>176.33333333333334</v>
      </c>
      <c r="W43" s="86"/>
      <c r="X43" s="87">
        <v>53.2</v>
      </c>
      <c r="Y43" s="88"/>
      <c r="Z43" s="75">
        <f t="shared" si="132"/>
        <v>2.4358974358974361</v>
      </c>
      <c r="AA43" s="75"/>
      <c r="AB43" s="78">
        <f t="shared" si="133"/>
        <v>17857</v>
      </c>
      <c r="AC43" s="84">
        <f t="shared" si="133"/>
        <v>0</v>
      </c>
      <c r="AD43" s="78">
        <f t="shared" ref="AD43:AF45" si="137">AH43+AL43</f>
        <v>9333</v>
      </c>
      <c r="AE43" s="79"/>
      <c r="AF43" s="80">
        <f t="shared" si="137"/>
        <v>8524</v>
      </c>
      <c r="AG43" s="81"/>
      <c r="AH43" s="80">
        <f>7726+1607</f>
        <v>9333</v>
      </c>
      <c r="AI43" s="79"/>
      <c r="AJ43" s="79">
        <v>8286</v>
      </c>
      <c r="AK43" s="84"/>
      <c r="AL43" s="80">
        <v>0</v>
      </c>
      <c r="AM43" s="79"/>
      <c r="AN43" s="79">
        <v>238</v>
      </c>
      <c r="AO43" s="84"/>
      <c r="AP43" s="80">
        <f t="shared" si="24"/>
        <v>175.43233082706766</v>
      </c>
      <c r="AQ43" s="89"/>
      <c r="AR43" s="90">
        <v>54.2</v>
      </c>
      <c r="AS43" s="74"/>
      <c r="AT43" s="74">
        <f>(AR43/2208)*100</f>
        <v>2.4547101449275366</v>
      </c>
      <c r="AU43" s="91"/>
      <c r="AV43" s="80">
        <f>AX43+AZ43</f>
        <v>17995</v>
      </c>
      <c r="AW43" s="144">
        <f t="shared" si="77"/>
        <v>0</v>
      </c>
      <c r="AX43" s="78">
        <f t="shared" ref="AX43:AZ45" si="138">BB43+BF43</f>
        <v>9542</v>
      </c>
      <c r="AY43" s="93"/>
      <c r="AZ43" s="79">
        <f t="shared" si="138"/>
        <v>8453</v>
      </c>
      <c r="BA43" s="93"/>
      <c r="BB43" s="78">
        <f>7935+1607</f>
        <v>9542</v>
      </c>
      <c r="BC43" s="79"/>
      <c r="BD43" s="79">
        <v>8239</v>
      </c>
      <c r="BE43" s="84"/>
      <c r="BF43" s="86">
        <v>0</v>
      </c>
      <c r="BG43" s="93"/>
      <c r="BH43" s="93">
        <v>214</v>
      </c>
      <c r="BI43" s="84"/>
      <c r="BJ43" s="94">
        <f t="shared" si="103"/>
        <v>176.05166051660515</v>
      </c>
      <c r="BK43" s="94"/>
      <c r="BL43" s="87">
        <v>55.1</v>
      </c>
      <c r="BM43" s="79"/>
      <c r="BN43" s="75">
        <f t="shared" si="26"/>
        <v>2.4943413309189677</v>
      </c>
      <c r="BO43" s="84"/>
      <c r="BP43" s="82">
        <f t="shared" si="134"/>
        <v>16714</v>
      </c>
      <c r="BQ43" s="82">
        <f t="shared" si="134"/>
        <v>0</v>
      </c>
      <c r="BR43" s="78">
        <f t="shared" ref="BR43:BT45" si="139">BV43+BZ43</f>
        <v>9534</v>
      </c>
      <c r="BS43" s="79"/>
      <c r="BT43" s="79">
        <f t="shared" si="139"/>
        <v>7180</v>
      </c>
      <c r="BU43" s="84"/>
      <c r="BV43" s="80">
        <f>7927+1607</f>
        <v>9534</v>
      </c>
      <c r="BW43" s="150"/>
      <c r="BX43" s="79">
        <v>6967</v>
      </c>
      <c r="BY43" s="84"/>
      <c r="BZ43" s="80">
        <v>0</v>
      </c>
      <c r="CA43" s="79"/>
      <c r="CB43" s="79">
        <v>213</v>
      </c>
      <c r="CC43" s="151"/>
      <c r="CD43" s="82">
        <f t="shared" si="28"/>
        <v>173.03085299455535</v>
      </c>
      <c r="CE43" s="89"/>
      <c r="CF43" s="97">
        <f>D43+X43+AR43+BL43</f>
        <v>216.5</v>
      </c>
      <c r="CG43" s="80"/>
      <c r="CH43" s="75">
        <f t="shared" ref="CH43:CH45" si="140">(CF43/8760)*100</f>
        <v>2.4714611872146119</v>
      </c>
      <c r="CI43" s="103"/>
      <c r="CJ43" s="76">
        <f>CL43+CN43</f>
        <v>67265</v>
      </c>
      <c r="CK43" s="77"/>
      <c r="CL43" s="82">
        <f t="shared" si="9"/>
        <v>37931</v>
      </c>
      <c r="CM43" s="94"/>
      <c r="CN43" s="99">
        <f t="shared" si="10"/>
        <v>29334</v>
      </c>
      <c r="CO43" s="152"/>
      <c r="CP43" s="82">
        <f t="shared" si="11"/>
        <v>37931</v>
      </c>
      <c r="CQ43" s="79"/>
      <c r="CR43" s="79">
        <f t="shared" si="12"/>
        <v>28434</v>
      </c>
      <c r="CS43" s="93"/>
      <c r="CT43" s="82">
        <f t="shared" si="13"/>
        <v>0</v>
      </c>
      <c r="CU43" s="79"/>
      <c r="CV43" s="79">
        <f t="shared" si="14"/>
        <v>900</v>
      </c>
      <c r="CW43" s="93"/>
      <c r="CX43" s="82">
        <f t="shared" si="30"/>
        <v>175.20092378752886</v>
      </c>
      <c r="CY43" s="154"/>
    </row>
    <row r="44" spans="1:103" s="101" customFormat="1" ht="15.75" customHeight="1" x14ac:dyDescent="0.25">
      <c r="A44" s="553"/>
      <c r="B44" s="71"/>
      <c r="C44" s="72" t="s">
        <v>33</v>
      </c>
      <c r="D44" s="155">
        <v>196.1</v>
      </c>
      <c r="E44" s="156"/>
      <c r="F44" s="75">
        <f t="shared" si="135"/>
        <v>9.0829087540528022</v>
      </c>
      <c r="G44" s="75"/>
      <c r="H44" s="78">
        <f t="shared" si="131"/>
        <v>21344</v>
      </c>
      <c r="I44" s="84">
        <f t="shared" si="131"/>
        <v>0</v>
      </c>
      <c r="J44" s="78">
        <f t="shared" si="136"/>
        <v>13826</v>
      </c>
      <c r="K44" s="79"/>
      <c r="L44" s="80">
        <f t="shared" si="136"/>
        <v>7518</v>
      </c>
      <c r="M44" s="81"/>
      <c r="N44" s="157">
        <v>13826</v>
      </c>
      <c r="O44" s="83"/>
      <c r="P44" s="83">
        <v>7176</v>
      </c>
      <c r="Q44" s="85"/>
      <c r="R44" s="158">
        <v>0</v>
      </c>
      <c r="S44" s="83"/>
      <c r="T44" s="83">
        <v>342</v>
      </c>
      <c r="U44" s="85"/>
      <c r="V44" s="80">
        <f t="shared" si="21"/>
        <v>70.504844467108626</v>
      </c>
      <c r="W44" s="86"/>
      <c r="X44" s="159">
        <v>198.5</v>
      </c>
      <c r="Y44" s="88"/>
      <c r="Z44" s="75">
        <f t="shared" si="132"/>
        <v>9.0888278388278376</v>
      </c>
      <c r="AA44" s="75"/>
      <c r="AB44" s="78">
        <f t="shared" si="133"/>
        <v>26346</v>
      </c>
      <c r="AC44" s="84">
        <f t="shared" si="133"/>
        <v>0</v>
      </c>
      <c r="AD44" s="78">
        <f t="shared" si="137"/>
        <v>13770</v>
      </c>
      <c r="AE44" s="79"/>
      <c r="AF44" s="80">
        <f t="shared" si="137"/>
        <v>12576</v>
      </c>
      <c r="AG44" s="81"/>
      <c r="AH44" s="158">
        <v>13770</v>
      </c>
      <c r="AI44" s="83"/>
      <c r="AJ44" s="83">
        <v>12225</v>
      </c>
      <c r="AK44" s="85"/>
      <c r="AL44" s="158">
        <v>0</v>
      </c>
      <c r="AM44" s="83"/>
      <c r="AN44" s="83">
        <v>351</v>
      </c>
      <c r="AO44" s="85"/>
      <c r="AP44" s="80">
        <f t="shared" si="24"/>
        <v>69.370277078085635</v>
      </c>
      <c r="AQ44" s="89"/>
      <c r="AR44" s="160">
        <v>201.1</v>
      </c>
      <c r="AS44" s="74"/>
      <c r="AT44" s="74">
        <f>(AR44/2208)*100</f>
        <v>9.107789855072463</v>
      </c>
      <c r="AU44" s="91"/>
      <c r="AV44" s="80">
        <f>AX44+AZ44</f>
        <v>26179</v>
      </c>
      <c r="AW44" s="144">
        <f t="shared" si="77"/>
        <v>0</v>
      </c>
      <c r="AX44" s="78">
        <f>BB44+BF44</f>
        <v>13881</v>
      </c>
      <c r="AY44" s="93"/>
      <c r="AZ44" s="79">
        <f t="shared" si="138"/>
        <v>12298</v>
      </c>
      <c r="BA44" s="93"/>
      <c r="BB44" s="161">
        <v>13881</v>
      </c>
      <c r="BC44" s="83"/>
      <c r="BD44" s="83">
        <v>11986</v>
      </c>
      <c r="BE44" s="85"/>
      <c r="BF44" s="162">
        <v>0</v>
      </c>
      <c r="BG44" s="163"/>
      <c r="BH44" s="163">
        <v>312</v>
      </c>
      <c r="BI44" s="85"/>
      <c r="BJ44" s="94">
        <f t="shared" si="103"/>
        <v>69.025360517155647</v>
      </c>
      <c r="BK44" s="94"/>
      <c r="BL44" s="159">
        <v>202.8</v>
      </c>
      <c r="BM44" s="102"/>
      <c r="BN44" s="75">
        <f t="shared" si="26"/>
        <v>9.1806247170665465</v>
      </c>
      <c r="BO44" s="84"/>
      <c r="BP44" s="82">
        <f t="shared" si="134"/>
        <v>24385</v>
      </c>
      <c r="BQ44" s="82">
        <f t="shared" si="134"/>
        <v>0</v>
      </c>
      <c r="BR44" s="78">
        <f t="shared" si="139"/>
        <v>13910</v>
      </c>
      <c r="BS44" s="79"/>
      <c r="BT44" s="79">
        <f t="shared" si="139"/>
        <v>10475</v>
      </c>
      <c r="BU44" s="84"/>
      <c r="BV44" s="158">
        <v>13910</v>
      </c>
      <c r="BW44" s="95"/>
      <c r="BX44" s="83">
        <v>10164</v>
      </c>
      <c r="BY44" s="85"/>
      <c r="BZ44" s="158">
        <v>0</v>
      </c>
      <c r="CA44" s="83"/>
      <c r="CB44" s="83">
        <v>311</v>
      </c>
      <c r="CC44" s="96"/>
      <c r="CD44" s="82">
        <f t="shared" si="28"/>
        <v>68.589743589743591</v>
      </c>
      <c r="CE44" s="89"/>
      <c r="CF44" s="97">
        <f>D44+X44+AR44+BL44</f>
        <v>798.5</v>
      </c>
      <c r="CG44" s="80"/>
      <c r="CH44" s="75">
        <f t="shared" si="140"/>
        <v>9.1152968036529689</v>
      </c>
      <c r="CI44" s="103"/>
      <c r="CJ44" s="76">
        <f>CL44+CN44</f>
        <v>98254</v>
      </c>
      <c r="CK44" s="77"/>
      <c r="CL44" s="82">
        <f t="shared" si="9"/>
        <v>55387</v>
      </c>
      <c r="CM44" s="94"/>
      <c r="CN44" s="99">
        <f t="shared" si="10"/>
        <v>42867</v>
      </c>
      <c r="CO44" s="152"/>
      <c r="CP44" s="82">
        <f t="shared" si="11"/>
        <v>55387</v>
      </c>
      <c r="CQ44" s="79"/>
      <c r="CR44" s="79">
        <f t="shared" si="12"/>
        <v>41551</v>
      </c>
      <c r="CS44" s="93"/>
      <c r="CT44" s="82">
        <f t="shared" si="13"/>
        <v>0</v>
      </c>
      <c r="CU44" s="79"/>
      <c r="CV44" s="79">
        <f t="shared" si="14"/>
        <v>1316</v>
      </c>
      <c r="CW44" s="93"/>
      <c r="CX44" s="82">
        <f t="shared" si="30"/>
        <v>69.363807138384473</v>
      </c>
      <c r="CY44" s="147"/>
    </row>
    <row r="45" spans="1:103" s="101" customFormat="1" ht="15.75" customHeight="1" x14ac:dyDescent="0.25">
      <c r="A45" s="553"/>
      <c r="B45" s="71"/>
      <c r="C45" s="164" t="s">
        <v>34</v>
      </c>
      <c r="D45" s="73">
        <v>15</v>
      </c>
      <c r="E45" s="156"/>
      <c r="F45" s="75">
        <f t="shared" si="135"/>
        <v>0.69476609541454382</v>
      </c>
      <c r="G45" s="75"/>
      <c r="H45" s="78">
        <f t="shared" si="131"/>
        <v>3402</v>
      </c>
      <c r="I45" s="84">
        <f t="shared" si="131"/>
        <v>0</v>
      </c>
      <c r="J45" s="78">
        <f t="shared" si="136"/>
        <v>2204</v>
      </c>
      <c r="K45" s="79"/>
      <c r="L45" s="80">
        <f t="shared" si="136"/>
        <v>1198</v>
      </c>
      <c r="M45" s="81"/>
      <c r="N45" s="157">
        <v>2204</v>
      </c>
      <c r="O45" s="83"/>
      <c r="P45" s="83">
        <v>1144</v>
      </c>
      <c r="Q45" s="85"/>
      <c r="R45" s="158">
        <v>0</v>
      </c>
      <c r="S45" s="83"/>
      <c r="T45" s="83">
        <v>54</v>
      </c>
      <c r="U45" s="85"/>
      <c r="V45" s="80">
        <f t="shared" si="21"/>
        <v>146.93333333333334</v>
      </c>
      <c r="W45" s="86"/>
      <c r="X45" s="159">
        <v>18.399999999999999</v>
      </c>
      <c r="Y45" s="165"/>
      <c r="Z45" s="75">
        <f t="shared" si="132"/>
        <v>0.8424908424908425</v>
      </c>
      <c r="AA45" s="75"/>
      <c r="AB45" s="78">
        <f t="shared" si="133"/>
        <v>4108</v>
      </c>
      <c r="AC45" s="84">
        <f t="shared" si="133"/>
        <v>0</v>
      </c>
      <c r="AD45" s="78">
        <f t="shared" si="137"/>
        <v>2147</v>
      </c>
      <c r="AE45" s="79"/>
      <c r="AF45" s="80">
        <f t="shared" si="137"/>
        <v>1961</v>
      </c>
      <c r="AG45" s="81"/>
      <c r="AH45" s="158">
        <v>2147</v>
      </c>
      <c r="AI45" s="83"/>
      <c r="AJ45" s="83">
        <v>1906</v>
      </c>
      <c r="AK45" s="85"/>
      <c r="AL45" s="158">
        <v>0</v>
      </c>
      <c r="AM45" s="83"/>
      <c r="AN45" s="83">
        <v>55</v>
      </c>
      <c r="AO45" s="85"/>
      <c r="AP45" s="80">
        <f>AD45/X45</f>
        <v>116.68478260869566</v>
      </c>
      <c r="AQ45" s="89"/>
      <c r="AR45" s="160">
        <v>19.399999999999999</v>
      </c>
      <c r="AS45" s="74"/>
      <c r="AT45" s="74">
        <f>(AR45/2208)*100</f>
        <v>0.87862318840579712</v>
      </c>
      <c r="AU45" s="91"/>
      <c r="AV45" s="80">
        <f>AX45+AZ45</f>
        <v>4190</v>
      </c>
      <c r="AW45" s="144">
        <f t="shared" si="77"/>
        <v>0</v>
      </c>
      <c r="AX45" s="78">
        <f t="shared" si="138"/>
        <v>2222</v>
      </c>
      <c r="AY45" s="93"/>
      <c r="AZ45" s="79">
        <f t="shared" si="138"/>
        <v>1968</v>
      </c>
      <c r="BA45" s="93"/>
      <c r="BB45" s="166">
        <v>2222</v>
      </c>
      <c r="BC45" s="83"/>
      <c r="BD45" s="83">
        <v>1918</v>
      </c>
      <c r="BE45" s="167"/>
      <c r="BF45" s="168">
        <v>0</v>
      </c>
      <c r="BG45" s="169"/>
      <c r="BH45" s="169">
        <v>50</v>
      </c>
      <c r="BI45" s="85"/>
      <c r="BJ45" s="94">
        <f t="shared" si="103"/>
        <v>114.53608247422682</v>
      </c>
      <c r="BK45" s="94"/>
      <c r="BL45" s="159">
        <v>16.899999999999999</v>
      </c>
      <c r="BM45" s="102"/>
      <c r="BN45" s="75">
        <f t="shared" si="26"/>
        <v>0.76505205975554536</v>
      </c>
      <c r="BO45" s="84"/>
      <c r="BP45" s="82">
        <f t="shared" si="134"/>
        <v>3504</v>
      </c>
      <c r="BQ45" s="82">
        <f t="shared" si="134"/>
        <v>0</v>
      </c>
      <c r="BR45" s="78">
        <f t="shared" si="139"/>
        <v>1999</v>
      </c>
      <c r="BS45" s="79"/>
      <c r="BT45" s="79">
        <f t="shared" si="139"/>
        <v>1505</v>
      </c>
      <c r="BU45" s="84"/>
      <c r="BV45" s="158">
        <v>1999</v>
      </c>
      <c r="BW45" s="95"/>
      <c r="BX45" s="83">
        <v>1460</v>
      </c>
      <c r="BY45" s="85"/>
      <c r="BZ45" s="158">
        <v>0</v>
      </c>
      <c r="CA45" s="83"/>
      <c r="CB45" s="83">
        <v>45</v>
      </c>
      <c r="CC45" s="96"/>
      <c r="CD45" s="82">
        <f t="shared" si="28"/>
        <v>118.28402366863907</v>
      </c>
      <c r="CE45" s="89"/>
      <c r="CF45" s="97">
        <f>D45+X45+AR45+BL45</f>
        <v>69.699999999999989</v>
      </c>
      <c r="CG45" s="80"/>
      <c r="CH45" s="75">
        <f t="shared" si="140"/>
        <v>0.79566210045662089</v>
      </c>
      <c r="CI45" s="103"/>
      <c r="CJ45" s="76">
        <f>CL45+CN45</f>
        <v>15204</v>
      </c>
      <c r="CK45" s="77"/>
      <c r="CL45" s="82">
        <f t="shared" si="9"/>
        <v>8572</v>
      </c>
      <c r="CM45" s="94"/>
      <c r="CN45" s="99">
        <f t="shared" si="10"/>
        <v>6632</v>
      </c>
      <c r="CO45" s="152"/>
      <c r="CP45" s="82">
        <f t="shared" si="11"/>
        <v>8572</v>
      </c>
      <c r="CQ45" s="79"/>
      <c r="CR45" s="79">
        <f t="shared" si="12"/>
        <v>6428</v>
      </c>
      <c r="CS45" s="93"/>
      <c r="CT45" s="82">
        <f t="shared" si="13"/>
        <v>0</v>
      </c>
      <c r="CU45" s="79"/>
      <c r="CV45" s="79">
        <f t="shared" si="14"/>
        <v>204</v>
      </c>
      <c r="CW45" s="93"/>
      <c r="CX45" s="82">
        <f t="shared" si="30"/>
        <v>122.98421807747491</v>
      </c>
      <c r="CY45" s="147"/>
    </row>
    <row r="46" spans="1:103" s="138" customFormat="1" ht="15.75" customHeight="1" x14ac:dyDescent="0.25">
      <c r="A46" s="553"/>
      <c r="B46" s="142" t="s">
        <v>42</v>
      </c>
      <c r="C46" s="143"/>
      <c r="D46" s="112">
        <f t="shared" ref="D46" si="141">SUM(D47:D51)</f>
        <v>1659.3999999999999</v>
      </c>
      <c r="E46" s="113"/>
      <c r="F46" s="114"/>
      <c r="G46" s="114"/>
      <c r="H46" s="115">
        <f t="shared" ref="H46:T46" si="142">SUM(H47:H51)</f>
        <v>183633</v>
      </c>
      <c r="I46" s="116">
        <f t="shared" si="142"/>
        <v>0</v>
      </c>
      <c r="J46" s="115">
        <f t="shared" si="142"/>
        <v>118953</v>
      </c>
      <c r="K46" s="117"/>
      <c r="L46" s="118">
        <f t="shared" si="142"/>
        <v>64680</v>
      </c>
      <c r="M46" s="119"/>
      <c r="N46" s="120">
        <f t="shared" si="142"/>
        <v>118953</v>
      </c>
      <c r="O46" s="121"/>
      <c r="P46" s="121">
        <f t="shared" si="142"/>
        <v>61741</v>
      </c>
      <c r="Q46" s="124"/>
      <c r="R46" s="121">
        <f t="shared" si="142"/>
        <v>0</v>
      </c>
      <c r="S46" s="121"/>
      <c r="T46" s="121">
        <f t="shared" si="142"/>
        <v>2939</v>
      </c>
      <c r="U46" s="124"/>
      <c r="V46" s="121">
        <f t="shared" si="21"/>
        <v>71.684343738700747</v>
      </c>
      <c r="W46" s="125"/>
      <c r="X46" s="126">
        <f t="shared" ref="X46" si="143">SUM(X47:X51)</f>
        <v>1636.3999999999999</v>
      </c>
      <c r="Y46" s="127"/>
      <c r="Z46" s="114"/>
      <c r="AA46" s="114"/>
      <c r="AB46" s="115">
        <f t="shared" ref="AB46:AH46" si="144">SUM(AB47:AB51)</f>
        <v>227384</v>
      </c>
      <c r="AC46" s="116">
        <f t="shared" si="144"/>
        <v>0</v>
      </c>
      <c r="AD46" s="115">
        <f t="shared" si="144"/>
        <v>118847</v>
      </c>
      <c r="AE46" s="117"/>
      <c r="AF46" s="118">
        <f t="shared" si="144"/>
        <v>108537</v>
      </c>
      <c r="AG46" s="119"/>
      <c r="AH46" s="121">
        <f t="shared" si="144"/>
        <v>118847</v>
      </c>
      <c r="AI46" s="121"/>
      <c r="AJ46" s="121">
        <f t="shared" ref="AJ46" si="145">SUM(AJ47:AJ51)</f>
        <v>105510</v>
      </c>
      <c r="AK46" s="123"/>
      <c r="AL46" s="121">
        <f>SUM(AL47:AL51)</f>
        <v>0</v>
      </c>
      <c r="AM46" s="121"/>
      <c r="AN46" s="121">
        <f t="shared" ref="AN46" si="146">SUM(AN47:AN51)</f>
        <v>3027</v>
      </c>
      <c r="AO46" s="124"/>
      <c r="AP46" s="121">
        <f t="shared" si="24"/>
        <v>72.627108286482525</v>
      </c>
      <c r="AQ46" s="128"/>
      <c r="AR46" s="129">
        <f t="shared" ref="AR46" si="147">SUM(AR47:AR51)</f>
        <v>1725.8000000000002</v>
      </c>
      <c r="AS46" s="130"/>
      <c r="AT46" s="113"/>
      <c r="AU46" s="131"/>
      <c r="AV46" s="118">
        <f t="shared" ref="AV46" si="148">SUM(AV47:AV51)</f>
        <v>235670</v>
      </c>
      <c r="AW46" s="119">
        <f t="shared" si="77"/>
        <v>0</v>
      </c>
      <c r="AX46" s="115">
        <f>SUM(AX47:AX51)</f>
        <v>124961</v>
      </c>
      <c r="AY46" s="132"/>
      <c r="AZ46" s="117">
        <f>SUM(AZ47:AZ51)</f>
        <v>110709</v>
      </c>
      <c r="BA46" s="132"/>
      <c r="BB46" s="115">
        <f>SUM(BB47:BB51)</f>
        <v>124961</v>
      </c>
      <c r="BC46" s="122"/>
      <c r="BD46" s="122">
        <f t="shared" ref="BD46" si="149">SUM(BD47:BD51)</f>
        <v>107902</v>
      </c>
      <c r="BE46" s="116"/>
      <c r="BF46" s="118">
        <f>SUM(BF47:BF51)</f>
        <v>0</v>
      </c>
      <c r="BG46" s="118"/>
      <c r="BH46" s="118">
        <f t="shared" ref="BH46" si="150">SUM(BH47:BH51)</f>
        <v>2807</v>
      </c>
      <c r="BI46" s="123"/>
      <c r="BJ46" s="133">
        <f t="shared" si="103"/>
        <v>72.407579093753611</v>
      </c>
      <c r="BK46" s="132"/>
      <c r="BL46" s="126">
        <f t="shared" ref="BL46" si="151">SUM(BL47:BL51)</f>
        <v>1629.9</v>
      </c>
      <c r="BM46" s="122"/>
      <c r="BN46" s="114"/>
      <c r="BO46" s="123"/>
      <c r="BP46" s="134">
        <f t="shared" ref="BP46:CB46" si="152">SUM(BP47:BP51)</f>
        <v>208868</v>
      </c>
      <c r="BQ46" s="134">
        <f t="shared" si="152"/>
        <v>0</v>
      </c>
      <c r="BR46" s="115">
        <f t="shared" si="152"/>
        <v>119145</v>
      </c>
      <c r="BS46" s="122"/>
      <c r="BT46" s="122">
        <f t="shared" si="152"/>
        <v>89723</v>
      </c>
      <c r="BU46" s="123"/>
      <c r="BV46" s="121">
        <f t="shared" si="152"/>
        <v>119145</v>
      </c>
      <c r="BW46" s="121"/>
      <c r="BX46" s="121">
        <f t="shared" si="152"/>
        <v>87062</v>
      </c>
      <c r="BY46" s="123"/>
      <c r="BZ46" s="121">
        <f t="shared" si="152"/>
        <v>0</v>
      </c>
      <c r="CA46" s="121"/>
      <c r="CB46" s="121">
        <f t="shared" si="152"/>
        <v>2661</v>
      </c>
      <c r="CC46" s="121"/>
      <c r="CD46" s="120">
        <f t="shared" si="28"/>
        <v>73.099576661144852</v>
      </c>
      <c r="CE46" s="128"/>
      <c r="CF46" s="135">
        <f>SUM(CF47:CF51)</f>
        <v>6651.5</v>
      </c>
      <c r="CG46" s="121"/>
      <c r="CH46" s="114"/>
      <c r="CI46" s="123"/>
      <c r="CJ46" s="115">
        <f>SUM(CJ47:CJ51)</f>
        <v>855555</v>
      </c>
      <c r="CK46" s="116"/>
      <c r="CL46" s="120">
        <f t="shared" si="9"/>
        <v>481906</v>
      </c>
      <c r="CM46" s="132"/>
      <c r="CN46" s="117">
        <f t="shared" si="10"/>
        <v>373649</v>
      </c>
      <c r="CO46" s="132"/>
      <c r="CP46" s="120">
        <f t="shared" si="11"/>
        <v>481906</v>
      </c>
      <c r="CQ46" s="122"/>
      <c r="CR46" s="122">
        <f t="shared" si="12"/>
        <v>362215</v>
      </c>
      <c r="CS46" s="136"/>
      <c r="CT46" s="120">
        <f t="shared" si="13"/>
        <v>0</v>
      </c>
      <c r="CU46" s="122"/>
      <c r="CV46" s="122">
        <f t="shared" si="14"/>
        <v>11434</v>
      </c>
      <c r="CW46" s="136"/>
      <c r="CX46" s="120">
        <f>CL46/CF46</f>
        <v>72.450725400285648</v>
      </c>
      <c r="CY46" s="148"/>
    </row>
    <row r="47" spans="1:103" s="101" customFormat="1" ht="15.75" customHeight="1" x14ac:dyDescent="0.25">
      <c r="A47" s="553"/>
      <c r="B47" s="71"/>
      <c r="C47" s="72" t="s">
        <v>30</v>
      </c>
      <c r="D47" s="73">
        <v>223.3</v>
      </c>
      <c r="E47" s="74"/>
      <c r="F47" s="75">
        <f>(D47/2159)*100</f>
        <v>10.342751273737843</v>
      </c>
      <c r="G47" s="75"/>
      <c r="H47" s="78">
        <f t="shared" ref="H47:I51" si="153">J47+L47</f>
        <v>34085</v>
      </c>
      <c r="I47" s="84">
        <f t="shared" si="153"/>
        <v>0</v>
      </c>
      <c r="J47" s="78">
        <f>N47+R47</f>
        <v>22079</v>
      </c>
      <c r="K47" s="79"/>
      <c r="L47" s="80">
        <f>P47+T47</f>
        <v>12006</v>
      </c>
      <c r="M47" s="81"/>
      <c r="N47" s="82">
        <v>22079</v>
      </c>
      <c r="O47" s="83"/>
      <c r="P47" s="79">
        <v>11460</v>
      </c>
      <c r="Q47" s="84"/>
      <c r="R47" s="80">
        <v>0</v>
      </c>
      <c r="S47" s="79"/>
      <c r="T47" s="79">
        <v>546</v>
      </c>
      <c r="U47" s="85"/>
      <c r="V47" s="80">
        <f t="shared" si="21"/>
        <v>98.875951634572317</v>
      </c>
      <c r="W47" s="86"/>
      <c r="X47" s="87">
        <v>233.4</v>
      </c>
      <c r="Y47" s="88"/>
      <c r="Z47" s="75">
        <f t="shared" ref="Z47:Z51" si="154">(X47/2184)*100</f>
        <v>10.686813186813188</v>
      </c>
      <c r="AA47" s="75"/>
      <c r="AB47" s="78">
        <f t="shared" ref="AB47:AC51" si="155">AD47+AF47</f>
        <v>42326</v>
      </c>
      <c r="AC47" s="84">
        <f t="shared" si="155"/>
        <v>0</v>
      </c>
      <c r="AD47" s="78">
        <f>AH47+AL47</f>
        <v>22123</v>
      </c>
      <c r="AE47" s="79"/>
      <c r="AF47" s="80">
        <f>AJ47+AN47</f>
        <v>20203</v>
      </c>
      <c r="AG47" s="81"/>
      <c r="AH47" s="80">
        <v>22123</v>
      </c>
      <c r="AI47" s="83"/>
      <c r="AJ47" s="79">
        <v>19640</v>
      </c>
      <c r="AK47" s="84"/>
      <c r="AL47" s="80">
        <v>0</v>
      </c>
      <c r="AM47" s="79"/>
      <c r="AN47" s="79">
        <v>563</v>
      </c>
      <c r="AO47" s="85"/>
      <c r="AP47" s="80">
        <f t="shared" si="24"/>
        <v>94.785775492716368</v>
      </c>
      <c r="AQ47" s="89"/>
      <c r="AR47" s="90">
        <v>267.5</v>
      </c>
      <c r="AS47" s="74"/>
      <c r="AT47" s="74">
        <f>(AR47/2208)*100</f>
        <v>12.115036231884059</v>
      </c>
      <c r="AU47" s="91"/>
      <c r="AV47" s="80">
        <f>AX47+AZ47</f>
        <v>51156</v>
      </c>
      <c r="AW47" s="144">
        <f t="shared" si="77"/>
        <v>0</v>
      </c>
      <c r="AX47" s="78">
        <f>BB47+BF47</f>
        <v>27125</v>
      </c>
      <c r="AY47" s="93"/>
      <c r="AZ47" s="79">
        <f>BD47+BH47</f>
        <v>24031</v>
      </c>
      <c r="BA47" s="93"/>
      <c r="BB47" s="78">
        <v>27125</v>
      </c>
      <c r="BC47" s="83"/>
      <c r="BD47" s="79">
        <v>23422</v>
      </c>
      <c r="BE47" s="84"/>
      <c r="BF47" s="86">
        <v>0</v>
      </c>
      <c r="BG47" s="93"/>
      <c r="BH47" s="93">
        <v>609</v>
      </c>
      <c r="BI47" s="85"/>
      <c r="BJ47" s="94">
        <f t="shared" si="103"/>
        <v>101.40186915887851</v>
      </c>
      <c r="BK47" s="94"/>
      <c r="BL47" s="87">
        <v>219.4</v>
      </c>
      <c r="BM47" s="79"/>
      <c r="BN47" s="75">
        <f t="shared" si="26"/>
        <v>9.9320959710276142</v>
      </c>
      <c r="BO47" s="84"/>
      <c r="BP47" s="82">
        <f t="shared" ref="BP47:BQ51" si="156">BR47+BT47</f>
        <v>38538</v>
      </c>
      <c r="BQ47" s="82">
        <f t="shared" si="156"/>
        <v>0</v>
      </c>
      <c r="BR47" s="78">
        <f>BV47+BZ47</f>
        <v>21983</v>
      </c>
      <c r="BS47" s="79"/>
      <c r="BT47" s="79">
        <f>BX47+CB47</f>
        <v>16555</v>
      </c>
      <c r="BU47" s="84"/>
      <c r="BV47" s="80">
        <v>21983</v>
      </c>
      <c r="BW47" s="95"/>
      <c r="BX47" s="79">
        <v>16064</v>
      </c>
      <c r="BY47" s="84"/>
      <c r="BZ47" s="80">
        <v>0</v>
      </c>
      <c r="CA47" s="79"/>
      <c r="CB47" s="79">
        <v>491</v>
      </c>
      <c r="CC47" s="96"/>
      <c r="CD47" s="82">
        <f t="shared" si="28"/>
        <v>100.19598906107566</v>
      </c>
      <c r="CE47" s="89"/>
      <c r="CF47" s="97">
        <f>D47+X47+AR47+BL47</f>
        <v>943.6</v>
      </c>
      <c r="CG47" s="80"/>
      <c r="CH47" s="75">
        <f>(CF47/8760)*100</f>
        <v>10.771689497716896</v>
      </c>
      <c r="CI47" s="103"/>
      <c r="CJ47" s="76">
        <f>CL47+CN47</f>
        <v>166105</v>
      </c>
      <c r="CK47" s="77"/>
      <c r="CL47" s="82">
        <f t="shared" si="9"/>
        <v>93310</v>
      </c>
      <c r="CM47" s="94"/>
      <c r="CN47" s="99">
        <f t="shared" si="10"/>
        <v>72795</v>
      </c>
      <c r="CO47" s="152"/>
      <c r="CP47" s="82">
        <f t="shared" si="11"/>
        <v>93310</v>
      </c>
      <c r="CQ47" s="79"/>
      <c r="CR47" s="79">
        <f t="shared" si="12"/>
        <v>70586</v>
      </c>
      <c r="CS47" s="93"/>
      <c r="CT47" s="82">
        <f t="shared" si="13"/>
        <v>0</v>
      </c>
      <c r="CU47" s="79"/>
      <c r="CV47" s="79">
        <f t="shared" si="14"/>
        <v>2209</v>
      </c>
      <c r="CW47" s="93"/>
      <c r="CX47" s="82">
        <f t="shared" si="30"/>
        <v>98.887240356083083</v>
      </c>
      <c r="CY47" s="147"/>
    </row>
    <row r="48" spans="1:103" ht="15.75" customHeight="1" x14ac:dyDescent="0.25">
      <c r="A48" s="553"/>
      <c r="B48" s="139"/>
      <c r="C48" s="72" t="s">
        <v>31</v>
      </c>
      <c r="D48" s="73">
        <v>595.29999999999995</v>
      </c>
      <c r="E48" s="74"/>
      <c r="F48" s="75">
        <f t="shared" ref="F48:F51" si="157">(D48/2159)*100</f>
        <v>27.572950440018523</v>
      </c>
      <c r="G48" s="75"/>
      <c r="H48" s="78">
        <f t="shared" si="153"/>
        <v>63434</v>
      </c>
      <c r="I48" s="84">
        <f t="shared" si="153"/>
        <v>0</v>
      </c>
      <c r="J48" s="78">
        <f t="shared" ref="J48:L51" si="158">N48+R48</f>
        <v>41091</v>
      </c>
      <c r="K48" s="79"/>
      <c r="L48" s="80">
        <f t="shared" si="158"/>
        <v>22343</v>
      </c>
      <c r="M48" s="81"/>
      <c r="N48" s="82">
        <v>41091</v>
      </c>
      <c r="O48" s="102"/>
      <c r="P48" s="79">
        <v>21328</v>
      </c>
      <c r="Q48" s="84"/>
      <c r="R48" s="80">
        <v>0</v>
      </c>
      <c r="S48" s="79"/>
      <c r="T48" s="79">
        <v>1015</v>
      </c>
      <c r="U48" s="103"/>
      <c r="V48" s="80">
        <f t="shared" si="21"/>
        <v>69.025701327061995</v>
      </c>
      <c r="W48" s="86"/>
      <c r="X48" s="87">
        <v>597.6</v>
      </c>
      <c r="Y48" s="88"/>
      <c r="Z48" s="75">
        <f t="shared" si="154"/>
        <v>27.362637362637365</v>
      </c>
      <c r="AA48" s="75"/>
      <c r="AB48" s="78">
        <f t="shared" si="155"/>
        <v>80045</v>
      </c>
      <c r="AC48" s="84">
        <f t="shared" si="155"/>
        <v>0</v>
      </c>
      <c r="AD48" s="78">
        <f t="shared" ref="AD48:AF51" si="159">AH48+AL48</f>
        <v>41837</v>
      </c>
      <c r="AE48" s="79"/>
      <c r="AF48" s="80">
        <f t="shared" si="159"/>
        <v>38208</v>
      </c>
      <c r="AG48" s="81"/>
      <c r="AH48" s="80">
        <v>41837</v>
      </c>
      <c r="AI48" s="102"/>
      <c r="AJ48" s="79">
        <v>37142</v>
      </c>
      <c r="AK48" s="84"/>
      <c r="AL48" s="80">
        <v>0</v>
      </c>
      <c r="AM48" s="79"/>
      <c r="AN48" s="79">
        <v>1066</v>
      </c>
      <c r="AO48" s="103"/>
      <c r="AP48" s="80">
        <f t="shared" si="24"/>
        <v>70.00836680053547</v>
      </c>
      <c r="AQ48" s="89"/>
      <c r="AR48" s="90">
        <v>611.9</v>
      </c>
      <c r="AS48" s="74"/>
      <c r="AT48" s="74">
        <f>(AR48/2208)*100</f>
        <v>27.712862318840582</v>
      </c>
      <c r="AU48" s="91"/>
      <c r="AV48" s="80">
        <f>AX48+AZ48</f>
        <v>81041</v>
      </c>
      <c r="AW48" s="144">
        <f t="shared" si="77"/>
        <v>0</v>
      </c>
      <c r="AX48" s="78">
        <f t="shared" ref="AX48:AZ51" si="160">BB48+BF48</f>
        <v>42971</v>
      </c>
      <c r="AY48" s="93"/>
      <c r="AZ48" s="79">
        <f t="shared" si="160"/>
        <v>38070</v>
      </c>
      <c r="BA48" s="93"/>
      <c r="BB48" s="78">
        <v>42971</v>
      </c>
      <c r="BC48" s="102"/>
      <c r="BD48" s="79">
        <v>37105</v>
      </c>
      <c r="BE48" s="84"/>
      <c r="BF48" s="86">
        <v>0</v>
      </c>
      <c r="BG48" s="93"/>
      <c r="BH48" s="93">
        <v>965</v>
      </c>
      <c r="BI48" s="103"/>
      <c r="BJ48" s="94">
        <f t="shared" si="103"/>
        <v>70.225527046903096</v>
      </c>
      <c r="BK48" s="94"/>
      <c r="BL48" s="87">
        <v>611.20000000000005</v>
      </c>
      <c r="BM48" s="79"/>
      <c r="BN48" s="75">
        <f t="shared" si="26"/>
        <v>27.668628338614759</v>
      </c>
      <c r="BO48" s="84"/>
      <c r="BP48" s="82">
        <f t="shared" si="156"/>
        <v>73347</v>
      </c>
      <c r="BQ48" s="82">
        <f t="shared" si="156"/>
        <v>0</v>
      </c>
      <c r="BR48" s="78">
        <f t="shared" ref="BR48:BT51" si="161">BV48+BZ48</f>
        <v>41840</v>
      </c>
      <c r="BS48" s="79"/>
      <c r="BT48" s="79">
        <f t="shared" si="161"/>
        <v>31507</v>
      </c>
      <c r="BU48" s="84"/>
      <c r="BV48" s="80">
        <v>41840</v>
      </c>
      <c r="BW48" s="105"/>
      <c r="BX48" s="79">
        <v>30573</v>
      </c>
      <c r="BY48" s="84"/>
      <c r="BZ48" s="80">
        <v>0</v>
      </c>
      <c r="CA48" s="79"/>
      <c r="CB48" s="79">
        <v>934</v>
      </c>
      <c r="CC48" s="106"/>
      <c r="CD48" s="82">
        <f t="shared" si="28"/>
        <v>68.455497382198942</v>
      </c>
      <c r="CE48" s="89"/>
      <c r="CF48" s="97">
        <f>D48+X48+AR48+BL48</f>
        <v>2416</v>
      </c>
      <c r="CG48" s="80"/>
      <c r="CH48" s="75">
        <f t="shared" ref="CH48:CH51" si="162">(CF48/8760)*100</f>
        <v>27.579908675799086</v>
      </c>
      <c r="CI48" s="103"/>
      <c r="CJ48" s="76">
        <f>CL48+CN48</f>
        <v>297867</v>
      </c>
      <c r="CK48" s="77"/>
      <c r="CL48" s="82">
        <f t="shared" si="9"/>
        <v>167739</v>
      </c>
      <c r="CM48" s="94"/>
      <c r="CN48" s="99">
        <f t="shared" si="10"/>
        <v>130128</v>
      </c>
      <c r="CO48" s="152"/>
      <c r="CP48" s="82">
        <f t="shared" si="11"/>
        <v>167739</v>
      </c>
      <c r="CQ48" s="79"/>
      <c r="CR48" s="79">
        <f t="shared" si="12"/>
        <v>126148</v>
      </c>
      <c r="CS48" s="93"/>
      <c r="CT48" s="82">
        <f t="shared" si="13"/>
        <v>0</v>
      </c>
      <c r="CU48" s="79"/>
      <c r="CV48" s="79">
        <f t="shared" si="14"/>
        <v>3980</v>
      </c>
      <c r="CW48" s="93"/>
      <c r="CX48" s="82">
        <f t="shared" si="30"/>
        <v>69.428394039735096</v>
      </c>
      <c r="CY48" s="147"/>
    </row>
    <row r="49" spans="1:103" s="1" customFormat="1" ht="15.75" customHeight="1" x14ac:dyDescent="0.25">
      <c r="A49" s="553"/>
      <c r="B49" s="149"/>
      <c r="C49" s="153" t="s">
        <v>32</v>
      </c>
      <c r="D49" s="73">
        <v>239.8</v>
      </c>
      <c r="E49" s="74"/>
      <c r="F49" s="75">
        <f t="shared" si="157"/>
        <v>11.10699397869384</v>
      </c>
      <c r="G49" s="75"/>
      <c r="H49" s="78">
        <f t="shared" si="153"/>
        <v>49227</v>
      </c>
      <c r="I49" s="84">
        <f t="shared" si="153"/>
        <v>0</v>
      </c>
      <c r="J49" s="78">
        <f t="shared" si="158"/>
        <v>31888</v>
      </c>
      <c r="K49" s="79"/>
      <c r="L49" s="80">
        <f t="shared" si="158"/>
        <v>17339</v>
      </c>
      <c r="M49" s="81"/>
      <c r="N49" s="82">
        <v>31888</v>
      </c>
      <c r="O49" s="79"/>
      <c r="P49" s="79">
        <v>16551</v>
      </c>
      <c r="Q49" s="84"/>
      <c r="R49" s="80">
        <v>0</v>
      </c>
      <c r="S49" s="79"/>
      <c r="T49" s="79">
        <v>788</v>
      </c>
      <c r="U49" s="84"/>
      <c r="V49" s="80">
        <f t="shared" si="21"/>
        <v>132.97748123436196</v>
      </c>
      <c r="W49" s="86"/>
      <c r="X49" s="87">
        <v>232.3</v>
      </c>
      <c r="Y49" s="88"/>
      <c r="Z49" s="75">
        <f t="shared" si="154"/>
        <v>10.636446886446887</v>
      </c>
      <c r="AA49" s="75"/>
      <c r="AB49" s="78">
        <f t="shared" si="155"/>
        <v>59780</v>
      </c>
      <c r="AC49" s="84">
        <f t="shared" si="155"/>
        <v>0</v>
      </c>
      <c r="AD49" s="78">
        <f t="shared" si="159"/>
        <v>31245</v>
      </c>
      <c r="AE49" s="79"/>
      <c r="AF49" s="80">
        <f t="shared" si="159"/>
        <v>28535</v>
      </c>
      <c r="AG49" s="81"/>
      <c r="AH49" s="80">
        <v>31245</v>
      </c>
      <c r="AI49" s="79"/>
      <c r="AJ49" s="79">
        <v>27739</v>
      </c>
      <c r="AK49" s="84"/>
      <c r="AL49" s="80">
        <v>0</v>
      </c>
      <c r="AM49" s="79"/>
      <c r="AN49" s="79">
        <v>796</v>
      </c>
      <c r="AO49" s="84"/>
      <c r="AP49" s="80">
        <f t="shared" si="24"/>
        <v>134.50279810589754</v>
      </c>
      <c r="AQ49" s="89"/>
      <c r="AR49" s="90">
        <v>227.4</v>
      </c>
      <c r="AS49" s="74"/>
      <c r="AT49" s="74">
        <f>(AR49/2208)*100</f>
        <v>10.298913043478262</v>
      </c>
      <c r="AU49" s="91"/>
      <c r="AV49" s="80">
        <f>AX49+AZ49</f>
        <v>58423</v>
      </c>
      <c r="AW49" s="144">
        <f t="shared" si="77"/>
        <v>0</v>
      </c>
      <c r="AX49" s="78">
        <f t="shared" si="160"/>
        <v>30978</v>
      </c>
      <c r="AY49" s="93"/>
      <c r="AZ49" s="79">
        <f t="shared" si="160"/>
        <v>27445</v>
      </c>
      <c r="BA49" s="93"/>
      <c r="BB49" s="78">
        <v>30978</v>
      </c>
      <c r="BC49" s="79"/>
      <c r="BD49" s="79">
        <v>26749</v>
      </c>
      <c r="BE49" s="84"/>
      <c r="BF49" s="86">
        <v>0</v>
      </c>
      <c r="BG49" s="93"/>
      <c r="BH49" s="93">
        <v>696</v>
      </c>
      <c r="BI49" s="84"/>
      <c r="BJ49" s="94">
        <f t="shared" si="103"/>
        <v>136.2269129287599</v>
      </c>
      <c r="BK49" s="94"/>
      <c r="BL49" s="87">
        <v>240.3</v>
      </c>
      <c r="BM49" s="79"/>
      <c r="BN49" s="75">
        <f t="shared" si="26"/>
        <v>10.878225441376189</v>
      </c>
      <c r="BO49" s="84"/>
      <c r="BP49" s="82">
        <f t="shared" si="156"/>
        <v>55798</v>
      </c>
      <c r="BQ49" s="82">
        <f t="shared" si="156"/>
        <v>0</v>
      </c>
      <c r="BR49" s="78">
        <f t="shared" si="161"/>
        <v>31829</v>
      </c>
      <c r="BS49" s="79"/>
      <c r="BT49" s="79">
        <f t="shared" si="161"/>
        <v>23969</v>
      </c>
      <c r="BU49" s="84"/>
      <c r="BV49" s="80">
        <v>31829</v>
      </c>
      <c r="BW49" s="150"/>
      <c r="BX49" s="79">
        <v>23258</v>
      </c>
      <c r="BY49" s="84"/>
      <c r="BZ49" s="80">
        <v>0</v>
      </c>
      <c r="CA49" s="79"/>
      <c r="CB49" s="79">
        <v>711</v>
      </c>
      <c r="CC49" s="151"/>
      <c r="CD49" s="82">
        <f t="shared" si="28"/>
        <v>132.45526425301705</v>
      </c>
      <c r="CE49" s="89"/>
      <c r="CF49" s="97">
        <f>D49+X49+AR49+BL49</f>
        <v>939.8</v>
      </c>
      <c r="CG49" s="80"/>
      <c r="CH49" s="75">
        <f t="shared" si="162"/>
        <v>10.728310502283104</v>
      </c>
      <c r="CI49" s="103"/>
      <c r="CJ49" s="76">
        <f>CL49+CN49</f>
        <v>223228</v>
      </c>
      <c r="CK49" s="77"/>
      <c r="CL49" s="82">
        <f t="shared" si="9"/>
        <v>125940</v>
      </c>
      <c r="CM49" s="94"/>
      <c r="CN49" s="99">
        <f t="shared" si="10"/>
        <v>97288</v>
      </c>
      <c r="CO49" s="152"/>
      <c r="CP49" s="82">
        <f t="shared" si="11"/>
        <v>125940</v>
      </c>
      <c r="CQ49" s="79"/>
      <c r="CR49" s="79">
        <f t="shared" si="12"/>
        <v>94297</v>
      </c>
      <c r="CS49" s="93"/>
      <c r="CT49" s="82">
        <f t="shared" si="13"/>
        <v>0</v>
      </c>
      <c r="CU49" s="79"/>
      <c r="CV49" s="79">
        <f t="shared" si="14"/>
        <v>2991</v>
      </c>
      <c r="CW49" s="93"/>
      <c r="CX49" s="82">
        <f t="shared" si="30"/>
        <v>134.00723558203873</v>
      </c>
      <c r="CY49" s="147"/>
    </row>
    <row r="50" spans="1:103" s="1" customFormat="1" ht="15.75" customHeight="1" x14ac:dyDescent="0.25">
      <c r="A50" s="553"/>
      <c r="B50" s="149"/>
      <c r="C50" s="153" t="s">
        <v>33</v>
      </c>
      <c r="D50" s="73">
        <v>129.30000000000001</v>
      </c>
      <c r="E50" s="74"/>
      <c r="F50" s="75">
        <f t="shared" si="157"/>
        <v>5.9888837424733676</v>
      </c>
      <c r="G50" s="75"/>
      <c r="H50" s="78">
        <f t="shared" si="153"/>
        <v>11335</v>
      </c>
      <c r="I50" s="84">
        <f t="shared" si="153"/>
        <v>0</v>
      </c>
      <c r="J50" s="78">
        <f t="shared" si="158"/>
        <v>7343</v>
      </c>
      <c r="K50" s="79"/>
      <c r="L50" s="80">
        <f t="shared" si="158"/>
        <v>3992</v>
      </c>
      <c r="M50" s="81"/>
      <c r="N50" s="82">
        <v>7343</v>
      </c>
      <c r="O50" s="79"/>
      <c r="P50" s="79">
        <v>3811</v>
      </c>
      <c r="Q50" s="84"/>
      <c r="R50" s="80">
        <v>0</v>
      </c>
      <c r="S50" s="79"/>
      <c r="T50" s="79">
        <v>181</v>
      </c>
      <c r="U50" s="84"/>
      <c r="V50" s="80">
        <f t="shared" si="21"/>
        <v>56.790409899458616</v>
      </c>
      <c r="W50" s="86"/>
      <c r="X50" s="87">
        <v>131.1</v>
      </c>
      <c r="Y50" s="88"/>
      <c r="Z50" s="75">
        <f t="shared" si="154"/>
        <v>6.0027472527472518</v>
      </c>
      <c r="AA50" s="75"/>
      <c r="AB50" s="78">
        <f t="shared" si="155"/>
        <v>14101</v>
      </c>
      <c r="AC50" s="84">
        <f t="shared" si="155"/>
        <v>0</v>
      </c>
      <c r="AD50" s="78">
        <f t="shared" si="159"/>
        <v>7370</v>
      </c>
      <c r="AE50" s="79"/>
      <c r="AF50" s="80">
        <f t="shared" si="159"/>
        <v>6731</v>
      </c>
      <c r="AG50" s="81"/>
      <c r="AH50" s="80">
        <v>7370</v>
      </c>
      <c r="AI50" s="79"/>
      <c r="AJ50" s="79">
        <v>6543</v>
      </c>
      <c r="AK50" s="84"/>
      <c r="AL50" s="80">
        <v>0</v>
      </c>
      <c r="AM50" s="79"/>
      <c r="AN50" s="79">
        <v>188</v>
      </c>
      <c r="AO50" s="84"/>
      <c r="AP50" s="80">
        <f t="shared" si="24"/>
        <v>56.216628527841344</v>
      </c>
      <c r="AQ50" s="89"/>
      <c r="AR50" s="90">
        <v>132.9</v>
      </c>
      <c r="AS50" s="74"/>
      <c r="AT50" s="74">
        <f>(AR50/2208)*100</f>
        <v>6.0190217391304346</v>
      </c>
      <c r="AU50" s="91"/>
      <c r="AV50" s="80">
        <f>AX50+AZ50</f>
        <v>13934</v>
      </c>
      <c r="AW50" s="144">
        <f t="shared" si="77"/>
        <v>0</v>
      </c>
      <c r="AX50" s="78">
        <f t="shared" si="160"/>
        <v>7388</v>
      </c>
      <c r="AY50" s="93"/>
      <c r="AZ50" s="79">
        <f t="shared" si="160"/>
        <v>6546</v>
      </c>
      <c r="BA50" s="93"/>
      <c r="BB50" s="78">
        <v>7388</v>
      </c>
      <c r="BC50" s="79"/>
      <c r="BD50" s="79">
        <v>6380</v>
      </c>
      <c r="BE50" s="84"/>
      <c r="BF50" s="86">
        <v>0</v>
      </c>
      <c r="BG50" s="93"/>
      <c r="BH50" s="93">
        <v>166</v>
      </c>
      <c r="BI50" s="84"/>
      <c r="BJ50" s="104">
        <f t="shared" si="103"/>
        <v>55.590669676448456</v>
      </c>
      <c r="BK50" s="94"/>
      <c r="BL50" s="87">
        <v>132</v>
      </c>
      <c r="BM50" s="79"/>
      <c r="BN50" s="75">
        <f t="shared" si="26"/>
        <v>5.9755545495699414</v>
      </c>
      <c r="BO50" s="84"/>
      <c r="BP50" s="82">
        <f t="shared" si="156"/>
        <v>12922</v>
      </c>
      <c r="BQ50" s="82">
        <f t="shared" si="156"/>
        <v>0</v>
      </c>
      <c r="BR50" s="78">
        <f t="shared" si="161"/>
        <v>7371</v>
      </c>
      <c r="BS50" s="79"/>
      <c r="BT50" s="79">
        <f t="shared" si="161"/>
        <v>5551</v>
      </c>
      <c r="BU50" s="84"/>
      <c r="BV50" s="80">
        <v>7371</v>
      </c>
      <c r="BW50" s="150"/>
      <c r="BX50" s="79">
        <v>5386</v>
      </c>
      <c r="BY50" s="84"/>
      <c r="BZ50" s="80">
        <v>0</v>
      </c>
      <c r="CA50" s="79"/>
      <c r="CB50" s="79">
        <v>165</v>
      </c>
      <c r="CC50" s="151"/>
      <c r="CD50" s="82">
        <f t="shared" si="28"/>
        <v>55.840909090909093</v>
      </c>
      <c r="CE50" s="89"/>
      <c r="CF50" s="97">
        <f>D50+X50+AR50+BL50</f>
        <v>525.29999999999995</v>
      </c>
      <c r="CG50" s="80"/>
      <c r="CH50" s="75">
        <f t="shared" si="162"/>
        <v>5.9965753424657526</v>
      </c>
      <c r="CI50" s="103"/>
      <c r="CJ50" s="76">
        <f>CL50+CN50</f>
        <v>52292</v>
      </c>
      <c r="CK50" s="77"/>
      <c r="CL50" s="82">
        <f t="shared" si="9"/>
        <v>29472</v>
      </c>
      <c r="CM50" s="94"/>
      <c r="CN50" s="99">
        <f t="shared" si="10"/>
        <v>22820</v>
      </c>
      <c r="CO50" s="152"/>
      <c r="CP50" s="82">
        <f t="shared" si="11"/>
        <v>29472</v>
      </c>
      <c r="CQ50" s="79"/>
      <c r="CR50" s="79">
        <f t="shared" si="12"/>
        <v>22120</v>
      </c>
      <c r="CS50" s="93"/>
      <c r="CT50" s="82">
        <f t="shared" si="13"/>
        <v>0</v>
      </c>
      <c r="CU50" s="79"/>
      <c r="CV50" s="79">
        <f t="shared" si="14"/>
        <v>700</v>
      </c>
      <c r="CW50" s="93"/>
      <c r="CX50" s="82">
        <f t="shared" si="30"/>
        <v>56.10508280982296</v>
      </c>
      <c r="CY50" s="147"/>
    </row>
    <row r="51" spans="1:103" ht="15.75" customHeight="1" x14ac:dyDescent="0.25">
      <c r="A51" s="553"/>
      <c r="B51" s="145"/>
      <c r="C51" s="72" t="s">
        <v>34</v>
      </c>
      <c r="D51" s="73">
        <v>471.7</v>
      </c>
      <c r="E51" s="74"/>
      <c r="F51" s="75">
        <f t="shared" si="157"/>
        <v>21.848077813802686</v>
      </c>
      <c r="G51" s="75"/>
      <c r="H51" s="78">
        <f t="shared" si="153"/>
        <v>25552</v>
      </c>
      <c r="I51" s="84">
        <f t="shared" si="153"/>
        <v>0</v>
      </c>
      <c r="J51" s="78">
        <f t="shared" si="158"/>
        <v>16552</v>
      </c>
      <c r="K51" s="79"/>
      <c r="L51" s="80">
        <f t="shared" si="158"/>
        <v>9000</v>
      </c>
      <c r="M51" s="81"/>
      <c r="N51" s="82">
        <v>16552</v>
      </c>
      <c r="O51" s="102"/>
      <c r="P51" s="79">
        <v>8591</v>
      </c>
      <c r="Q51" s="84"/>
      <c r="R51" s="80">
        <v>0</v>
      </c>
      <c r="S51" s="79"/>
      <c r="T51" s="79">
        <v>409</v>
      </c>
      <c r="U51" s="103"/>
      <c r="V51" s="80">
        <f t="shared" si="21"/>
        <v>35.090099639601441</v>
      </c>
      <c r="W51" s="86"/>
      <c r="X51" s="87">
        <v>442</v>
      </c>
      <c r="Y51" s="88"/>
      <c r="Z51" s="75">
        <f t="shared" si="154"/>
        <v>20.238095238095237</v>
      </c>
      <c r="AA51" s="75"/>
      <c r="AB51" s="78">
        <f t="shared" si="155"/>
        <v>31132</v>
      </c>
      <c r="AC51" s="84">
        <f t="shared" si="155"/>
        <v>0</v>
      </c>
      <c r="AD51" s="78">
        <f t="shared" si="159"/>
        <v>16272</v>
      </c>
      <c r="AE51" s="79"/>
      <c r="AF51" s="80">
        <f t="shared" si="159"/>
        <v>14860</v>
      </c>
      <c r="AG51" s="81"/>
      <c r="AH51" s="80">
        <v>16272</v>
      </c>
      <c r="AI51" s="102"/>
      <c r="AJ51" s="79">
        <v>14446</v>
      </c>
      <c r="AK51" s="84"/>
      <c r="AL51" s="80">
        <v>0</v>
      </c>
      <c r="AM51" s="79"/>
      <c r="AN51" s="79">
        <v>414</v>
      </c>
      <c r="AO51" s="103"/>
      <c r="AP51" s="80">
        <f>AD51/X51</f>
        <v>36.814479638009047</v>
      </c>
      <c r="AQ51" s="89"/>
      <c r="AR51" s="90">
        <v>486.1</v>
      </c>
      <c r="AS51" s="74"/>
      <c r="AT51" s="74">
        <f>(AR51/2208)*100</f>
        <v>22.015398550724637</v>
      </c>
      <c r="AU51" s="91"/>
      <c r="AV51" s="80">
        <f>AX51+AZ51</f>
        <v>31116</v>
      </c>
      <c r="AW51" s="144">
        <f t="shared" si="77"/>
        <v>0</v>
      </c>
      <c r="AX51" s="78">
        <f t="shared" si="160"/>
        <v>16499</v>
      </c>
      <c r="AY51" s="93"/>
      <c r="AZ51" s="79">
        <f t="shared" si="160"/>
        <v>14617</v>
      </c>
      <c r="BA51" s="93"/>
      <c r="BB51" s="78">
        <v>16499</v>
      </c>
      <c r="BC51" s="102"/>
      <c r="BD51" s="79">
        <v>14246</v>
      </c>
      <c r="BE51" s="84"/>
      <c r="BF51" s="86">
        <v>0</v>
      </c>
      <c r="BG51" s="93"/>
      <c r="BH51" s="93">
        <v>371</v>
      </c>
      <c r="BI51" s="103"/>
      <c r="BJ51" s="104">
        <f t="shared" si="103"/>
        <v>33.941575807447023</v>
      </c>
      <c r="BK51" s="94"/>
      <c r="BL51" s="87">
        <v>427</v>
      </c>
      <c r="BM51" s="79"/>
      <c r="BN51" s="75">
        <f t="shared" si="26"/>
        <v>19.330013580805794</v>
      </c>
      <c r="BO51" s="84"/>
      <c r="BP51" s="82">
        <f t="shared" si="156"/>
        <v>28263</v>
      </c>
      <c r="BQ51" s="82">
        <f t="shared" si="156"/>
        <v>0</v>
      </c>
      <c r="BR51" s="78">
        <f t="shared" si="161"/>
        <v>16122</v>
      </c>
      <c r="BS51" s="79"/>
      <c r="BT51" s="79">
        <f t="shared" si="161"/>
        <v>12141</v>
      </c>
      <c r="BU51" s="84"/>
      <c r="BV51" s="80">
        <v>16122</v>
      </c>
      <c r="BW51" s="105"/>
      <c r="BX51" s="79">
        <v>11781</v>
      </c>
      <c r="BY51" s="84"/>
      <c r="BZ51" s="80">
        <v>0</v>
      </c>
      <c r="CA51" s="79"/>
      <c r="CB51" s="79">
        <v>360</v>
      </c>
      <c r="CC51" s="106"/>
      <c r="CD51" s="82">
        <f t="shared" si="28"/>
        <v>37.756440281030443</v>
      </c>
      <c r="CE51" s="89"/>
      <c r="CF51" s="97">
        <f>D51+X51+AR51+BL51</f>
        <v>1826.8000000000002</v>
      </c>
      <c r="CG51" s="80"/>
      <c r="CH51" s="75">
        <f t="shared" si="162"/>
        <v>20.853881278538815</v>
      </c>
      <c r="CI51" s="103"/>
      <c r="CJ51" s="76">
        <f>CL51+CN51</f>
        <v>116063</v>
      </c>
      <c r="CK51" s="77"/>
      <c r="CL51" s="82">
        <f t="shared" si="9"/>
        <v>65445</v>
      </c>
      <c r="CM51" s="94"/>
      <c r="CN51" s="99">
        <f t="shared" si="10"/>
        <v>50618</v>
      </c>
      <c r="CO51" s="152"/>
      <c r="CP51" s="82">
        <f t="shared" si="11"/>
        <v>65445</v>
      </c>
      <c r="CQ51" s="79"/>
      <c r="CR51" s="79">
        <f t="shared" si="12"/>
        <v>49064</v>
      </c>
      <c r="CS51" s="93"/>
      <c r="CT51" s="82">
        <f t="shared" si="13"/>
        <v>0</v>
      </c>
      <c r="CU51" s="79"/>
      <c r="CV51" s="79">
        <f t="shared" si="14"/>
        <v>1554</v>
      </c>
      <c r="CW51" s="93"/>
      <c r="CX51" s="82">
        <f t="shared" si="30"/>
        <v>35.824939785417122</v>
      </c>
      <c r="CY51" s="147"/>
    </row>
    <row r="52" spans="1:103" s="138" customFormat="1" ht="15.75" customHeight="1" x14ac:dyDescent="0.25">
      <c r="A52" s="553"/>
      <c r="B52" s="142" t="s">
        <v>43</v>
      </c>
      <c r="C52" s="143"/>
      <c r="D52" s="112">
        <f>SUM(D53:D57)</f>
        <v>4195.8999999999996</v>
      </c>
      <c r="E52" s="113"/>
      <c r="F52" s="114"/>
      <c r="G52" s="114"/>
      <c r="H52" s="115">
        <f t="shared" ref="H52:T52" si="163">SUM(H53:H57)</f>
        <v>139747</v>
      </c>
      <c r="I52" s="116">
        <f t="shared" si="163"/>
        <v>0</v>
      </c>
      <c r="J52" s="115">
        <f t="shared" si="163"/>
        <v>90523</v>
      </c>
      <c r="K52" s="117"/>
      <c r="L52" s="118">
        <f t="shared" si="163"/>
        <v>49224</v>
      </c>
      <c r="M52" s="119"/>
      <c r="N52" s="120">
        <f t="shared" si="163"/>
        <v>90523</v>
      </c>
      <c r="O52" s="121"/>
      <c r="P52" s="121">
        <f t="shared" si="163"/>
        <v>46986</v>
      </c>
      <c r="Q52" s="124"/>
      <c r="R52" s="121">
        <f t="shared" si="163"/>
        <v>0</v>
      </c>
      <c r="S52" s="121"/>
      <c r="T52" s="121">
        <f t="shared" si="163"/>
        <v>2238</v>
      </c>
      <c r="U52" s="124"/>
      <c r="V52" s="121">
        <f t="shared" si="21"/>
        <v>21.574155723444317</v>
      </c>
      <c r="W52" s="125"/>
      <c r="X52" s="126">
        <f>SUM(X53:X57)</f>
        <v>4380.3999999999996</v>
      </c>
      <c r="Y52" s="127"/>
      <c r="Z52" s="114"/>
      <c r="AA52" s="114"/>
      <c r="AB52" s="115">
        <f t="shared" ref="AB52:AH52" si="164">SUM(AB53:AB57)</f>
        <v>173405</v>
      </c>
      <c r="AC52" s="116">
        <f t="shared" si="164"/>
        <v>0</v>
      </c>
      <c r="AD52" s="115">
        <f t="shared" si="164"/>
        <v>90634</v>
      </c>
      <c r="AE52" s="117"/>
      <c r="AF52" s="118">
        <f t="shared" si="164"/>
        <v>82771</v>
      </c>
      <c r="AG52" s="119"/>
      <c r="AH52" s="121">
        <f t="shared" si="164"/>
        <v>90634</v>
      </c>
      <c r="AI52" s="121"/>
      <c r="AJ52" s="121">
        <f t="shared" ref="AJ52" si="165">SUM(AJ53:AJ57)</f>
        <v>80463</v>
      </c>
      <c r="AK52" s="123"/>
      <c r="AL52" s="121">
        <f>SUM(AL53:AL57)</f>
        <v>0</v>
      </c>
      <c r="AM52" s="121"/>
      <c r="AN52" s="121">
        <f t="shared" ref="AN52" si="166">SUM(AN53:AN57)</f>
        <v>2308</v>
      </c>
      <c r="AO52" s="124"/>
      <c r="AP52" s="121">
        <f t="shared" si="24"/>
        <v>20.690804492740391</v>
      </c>
      <c r="AQ52" s="128"/>
      <c r="AR52" s="129">
        <f t="shared" ref="AR52" si="167">SUM(AR53:AR57)</f>
        <v>4398.1000000000004</v>
      </c>
      <c r="AS52" s="130"/>
      <c r="AT52" s="113"/>
      <c r="AU52" s="131"/>
      <c r="AV52" s="118">
        <f t="shared" ref="AV52" si="168">SUM(AV53:AV57)</f>
        <v>170635</v>
      </c>
      <c r="AW52" s="119">
        <f t="shared" si="77"/>
        <v>0</v>
      </c>
      <c r="AX52" s="115">
        <f>SUM(AX53:AX57)</f>
        <v>90477</v>
      </c>
      <c r="AY52" s="132"/>
      <c r="AZ52" s="117">
        <f>SUM(AZ53:AZ57)</f>
        <v>80158</v>
      </c>
      <c r="BA52" s="132"/>
      <c r="BB52" s="115">
        <f>SUM(BB53:BB57)</f>
        <v>90477</v>
      </c>
      <c r="BC52" s="122"/>
      <c r="BD52" s="122">
        <f t="shared" ref="BD52" si="169">SUM(BD53:BD57)</f>
        <v>78126</v>
      </c>
      <c r="BE52" s="116"/>
      <c r="BF52" s="118">
        <f>SUM(BF53:BF57)</f>
        <v>0</v>
      </c>
      <c r="BG52" s="118"/>
      <c r="BH52" s="118">
        <f t="shared" ref="BH52" si="170">SUM(BH53:BH57)</f>
        <v>2032</v>
      </c>
      <c r="BI52" s="116"/>
      <c r="BJ52" s="133">
        <f t="shared" si="103"/>
        <v>20.57183783906687</v>
      </c>
      <c r="BK52" s="132"/>
      <c r="BL52" s="126">
        <f>SUM(BL53:BL57)</f>
        <v>4302.1000000000004</v>
      </c>
      <c r="BM52" s="122"/>
      <c r="BN52" s="114"/>
      <c r="BO52" s="123"/>
      <c r="BP52" s="134">
        <f t="shared" ref="BP52:CB52" si="171">SUM(BP53:BP57)</f>
        <v>159323</v>
      </c>
      <c r="BQ52" s="134">
        <f t="shared" si="171"/>
        <v>0</v>
      </c>
      <c r="BR52" s="115">
        <f t="shared" si="171"/>
        <v>90884</v>
      </c>
      <c r="BS52" s="122"/>
      <c r="BT52" s="122">
        <f t="shared" si="171"/>
        <v>68439</v>
      </c>
      <c r="BU52" s="123"/>
      <c r="BV52" s="121">
        <f t="shared" si="171"/>
        <v>90884</v>
      </c>
      <c r="BW52" s="121"/>
      <c r="BX52" s="121">
        <f t="shared" si="171"/>
        <v>66409</v>
      </c>
      <c r="BY52" s="123"/>
      <c r="BZ52" s="121">
        <f t="shared" si="171"/>
        <v>0</v>
      </c>
      <c r="CA52" s="121"/>
      <c r="CB52" s="121">
        <f t="shared" si="171"/>
        <v>2030</v>
      </c>
      <c r="CC52" s="121"/>
      <c r="CD52" s="120">
        <f t="shared" si="28"/>
        <v>21.125496850375395</v>
      </c>
      <c r="CE52" s="128"/>
      <c r="CF52" s="135">
        <f>SUM(CF53:CF57)</f>
        <v>17276.5</v>
      </c>
      <c r="CG52" s="121"/>
      <c r="CH52" s="114"/>
      <c r="CI52" s="123"/>
      <c r="CJ52" s="115">
        <f>SUM(CJ53:CJ57)</f>
        <v>643110</v>
      </c>
      <c r="CK52" s="116"/>
      <c r="CL52" s="120">
        <f t="shared" si="9"/>
        <v>362518</v>
      </c>
      <c r="CM52" s="132"/>
      <c r="CN52" s="117">
        <f t="shared" si="10"/>
        <v>280592</v>
      </c>
      <c r="CO52" s="132"/>
      <c r="CP52" s="120">
        <f t="shared" si="11"/>
        <v>362518</v>
      </c>
      <c r="CQ52" s="122"/>
      <c r="CR52" s="122">
        <f t="shared" si="12"/>
        <v>271984</v>
      </c>
      <c r="CS52" s="136"/>
      <c r="CT52" s="120">
        <f t="shared" si="13"/>
        <v>0</v>
      </c>
      <c r="CU52" s="122"/>
      <c r="CV52" s="122">
        <f t="shared" si="14"/>
        <v>8608</v>
      </c>
      <c r="CW52" s="136"/>
      <c r="CX52" s="120">
        <f>CL52/CF52</f>
        <v>20.983301015830754</v>
      </c>
      <c r="CY52" s="148"/>
    </row>
    <row r="53" spans="1:103" s="101" customFormat="1" ht="15.75" customHeight="1" x14ac:dyDescent="0.25">
      <c r="A53" s="553"/>
      <c r="B53" s="71"/>
      <c r="C53" s="72" t="s">
        <v>30</v>
      </c>
      <c r="D53" s="73">
        <v>143.30000000000001</v>
      </c>
      <c r="E53" s="74"/>
      <c r="F53" s="75">
        <f>(D53/2159)*100</f>
        <v>6.6373320981936086</v>
      </c>
      <c r="G53" s="75"/>
      <c r="H53" s="161">
        <f t="shared" ref="H53:I57" si="172">J53+L53</f>
        <v>6476</v>
      </c>
      <c r="I53" s="85">
        <f t="shared" si="172"/>
        <v>0</v>
      </c>
      <c r="J53" s="161">
        <f>N53+R53</f>
        <v>4195</v>
      </c>
      <c r="K53" s="83"/>
      <c r="L53" s="158">
        <f>P53+T53</f>
        <v>2281</v>
      </c>
      <c r="M53" s="170"/>
      <c r="N53" s="157">
        <v>4195</v>
      </c>
      <c r="O53" s="83"/>
      <c r="P53" s="83">
        <v>2177</v>
      </c>
      <c r="Q53" s="85"/>
      <c r="R53" s="158">
        <v>0</v>
      </c>
      <c r="S53" s="83"/>
      <c r="T53" s="83">
        <v>104</v>
      </c>
      <c r="U53" s="85"/>
      <c r="V53" s="80">
        <f t="shared" si="21"/>
        <v>29.274249825540821</v>
      </c>
      <c r="W53" s="86"/>
      <c r="X53" s="87">
        <v>155</v>
      </c>
      <c r="Y53" s="88"/>
      <c r="Z53" s="75">
        <f t="shared" ref="Z53:Z57" si="173">(X53/2184)*100</f>
        <v>7.0970695970695967</v>
      </c>
      <c r="AA53" s="75"/>
      <c r="AB53" s="161">
        <f t="shared" ref="AB53:AC57" si="174">AD53+AF53</f>
        <v>8439</v>
      </c>
      <c r="AC53" s="85">
        <f t="shared" si="174"/>
        <v>0</v>
      </c>
      <c r="AD53" s="161">
        <f>AH53+AL53</f>
        <v>4411</v>
      </c>
      <c r="AE53" s="83"/>
      <c r="AF53" s="158">
        <f>AJ53+AN53</f>
        <v>4028</v>
      </c>
      <c r="AG53" s="170"/>
      <c r="AH53" s="158">
        <v>4411</v>
      </c>
      <c r="AI53" s="83"/>
      <c r="AJ53" s="83">
        <v>3916</v>
      </c>
      <c r="AK53" s="85"/>
      <c r="AL53" s="158">
        <v>0</v>
      </c>
      <c r="AM53" s="83"/>
      <c r="AN53" s="83">
        <v>112</v>
      </c>
      <c r="AO53" s="85"/>
      <c r="AP53" s="80">
        <f t="shared" si="24"/>
        <v>28.458064516129031</v>
      </c>
      <c r="AQ53" s="89"/>
      <c r="AR53" s="160">
        <v>135.4</v>
      </c>
      <c r="AS53" s="74"/>
      <c r="AT53" s="74">
        <f>(AR53/2208)*100</f>
        <v>6.1322463768115947</v>
      </c>
      <c r="AU53" s="91"/>
      <c r="AV53" s="158">
        <f>AX53+AZ53</f>
        <v>7733</v>
      </c>
      <c r="AW53" s="144">
        <f t="shared" si="77"/>
        <v>0</v>
      </c>
      <c r="AX53" s="161">
        <f>BB53+BF53</f>
        <v>4100</v>
      </c>
      <c r="AY53" s="163"/>
      <c r="AZ53" s="83">
        <f>BD53+BH53</f>
        <v>3633</v>
      </c>
      <c r="BA53" s="163"/>
      <c r="BB53" s="161">
        <v>4100</v>
      </c>
      <c r="BC53" s="83"/>
      <c r="BD53" s="83">
        <v>3541</v>
      </c>
      <c r="BE53" s="85"/>
      <c r="BF53" s="162">
        <v>0</v>
      </c>
      <c r="BG53" s="163"/>
      <c r="BH53" s="163">
        <v>92</v>
      </c>
      <c r="BI53" s="85"/>
      <c r="BJ53" s="104">
        <f t="shared" si="103"/>
        <v>30.280649926144754</v>
      </c>
      <c r="BK53" s="94"/>
      <c r="BL53" s="87">
        <v>142.4</v>
      </c>
      <c r="BM53" s="79"/>
      <c r="BN53" s="75">
        <f t="shared" si="26"/>
        <v>6.4463558171118152</v>
      </c>
      <c r="BO53" s="84"/>
      <c r="BP53" s="157">
        <f t="shared" ref="BP53:BQ57" si="175">BR53+BT53</f>
        <v>7375</v>
      </c>
      <c r="BQ53" s="157">
        <f t="shared" si="175"/>
        <v>0</v>
      </c>
      <c r="BR53" s="161">
        <f>BV53+BZ53</f>
        <v>4207</v>
      </c>
      <c r="BS53" s="83"/>
      <c r="BT53" s="83">
        <f>BX53+CB53</f>
        <v>3168</v>
      </c>
      <c r="BU53" s="85"/>
      <c r="BV53" s="158">
        <v>4207</v>
      </c>
      <c r="BW53" s="95"/>
      <c r="BX53" s="83">
        <v>3074</v>
      </c>
      <c r="BY53" s="85"/>
      <c r="BZ53" s="158">
        <v>0</v>
      </c>
      <c r="CA53" s="83"/>
      <c r="CB53" s="83">
        <v>94</v>
      </c>
      <c r="CC53" s="96"/>
      <c r="CD53" s="82">
        <f t="shared" si="28"/>
        <v>29.543539325842694</v>
      </c>
      <c r="CE53" s="89"/>
      <c r="CF53" s="97">
        <f>D53+X53+AR53+BL53</f>
        <v>576.1</v>
      </c>
      <c r="CG53" s="80"/>
      <c r="CH53" s="75">
        <f>(CF53/8760)*100</f>
        <v>6.5764840182648401</v>
      </c>
      <c r="CI53" s="103"/>
      <c r="CJ53" s="76">
        <f>CL53+CN53</f>
        <v>30023</v>
      </c>
      <c r="CK53" s="77"/>
      <c r="CL53" s="82">
        <f t="shared" si="9"/>
        <v>16913</v>
      </c>
      <c r="CM53" s="94"/>
      <c r="CN53" s="99">
        <f t="shared" si="10"/>
        <v>13110</v>
      </c>
      <c r="CO53" s="152"/>
      <c r="CP53" s="82">
        <f t="shared" si="11"/>
        <v>16913</v>
      </c>
      <c r="CQ53" s="79"/>
      <c r="CR53" s="79">
        <f t="shared" si="12"/>
        <v>12708</v>
      </c>
      <c r="CS53" s="93"/>
      <c r="CT53" s="82">
        <f t="shared" si="13"/>
        <v>0</v>
      </c>
      <c r="CU53" s="79"/>
      <c r="CV53" s="79">
        <f t="shared" si="14"/>
        <v>402</v>
      </c>
      <c r="CW53" s="93"/>
      <c r="CX53" s="82">
        <f t="shared" si="30"/>
        <v>29.357750390557193</v>
      </c>
      <c r="CY53" s="147"/>
    </row>
    <row r="54" spans="1:103" s="1" customFormat="1" ht="15.75" customHeight="1" x14ac:dyDescent="0.25">
      <c r="A54" s="553"/>
      <c r="B54" s="149"/>
      <c r="C54" s="153" t="s">
        <v>31</v>
      </c>
      <c r="D54" s="73">
        <v>1194.0999999999999</v>
      </c>
      <c r="E54" s="74"/>
      <c r="F54" s="75">
        <f t="shared" ref="F54:F57" si="176">(D54/2159)*100</f>
        <v>55.308012968967112</v>
      </c>
      <c r="G54" s="75"/>
      <c r="H54" s="161">
        <f t="shared" si="172"/>
        <v>34409</v>
      </c>
      <c r="I54" s="85">
        <f t="shared" si="172"/>
        <v>0</v>
      </c>
      <c r="J54" s="161">
        <f t="shared" ref="J54:L57" si="177">N54+R54</f>
        <v>22289</v>
      </c>
      <c r="K54" s="83"/>
      <c r="L54" s="158">
        <f t="shared" si="177"/>
        <v>12120</v>
      </c>
      <c r="M54" s="170"/>
      <c r="N54" s="82">
        <v>22289</v>
      </c>
      <c r="O54" s="79"/>
      <c r="P54" s="79">
        <v>11569</v>
      </c>
      <c r="Q54" s="84"/>
      <c r="R54" s="80">
        <v>0</v>
      </c>
      <c r="S54" s="79"/>
      <c r="T54" s="79">
        <v>551</v>
      </c>
      <c r="U54" s="84"/>
      <c r="V54" s="80">
        <f t="shared" si="21"/>
        <v>18.665940875973536</v>
      </c>
      <c r="W54" s="86"/>
      <c r="X54" s="87">
        <v>1203.3</v>
      </c>
      <c r="Y54" s="88"/>
      <c r="Z54" s="75">
        <f t="shared" si="173"/>
        <v>55.09615384615384</v>
      </c>
      <c r="AA54" s="75"/>
      <c r="AB54" s="161">
        <f t="shared" si="174"/>
        <v>42401</v>
      </c>
      <c r="AC54" s="85">
        <f t="shared" si="174"/>
        <v>0</v>
      </c>
      <c r="AD54" s="161">
        <f t="shared" ref="AD54:AF57" si="178">AH54+AL54</f>
        <v>22162</v>
      </c>
      <c r="AE54" s="83"/>
      <c r="AF54" s="158">
        <f t="shared" si="178"/>
        <v>20239</v>
      </c>
      <c r="AG54" s="170"/>
      <c r="AH54" s="80">
        <v>22162</v>
      </c>
      <c r="AI54" s="79"/>
      <c r="AJ54" s="79">
        <v>19675</v>
      </c>
      <c r="AK54" s="84"/>
      <c r="AL54" s="80">
        <v>0</v>
      </c>
      <c r="AM54" s="79"/>
      <c r="AN54" s="79">
        <v>564</v>
      </c>
      <c r="AO54" s="84"/>
      <c r="AP54" s="80">
        <f t="shared" si="24"/>
        <v>18.417684700407214</v>
      </c>
      <c r="AQ54" s="89"/>
      <c r="AR54" s="90">
        <v>1229</v>
      </c>
      <c r="AS54" s="74"/>
      <c r="AT54" s="74">
        <f>(AR54/2208)*100</f>
        <v>55.661231884057969</v>
      </c>
      <c r="AU54" s="91"/>
      <c r="AV54" s="158">
        <f>AX54+AZ54</f>
        <v>42562</v>
      </c>
      <c r="AW54" s="144">
        <f t="shared" si="77"/>
        <v>0</v>
      </c>
      <c r="AX54" s="161">
        <f t="shared" ref="AX54:AZ57" si="179">BB54+BF54</f>
        <v>22568</v>
      </c>
      <c r="AY54" s="163"/>
      <c r="AZ54" s="83">
        <f t="shared" si="179"/>
        <v>19994</v>
      </c>
      <c r="BA54" s="163"/>
      <c r="BB54" s="78">
        <v>22568</v>
      </c>
      <c r="BC54" s="79"/>
      <c r="BD54" s="79">
        <v>19487</v>
      </c>
      <c r="BE54" s="84"/>
      <c r="BF54" s="86">
        <v>0</v>
      </c>
      <c r="BG54" s="93"/>
      <c r="BH54" s="93">
        <v>507</v>
      </c>
      <c r="BI54" s="84"/>
      <c r="BJ54" s="104">
        <f t="shared" si="103"/>
        <v>18.362896663954434</v>
      </c>
      <c r="BK54" s="94"/>
      <c r="BL54" s="87">
        <v>1231.9000000000001</v>
      </c>
      <c r="BM54" s="79"/>
      <c r="BN54" s="75">
        <f t="shared" si="26"/>
        <v>55.767315527387964</v>
      </c>
      <c r="BO54" s="84"/>
      <c r="BP54" s="157">
        <f t="shared" si="175"/>
        <v>39408</v>
      </c>
      <c r="BQ54" s="157">
        <f t="shared" si="175"/>
        <v>0</v>
      </c>
      <c r="BR54" s="161">
        <f t="shared" ref="BR54:BT57" si="180">BV54+BZ54</f>
        <v>22480</v>
      </c>
      <c r="BS54" s="83"/>
      <c r="BT54" s="83">
        <f t="shared" si="180"/>
        <v>16928</v>
      </c>
      <c r="BU54" s="85"/>
      <c r="BV54" s="80">
        <v>22480</v>
      </c>
      <c r="BW54" s="150"/>
      <c r="BX54" s="79">
        <v>16426</v>
      </c>
      <c r="BY54" s="84"/>
      <c r="BZ54" s="80">
        <v>0</v>
      </c>
      <c r="CA54" s="79"/>
      <c r="CB54" s="79">
        <v>502</v>
      </c>
      <c r="CC54" s="151"/>
      <c r="CD54" s="82">
        <f t="shared" si="28"/>
        <v>18.248234434613199</v>
      </c>
      <c r="CE54" s="89"/>
      <c r="CF54" s="97">
        <f>D54+X54+AR54+BL54</f>
        <v>4858.2999999999993</v>
      </c>
      <c r="CG54" s="80"/>
      <c r="CH54" s="75">
        <f t="shared" ref="CH54:CH57" si="181">(CF54/8760)*100</f>
        <v>55.460045662100441</v>
      </c>
      <c r="CI54" s="103"/>
      <c r="CJ54" s="76">
        <f>CL54+CN54</f>
        <v>158780</v>
      </c>
      <c r="CK54" s="77"/>
      <c r="CL54" s="82">
        <f t="shared" si="9"/>
        <v>89499</v>
      </c>
      <c r="CM54" s="94"/>
      <c r="CN54" s="99">
        <f t="shared" si="10"/>
        <v>69281</v>
      </c>
      <c r="CO54" s="152"/>
      <c r="CP54" s="82">
        <f t="shared" si="11"/>
        <v>89499</v>
      </c>
      <c r="CQ54" s="79"/>
      <c r="CR54" s="79">
        <f t="shared" si="12"/>
        <v>67157</v>
      </c>
      <c r="CS54" s="93"/>
      <c r="CT54" s="82">
        <f t="shared" si="13"/>
        <v>0</v>
      </c>
      <c r="CU54" s="79"/>
      <c r="CV54" s="79">
        <f t="shared" si="14"/>
        <v>2124</v>
      </c>
      <c r="CW54" s="93"/>
      <c r="CX54" s="82">
        <f t="shared" si="30"/>
        <v>18.421875964843672</v>
      </c>
      <c r="CY54" s="147"/>
    </row>
    <row r="55" spans="1:103" ht="15.75" customHeight="1" x14ac:dyDescent="0.25">
      <c r="A55" s="553"/>
      <c r="B55" s="145"/>
      <c r="C55" s="72" t="s">
        <v>32</v>
      </c>
      <c r="D55" s="73">
        <v>1193.2</v>
      </c>
      <c r="E55" s="74"/>
      <c r="F55" s="75">
        <f t="shared" si="176"/>
        <v>55.266327003242246</v>
      </c>
      <c r="G55" s="75"/>
      <c r="H55" s="161">
        <f t="shared" si="172"/>
        <v>52142</v>
      </c>
      <c r="I55" s="85">
        <f t="shared" si="172"/>
        <v>0</v>
      </c>
      <c r="J55" s="161">
        <f t="shared" si="177"/>
        <v>33776</v>
      </c>
      <c r="K55" s="83"/>
      <c r="L55" s="158">
        <f t="shared" si="177"/>
        <v>18366</v>
      </c>
      <c r="M55" s="170"/>
      <c r="N55" s="82">
        <v>33776</v>
      </c>
      <c r="O55" s="102"/>
      <c r="P55" s="79">
        <v>17531</v>
      </c>
      <c r="Q55" s="84"/>
      <c r="R55" s="80">
        <v>0</v>
      </c>
      <c r="S55" s="79"/>
      <c r="T55" s="79">
        <v>835</v>
      </c>
      <c r="U55" s="103"/>
      <c r="V55" s="80">
        <f t="shared" si="21"/>
        <v>28.307073416024135</v>
      </c>
      <c r="W55" s="86"/>
      <c r="X55" s="87">
        <v>1223.8</v>
      </c>
      <c r="Y55" s="88"/>
      <c r="Z55" s="75">
        <f t="shared" si="173"/>
        <v>56.034798534798533</v>
      </c>
      <c r="AA55" s="75"/>
      <c r="AB55" s="161">
        <f t="shared" si="174"/>
        <v>63669</v>
      </c>
      <c r="AC55" s="85">
        <f t="shared" si="174"/>
        <v>0</v>
      </c>
      <c r="AD55" s="161">
        <f t="shared" si="178"/>
        <v>33278</v>
      </c>
      <c r="AE55" s="83"/>
      <c r="AF55" s="158">
        <f t="shared" si="178"/>
        <v>30391</v>
      </c>
      <c r="AG55" s="170"/>
      <c r="AH55" s="80">
        <v>33278</v>
      </c>
      <c r="AI55" s="102"/>
      <c r="AJ55" s="79">
        <v>29543</v>
      </c>
      <c r="AK55" s="84"/>
      <c r="AL55" s="80">
        <v>0</v>
      </c>
      <c r="AM55" s="79"/>
      <c r="AN55" s="79">
        <v>848</v>
      </c>
      <c r="AO55" s="103"/>
      <c r="AP55" s="80">
        <f t="shared" si="24"/>
        <v>27.192351691452853</v>
      </c>
      <c r="AQ55" s="89"/>
      <c r="AR55" s="90">
        <v>1289.9000000000001</v>
      </c>
      <c r="AS55" s="74"/>
      <c r="AT55" s="74">
        <f>(AR55/2208)*100</f>
        <v>58.419384057971016</v>
      </c>
      <c r="AU55" s="91"/>
      <c r="AV55" s="158">
        <f>AX55+AZ55</f>
        <v>62147</v>
      </c>
      <c r="AW55" s="144">
        <f t="shared" si="77"/>
        <v>0</v>
      </c>
      <c r="AX55" s="161">
        <f t="shared" si="179"/>
        <v>32953</v>
      </c>
      <c r="AY55" s="163"/>
      <c r="AZ55" s="83">
        <f t="shared" si="179"/>
        <v>29194</v>
      </c>
      <c r="BA55" s="163"/>
      <c r="BB55" s="78">
        <v>32953</v>
      </c>
      <c r="BC55" s="102"/>
      <c r="BD55" s="79">
        <v>28454</v>
      </c>
      <c r="BE55" s="84"/>
      <c r="BF55" s="86">
        <v>0</v>
      </c>
      <c r="BG55" s="93"/>
      <c r="BH55" s="93">
        <v>740</v>
      </c>
      <c r="BI55" s="103"/>
      <c r="BJ55" s="104">
        <f t="shared" si="103"/>
        <v>25.546941623381656</v>
      </c>
      <c r="BK55" s="94"/>
      <c r="BL55" s="87">
        <v>1223.4000000000001</v>
      </c>
      <c r="BM55" s="79"/>
      <c r="BN55" s="75">
        <f t="shared" si="26"/>
        <v>55.382526029877774</v>
      </c>
      <c r="BO55" s="84"/>
      <c r="BP55" s="157">
        <f t="shared" si="175"/>
        <v>59579</v>
      </c>
      <c r="BQ55" s="157">
        <f t="shared" si="175"/>
        <v>0</v>
      </c>
      <c r="BR55" s="161">
        <f t="shared" si="180"/>
        <v>33986</v>
      </c>
      <c r="BS55" s="83"/>
      <c r="BT55" s="83">
        <f t="shared" si="180"/>
        <v>25593</v>
      </c>
      <c r="BU55" s="85"/>
      <c r="BV55" s="80">
        <v>33986</v>
      </c>
      <c r="BW55" s="105"/>
      <c r="BX55" s="79">
        <v>24834</v>
      </c>
      <c r="BY55" s="84"/>
      <c r="BZ55" s="80">
        <v>0</v>
      </c>
      <c r="CA55" s="79"/>
      <c r="CB55" s="79">
        <v>759</v>
      </c>
      <c r="CC55" s="106"/>
      <c r="CD55" s="82">
        <f t="shared" si="28"/>
        <v>27.77995749550433</v>
      </c>
      <c r="CE55" s="89"/>
      <c r="CF55" s="97">
        <f>D55+X55+AR55+BL55</f>
        <v>4930.3</v>
      </c>
      <c r="CG55" s="80"/>
      <c r="CH55" s="75">
        <f t="shared" si="181"/>
        <v>56.281963470319639</v>
      </c>
      <c r="CI55" s="84"/>
      <c r="CJ55" s="76">
        <f>CL55+CN55</f>
        <v>237537</v>
      </c>
      <c r="CK55" s="77"/>
      <c r="CL55" s="82">
        <f t="shared" si="9"/>
        <v>133993</v>
      </c>
      <c r="CM55" s="94"/>
      <c r="CN55" s="99">
        <f t="shared" si="10"/>
        <v>103544</v>
      </c>
      <c r="CO55" s="152"/>
      <c r="CP55" s="82">
        <f t="shared" si="11"/>
        <v>133993</v>
      </c>
      <c r="CQ55" s="79"/>
      <c r="CR55" s="79">
        <f t="shared" si="12"/>
        <v>100362</v>
      </c>
      <c r="CS55" s="93"/>
      <c r="CT55" s="82">
        <f t="shared" si="13"/>
        <v>0</v>
      </c>
      <c r="CU55" s="79"/>
      <c r="CV55" s="79">
        <f t="shared" si="14"/>
        <v>3182</v>
      </c>
      <c r="CW55" s="93"/>
      <c r="CX55" s="82">
        <f t="shared" si="30"/>
        <v>27.177453704642719</v>
      </c>
      <c r="CY55" s="147"/>
    </row>
    <row r="56" spans="1:103" ht="15.75" customHeight="1" x14ac:dyDescent="0.25">
      <c r="A56" s="553"/>
      <c r="B56" s="145"/>
      <c r="C56" s="72" t="s">
        <v>33</v>
      </c>
      <c r="D56" s="73">
        <v>670</v>
      </c>
      <c r="E56" s="74"/>
      <c r="F56" s="75">
        <f t="shared" si="176"/>
        <v>31.032885595182957</v>
      </c>
      <c r="G56" s="75"/>
      <c r="H56" s="161">
        <f t="shared" si="172"/>
        <v>27927</v>
      </c>
      <c r="I56" s="85">
        <f t="shared" si="172"/>
        <v>0</v>
      </c>
      <c r="J56" s="161">
        <f t="shared" si="177"/>
        <v>18090</v>
      </c>
      <c r="K56" s="83"/>
      <c r="L56" s="158">
        <f t="shared" si="177"/>
        <v>9837</v>
      </c>
      <c r="M56" s="170"/>
      <c r="N56" s="82">
        <v>18090</v>
      </c>
      <c r="O56" s="102"/>
      <c r="P56" s="79">
        <v>9390</v>
      </c>
      <c r="Q56" s="84"/>
      <c r="R56" s="80">
        <v>0</v>
      </c>
      <c r="S56" s="79"/>
      <c r="T56" s="79">
        <v>447</v>
      </c>
      <c r="U56" s="103"/>
      <c r="V56" s="80">
        <f t="shared" si="21"/>
        <v>27</v>
      </c>
      <c r="W56" s="86"/>
      <c r="X56" s="87">
        <v>682.3</v>
      </c>
      <c r="Y56" s="88"/>
      <c r="Z56" s="75">
        <f t="shared" si="173"/>
        <v>31.240842490842489</v>
      </c>
      <c r="AA56" s="75"/>
      <c r="AB56" s="161">
        <f t="shared" si="174"/>
        <v>34981</v>
      </c>
      <c r="AC56" s="85">
        <f t="shared" si="174"/>
        <v>0</v>
      </c>
      <c r="AD56" s="161">
        <f t="shared" si="178"/>
        <v>18283</v>
      </c>
      <c r="AE56" s="83"/>
      <c r="AF56" s="158">
        <f t="shared" si="178"/>
        <v>16698</v>
      </c>
      <c r="AG56" s="170"/>
      <c r="AH56" s="80">
        <v>18283</v>
      </c>
      <c r="AI56" s="102"/>
      <c r="AJ56" s="79">
        <v>16232</v>
      </c>
      <c r="AK56" s="84"/>
      <c r="AL56" s="80">
        <v>0</v>
      </c>
      <c r="AM56" s="79"/>
      <c r="AN56" s="79">
        <v>466</v>
      </c>
      <c r="AO56" s="103"/>
      <c r="AP56" s="80">
        <f t="shared" si="24"/>
        <v>26.79613073428111</v>
      </c>
      <c r="AQ56" s="89"/>
      <c r="AR56" s="90">
        <v>700</v>
      </c>
      <c r="AS56" s="74"/>
      <c r="AT56" s="74">
        <f>(AR56/2208)*100</f>
        <v>31.70289855072464</v>
      </c>
      <c r="AU56" s="91"/>
      <c r="AV56" s="158">
        <f>AX56+AZ56</f>
        <v>35028</v>
      </c>
      <c r="AW56" s="144">
        <f t="shared" si="77"/>
        <v>0</v>
      </c>
      <c r="AX56" s="161">
        <f t="shared" si="179"/>
        <v>18573</v>
      </c>
      <c r="AY56" s="163"/>
      <c r="AZ56" s="83">
        <f t="shared" si="179"/>
        <v>16455</v>
      </c>
      <c r="BA56" s="163"/>
      <c r="BB56" s="78">
        <v>18573</v>
      </c>
      <c r="BC56" s="102"/>
      <c r="BD56" s="79">
        <v>16038</v>
      </c>
      <c r="BE56" s="84"/>
      <c r="BF56" s="86">
        <v>0</v>
      </c>
      <c r="BG56" s="93"/>
      <c r="BH56" s="93">
        <v>417</v>
      </c>
      <c r="BI56" s="103"/>
      <c r="BJ56" s="104">
        <f t="shared" si="103"/>
        <v>26.532857142857143</v>
      </c>
      <c r="BK56" s="94"/>
      <c r="BL56" s="87">
        <v>684</v>
      </c>
      <c r="BM56" s="79"/>
      <c r="BN56" s="75">
        <f t="shared" si="26"/>
        <v>30.964237211407873</v>
      </c>
      <c r="BO56" s="84"/>
      <c r="BP56" s="157">
        <f t="shared" si="175"/>
        <v>32007</v>
      </c>
      <c r="BQ56" s="157">
        <f t="shared" si="175"/>
        <v>0</v>
      </c>
      <c r="BR56" s="161">
        <f t="shared" si="180"/>
        <v>18258</v>
      </c>
      <c r="BS56" s="83"/>
      <c r="BT56" s="83">
        <f t="shared" si="180"/>
        <v>13749</v>
      </c>
      <c r="BU56" s="85"/>
      <c r="BV56" s="80">
        <v>18258</v>
      </c>
      <c r="BW56" s="105"/>
      <c r="BX56" s="79">
        <v>13341</v>
      </c>
      <c r="BY56" s="84"/>
      <c r="BZ56" s="80">
        <v>0</v>
      </c>
      <c r="CA56" s="79"/>
      <c r="CB56" s="79">
        <v>408</v>
      </c>
      <c r="CC56" s="106"/>
      <c r="CD56" s="82">
        <f t="shared" si="28"/>
        <v>26.692982456140349</v>
      </c>
      <c r="CE56" s="89"/>
      <c r="CF56" s="97">
        <f>D56+X56+AR56+BL56</f>
        <v>2736.3</v>
      </c>
      <c r="CG56" s="80"/>
      <c r="CH56" s="75">
        <f t="shared" si="181"/>
        <v>31.236301369863018</v>
      </c>
      <c r="CI56" s="103"/>
      <c r="CJ56" s="76">
        <f>CL56+CN56</f>
        <v>129943</v>
      </c>
      <c r="CK56" s="77"/>
      <c r="CL56" s="82">
        <f t="shared" si="9"/>
        <v>73204</v>
      </c>
      <c r="CM56" s="94"/>
      <c r="CN56" s="99">
        <f t="shared" si="10"/>
        <v>56739</v>
      </c>
      <c r="CO56" s="152"/>
      <c r="CP56" s="82">
        <f t="shared" si="11"/>
        <v>73204</v>
      </c>
      <c r="CQ56" s="79"/>
      <c r="CR56" s="79">
        <f t="shared" si="12"/>
        <v>55001</v>
      </c>
      <c r="CS56" s="93"/>
      <c r="CT56" s="82">
        <f t="shared" si="13"/>
        <v>0</v>
      </c>
      <c r="CU56" s="79"/>
      <c r="CV56" s="79">
        <f t="shared" si="14"/>
        <v>1738</v>
      </c>
      <c r="CW56" s="93"/>
      <c r="CX56" s="82">
        <f t="shared" si="30"/>
        <v>26.752914519606765</v>
      </c>
      <c r="CY56" s="147"/>
    </row>
    <row r="57" spans="1:103" ht="15.75" customHeight="1" x14ac:dyDescent="0.25">
      <c r="A57" s="553"/>
      <c r="B57" s="146"/>
      <c r="C57" s="72" t="s">
        <v>34</v>
      </c>
      <c r="D57" s="73">
        <f>1000.6-5.3</f>
        <v>995.30000000000007</v>
      </c>
      <c r="E57" s="74"/>
      <c r="F57" s="75">
        <f t="shared" si="176"/>
        <v>46.100046317739697</v>
      </c>
      <c r="G57" s="75"/>
      <c r="H57" s="78">
        <f t="shared" si="172"/>
        <v>18793</v>
      </c>
      <c r="I57" s="84">
        <f t="shared" si="172"/>
        <v>0</v>
      </c>
      <c r="J57" s="161">
        <f t="shared" si="177"/>
        <v>12173</v>
      </c>
      <c r="K57" s="83"/>
      <c r="L57" s="158">
        <f t="shared" si="177"/>
        <v>6620</v>
      </c>
      <c r="M57" s="170"/>
      <c r="N57" s="82">
        <v>12173</v>
      </c>
      <c r="O57" s="102"/>
      <c r="P57" s="79">
        <v>6319</v>
      </c>
      <c r="Q57" s="84"/>
      <c r="R57" s="80">
        <v>0</v>
      </c>
      <c r="S57" s="79"/>
      <c r="T57" s="79">
        <v>301</v>
      </c>
      <c r="U57" s="103"/>
      <c r="V57" s="80">
        <f t="shared" si="21"/>
        <v>12.230483271375464</v>
      </c>
      <c r="W57" s="86"/>
      <c r="X57" s="87">
        <f>1121-5</f>
        <v>1116</v>
      </c>
      <c r="Y57" s="88"/>
      <c r="Z57" s="75">
        <f t="shared" si="173"/>
        <v>51.098901098901095</v>
      </c>
      <c r="AA57" s="75"/>
      <c r="AB57" s="78">
        <f t="shared" si="174"/>
        <v>23915</v>
      </c>
      <c r="AC57" s="84">
        <f t="shared" si="174"/>
        <v>0</v>
      </c>
      <c r="AD57" s="161">
        <f t="shared" si="178"/>
        <v>12500</v>
      </c>
      <c r="AE57" s="83"/>
      <c r="AF57" s="158">
        <f t="shared" si="178"/>
        <v>11415</v>
      </c>
      <c r="AG57" s="170"/>
      <c r="AH57" s="80">
        <v>12500</v>
      </c>
      <c r="AI57" s="102"/>
      <c r="AJ57" s="79">
        <v>11097</v>
      </c>
      <c r="AK57" s="84"/>
      <c r="AL57" s="80">
        <v>0</v>
      </c>
      <c r="AM57" s="79"/>
      <c r="AN57" s="79">
        <v>318</v>
      </c>
      <c r="AO57" s="103"/>
      <c r="AP57" s="80">
        <f>AD57/X57</f>
        <v>11.200716845878135</v>
      </c>
      <c r="AQ57" s="89"/>
      <c r="AR57" s="90">
        <f>1049.3-5.5</f>
        <v>1043.8</v>
      </c>
      <c r="AS57" s="74"/>
      <c r="AT57" s="74">
        <f>(AR57/2208)*100</f>
        <v>47.27355072463768</v>
      </c>
      <c r="AU57" s="91"/>
      <c r="AV57" s="158">
        <f>AX57+AZ57</f>
        <v>23165</v>
      </c>
      <c r="AW57" s="144">
        <f t="shared" si="77"/>
        <v>0</v>
      </c>
      <c r="AX57" s="161">
        <f t="shared" si="179"/>
        <v>12283</v>
      </c>
      <c r="AY57" s="163"/>
      <c r="AZ57" s="83">
        <f>BD57+BH57</f>
        <v>10882</v>
      </c>
      <c r="BA57" s="163"/>
      <c r="BB57" s="78">
        <v>12283</v>
      </c>
      <c r="BC57" s="102"/>
      <c r="BD57" s="79">
        <v>10606</v>
      </c>
      <c r="BE57" s="84"/>
      <c r="BF57" s="86">
        <v>0</v>
      </c>
      <c r="BG57" s="93"/>
      <c r="BH57" s="93">
        <v>276</v>
      </c>
      <c r="BI57" s="103"/>
      <c r="BJ57" s="104">
        <f t="shared" si="103"/>
        <v>11.767579996167848</v>
      </c>
      <c r="BK57" s="94"/>
      <c r="BL57" s="87">
        <f>1025.7-5.3</f>
        <v>1020.4000000000001</v>
      </c>
      <c r="BM57" s="79"/>
      <c r="BN57" s="75">
        <f t="shared" si="26"/>
        <v>46.192847442281582</v>
      </c>
      <c r="BO57" s="84"/>
      <c r="BP57" s="82">
        <f t="shared" si="175"/>
        <v>20954</v>
      </c>
      <c r="BQ57" s="82">
        <f t="shared" si="175"/>
        <v>0</v>
      </c>
      <c r="BR57" s="161">
        <f t="shared" si="180"/>
        <v>11953</v>
      </c>
      <c r="BS57" s="83"/>
      <c r="BT57" s="83">
        <f t="shared" si="180"/>
        <v>9001</v>
      </c>
      <c r="BU57" s="85"/>
      <c r="BV57" s="80">
        <v>11953</v>
      </c>
      <c r="BW57" s="105"/>
      <c r="BX57" s="79">
        <v>8734</v>
      </c>
      <c r="BY57" s="84"/>
      <c r="BZ57" s="80">
        <v>0</v>
      </c>
      <c r="CA57" s="79"/>
      <c r="CB57" s="79">
        <v>267</v>
      </c>
      <c r="CC57" s="106"/>
      <c r="CD57" s="82">
        <f t="shared" si="28"/>
        <v>11.714033712269696</v>
      </c>
      <c r="CE57" s="89"/>
      <c r="CF57" s="97">
        <f>D57+X57+AR57+BL57</f>
        <v>4175.5</v>
      </c>
      <c r="CG57" s="80"/>
      <c r="CH57" s="75">
        <f t="shared" si="181"/>
        <v>47.665525114155251</v>
      </c>
      <c r="CI57" s="84"/>
      <c r="CJ57" s="76">
        <f>CL57+CN57</f>
        <v>86827</v>
      </c>
      <c r="CK57" s="77"/>
      <c r="CL57" s="82">
        <f t="shared" si="9"/>
        <v>48909</v>
      </c>
      <c r="CM57" s="94"/>
      <c r="CN57" s="99">
        <f t="shared" si="10"/>
        <v>37918</v>
      </c>
      <c r="CO57" s="152"/>
      <c r="CP57" s="82">
        <f t="shared" si="11"/>
        <v>48909</v>
      </c>
      <c r="CQ57" s="79"/>
      <c r="CR57" s="79">
        <f t="shared" si="12"/>
        <v>36756</v>
      </c>
      <c r="CS57" s="93"/>
      <c r="CT57" s="82">
        <f t="shared" si="13"/>
        <v>0</v>
      </c>
      <c r="CU57" s="79"/>
      <c r="CV57" s="79">
        <f t="shared" si="14"/>
        <v>1162</v>
      </c>
      <c r="CW57" s="93"/>
      <c r="CX57" s="82">
        <f t="shared" si="30"/>
        <v>11.713327745180218</v>
      </c>
      <c r="CY57" s="147"/>
    </row>
    <row r="58" spans="1:103" s="198" customFormat="1" ht="15.75" customHeight="1" thickBot="1" x14ac:dyDescent="0.3">
      <c r="A58" s="554"/>
      <c r="B58" s="171" t="s">
        <v>44</v>
      </c>
      <c r="C58" s="172"/>
      <c r="D58" s="173">
        <f>D9+D15+D24+D29+D35+D41+D46+D52+D22</f>
        <v>10647.900000000001</v>
      </c>
      <c r="E58" s="174"/>
      <c r="F58" s="175"/>
      <c r="G58" s="175"/>
      <c r="H58" s="176">
        <f t="shared" ref="H58:T58" si="182">H9+H15+H24+H29+H35+H41+H46+H52+H22</f>
        <v>1845034</v>
      </c>
      <c r="I58" s="177">
        <f t="shared" si="182"/>
        <v>0</v>
      </c>
      <c r="J58" s="176">
        <f t="shared" si="182"/>
        <v>1195167</v>
      </c>
      <c r="K58" s="178"/>
      <c r="L58" s="179">
        <f t="shared" si="182"/>
        <v>649867</v>
      </c>
      <c r="M58" s="180"/>
      <c r="N58" s="181">
        <f t="shared" si="182"/>
        <v>1185396</v>
      </c>
      <c r="O58" s="179"/>
      <c r="P58" s="179">
        <f t="shared" si="182"/>
        <v>620337</v>
      </c>
      <c r="Q58" s="180"/>
      <c r="R58" s="179">
        <f t="shared" si="182"/>
        <v>9771</v>
      </c>
      <c r="S58" s="179"/>
      <c r="T58" s="179">
        <f t="shared" si="182"/>
        <v>29530</v>
      </c>
      <c r="U58" s="180"/>
      <c r="V58" s="182">
        <f t="shared" si="21"/>
        <v>112.24438621700052</v>
      </c>
      <c r="W58" s="183"/>
      <c r="X58" s="184">
        <f>X9+X15+X24+X29+X35+X41+X46+X52+X22</f>
        <v>10771.1</v>
      </c>
      <c r="Y58" s="185"/>
      <c r="Z58" s="186"/>
      <c r="AA58" s="186"/>
      <c r="AB58" s="176">
        <f t="shared" ref="AB58:AN58" si="183">AB9+AB15+AB24+AB29+AB35+AB41+AB46+AB52+AB22</f>
        <v>2170052</v>
      </c>
      <c r="AC58" s="177">
        <f t="shared" si="183"/>
        <v>0</v>
      </c>
      <c r="AD58" s="176">
        <f t="shared" si="183"/>
        <v>1134222</v>
      </c>
      <c r="AE58" s="178"/>
      <c r="AF58" s="179">
        <f t="shared" si="183"/>
        <v>1035830</v>
      </c>
      <c r="AG58" s="180"/>
      <c r="AH58" s="179">
        <f t="shared" si="183"/>
        <v>1124128</v>
      </c>
      <c r="AI58" s="179"/>
      <c r="AJ58" s="179">
        <f t="shared" si="183"/>
        <v>1006940</v>
      </c>
      <c r="AK58" s="177"/>
      <c r="AL58" s="179">
        <f t="shared" si="183"/>
        <v>10094</v>
      </c>
      <c r="AM58" s="179"/>
      <c r="AN58" s="179">
        <f t="shared" si="183"/>
        <v>28890</v>
      </c>
      <c r="AO58" s="180"/>
      <c r="AP58" s="187">
        <f t="shared" si="24"/>
        <v>105.30233680868248</v>
      </c>
      <c r="AQ58" s="188"/>
      <c r="AR58" s="189">
        <f>AR9+AR15+AR24+AR29+AR35+AR41+AR46+AR52+AR22</f>
        <v>10885</v>
      </c>
      <c r="AS58" s="174"/>
      <c r="AT58" s="190"/>
      <c r="AU58" s="191"/>
      <c r="AV58" s="192">
        <f>AV9+AV15+AV24+AV29+AV35+AV41+AV46+AV52+AV22</f>
        <v>2036513</v>
      </c>
      <c r="AW58" s="177">
        <f>AW9+AW15+AW24+AW29+AW35+AW41+AW46+AW52+AW22</f>
        <v>0</v>
      </c>
      <c r="AX58" s="176">
        <f>ROUND(AX9+AX15+AX24+AX29+AX35+AX41+AX46+AX52+AX22,2)</f>
        <v>1079837</v>
      </c>
      <c r="AY58" s="193"/>
      <c r="AZ58" s="178">
        <f>AZ9+AZ15+AZ24+AZ29+AZ35+AZ41+AZ46+AZ52+AZ22</f>
        <v>956676</v>
      </c>
      <c r="BA58" s="193"/>
      <c r="BB58" s="176">
        <f>ROUND(BB9+BB15+BB24+BB29+BB35+BB41+BB46+BB52+BB22,2)</f>
        <v>1074639</v>
      </c>
      <c r="BC58" s="178"/>
      <c r="BD58" s="178">
        <f>ROUND(BD9+BD15+BD24+BD29+BD35+BD41+BD46+BD52+BD22,2)</f>
        <v>932421</v>
      </c>
      <c r="BE58" s="177"/>
      <c r="BF58" s="179">
        <f>BF9+BF15+BF24+BF29+BF35+BF41+BF46+BF52+BF22</f>
        <v>5198</v>
      </c>
      <c r="BG58" s="179"/>
      <c r="BH58" s="179">
        <f>BH9+BH15+BH24+BH29+BH35+BH41+BH46+BH52+BH22</f>
        <v>24255</v>
      </c>
      <c r="BI58" s="179"/>
      <c r="BJ58" s="182">
        <f t="shared" si="103"/>
        <v>99.204134129536058</v>
      </c>
      <c r="BK58" s="194"/>
      <c r="BL58" s="184">
        <f>BL9+BL15+BL24+BL29+BL35+BL41+BL46+BL52+BL22</f>
        <v>10894.300000000001</v>
      </c>
      <c r="BM58" s="178"/>
      <c r="BN58" s="186"/>
      <c r="BO58" s="177"/>
      <c r="BP58" s="181">
        <f t="shared" ref="BP58:CB58" si="184">BP9+BP15+BP24+BP29+BP35+BP41+BP46+BP52+BP22</f>
        <v>1953650</v>
      </c>
      <c r="BQ58" s="181">
        <f t="shared" si="184"/>
        <v>0</v>
      </c>
      <c r="BR58" s="176">
        <f t="shared" si="184"/>
        <v>1114435</v>
      </c>
      <c r="BS58" s="178"/>
      <c r="BT58" s="178">
        <f t="shared" si="184"/>
        <v>839215</v>
      </c>
      <c r="BU58" s="177"/>
      <c r="BV58" s="179">
        <f t="shared" si="184"/>
        <v>1112158</v>
      </c>
      <c r="BW58" s="179"/>
      <c r="BX58" s="179">
        <f t="shared" si="184"/>
        <v>814327</v>
      </c>
      <c r="BY58" s="177"/>
      <c r="BZ58" s="179">
        <f t="shared" si="184"/>
        <v>2277</v>
      </c>
      <c r="CA58" s="179"/>
      <c r="CB58" s="179">
        <f t="shared" si="184"/>
        <v>24888</v>
      </c>
      <c r="CC58" s="179"/>
      <c r="CD58" s="195">
        <f>BR58/BL58</f>
        <v>102.2952369587766</v>
      </c>
      <c r="CE58" s="188"/>
      <c r="CF58" s="184">
        <f>CF9+CF15+CF24+CF29+CF35+CF41+CF46+CF52+CF22</f>
        <v>43198.3</v>
      </c>
      <c r="CG58" s="178"/>
      <c r="CH58" s="186"/>
      <c r="CI58" s="177"/>
      <c r="CJ58" s="176">
        <f>CJ9+CJ15+CJ24+CJ29+CJ35+CJ41+CJ46+CJ52+CJ22</f>
        <v>8005249</v>
      </c>
      <c r="CK58" s="177"/>
      <c r="CL58" s="195">
        <f>J58+AD58+AX58+BR58</f>
        <v>4523661</v>
      </c>
      <c r="CM58" s="193"/>
      <c r="CN58" s="196">
        <f t="shared" si="10"/>
        <v>3481588</v>
      </c>
      <c r="CO58" s="193"/>
      <c r="CP58" s="195">
        <f t="shared" si="11"/>
        <v>4496321</v>
      </c>
      <c r="CQ58" s="196"/>
      <c r="CR58" s="196">
        <f t="shared" si="12"/>
        <v>3374025</v>
      </c>
      <c r="CS58" s="194"/>
      <c r="CT58" s="195">
        <f t="shared" si="13"/>
        <v>27340</v>
      </c>
      <c r="CU58" s="196"/>
      <c r="CV58" s="196">
        <f t="shared" si="14"/>
        <v>107563</v>
      </c>
      <c r="CW58" s="194"/>
      <c r="CX58" s="195">
        <f>CL58/CF58</f>
        <v>104.71849586673549</v>
      </c>
      <c r="CY58" s="197"/>
    </row>
    <row r="59" spans="1:103" s="217" customFormat="1" ht="18" customHeight="1" x14ac:dyDescent="0.25">
      <c r="A59" s="552" t="s">
        <v>45</v>
      </c>
      <c r="B59" s="199" t="s">
        <v>46</v>
      </c>
      <c r="C59" s="200"/>
      <c r="D59" s="201" t="s">
        <v>47</v>
      </c>
      <c r="E59" s="202" t="s">
        <v>47</v>
      </c>
      <c r="F59" s="203" t="s">
        <v>47</v>
      </c>
      <c r="G59" s="203" t="s">
        <v>47</v>
      </c>
      <c r="H59" s="204" t="s">
        <v>47</v>
      </c>
      <c r="I59" s="205" t="s">
        <v>47</v>
      </c>
      <c r="J59" s="204" t="s">
        <v>47</v>
      </c>
      <c r="K59" s="206" t="s">
        <v>47</v>
      </c>
      <c r="L59" s="207" t="s">
        <v>47</v>
      </c>
      <c r="M59" s="208" t="s">
        <v>47</v>
      </c>
      <c r="N59" s="209" t="s">
        <v>47</v>
      </c>
      <c r="O59" s="207" t="s">
        <v>47</v>
      </c>
      <c r="P59" s="207" t="s">
        <v>47</v>
      </c>
      <c r="Q59" s="208" t="s">
        <v>47</v>
      </c>
      <c r="R59" s="207" t="s">
        <v>47</v>
      </c>
      <c r="S59" s="207" t="s">
        <v>47</v>
      </c>
      <c r="T59" s="207" t="s">
        <v>47</v>
      </c>
      <c r="U59" s="208" t="s">
        <v>47</v>
      </c>
      <c r="V59" s="210" t="s">
        <v>47</v>
      </c>
      <c r="W59" s="211" t="s">
        <v>47</v>
      </c>
      <c r="X59" s="201" t="s">
        <v>47</v>
      </c>
      <c r="Y59" s="202" t="s">
        <v>47</v>
      </c>
      <c r="Z59" s="203" t="s">
        <v>47</v>
      </c>
      <c r="AA59" s="203" t="s">
        <v>47</v>
      </c>
      <c r="AB59" s="204" t="s">
        <v>47</v>
      </c>
      <c r="AC59" s="205" t="s">
        <v>47</v>
      </c>
      <c r="AD59" s="204" t="s">
        <v>47</v>
      </c>
      <c r="AE59" s="206" t="s">
        <v>47</v>
      </c>
      <c r="AF59" s="207" t="s">
        <v>47</v>
      </c>
      <c r="AG59" s="208" t="s">
        <v>47</v>
      </c>
      <c r="AH59" s="209" t="s">
        <v>47</v>
      </c>
      <c r="AI59" s="207" t="s">
        <v>47</v>
      </c>
      <c r="AJ59" s="207" t="s">
        <v>47</v>
      </c>
      <c r="AK59" s="208" t="s">
        <v>47</v>
      </c>
      <c r="AL59" s="207" t="s">
        <v>47</v>
      </c>
      <c r="AM59" s="207" t="s">
        <v>47</v>
      </c>
      <c r="AN59" s="207" t="s">
        <v>47</v>
      </c>
      <c r="AO59" s="208" t="s">
        <v>47</v>
      </c>
      <c r="AP59" s="210" t="s">
        <v>47</v>
      </c>
      <c r="AQ59" s="212" t="s">
        <v>47</v>
      </c>
      <c r="AR59" s="213" t="s">
        <v>47</v>
      </c>
      <c r="AS59" s="202" t="s">
        <v>47</v>
      </c>
      <c r="AT59" s="203" t="s">
        <v>47</v>
      </c>
      <c r="AU59" s="203" t="s">
        <v>47</v>
      </c>
      <c r="AV59" s="204" t="s">
        <v>47</v>
      </c>
      <c r="AW59" s="205" t="s">
        <v>47</v>
      </c>
      <c r="AX59" s="204" t="s">
        <v>47</v>
      </c>
      <c r="AY59" s="211" t="s">
        <v>47</v>
      </c>
      <c r="AZ59" s="206" t="s">
        <v>47</v>
      </c>
      <c r="BA59" s="208" t="s">
        <v>47</v>
      </c>
      <c r="BB59" s="209" t="s">
        <v>47</v>
      </c>
      <c r="BC59" s="207" t="s">
        <v>47</v>
      </c>
      <c r="BD59" s="207" t="s">
        <v>47</v>
      </c>
      <c r="BE59" s="208" t="s">
        <v>47</v>
      </c>
      <c r="BF59" s="207" t="s">
        <v>47</v>
      </c>
      <c r="BG59" s="207" t="s">
        <v>47</v>
      </c>
      <c r="BH59" s="207" t="s">
        <v>47</v>
      </c>
      <c r="BI59" s="208" t="s">
        <v>47</v>
      </c>
      <c r="BJ59" s="210" t="s">
        <v>47</v>
      </c>
      <c r="BK59" s="211" t="s">
        <v>47</v>
      </c>
      <c r="BL59" s="201" t="s">
        <v>47</v>
      </c>
      <c r="BM59" s="202" t="s">
        <v>47</v>
      </c>
      <c r="BN59" s="203" t="s">
        <v>47</v>
      </c>
      <c r="BO59" s="203" t="s">
        <v>47</v>
      </c>
      <c r="BP59" s="204" t="s">
        <v>47</v>
      </c>
      <c r="BQ59" s="205" t="s">
        <v>47</v>
      </c>
      <c r="BR59" s="204" t="s">
        <v>47</v>
      </c>
      <c r="BS59" s="206" t="s">
        <v>47</v>
      </c>
      <c r="BT59" s="207" t="s">
        <v>47</v>
      </c>
      <c r="BU59" s="208" t="s">
        <v>47</v>
      </c>
      <c r="BV59" s="209" t="s">
        <v>47</v>
      </c>
      <c r="BW59" s="207" t="s">
        <v>47</v>
      </c>
      <c r="BX59" s="207" t="s">
        <v>47</v>
      </c>
      <c r="BY59" s="208" t="s">
        <v>47</v>
      </c>
      <c r="BZ59" s="207" t="s">
        <v>47</v>
      </c>
      <c r="CA59" s="207" t="s">
        <v>47</v>
      </c>
      <c r="CB59" s="207" t="s">
        <v>47</v>
      </c>
      <c r="CC59" s="208" t="s">
        <v>47</v>
      </c>
      <c r="CD59" s="209" t="s">
        <v>47</v>
      </c>
      <c r="CE59" s="214" t="s">
        <v>47</v>
      </c>
      <c r="CF59" s="201" t="s">
        <v>47</v>
      </c>
      <c r="CG59" s="202" t="s">
        <v>47</v>
      </c>
      <c r="CH59" s="203" t="s">
        <v>47</v>
      </c>
      <c r="CI59" s="203" t="s">
        <v>47</v>
      </c>
      <c r="CJ59" s="204" t="s">
        <v>47</v>
      </c>
      <c r="CK59" s="205" t="s">
        <v>47</v>
      </c>
      <c r="CL59" s="204" t="s">
        <v>47</v>
      </c>
      <c r="CM59" s="206" t="s">
        <v>47</v>
      </c>
      <c r="CN59" s="207" t="s">
        <v>47</v>
      </c>
      <c r="CO59" s="208" t="s">
        <v>47</v>
      </c>
      <c r="CP59" s="209" t="s">
        <v>47</v>
      </c>
      <c r="CQ59" s="207" t="s">
        <v>47</v>
      </c>
      <c r="CR59" s="207" t="s">
        <v>47</v>
      </c>
      <c r="CS59" s="208" t="s">
        <v>47</v>
      </c>
      <c r="CT59" s="207" t="s">
        <v>47</v>
      </c>
      <c r="CU59" s="207" t="s">
        <v>47</v>
      </c>
      <c r="CV59" s="207" t="s">
        <v>47</v>
      </c>
      <c r="CW59" s="210" t="s">
        <v>47</v>
      </c>
      <c r="CX59" s="204" t="s">
        <v>47</v>
      </c>
      <c r="CY59" s="212" t="s">
        <v>47</v>
      </c>
    </row>
    <row r="60" spans="1:103" s="257" customFormat="1" ht="15.75" customHeight="1" thickBot="1" x14ac:dyDescent="0.3">
      <c r="A60" s="553"/>
      <c r="B60" s="218" t="s">
        <v>48</v>
      </c>
      <c r="C60" s="219" t="s">
        <v>49</v>
      </c>
      <c r="D60" s="220">
        <v>70</v>
      </c>
      <c r="E60" s="221"/>
      <c r="F60" s="222">
        <f>(D60/2159)*100</f>
        <v>3.2422417786012043</v>
      </c>
      <c r="G60" s="222"/>
      <c r="H60" s="223">
        <f>J60+L60</f>
        <v>87.540528022232522</v>
      </c>
      <c r="I60" s="224">
        <f>K60+M60</f>
        <v>0</v>
      </c>
      <c r="J60" s="225">
        <f>N60+R60</f>
        <v>87.540528022232522</v>
      </c>
      <c r="K60" s="226"/>
      <c r="L60" s="226">
        <f t="shared" ref="L60" si="185">P60+T60</f>
        <v>0</v>
      </c>
      <c r="M60" s="227"/>
      <c r="N60" s="228">
        <f>(2700/2159)*D60</f>
        <v>87.540528022232522</v>
      </c>
      <c r="O60" s="229"/>
      <c r="P60" s="229">
        <v>0</v>
      </c>
      <c r="Q60" s="224"/>
      <c r="R60" s="230">
        <v>0</v>
      </c>
      <c r="S60" s="229"/>
      <c r="T60" s="229">
        <v>0</v>
      </c>
      <c r="U60" s="224"/>
      <c r="V60" s="231">
        <f>J60/D60</f>
        <v>1.2505789717461788</v>
      </c>
      <c r="W60" s="232"/>
      <c r="X60" s="233">
        <v>90</v>
      </c>
      <c r="Y60" s="234"/>
      <c r="Z60" s="222">
        <f>(X60/2184)*100</f>
        <v>4.1208791208791204</v>
      </c>
      <c r="AA60" s="222"/>
      <c r="AB60" s="223">
        <f>AD60+AF60</f>
        <v>111.26373626373626</v>
      </c>
      <c r="AC60" s="224">
        <f>AE60+AG60</f>
        <v>0</v>
      </c>
      <c r="AD60" s="225">
        <f>AH60+AL60</f>
        <v>111.26373626373626</v>
      </c>
      <c r="AE60" s="226"/>
      <c r="AF60" s="226">
        <f t="shared" ref="AF60" si="186">AJ60+AN60</f>
        <v>0</v>
      </c>
      <c r="AG60" s="227"/>
      <c r="AH60" s="231">
        <f>(2700/2184)*X60</f>
        <v>111.26373626373626</v>
      </c>
      <c r="AI60" s="235"/>
      <c r="AJ60" s="235">
        <v>0</v>
      </c>
      <c r="AK60" s="236"/>
      <c r="AL60" s="231">
        <v>0</v>
      </c>
      <c r="AM60" s="235"/>
      <c r="AN60" s="235">
        <v>0</v>
      </c>
      <c r="AO60" s="236"/>
      <c r="AP60" s="231">
        <f>AD60/X60</f>
        <v>1.2362637362637363</v>
      </c>
      <c r="AQ60" s="237"/>
      <c r="AR60" s="238">
        <v>30</v>
      </c>
      <c r="AS60" s="221"/>
      <c r="AT60" s="221">
        <f>(AR60/2208)*100</f>
        <v>1.3586956521739131</v>
      </c>
      <c r="AU60" s="239"/>
      <c r="AV60" s="240">
        <f>AX60+AZ60</f>
        <v>36.684782608695649</v>
      </c>
      <c r="AW60" s="241">
        <f>AY60+BA60</f>
        <v>0</v>
      </c>
      <c r="AX60" s="225">
        <f>BB60+BF60</f>
        <v>36.684782608695649</v>
      </c>
      <c r="AY60" s="242"/>
      <c r="AZ60" s="226">
        <f t="shared" ref="AZ60" si="187">BD60+BH60</f>
        <v>0</v>
      </c>
      <c r="BA60" s="227"/>
      <c r="BB60" s="223">
        <f>(2700/2208)*AR60</f>
        <v>36.684782608695649</v>
      </c>
      <c r="BC60" s="229"/>
      <c r="BD60" s="243">
        <v>0</v>
      </c>
      <c r="BE60" s="224"/>
      <c r="BF60" s="244">
        <v>0</v>
      </c>
      <c r="BG60" s="245"/>
      <c r="BH60" s="245">
        <v>0</v>
      </c>
      <c r="BI60" s="224"/>
      <c r="BJ60" s="232">
        <f>AX60/AR60</f>
        <v>1.2228260869565217</v>
      </c>
      <c r="BK60" s="246"/>
      <c r="BL60" s="233">
        <v>80</v>
      </c>
      <c r="BM60" s="247"/>
      <c r="BN60" s="222">
        <f>(BL60/2209)*100</f>
        <v>3.6215482118605702</v>
      </c>
      <c r="BO60" s="248"/>
      <c r="BP60" s="223">
        <f>BR60+BT60</f>
        <v>97.781801720235393</v>
      </c>
      <c r="BQ60" s="227">
        <f>BS60+BU60</f>
        <v>0</v>
      </c>
      <c r="BR60" s="225">
        <f>BV60+BZ60</f>
        <v>97.781801720235393</v>
      </c>
      <c r="BS60" s="226"/>
      <c r="BT60" s="226">
        <f t="shared" ref="BT60" si="188">BX60+CB60</f>
        <v>0</v>
      </c>
      <c r="BU60" s="227"/>
      <c r="BV60" s="230">
        <f>(2700/2209)*BL60</f>
        <v>97.781801720235393</v>
      </c>
      <c r="BW60" s="243"/>
      <c r="BX60" s="229">
        <v>0</v>
      </c>
      <c r="BY60" s="224"/>
      <c r="BZ60" s="230">
        <v>0</v>
      </c>
      <c r="CA60" s="229"/>
      <c r="CB60" s="229">
        <v>0</v>
      </c>
      <c r="CC60" s="249"/>
      <c r="CD60" s="250">
        <f>BR60/BL60</f>
        <v>1.2222725215029424</v>
      </c>
      <c r="CE60" s="237"/>
      <c r="CF60" s="251">
        <f>D60+X60+AR60+BL60</f>
        <v>270</v>
      </c>
      <c r="CG60" s="231"/>
      <c r="CH60" s="222">
        <f>(CF60/8760)*100</f>
        <v>3.0821917808219177</v>
      </c>
      <c r="CI60" s="224"/>
      <c r="CJ60" s="252">
        <f>CL60+CN60</f>
        <v>333.27084861489982</v>
      </c>
      <c r="CK60" s="236"/>
      <c r="CL60" s="240">
        <f>CP60+CT60</f>
        <v>333.27084861489982</v>
      </c>
      <c r="CM60" s="253"/>
      <c r="CN60" s="254">
        <f t="shared" ref="CN60" si="189">CR60+CV60</f>
        <v>0</v>
      </c>
      <c r="CO60" s="255"/>
      <c r="CP60" s="240">
        <f>N60+AH60+BB60+BV60</f>
        <v>333.27084861489982</v>
      </c>
      <c r="CQ60" s="254"/>
      <c r="CR60" s="254">
        <f t="shared" ref="CR60:CV60" si="190">P60+AJ60+BD60+BX60</f>
        <v>0</v>
      </c>
      <c r="CS60" s="255"/>
      <c r="CT60" s="240">
        <f t="shared" si="190"/>
        <v>0</v>
      </c>
      <c r="CU60" s="254"/>
      <c r="CV60" s="254">
        <f t="shared" si="190"/>
        <v>0</v>
      </c>
      <c r="CW60" s="253"/>
      <c r="CX60" s="240">
        <f>CL60/CF60</f>
        <v>1.2343364763514808</v>
      </c>
      <c r="CY60" s="256"/>
    </row>
    <row r="61" spans="1:103" s="277" customFormat="1" ht="15.75" customHeight="1" thickBot="1" x14ac:dyDescent="0.3">
      <c r="A61" s="554"/>
      <c r="B61" s="258" t="s">
        <v>50</v>
      </c>
      <c r="C61" s="259"/>
      <c r="D61" s="260">
        <f>D58+D60</f>
        <v>10717.900000000001</v>
      </c>
      <c r="E61" s="261"/>
      <c r="F61" s="261"/>
      <c r="G61" s="262"/>
      <c r="H61" s="263">
        <f t="shared" ref="H61:BQ61" si="191">SUM(H58:H60)</f>
        <v>1845121.5405280222</v>
      </c>
      <c r="I61" s="262">
        <f>SUM(I58:I60)</f>
        <v>0</v>
      </c>
      <c r="J61" s="263">
        <f t="shared" si="191"/>
        <v>1195254.5405280222</v>
      </c>
      <c r="K61" s="261"/>
      <c r="L61" s="261">
        <f t="shared" si="191"/>
        <v>649867</v>
      </c>
      <c r="M61" s="262"/>
      <c r="N61" s="263">
        <f t="shared" si="191"/>
        <v>1185483.5405280222</v>
      </c>
      <c r="O61" s="261"/>
      <c r="P61" s="261">
        <f t="shared" si="191"/>
        <v>620337</v>
      </c>
      <c r="Q61" s="262"/>
      <c r="R61" s="263">
        <f>SUM(R58:R60)</f>
        <v>9771</v>
      </c>
      <c r="S61" s="261"/>
      <c r="T61" s="261">
        <f t="shared" si="191"/>
        <v>29530</v>
      </c>
      <c r="U61" s="262"/>
      <c r="V61" s="263"/>
      <c r="W61" s="262"/>
      <c r="X61" s="264">
        <f t="shared" si="191"/>
        <v>10861.1</v>
      </c>
      <c r="Y61" s="261"/>
      <c r="Z61" s="261"/>
      <c r="AA61" s="262"/>
      <c r="AB61" s="263">
        <f t="shared" si="191"/>
        <v>2170163.2637362638</v>
      </c>
      <c r="AC61" s="265">
        <f t="shared" si="191"/>
        <v>0</v>
      </c>
      <c r="AD61" s="266">
        <f t="shared" si="191"/>
        <v>1134333.2637362638</v>
      </c>
      <c r="AE61" s="261"/>
      <c r="AF61" s="261">
        <f t="shared" si="191"/>
        <v>1035830</v>
      </c>
      <c r="AG61" s="262"/>
      <c r="AH61" s="263">
        <f t="shared" si="191"/>
        <v>1124239.2637362638</v>
      </c>
      <c r="AI61" s="267"/>
      <c r="AJ61" s="267">
        <f t="shared" si="191"/>
        <v>1006940</v>
      </c>
      <c r="AK61" s="265"/>
      <c r="AL61" s="266">
        <f t="shared" si="191"/>
        <v>10094</v>
      </c>
      <c r="AM61" s="261"/>
      <c r="AN61" s="261">
        <f t="shared" si="191"/>
        <v>28890</v>
      </c>
      <c r="AO61" s="262"/>
      <c r="AP61" s="263"/>
      <c r="AQ61" s="268"/>
      <c r="AR61" s="269">
        <f t="shared" si="191"/>
        <v>10915</v>
      </c>
      <c r="AS61" s="267"/>
      <c r="AT61" s="267"/>
      <c r="AU61" s="270"/>
      <c r="AV61" s="263">
        <f t="shared" si="191"/>
        <v>2036549.6847826086</v>
      </c>
      <c r="AW61" s="265">
        <f t="shared" si="191"/>
        <v>0</v>
      </c>
      <c r="AX61" s="271">
        <f t="shared" si="191"/>
        <v>1079873.6847826086</v>
      </c>
      <c r="AY61" s="270"/>
      <c r="AZ61" s="267">
        <f t="shared" si="191"/>
        <v>956676</v>
      </c>
      <c r="BA61" s="265"/>
      <c r="BB61" s="271">
        <f t="shared" si="191"/>
        <v>1074675.6847826086</v>
      </c>
      <c r="BC61" s="267"/>
      <c r="BD61" s="267">
        <f t="shared" si="191"/>
        <v>932421</v>
      </c>
      <c r="BE61" s="265"/>
      <c r="BF61" s="271">
        <f t="shared" si="191"/>
        <v>5198</v>
      </c>
      <c r="BG61" s="267"/>
      <c r="BH61" s="267">
        <f t="shared" si="191"/>
        <v>24255</v>
      </c>
      <c r="BI61" s="265"/>
      <c r="BJ61" s="271"/>
      <c r="BK61" s="270"/>
      <c r="BL61" s="272">
        <f t="shared" si="191"/>
        <v>10974.300000000001</v>
      </c>
      <c r="BM61" s="261"/>
      <c r="BN61" s="261"/>
      <c r="BO61" s="262"/>
      <c r="BP61" s="263">
        <f t="shared" si="191"/>
        <v>1953747.7818017201</v>
      </c>
      <c r="BQ61" s="265">
        <f t="shared" si="191"/>
        <v>0</v>
      </c>
      <c r="BR61" s="266">
        <f t="shared" ref="BR61:CB61" si="192">SUM(BR58:BR60)</f>
        <v>1114532.7818017201</v>
      </c>
      <c r="BS61" s="261"/>
      <c r="BT61" s="261">
        <f t="shared" si="192"/>
        <v>839215</v>
      </c>
      <c r="BU61" s="262"/>
      <c r="BV61" s="263">
        <f t="shared" si="192"/>
        <v>1112255.7818017201</v>
      </c>
      <c r="BW61" s="267"/>
      <c r="BX61" s="267">
        <f t="shared" si="192"/>
        <v>814327</v>
      </c>
      <c r="BY61" s="265"/>
      <c r="BZ61" s="266">
        <f t="shared" si="192"/>
        <v>2277</v>
      </c>
      <c r="CA61" s="261"/>
      <c r="CB61" s="261">
        <f t="shared" si="192"/>
        <v>24888</v>
      </c>
      <c r="CC61" s="262"/>
      <c r="CD61" s="263"/>
      <c r="CE61" s="273"/>
      <c r="CF61" s="274">
        <f t="shared" ref="CF61" si="193">SUM(CF58:CF60)</f>
        <v>43468.3</v>
      </c>
      <c r="CG61" s="261"/>
      <c r="CH61" s="275"/>
      <c r="CI61" s="276"/>
      <c r="CJ61" s="277">
        <f>SUM(CJ58:CJ60)</f>
        <v>8005582.2708486151</v>
      </c>
      <c r="CK61" s="276"/>
      <c r="CL61" s="278">
        <f t="shared" ref="CL61" si="194">SUM(CL58:CL60)</f>
        <v>4523994.2708486151</v>
      </c>
      <c r="CM61" s="262"/>
      <c r="CN61" s="275">
        <f t="shared" ref="CN61" si="195">SUM(CN58:CN60)</f>
        <v>3481588</v>
      </c>
      <c r="CO61" s="276"/>
      <c r="CP61" s="279">
        <f t="shared" ref="CP61" si="196">SUM(CP58:CP60)</f>
        <v>4496654.2708486151</v>
      </c>
      <c r="CQ61" s="275"/>
      <c r="CR61" s="275">
        <f t="shared" ref="CR61" si="197">SUM(CR58:CR60)</f>
        <v>3374025</v>
      </c>
      <c r="CS61" s="280"/>
      <c r="CT61" s="278">
        <f t="shared" ref="CT61" si="198">SUM(CT58:CT60)</f>
        <v>27340</v>
      </c>
      <c r="CU61" s="275"/>
      <c r="CV61" s="275">
        <f t="shared" ref="CV61" si="199">SUM(CV58:CV60)</f>
        <v>107563</v>
      </c>
      <c r="CW61" s="280"/>
      <c r="CX61" s="278"/>
      <c r="CY61" s="281"/>
    </row>
    <row r="62" spans="1:103" s="302" customFormat="1" ht="15.75" customHeight="1" x14ac:dyDescent="0.25">
      <c r="A62" s="284" t="s">
        <v>51</v>
      </c>
      <c r="B62" s="285" t="s">
        <v>52</v>
      </c>
      <c r="C62" s="286"/>
      <c r="D62" s="287" t="s">
        <v>47</v>
      </c>
      <c r="E62" s="288"/>
      <c r="F62" s="289" t="s">
        <v>47</v>
      </c>
      <c r="G62" s="290" t="s">
        <v>47</v>
      </c>
      <c r="H62" s="291" t="s">
        <v>47</v>
      </c>
      <c r="I62" s="292" t="s">
        <v>47</v>
      </c>
      <c r="J62" s="291" t="s">
        <v>47</v>
      </c>
      <c r="K62" s="293" t="s">
        <v>47</v>
      </c>
      <c r="L62" s="294" t="s">
        <v>47</v>
      </c>
      <c r="M62" s="295" t="s">
        <v>47</v>
      </c>
      <c r="N62" s="296" t="s">
        <v>47</v>
      </c>
      <c r="O62" s="294" t="s">
        <v>47</v>
      </c>
      <c r="P62" s="294" t="s">
        <v>47</v>
      </c>
      <c r="Q62" s="295" t="s">
        <v>47</v>
      </c>
      <c r="R62" s="294" t="s">
        <v>47</v>
      </c>
      <c r="S62" s="294" t="s">
        <v>47</v>
      </c>
      <c r="T62" s="294" t="s">
        <v>47</v>
      </c>
      <c r="U62" s="295" t="s">
        <v>47</v>
      </c>
      <c r="V62" s="294" t="s">
        <v>47</v>
      </c>
      <c r="W62" s="297" t="s">
        <v>47</v>
      </c>
      <c r="X62" s="287" t="s">
        <v>47</v>
      </c>
      <c r="Y62" s="288"/>
      <c r="Z62" s="289" t="s">
        <v>47</v>
      </c>
      <c r="AA62" s="290" t="s">
        <v>47</v>
      </c>
      <c r="AB62" s="291" t="s">
        <v>47</v>
      </c>
      <c r="AC62" s="292" t="s">
        <v>47</v>
      </c>
      <c r="AD62" s="291" t="s">
        <v>47</v>
      </c>
      <c r="AE62" s="293" t="s">
        <v>47</v>
      </c>
      <c r="AF62" s="294" t="s">
        <v>47</v>
      </c>
      <c r="AG62" s="295" t="s">
        <v>47</v>
      </c>
      <c r="AH62" s="296" t="s">
        <v>47</v>
      </c>
      <c r="AI62" s="294" t="s">
        <v>47</v>
      </c>
      <c r="AJ62" s="294" t="s">
        <v>47</v>
      </c>
      <c r="AK62" s="295" t="s">
        <v>47</v>
      </c>
      <c r="AL62" s="294" t="s">
        <v>47</v>
      </c>
      <c r="AM62" s="294" t="s">
        <v>47</v>
      </c>
      <c r="AN62" s="294" t="s">
        <v>47</v>
      </c>
      <c r="AO62" s="295" t="s">
        <v>47</v>
      </c>
      <c r="AP62" s="294" t="s">
        <v>47</v>
      </c>
      <c r="AQ62" s="298" t="s">
        <v>47</v>
      </c>
      <c r="AR62" s="299" t="s">
        <v>47</v>
      </c>
      <c r="AS62" s="288"/>
      <c r="AT62" s="289" t="s">
        <v>47</v>
      </c>
      <c r="AU62" s="290" t="s">
        <v>47</v>
      </c>
      <c r="AV62" s="291" t="s">
        <v>47</v>
      </c>
      <c r="AW62" s="292" t="s">
        <v>47</v>
      </c>
      <c r="AX62" s="291" t="s">
        <v>47</v>
      </c>
      <c r="AY62" s="297" t="s">
        <v>47</v>
      </c>
      <c r="AZ62" s="293" t="s">
        <v>47</v>
      </c>
      <c r="BA62" s="295" t="s">
        <v>47</v>
      </c>
      <c r="BB62" s="296" t="s">
        <v>47</v>
      </c>
      <c r="BC62" s="294" t="s">
        <v>47</v>
      </c>
      <c r="BD62" s="294" t="s">
        <v>47</v>
      </c>
      <c r="BE62" s="295" t="s">
        <v>47</v>
      </c>
      <c r="BF62" s="294" t="s">
        <v>47</v>
      </c>
      <c r="BG62" s="294" t="s">
        <v>47</v>
      </c>
      <c r="BH62" s="294" t="s">
        <v>47</v>
      </c>
      <c r="BI62" s="295" t="s">
        <v>47</v>
      </c>
      <c r="BJ62" s="294" t="s">
        <v>47</v>
      </c>
      <c r="BK62" s="297" t="s">
        <v>47</v>
      </c>
      <c r="BL62" s="287" t="s">
        <v>47</v>
      </c>
      <c r="BM62" s="288"/>
      <c r="BN62" s="289" t="s">
        <v>47</v>
      </c>
      <c r="BO62" s="290" t="s">
        <v>47</v>
      </c>
      <c r="BP62" s="291" t="s">
        <v>47</v>
      </c>
      <c r="BQ62" s="292" t="s">
        <v>47</v>
      </c>
      <c r="BR62" s="291" t="s">
        <v>47</v>
      </c>
      <c r="BS62" s="293" t="s">
        <v>47</v>
      </c>
      <c r="BT62" s="294" t="s">
        <v>47</v>
      </c>
      <c r="BU62" s="295" t="s">
        <v>47</v>
      </c>
      <c r="BV62" s="296" t="s">
        <v>47</v>
      </c>
      <c r="BW62" s="294" t="s">
        <v>47</v>
      </c>
      <c r="BX62" s="294" t="s">
        <v>47</v>
      </c>
      <c r="BY62" s="295" t="s">
        <v>47</v>
      </c>
      <c r="BZ62" s="294" t="s">
        <v>47</v>
      </c>
      <c r="CA62" s="294" t="s">
        <v>47</v>
      </c>
      <c r="CB62" s="294" t="s">
        <v>47</v>
      </c>
      <c r="CC62" s="295" t="s">
        <v>47</v>
      </c>
      <c r="CD62" s="296" t="s">
        <v>47</v>
      </c>
      <c r="CE62" s="300" t="s">
        <v>47</v>
      </c>
      <c r="CF62" s="287" t="s">
        <v>47</v>
      </c>
      <c r="CG62" s="288" t="s">
        <v>47</v>
      </c>
      <c r="CH62" s="289" t="s">
        <v>47</v>
      </c>
      <c r="CI62" s="290" t="s">
        <v>47</v>
      </c>
      <c r="CJ62" s="291" t="s">
        <v>47</v>
      </c>
      <c r="CK62" s="292" t="s">
        <v>47</v>
      </c>
      <c r="CL62" s="291" t="s">
        <v>47</v>
      </c>
      <c r="CM62" s="297" t="s">
        <v>47</v>
      </c>
      <c r="CN62" s="293" t="s">
        <v>47</v>
      </c>
      <c r="CO62" s="295" t="s">
        <v>47</v>
      </c>
      <c r="CP62" s="296" t="s">
        <v>47</v>
      </c>
      <c r="CQ62" s="294" t="s">
        <v>47</v>
      </c>
      <c r="CR62" s="294" t="s">
        <v>47</v>
      </c>
      <c r="CS62" s="295" t="s">
        <v>47</v>
      </c>
      <c r="CT62" s="294" t="s">
        <v>47</v>
      </c>
      <c r="CU62" s="294" t="s">
        <v>47</v>
      </c>
      <c r="CV62" s="294" t="s">
        <v>47</v>
      </c>
      <c r="CW62" s="301" t="s">
        <v>47</v>
      </c>
      <c r="CX62" s="296" t="s">
        <v>47</v>
      </c>
      <c r="CY62" s="298" t="s">
        <v>47</v>
      </c>
    </row>
    <row r="63" spans="1:103" s="330" customFormat="1" ht="15.75" customHeight="1" x14ac:dyDescent="0.25">
      <c r="A63" s="303" t="s">
        <v>53</v>
      </c>
      <c r="B63" s="304" t="s">
        <v>54</v>
      </c>
      <c r="C63" s="305"/>
      <c r="D63" s="306">
        <f>SUM(D64:D68)</f>
        <v>103.1</v>
      </c>
      <c r="E63" s="307"/>
      <c r="F63" s="308"/>
      <c r="G63" s="308"/>
      <c r="H63" s="309">
        <f>SUM(H64:H68)</f>
        <v>12956</v>
      </c>
      <c r="I63" s="310">
        <f t="shared" ref="I63:L63" si="200">SUM(I64:I68)</f>
        <v>0</v>
      </c>
      <c r="J63" s="309">
        <f t="shared" si="200"/>
        <v>8391</v>
      </c>
      <c r="K63" s="311"/>
      <c r="L63" s="312">
        <f t="shared" si="200"/>
        <v>4565</v>
      </c>
      <c r="M63" s="313"/>
      <c r="N63" s="314">
        <f t="shared" ref="N63:T63" si="201">SUM(N64:N68)</f>
        <v>8391</v>
      </c>
      <c r="O63" s="312"/>
      <c r="P63" s="312">
        <f t="shared" si="201"/>
        <v>4357</v>
      </c>
      <c r="Q63" s="313"/>
      <c r="R63" s="312">
        <f t="shared" si="201"/>
        <v>0</v>
      </c>
      <c r="S63" s="312"/>
      <c r="T63" s="312">
        <f t="shared" si="201"/>
        <v>208</v>
      </c>
      <c r="U63" s="313"/>
      <c r="V63" s="312">
        <f>J63/D63</f>
        <v>81.387002909796323</v>
      </c>
      <c r="W63" s="315"/>
      <c r="X63" s="316">
        <f>SUM(X64:X68)</f>
        <v>105.80000000000001</v>
      </c>
      <c r="Y63" s="317"/>
      <c r="Z63" s="308"/>
      <c r="AA63" s="308"/>
      <c r="AB63" s="309">
        <f>SUM(AB64:AB68)</f>
        <v>16119</v>
      </c>
      <c r="AC63" s="310">
        <f>SUM(AC64:AC68)</f>
        <v>0</v>
      </c>
      <c r="AD63" s="309">
        <f>SUM(AD64:AD68)</f>
        <v>8425</v>
      </c>
      <c r="AE63" s="311"/>
      <c r="AF63" s="312">
        <f t="shared" ref="AF63:CN63" si="202">SUM(AF64:AF68)</f>
        <v>7694</v>
      </c>
      <c r="AG63" s="310"/>
      <c r="AH63" s="312">
        <f t="shared" si="202"/>
        <v>8425</v>
      </c>
      <c r="AI63" s="312"/>
      <c r="AJ63" s="312">
        <f t="shared" si="202"/>
        <v>7480</v>
      </c>
      <c r="AK63" s="310"/>
      <c r="AL63" s="312">
        <f t="shared" si="202"/>
        <v>0</v>
      </c>
      <c r="AM63" s="312"/>
      <c r="AN63" s="312">
        <f t="shared" si="202"/>
        <v>214</v>
      </c>
      <c r="AO63" s="313"/>
      <c r="AP63" s="312">
        <f>AD63/X63</f>
        <v>79.63137996219281</v>
      </c>
      <c r="AQ63" s="318"/>
      <c r="AR63" s="319">
        <f t="shared" ref="AR63" si="203">SUM(AR64:AR68)</f>
        <v>106.3</v>
      </c>
      <c r="AS63" s="307"/>
      <c r="AT63" s="320"/>
      <c r="AU63" s="321"/>
      <c r="AV63" s="322">
        <f t="shared" si="202"/>
        <v>15863</v>
      </c>
      <c r="AW63" s="323">
        <f>AY63+BA63</f>
        <v>0</v>
      </c>
      <c r="AX63" s="309">
        <f t="shared" ref="AX63:BH63" si="204">SUM(AX64:AX68)</f>
        <v>8412</v>
      </c>
      <c r="AY63" s="323"/>
      <c r="AZ63" s="311">
        <f t="shared" si="204"/>
        <v>7451</v>
      </c>
      <c r="BA63" s="323"/>
      <c r="BB63" s="309">
        <f t="shared" si="204"/>
        <v>8412</v>
      </c>
      <c r="BC63" s="311"/>
      <c r="BD63" s="311">
        <f t="shared" si="204"/>
        <v>7262</v>
      </c>
      <c r="BE63" s="310"/>
      <c r="BF63" s="312">
        <f t="shared" si="204"/>
        <v>0</v>
      </c>
      <c r="BG63" s="312"/>
      <c r="BH63" s="312">
        <f t="shared" si="204"/>
        <v>189</v>
      </c>
      <c r="BI63" s="312"/>
      <c r="BJ63" s="309">
        <f t="shared" si="103"/>
        <v>79.134524929444964</v>
      </c>
      <c r="BK63" s="323"/>
      <c r="BL63" s="306">
        <f t="shared" ref="BL63" si="205">SUM(BL64:BL68)</f>
        <v>107.69999999999999</v>
      </c>
      <c r="BM63" s="311"/>
      <c r="BN63" s="320"/>
      <c r="BO63" s="324"/>
      <c r="BP63" s="312">
        <f t="shared" si="202"/>
        <v>14772</v>
      </c>
      <c r="BQ63" s="312">
        <f t="shared" si="202"/>
        <v>0</v>
      </c>
      <c r="BR63" s="309">
        <f t="shared" si="202"/>
        <v>8426</v>
      </c>
      <c r="BS63" s="311"/>
      <c r="BT63" s="311">
        <f t="shared" si="202"/>
        <v>6346</v>
      </c>
      <c r="BU63" s="310"/>
      <c r="BV63" s="312">
        <f t="shared" si="202"/>
        <v>8426</v>
      </c>
      <c r="BW63" s="312"/>
      <c r="BX63" s="312">
        <f t="shared" si="202"/>
        <v>6158</v>
      </c>
      <c r="BY63" s="310"/>
      <c r="BZ63" s="312">
        <f t="shared" si="202"/>
        <v>0</v>
      </c>
      <c r="CA63" s="312"/>
      <c r="CB63" s="312">
        <f t="shared" si="202"/>
        <v>188</v>
      </c>
      <c r="CC63" s="325"/>
      <c r="CD63" s="314">
        <f t="shared" si="28"/>
        <v>78.235840297121641</v>
      </c>
      <c r="CE63" s="318"/>
      <c r="CF63" s="306">
        <f>SUM(CF64:CF68)</f>
        <v>422.9</v>
      </c>
      <c r="CG63" s="311"/>
      <c r="CH63" s="320"/>
      <c r="CI63" s="321"/>
      <c r="CJ63" s="326">
        <f t="shared" si="202"/>
        <v>59710</v>
      </c>
      <c r="CK63" s="310">
        <f t="shared" si="202"/>
        <v>0</v>
      </c>
      <c r="CL63" s="322">
        <f t="shared" si="202"/>
        <v>33654</v>
      </c>
      <c r="CM63" s="323"/>
      <c r="CN63" s="311">
        <f t="shared" si="202"/>
        <v>26056</v>
      </c>
      <c r="CO63" s="310"/>
      <c r="CP63" s="312">
        <f t="shared" ref="CP63:CV63" si="206">SUM(CP64:CP68)</f>
        <v>33654</v>
      </c>
      <c r="CQ63" s="311"/>
      <c r="CR63" s="311">
        <f t="shared" si="206"/>
        <v>25257</v>
      </c>
      <c r="CS63" s="323"/>
      <c r="CT63" s="314">
        <f t="shared" si="206"/>
        <v>0</v>
      </c>
      <c r="CU63" s="311"/>
      <c r="CV63" s="311">
        <f t="shared" si="206"/>
        <v>799</v>
      </c>
      <c r="CW63" s="323"/>
      <c r="CX63" s="314">
        <f t="shared" si="30"/>
        <v>79.579096713170969</v>
      </c>
      <c r="CY63" s="327"/>
    </row>
    <row r="64" spans="1:103" s="1" customFormat="1" ht="15.75" customHeight="1" x14ac:dyDescent="0.25">
      <c r="A64" s="331"/>
      <c r="B64" s="149"/>
      <c r="C64" s="72" t="s">
        <v>30</v>
      </c>
      <c r="D64" s="73">
        <v>25.7</v>
      </c>
      <c r="E64" s="74"/>
      <c r="F64" s="75">
        <f>(D64/2159)*100</f>
        <v>1.1903659101435851</v>
      </c>
      <c r="G64" s="75"/>
      <c r="H64" s="78">
        <f t="shared" ref="H64:I68" si="207">J64+L64</f>
        <v>8678</v>
      </c>
      <c r="I64" s="84">
        <f t="shared" si="207"/>
        <v>0</v>
      </c>
      <c r="J64" s="161">
        <f>N64+R64</f>
        <v>5621</v>
      </c>
      <c r="K64" s="83"/>
      <c r="L64" s="158">
        <f>P64+T64</f>
        <v>3057</v>
      </c>
      <c r="M64" s="170"/>
      <c r="N64" s="157">
        <v>5621</v>
      </c>
      <c r="O64" s="79"/>
      <c r="P64" s="83">
        <v>2918</v>
      </c>
      <c r="Q64" s="85"/>
      <c r="R64" s="158">
        <v>0</v>
      </c>
      <c r="S64" s="83"/>
      <c r="T64" s="83">
        <v>139</v>
      </c>
      <c r="U64" s="84"/>
      <c r="V64" s="80">
        <f t="shared" si="21"/>
        <v>218.71595330739299</v>
      </c>
      <c r="W64" s="86"/>
      <c r="X64" s="87">
        <v>25.8</v>
      </c>
      <c r="Y64" s="88"/>
      <c r="Z64" s="75">
        <f t="shared" ref="Z64:Z68" si="208">(X64/2184)*100</f>
        <v>1.1813186813186813</v>
      </c>
      <c r="AA64" s="75"/>
      <c r="AB64" s="78">
        <f t="shared" ref="AB64:AC68" si="209">AD64+AF64</f>
        <v>10768</v>
      </c>
      <c r="AC64" s="84">
        <f t="shared" si="209"/>
        <v>0</v>
      </c>
      <c r="AD64" s="161">
        <f>AH64+AL64</f>
        <v>5628</v>
      </c>
      <c r="AE64" s="83"/>
      <c r="AF64" s="158">
        <f>AJ64+AN64</f>
        <v>5140</v>
      </c>
      <c r="AG64" s="170"/>
      <c r="AH64" s="158">
        <v>5628</v>
      </c>
      <c r="AI64" s="79"/>
      <c r="AJ64" s="83">
        <v>4997</v>
      </c>
      <c r="AK64" s="85"/>
      <c r="AL64" s="158">
        <v>0</v>
      </c>
      <c r="AM64" s="83"/>
      <c r="AN64" s="83">
        <v>143</v>
      </c>
      <c r="AO64" s="84"/>
      <c r="AP64" s="80">
        <f>AD64/X64</f>
        <v>218.13953488372093</v>
      </c>
      <c r="AQ64" s="89"/>
      <c r="AR64" s="90">
        <v>27.6</v>
      </c>
      <c r="AS64" s="74"/>
      <c r="AT64" s="74">
        <f>(AR64/2208)*100</f>
        <v>1.25</v>
      </c>
      <c r="AU64" s="91"/>
      <c r="AV64" s="80">
        <f>AX64+AZ64</f>
        <v>10631</v>
      </c>
      <c r="AW64" s="86">
        <f>AY64+BA64</f>
        <v>0</v>
      </c>
      <c r="AX64" s="161">
        <f>BB64+BF64</f>
        <v>5637</v>
      </c>
      <c r="AY64" s="163"/>
      <c r="AZ64" s="83">
        <f>BD64+BH64</f>
        <v>4994</v>
      </c>
      <c r="BA64" s="163"/>
      <c r="BB64" s="161">
        <v>5637</v>
      </c>
      <c r="BC64" s="79"/>
      <c r="BD64" s="83">
        <v>4867</v>
      </c>
      <c r="BE64" s="170"/>
      <c r="BF64" s="162">
        <v>0</v>
      </c>
      <c r="BG64" s="163"/>
      <c r="BH64" s="163">
        <v>127</v>
      </c>
      <c r="BI64" s="93"/>
      <c r="BJ64" s="76">
        <f t="shared" si="103"/>
        <v>204.2391304347826</v>
      </c>
      <c r="BK64" s="94"/>
      <c r="BL64" s="73">
        <v>26.5</v>
      </c>
      <c r="BM64" s="79"/>
      <c r="BN64" s="75">
        <f t="shared" si="26"/>
        <v>1.1996378451788141</v>
      </c>
      <c r="BO64" s="84"/>
      <c r="BP64" s="86">
        <f t="shared" ref="BP64:BQ68" si="210">BR64+BT64</f>
        <v>9877</v>
      </c>
      <c r="BQ64" s="86">
        <f t="shared" si="210"/>
        <v>0</v>
      </c>
      <c r="BR64" s="161">
        <f>BV64+BZ64</f>
        <v>5634</v>
      </c>
      <c r="BS64" s="83"/>
      <c r="BT64" s="83">
        <f>BX64+CB64</f>
        <v>4243</v>
      </c>
      <c r="BU64" s="85"/>
      <c r="BV64" s="158">
        <v>5634</v>
      </c>
      <c r="BW64" s="150"/>
      <c r="BX64" s="83">
        <v>4117</v>
      </c>
      <c r="BY64" s="85"/>
      <c r="BZ64" s="158">
        <v>0</v>
      </c>
      <c r="CA64" s="83"/>
      <c r="CB64" s="83">
        <v>126</v>
      </c>
      <c r="CC64" s="151"/>
      <c r="CD64" s="82">
        <f t="shared" si="28"/>
        <v>212.60377358490567</v>
      </c>
      <c r="CE64" s="89"/>
      <c r="CF64" s="332">
        <f>D64+X64+AR64+BL64</f>
        <v>105.6</v>
      </c>
      <c r="CG64" s="79"/>
      <c r="CH64" s="75">
        <f>(CF64/8760)*100</f>
        <v>1.2054794520547945</v>
      </c>
      <c r="CI64" s="103"/>
      <c r="CJ64" s="104">
        <f>CL64+CN64</f>
        <v>39954</v>
      </c>
      <c r="CK64" s="77"/>
      <c r="CL64" s="82">
        <f>J64+AD64+AX64+BR64</f>
        <v>22520</v>
      </c>
      <c r="CM64" s="94"/>
      <c r="CN64" s="99">
        <f>L64+AF64+AZ64+BT64</f>
        <v>17434</v>
      </c>
      <c r="CO64" s="85"/>
      <c r="CP64" s="80">
        <f>N64+AH64+BB64+BV64</f>
        <v>22520</v>
      </c>
      <c r="CQ64" s="79"/>
      <c r="CR64" s="79">
        <f>P64+AJ64+BD64+BX64</f>
        <v>16899</v>
      </c>
      <c r="CS64" s="93"/>
      <c r="CT64" s="82">
        <f>R64+AL64+BF64+BZ64</f>
        <v>0</v>
      </c>
      <c r="CU64" s="79"/>
      <c r="CV64" s="79">
        <f>T64+AN64+BH64+CB64</f>
        <v>535</v>
      </c>
      <c r="CW64" s="93"/>
      <c r="CX64" s="82">
        <f t="shared" si="30"/>
        <v>213.25757575757578</v>
      </c>
      <c r="CY64" s="147"/>
    </row>
    <row r="65" spans="1:103" s="101" customFormat="1" ht="15.75" customHeight="1" x14ac:dyDescent="0.25">
      <c r="A65" s="331"/>
      <c r="B65" s="71"/>
      <c r="C65" s="72" t="s">
        <v>31</v>
      </c>
      <c r="D65" s="73">
        <v>32.799999999999997</v>
      </c>
      <c r="E65" s="74"/>
      <c r="F65" s="75">
        <f t="shared" ref="F65:F68" si="211">(D65/2159)*100</f>
        <v>1.5192218619731355</v>
      </c>
      <c r="G65" s="75"/>
      <c r="H65" s="78">
        <f t="shared" si="207"/>
        <v>743</v>
      </c>
      <c r="I65" s="84">
        <f t="shared" si="207"/>
        <v>0</v>
      </c>
      <c r="J65" s="161">
        <f t="shared" ref="J65:L68" si="212">N65+R65</f>
        <v>481</v>
      </c>
      <c r="K65" s="83"/>
      <c r="L65" s="158">
        <f t="shared" si="212"/>
        <v>262</v>
      </c>
      <c r="M65" s="170"/>
      <c r="N65" s="82">
        <v>481</v>
      </c>
      <c r="O65" s="83"/>
      <c r="P65" s="79">
        <v>250</v>
      </c>
      <c r="Q65" s="84"/>
      <c r="R65" s="80">
        <v>0</v>
      </c>
      <c r="S65" s="79"/>
      <c r="T65" s="79">
        <v>12</v>
      </c>
      <c r="U65" s="85"/>
      <c r="V65" s="80">
        <f t="shared" si="21"/>
        <v>14.664634146341465</v>
      </c>
      <c r="W65" s="86"/>
      <c r="X65" s="87">
        <v>33.1</v>
      </c>
      <c r="Y65" s="88"/>
      <c r="Z65" s="75">
        <f t="shared" si="208"/>
        <v>1.5155677655677655</v>
      </c>
      <c r="AA65" s="75"/>
      <c r="AB65" s="78">
        <f t="shared" si="209"/>
        <v>926</v>
      </c>
      <c r="AC65" s="84">
        <f t="shared" si="209"/>
        <v>0</v>
      </c>
      <c r="AD65" s="161">
        <f t="shared" ref="AD65:AF68" si="213">AH65+AL65</f>
        <v>484</v>
      </c>
      <c r="AE65" s="83"/>
      <c r="AF65" s="158">
        <f t="shared" si="213"/>
        <v>442</v>
      </c>
      <c r="AG65" s="170"/>
      <c r="AH65" s="80">
        <v>484</v>
      </c>
      <c r="AI65" s="83"/>
      <c r="AJ65" s="79">
        <v>430</v>
      </c>
      <c r="AK65" s="84"/>
      <c r="AL65" s="80">
        <v>0</v>
      </c>
      <c r="AM65" s="79"/>
      <c r="AN65" s="79">
        <v>12</v>
      </c>
      <c r="AO65" s="85"/>
      <c r="AP65" s="80">
        <f t="shared" si="24"/>
        <v>14.622356495468278</v>
      </c>
      <c r="AQ65" s="89"/>
      <c r="AR65" s="90">
        <v>33.4</v>
      </c>
      <c r="AS65" s="74"/>
      <c r="AT65" s="74">
        <f>(AR65/2208)*100</f>
        <v>1.5126811594202898</v>
      </c>
      <c r="AU65" s="91"/>
      <c r="AV65" s="80">
        <f>AX65+AZ65</f>
        <v>920</v>
      </c>
      <c r="AW65" s="86">
        <f t="shared" ref="AW65:AW80" si="214">AY65+BA65</f>
        <v>0</v>
      </c>
      <c r="AX65" s="161">
        <f t="shared" ref="AX65:AZ68" si="215">BB65+BF65</f>
        <v>488</v>
      </c>
      <c r="AY65" s="163"/>
      <c r="AZ65" s="83">
        <f t="shared" si="215"/>
        <v>432</v>
      </c>
      <c r="BA65" s="163"/>
      <c r="BB65" s="78">
        <v>488</v>
      </c>
      <c r="BC65" s="83"/>
      <c r="BD65" s="79">
        <v>421</v>
      </c>
      <c r="BE65" s="81"/>
      <c r="BF65" s="86">
        <v>0</v>
      </c>
      <c r="BG65" s="93"/>
      <c r="BH65" s="93">
        <v>11</v>
      </c>
      <c r="BI65" s="163"/>
      <c r="BJ65" s="76">
        <f t="shared" si="103"/>
        <v>14.610778443113773</v>
      </c>
      <c r="BK65" s="94"/>
      <c r="BL65" s="73">
        <v>33.700000000000003</v>
      </c>
      <c r="BM65" s="79"/>
      <c r="BN65" s="75">
        <f t="shared" si="26"/>
        <v>1.5255771842462655</v>
      </c>
      <c r="BO65" s="84"/>
      <c r="BP65" s="86">
        <f t="shared" si="210"/>
        <v>852</v>
      </c>
      <c r="BQ65" s="86">
        <f t="shared" si="210"/>
        <v>0</v>
      </c>
      <c r="BR65" s="161">
        <f>BV65+BZ65</f>
        <v>486</v>
      </c>
      <c r="BS65" s="83"/>
      <c r="BT65" s="83">
        <f t="shared" ref="BR65:BT68" si="216">BX65+CB65</f>
        <v>366</v>
      </c>
      <c r="BU65" s="85"/>
      <c r="BV65" s="80">
        <v>486</v>
      </c>
      <c r="BW65" s="95"/>
      <c r="BX65" s="79">
        <v>355</v>
      </c>
      <c r="BY65" s="84"/>
      <c r="BZ65" s="80">
        <v>0</v>
      </c>
      <c r="CA65" s="79"/>
      <c r="CB65" s="79">
        <v>11</v>
      </c>
      <c r="CC65" s="96"/>
      <c r="CD65" s="82">
        <f t="shared" si="28"/>
        <v>14.421364985163203</v>
      </c>
      <c r="CE65" s="89"/>
      <c r="CF65" s="332">
        <f>D65+X65+AR65+BL65</f>
        <v>133</v>
      </c>
      <c r="CG65" s="79"/>
      <c r="CH65" s="75">
        <f t="shared" ref="CH65:CH68" si="217">(CF65/8760)*100</f>
        <v>1.5182648401826484</v>
      </c>
      <c r="CI65" s="103"/>
      <c r="CJ65" s="104">
        <f>CL65+CN65</f>
        <v>3441</v>
      </c>
      <c r="CK65" s="77"/>
      <c r="CL65" s="82">
        <f>J65+AD65+AX65+BR65</f>
        <v>1939</v>
      </c>
      <c r="CM65" s="94"/>
      <c r="CN65" s="99">
        <f>L65+AF65+AZ65+BT65</f>
        <v>1502</v>
      </c>
      <c r="CO65" s="85"/>
      <c r="CP65" s="80">
        <f>N65+AH65+BB65+BV65</f>
        <v>1939</v>
      </c>
      <c r="CQ65" s="79"/>
      <c r="CR65" s="79">
        <f>P65+AJ65+BD65+BX65</f>
        <v>1456</v>
      </c>
      <c r="CS65" s="93"/>
      <c r="CT65" s="82">
        <f>R65+AL65+BF65+BZ65</f>
        <v>0</v>
      </c>
      <c r="CU65" s="79"/>
      <c r="CV65" s="79">
        <f>T65+AN65+BH65+CB65</f>
        <v>46</v>
      </c>
      <c r="CW65" s="93"/>
      <c r="CX65" s="82">
        <f t="shared" si="30"/>
        <v>14.578947368421053</v>
      </c>
      <c r="CY65" s="147"/>
    </row>
    <row r="66" spans="1:103" s="101" customFormat="1" ht="15.75" customHeight="1" x14ac:dyDescent="0.25">
      <c r="A66" s="331"/>
      <c r="B66" s="71"/>
      <c r="C66" s="72" t="s">
        <v>32</v>
      </c>
      <c r="D66" s="73">
        <v>16.399999999999999</v>
      </c>
      <c r="E66" s="74"/>
      <c r="F66" s="75">
        <f t="shared" si="211"/>
        <v>0.75961093098656773</v>
      </c>
      <c r="G66" s="75"/>
      <c r="H66" s="78">
        <f t="shared" si="207"/>
        <v>1662</v>
      </c>
      <c r="I66" s="84">
        <f t="shared" si="207"/>
        <v>0</v>
      </c>
      <c r="J66" s="161">
        <f t="shared" si="212"/>
        <v>1076</v>
      </c>
      <c r="K66" s="83"/>
      <c r="L66" s="158">
        <f t="shared" si="212"/>
        <v>586</v>
      </c>
      <c r="M66" s="170"/>
      <c r="N66" s="82">
        <v>1076</v>
      </c>
      <c r="O66" s="158"/>
      <c r="P66" s="79">
        <v>559</v>
      </c>
      <c r="Q66" s="84"/>
      <c r="R66" s="80">
        <v>0</v>
      </c>
      <c r="S66" s="79"/>
      <c r="T66" s="79">
        <v>27</v>
      </c>
      <c r="U66" s="85"/>
      <c r="V66" s="80">
        <f t="shared" si="21"/>
        <v>65.609756097560975</v>
      </c>
      <c r="W66" s="86"/>
      <c r="X66" s="87">
        <v>17.899999999999999</v>
      </c>
      <c r="Y66" s="88"/>
      <c r="Z66" s="75">
        <f t="shared" si="208"/>
        <v>0.81959706959706946</v>
      </c>
      <c r="AA66" s="75"/>
      <c r="AB66" s="78">
        <f t="shared" si="209"/>
        <v>2099</v>
      </c>
      <c r="AC66" s="84">
        <f t="shared" si="209"/>
        <v>0</v>
      </c>
      <c r="AD66" s="161">
        <f t="shared" si="213"/>
        <v>1097</v>
      </c>
      <c r="AE66" s="83"/>
      <c r="AF66" s="158">
        <f t="shared" si="213"/>
        <v>1002</v>
      </c>
      <c r="AG66" s="170"/>
      <c r="AH66" s="80">
        <v>1097</v>
      </c>
      <c r="AI66" s="158"/>
      <c r="AJ66" s="79">
        <v>974</v>
      </c>
      <c r="AK66" s="84"/>
      <c r="AL66" s="80">
        <v>0</v>
      </c>
      <c r="AM66" s="79"/>
      <c r="AN66" s="79">
        <v>28</v>
      </c>
      <c r="AO66" s="85"/>
      <c r="AP66" s="80">
        <f t="shared" si="24"/>
        <v>61.284916201117326</v>
      </c>
      <c r="AQ66" s="89"/>
      <c r="AR66" s="90">
        <v>16.399999999999999</v>
      </c>
      <c r="AS66" s="74"/>
      <c r="AT66" s="74">
        <f>(AR66/2208)*100</f>
        <v>0.74275362318840576</v>
      </c>
      <c r="AU66" s="91"/>
      <c r="AV66" s="80">
        <f>AX66+AZ66</f>
        <v>2016</v>
      </c>
      <c r="AW66" s="86">
        <f t="shared" si="214"/>
        <v>0</v>
      </c>
      <c r="AX66" s="161">
        <f t="shared" si="215"/>
        <v>1069</v>
      </c>
      <c r="AY66" s="163"/>
      <c r="AZ66" s="83">
        <f t="shared" si="215"/>
        <v>947</v>
      </c>
      <c r="BA66" s="163"/>
      <c r="BB66" s="78">
        <v>1069</v>
      </c>
      <c r="BC66" s="83"/>
      <c r="BD66" s="79">
        <v>923</v>
      </c>
      <c r="BE66" s="81"/>
      <c r="BF66" s="86">
        <v>0</v>
      </c>
      <c r="BG66" s="93"/>
      <c r="BH66" s="93">
        <v>24</v>
      </c>
      <c r="BI66" s="163"/>
      <c r="BJ66" s="76">
        <f t="shared" si="103"/>
        <v>65.182926829268297</v>
      </c>
      <c r="BK66" s="94"/>
      <c r="BL66" s="73">
        <v>17.899999999999999</v>
      </c>
      <c r="BM66" s="79"/>
      <c r="BN66" s="75">
        <f t="shared" si="26"/>
        <v>0.81032141240380251</v>
      </c>
      <c r="BO66" s="84"/>
      <c r="BP66" s="86">
        <f t="shared" si="210"/>
        <v>1914</v>
      </c>
      <c r="BQ66" s="86">
        <f t="shared" si="210"/>
        <v>0</v>
      </c>
      <c r="BR66" s="161">
        <f t="shared" si="216"/>
        <v>1092</v>
      </c>
      <c r="BS66" s="83"/>
      <c r="BT66" s="83">
        <f t="shared" si="216"/>
        <v>822</v>
      </c>
      <c r="BU66" s="85"/>
      <c r="BV66" s="80">
        <v>1092</v>
      </c>
      <c r="BW66" s="333"/>
      <c r="BX66" s="79">
        <v>798</v>
      </c>
      <c r="BY66" s="84"/>
      <c r="BZ66" s="80">
        <v>0</v>
      </c>
      <c r="CA66" s="79"/>
      <c r="CB66" s="79">
        <v>24</v>
      </c>
      <c r="CC66" s="96"/>
      <c r="CD66" s="82">
        <f t="shared" si="28"/>
        <v>61.005586592178773</v>
      </c>
      <c r="CE66" s="89"/>
      <c r="CF66" s="332">
        <f>D66+X66+AR66+BL66</f>
        <v>68.599999999999994</v>
      </c>
      <c r="CG66" s="79"/>
      <c r="CH66" s="75">
        <f t="shared" si="217"/>
        <v>0.7831050228310501</v>
      </c>
      <c r="CI66" s="103"/>
      <c r="CJ66" s="104">
        <f>CL66+CN66</f>
        <v>7691</v>
      </c>
      <c r="CK66" s="77"/>
      <c r="CL66" s="82">
        <f>J66+AD66+AX66+BR66</f>
        <v>4334</v>
      </c>
      <c r="CM66" s="94"/>
      <c r="CN66" s="99">
        <f>L66+AF66+AZ66+BT66</f>
        <v>3357</v>
      </c>
      <c r="CO66" s="85"/>
      <c r="CP66" s="80">
        <f>N66+AH66+BB66+BV66</f>
        <v>4334</v>
      </c>
      <c r="CQ66" s="79"/>
      <c r="CR66" s="79">
        <f>P66+AJ66+BD66+BX66</f>
        <v>3254</v>
      </c>
      <c r="CS66" s="93"/>
      <c r="CT66" s="82">
        <f>R66+AL66+BF66+BZ66</f>
        <v>0</v>
      </c>
      <c r="CU66" s="79"/>
      <c r="CV66" s="79">
        <f>T66+AN66+BH66+CB66</f>
        <v>103</v>
      </c>
      <c r="CW66" s="93"/>
      <c r="CX66" s="82">
        <f t="shared" si="30"/>
        <v>63.177842565597672</v>
      </c>
      <c r="CY66" s="147"/>
    </row>
    <row r="67" spans="1:103" ht="15.75" customHeight="1" x14ac:dyDescent="0.25">
      <c r="A67" s="331"/>
      <c r="B67" s="145"/>
      <c r="C67" s="72" t="s">
        <v>33</v>
      </c>
      <c r="D67" s="73">
        <v>15.1</v>
      </c>
      <c r="E67" s="74"/>
      <c r="F67" s="75">
        <f t="shared" si="211"/>
        <v>0.69939786938397408</v>
      </c>
      <c r="G67" s="75"/>
      <c r="H67" s="78">
        <f t="shared" si="207"/>
        <v>1790</v>
      </c>
      <c r="I67" s="84">
        <f t="shared" si="207"/>
        <v>0</v>
      </c>
      <c r="J67" s="161">
        <f t="shared" si="212"/>
        <v>1159</v>
      </c>
      <c r="K67" s="83"/>
      <c r="L67" s="158">
        <f t="shared" si="212"/>
        <v>631</v>
      </c>
      <c r="M67" s="170"/>
      <c r="N67" s="82">
        <v>1159</v>
      </c>
      <c r="O67" s="334"/>
      <c r="P67" s="79">
        <v>602</v>
      </c>
      <c r="Q67" s="84"/>
      <c r="R67" s="80">
        <v>0</v>
      </c>
      <c r="S67" s="79"/>
      <c r="T67" s="79">
        <v>29</v>
      </c>
      <c r="U67" s="103"/>
      <c r="V67" s="80">
        <f t="shared" si="21"/>
        <v>76.754966887417226</v>
      </c>
      <c r="W67" s="86"/>
      <c r="X67" s="87">
        <v>15.6</v>
      </c>
      <c r="Y67" s="88"/>
      <c r="Z67" s="75">
        <f t="shared" si="208"/>
        <v>0.7142857142857143</v>
      </c>
      <c r="AA67" s="75"/>
      <c r="AB67" s="78">
        <f t="shared" si="209"/>
        <v>2223</v>
      </c>
      <c r="AC67" s="84">
        <f t="shared" si="209"/>
        <v>0</v>
      </c>
      <c r="AD67" s="161">
        <f t="shared" si="213"/>
        <v>1162</v>
      </c>
      <c r="AE67" s="83"/>
      <c r="AF67" s="158">
        <f t="shared" si="213"/>
        <v>1061</v>
      </c>
      <c r="AG67" s="170"/>
      <c r="AH67" s="80">
        <v>1162</v>
      </c>
      <c r="AI67" s="334"/>
      <c r="AJ67" s="79">
        <v>1031</v>
      </c>
      <c r="AK67" s="84"/>
      <c r="AL67" s="80">
        <v>0</v>
      </c>
      <c r="AM67" s="79"/>
      <c r="AN67" s="79">
        <v>30</v>
      </c>
      <c r="AO67" s="103"/>
      <c r="AP67" s="80">
        <f t="shared" si="24"/>
        <v>74.487179487179489</v>
      </c>
      <c r="AQ67" s="89"/>
      <c r="AR67" s="90">
        <v>15.6</v>
      </c>
      <c r="AS67" s="74"/>
      <c r="AT67" s="74">
        <f>(AR67/2208)*100</f>
        <v>0.70652173913043481</v>
      </c>
      <c r="AU67" s="91"/>
      <c r="AV67" s="80">
        <f>AX67+AZ67</f>
        <v>2195</v>
      </c>
      <c r="AW67" s="86">
        <f t="shared" si="214"/>
        <v>0</v>
      </c>
      <c r="AX67" s="161">
        <f t="shared" si="215"/>
        <v>1164</v>
      </c>
      <c r="AY67" s="163"/>
      <c r="AZ67" s="83">
        <f t="shared" si="215"/>
        <v>1031</v>
      </c>
      <c r="BA67" s="163"/>
      <c r="BB67" s="78">
        <v>1164</v>
      </c>
      <c r="BC67" s="102"/>
      <c r="BD67" s="79">
        <v>1005</v>
      </c>
      <c r="BE67" s="81"/>
      <c r="BF67" s="86">
        <v>0</v>
      </c>
      <c r="BG67" s="93"/>
      <c r="BH67" s="93">
        <v>26</v>
      </c>
      <c r="BI67" s="335"/>
      <c r="BJ67" s="76">
        <f t="shared" si="103"/>
        <v>74.615384615384613</v>
      </c>
      <c r="BK67" s="94"/>
      <c r="BL67" s="73">
        <v>16</v>
      </c>
      <c r="BM67" s="79"/>
      <c r="BN67" s="75">
        <f t="shared" si="26"/>
        <v>0.72430964237211404</v>
      </c>
      <c r="BO67" s="84"/>
      <c r="BP67" s="86">
        <f t="shared" si="210"/>
        <v>2036</v>
      </c>
      <c r="BQ67" s="86">
        <f t="shared" si="210"/>
        <v>0</v>
      </c>
      <c r="BR67" s="161">
        <f t="shared" si="216"/>
        <v>1161</v>
      </c>
      <c r="BS67" s="83"/>
      <c r="BT67" s="83">
        <f t="shared" si="216"/>
        <v>875</v>
      </c>
      <c r="BU67" s="85"/>
      <c r="BV67" s="80">
        <v>1161</v>
      </c>
      <c r="BW67" s="336"/>
      <c r="BX67" s="79">
        <v>849</v>
      </c>
      <c r="BY67" s="84"/>
      <c r="BZ67" s="80">
        <v>0</v>
      </c>
      <c r="CA67" s="79"/>
      <c r="CB67" s="79">
        <v>26</v>
      </c>
      <c r="CC67" s="106"/>
      <c r="CD67" s="82">
        <f>BR67/BL67</f>
        <v>72.5625</v>
      </c>
      <c r="CE67" s="89"/>
      <c r="CF67" s="332">
        <f>D67+X67+AR67+BL67</f>
        <v>62.3</v>
      </c>
      <c r="CG67" s="79"/>
      <c r="CH67" s="75">
        <f t="shared" si="217"/>
        <v>0.71118721461187218</v>
      </c>
      <c r="CI67" s="103"/>
      <c r="CJ67" s="104">
        <f>CL67+CN67</f>
        <v>8244</v>
      </c>
      <c r="CK67" s="77"/>
      <c r="CL67" s="82">
        <f>J67+AD67+AX67+BR67</f>
        <v>4646</v>
      </c>
      <c r="CM67" s="94"/>
      <c r="CN67" s="99">
        <f>L67+AF67+AZ67+BT67</f>
        <v>3598</v>
      </c>
      <c r="CO67" s="85"/>
      <c r="CP67" s="80">
        <f>N67+AH67+BB67+BV67</f>
        <v>4646</v>
      </c>
      <c r="CQ67" s="79"/>
      <c r="CR67" s="79">
        <f>P67+AJ67+BD67+BX67</f>
        <v>3487</v>
      </c>
      <c r="CS67" s="93"/>
      <c r="CT67" s="82">
        <f>R67+AL67+BF67+BZ67</f>
        <v>0</v>
      </c>
      <c r="CU67" s="79"/>
      <c r="CV67" s="79">
        <f>T67+AN67+BH67+CB67</f>
        <v>111</v>
      </c>
      <c r="CW67" s="93"/>
      <c r="CX67" s="82">
        <f t="shared" si="30"/>
        <v>74.574638844301774</v>
      </c>
      <c r="CY67" s="147"/>
    </row>
    <row r="68" spans="1:103" s="369" customFormat="1" ht="15.75" customHeight="1" x14ac:dyDescent="0.25">
      <c r="A68" s="337"/>
      <c r="B68" s="338"/>
      <c r="C68" s="339" t="s">
        <v>34</v>
      </c>
      <c r="D68" s="340">
        <v>13.1</v>
      </c>
      <c r="E68" s="341"/>
      <c r="F68" s="342">
        <f t="shared" si="211"/>
        <v>0.60676238999536825</v>
      </c>
      <c r="G68" s="342"/>
      <c r="H68" s="343">
        <f t="shared" si="207"/>
        <v>83</v>
      </c>
      <c r="I68" s="344">
        <f t="shared" si="207"/>
        <v>0</v>
      </c>
      <c r="J68" s="345">
        <f t="shared" si="212"/>
        <v>54</v>
      </c>
      <c r="K68" s="346"/>
      <c r="L68" s="347">
        <f t="shared" si="212"/>
        <v>29</v>
      </c>
      <c r="M68" s="348"/>
      <c r="N68" s="349">
        <v>54</v>
      </c>
      <c r="O68" s="350"/>
      <c r="P68" s="351">
        <v>28</v>
      </c>
      <c r="Q68" s="344"/>
      <c r="R68" s="352">
        <v>0</v>
      </c>
      <c r="S68" s="351"/>
      <c r="T68" s="351">
        <v>1</v>
      </c>
      <c r="U68" s="353"/>
      <c r="V68" s="352">
        <f t="shared" si="21"/>
        <v>4.1221374045801529</v>
      </c>
      <c r="W68" s="354"/>
      <c r="X68" s="355">
        <v>13.4</v>
      </c>
      <c r="Y68" s="356"/>
      <c r="Z68" s="342">
        <f t="shared" si="208"/>
        <v>0.61355311355311359</v>
      </c>
      <c r="AA68" s="342"/>
      <c r="AB68" s="343">
        <f t="shared" si="209"/>
        <v>103</v>
      </c>
      <c r="AC68" s="344">
        <f t="shared" si="209"/>
        <v>0</v>
      </c>
      <c r="AD68" s="345">
        <f t="shared" si="213"/>
        <v>54</v>
      </c>
      <c r="AE68" s="346"/>
      <c r="AF68" s="347">
        <f t="shared" si="213"/>
        <v>49</v>
      </c>
      <c r="AG68" s="348"/>
      <c r="AH68" s="352">
        <v>54</v>
      </c>
      <c r="AI68" s="350"/>
      <c r="AJ68" s="351">
        <v>48</v>
      </c>
      <c r="AK68" s="344"/>
      <c r="AL68" s="352">
        <v>0</v>
      </c>
      <c r="AM68" s="351"/>
      <c r="AN68" s="351">
        <v>1</v>
      </c>
      <c r="AO68" s="353"/>
      <c r="AP68" s="352">
        <f t="shared" si="24"/>
        <v>4.0298507462686564</v>
      </c>
      <c r="AQ68" s="357"/>
      <c r="AR68" s="358">
        <v>13.3</v>
      </c>
      <c r="AS68" s="341"/>
      <c r="AT68" s="341">
        <f>(AR68/2208)*100</f>
        <v>0.60235507246376818</v>
      </c>
      <c r="AU68" s="359"/>
      <c r="AV68" s="352">
        <f>AX68+AZ68</f>
        <v>101</v>
      </c>
      <c r="AW68" s="354">
        <f t="shared" si="214"/>
        <v>0</v>
      </c>
      <c r="AX68" s="345">
        <f t="shared" si="215"/>
        <v>54</v>
      </c>
      <c r="AY68" s="360"/>
      <c r="AZ68" s="346">
        <f t="shared" si="215"/>
        <v>47</v>
      </c>
      <c r="BA68" s="360"/>
      <c r="BB68" s="343">
        <v>54</v>
      </c>
      <c r="BC68" s="350"/>
      <c r="BD68" s="351">
        <v>46</v>
      </c>
      <c r="BE68" s="361"/>
      <c r="BF68" s="354">
        <v>0</v>
      </c>
      <c r="BG68" s="362"/>
      <c r="BH68" s="362">
        <v>1</v>
      </c>
      <c r="BI68" s="363"/>
      <c r="BJ68" s="252">
        <f t="shared" si="103"/>
        <v>4.0601503759398492</v>
      </c>
      <c r="BK68" s="246"/>
      <c r="BL68" s="340">
        <v>13.6</v>
      </c>
      <c r="BM68" s="351"/>
      <c r="BN68" s="342">
        <f t="shared" si="26"/>
        <v>0.61566319601629693</v>
      </c>
      <c r="BO68" s="344"/>
      <c r="BP68" s="354">
        <f t="shared" si="210"/>
        <v>93</v>
      </c>
      <c r="BQ68" s="354">
        <f t="shared" si="210"/>
        <v>0</v>
      </c>
      <c r="BR68" s="345">
        <f t="shared" si="216"/>
        <v>53</v>
      </c>
      <c r="BS68" s="346"/>
      <c r="BT68" s="346">
        <f t="shared" si="216"/>
        <v>40</v>
      </c>
      <c r="BU68" s="364"/>
      <c r="BV68" s="352">
        <v>53</v>
      </c>
      <c r="BW68" s="365"/>
      <c r="BX68" s="351">
        <v>39</v>
      </c>
      <c r="BY68" s="344"/>
      <c r="BZ68" s="352">
        <v>0</v>
      </c>
      <c r="CA68" s="351"/>
      <c r="CB68" s="351">
        <v>1</v>
      </c>
      <c r="CC68" s="366"/>
      <c r="CD68" s="349">
        <f t="shared" si="28"/>
        <v>3.8970588235294117</v>
      </c>
      <c r="CE68" s="357"/>
      <c r="CF68" s="367">
        <f>D68+X68+AR68+BL68</f>
        <v>53.4</v>
      </c>
      <c r="CG68" s="351"/>
      <c r="CH68" s="342">
        <f t="shared" si="217"/>
        <v>0.6095890410958904</v>
      </c>
      <c r="CI68" s="353"/>
      <c r="CJ68" s="232">
        <f>CL68+CN68</f>
        <v>380</v>
      </c>
      <c r="CK68" s="236"/>
      <c r="CL68" s="349">
        <f>J68+AD68+AX68+BR68</f>
        <v>215</v>
      </c>
      <c r="CM68" s="246"/>
      <c r="CN68" s="235">
        <f>L68+AF68+AZ68+BT68</f>
        <v>165</v>
      </c>
      <c r="CO68" s="364"/>
      <c r="CP68" s="352">
        <f>N68+AH68+BB68+BV68</f>
        <v>215</v>
      </c>
      <c r="CQ68" s="351"/>
      <c r="CR68" s="351">
        <f>P68+AJ68+BD68+BX68</f>
        <v>161</v>
      </c>
      <c r="CS68" s="362"/>
      <c r="CT68" s="349">
        <f>R68+AL68+BF68+BZ68</f>
        <v>0</v>
      </c>
      <c r="CU68" s="351"/>
      <c r="CV68" s="351">
        <f>T68+AN68+BH68+CB68</f>
        <v>4</v>
      </c>
      <c r="CW68" s="362"/>
      <c r="CX68" s="349">
        <f t="shared" si="30"/>
        <v>4.0262172284644198</v>
      </c>
      <c r="CY68" s="368"/>
    </row>
    <row r="69" spans="1:103" s="330" customFormat="1" ht="16.5" customHeight="1" x14ac:dyDescent="0.25">
      <c r="A69" s="555" t="s">
        <v>55</v>
      </c>
      <c r="B69" s="304" t="s">
        <v>56</v>
      </c>
      <c r="C69" s="305"/>
      <c r="D69" s="306">
        <f>SUM(D70:D74)</f>
        <v>27.3</v>
      </c>
      <c r="E69" s="307"/>
      <c r="F69" s="308"/>
      <c r="G69" s="308"/>
      <c r="H69" s="309">
        <f t="shared" ref="H69:L69" si="218">SUM(H70:H74)</f>
        <v>586</v>
      </c>
      <c r="I69" s="310">
        <f t="shared" si="218"/>
        <v>0</v>
      </c>
      <c r="J69" s="309">
        <f t="shared" si="218"/>
        <v>381</v>
      </c>
      <c r="K69" s="311"/>
      <c r="L69" s="312">
        <f t="shared" si="218"/>
        <v>205</v>
      </c>
      <c r="M69" s="313"/>
      <c r="N69" s="314">
        <f t="shared" ref="N69:T69" si="219">SUM(N70:N74)</f>
        <v>381</v>
      </c>
      <c r="O69" s="312"/>
      <c r="P69" s="312">
        <f t="shared" si="219"/>
        <v>198</v>
      </c>
      <c r="Q69" s="313"/>
      <c r="R69" s="312">
        <f t="shared" si="219"/>
        <v>0</v>
      </c>
      <c r="S69" s="312"/>
      <c r="T69" s="312">
        <f t="shared" si="219"/>
        <v>7</v>
      </c>
      <c r="U69" s="313"/>
      <c r="V69" s="312">
        <f>J69/D69</f>
        <v>13.956043956043956</v>
      </c>
      <c r="W69" s="315"/>
      <c r="X69" s="316">
        <f>SUM(X70:X74)</f>
        <v>27.400000000000002</v>
      </c>
      <c r="Y69" s="317"/>
      <c r="Z69" s="370"/>
      <c r="AA69" s="371"/>
      <c r="AB69" s="328">
        <f t="shared" ref="AB69:AF69" si="220">SUM(AB70:AB74)</f>
        <v>726</v>
      </c>
      <c r="AC69" s="329">
        <f t="shared" si="220"/>
        <v>0</v>
      </c>
      <c r="AD69" s="309">
        <f t="shared" si="220"/>
        <v>381</v>
      </c>
      <c r="AE69" s="311"/>
      <c r="AF69" s="312">
        <f t="shared" si="220"/>
        <v>345</v>
      </c>
      <c r="AG69" s="310"/>
      <c r="AH69" s="312">
        <f t="shared" ref="AH69:CN69" si="221">SUM(AH70:AH74)</f>
        <v>381</v>
      </c>
      <c r="AI69" s="312"/>
      <c r="AJ69" s="312">
        <f t="shared" si="221"/>
        <v>338</v>
      </c>
      <c r="AK69" s="310"/>
      <c r="AL69" s="312">
        <f t="shared" si="221"/>
        <v>0</v>
      </c>
      <c r="AM69" s="312"/>
      <c r="AN69" s="312">
        <f t="shared" si="221"/>
        <v>7</v>
      </c>
      <c r="AO69" s="313"/>
      <c r="AP69" s="312">
        <f>AD69/X69</f>
        <v>13.905109489051094</v>
      </c>
      <c r="AQ69" s="318"/>
      <c r="AR69" s="319">
        <f>SUM(AR70:AR74)</f>
        <v>30.5</v>
      </c>
      <c r="AS69" s="307"/>
      <c r="AT69" s="320"/>
      <c r="AU69" s="320"/>
      <c r="AV69" s="312">
        <f t="shared" si="221"/>
        <v>802</v>
      </c>
      <c r="AW69" s="315">
        <f t="shared" si="214"/>
        <v>0</v>
      </c>
      <c r="AX69" s="309">
        <f>SUM(AX70:AX74)</f>
        <v>426</v>
      </c>
      <c r="AY69" s="323"/>
      <c r="AZ69" s="311">
        <f t="shared" ref="AZ69:BH69" si="222">SUM(AZ70:AZ74)</f>
        <v>376</v>
      </c>
      <c r="BA69" s="323"/>
      <c r="BB69" s="309">
        <f t="shared" si="222"/>
        <v>426</v>
      </c>
      <c r="BC69" s="311"/>
      <c r="BD69" s="311">
        <f t="shared" si="222"/>
        <v>368</v>
      </c>
      <c r="BE69" s="310"/>
      <c r="BF69" s="312">
        <f t="shared" si="222"/>
        <v>0</v>
      </c>
      <c r="BG69" s="312"/>
      <c r="BH69" s="312">
        <f t="shared" si="222"/>
        <v>8</v>
      </c>
      <c r="BI69" s="312"/>
      <c r="BJ69" s="309">
        <f t="shared" si="103"/>
        <v>13.967213114754099</v>
      </c>
      <c r="BK69" s="323"/>
      <c r="BL69" s="306">
        <f t="shared" ref="BL69" si="223">SUM(BL70:BL74)</f>
        <v>27.3</v>
      </c>
      <c r="BM69" s="311"/>
      <c r="BN69" s="320"/>
      <c r="BO69" s="324"/>
      <c r="BP69" s="322">
        <f t="shared" si="221"/>
        <v>660</v>
      </c>
      <c r="BQ69" s="312">
        <f t="shared" si="221"/>
        <v>0</v>
      </c>
      <c r="BR69" s="309">
        <f t="shared" si="221"/>
        <v>377</v>
      </c>
      <c r="BS69" s="311"/>
      <c r="BT69" s="311">
        <f t="shared" si="221"/>
        <v>283</v>
      </c>
      <c r="BU69" s="310"/>
      <c r="BV69" s="312">
        <f t="shared" si="221"/>
        <v>377</v>
      </c>
      <c r="BW69" s="312"/>
      <c r="BX69" s="312">
        <f t="shared" si="221"/>
        <v>276</v>
      </c>
      <c r="BY69" s="310"/>
      <c r="BZ69" s="312">
        <f t="shared" si="221"/>
        <v>0</v>
      </c>
      <c r="CA69" s="312"/>
      <c r="CB69" s="312">
        <f t="shared" si="221"/>
        <v>7</v>
      </c>
      <c r="CC69" s="310"/>
      <c r="CD69" s="314">
        <f t="shared" si="28"/>
        <v>13.809523809523808</v>
      </c>
      <c r="CE69" s="318"/>
      <c r="CF69" s="306">
        <f>SUM(CF70:CF74)</f>
        <v>112.5</v>
      </c>
      <c r="CG69" s="311"/>
      <c r="CH69" s="320"/>
      <c r="CI69" s="324"/>
      <c r="CJ69" s="315">
        <f t="shared" si="221"/>
        <v>2774</v>
      </c>
      <c r="CK69" s="310">
        <f t="shared" si="221"/>
        <v>0</v>
      </c>
      <c r="CL69" s="314">
        <f t="shared" si="221"/>
        <v>1565</v>
      </c>
      <c r="CM69" s="323"/>
      <c r="CN69" s="311">
        <f t="shared" si="221"/>
        <v>1209</v>
      </c>
      <c r="CO69" s="310"/>
      <c r="CP69" s="312">
        <f t="shared" ref="CP69:CV69" si="224">SUM(CP70:CP74)</f>
        <v>1565</v>
      </c>
      <c r="CQ69" s="311"/>
      <c r="CR69" s="311">
        <f t="shared" si="224"/>
        <v>1180</v>
      </c>
      <c r="CS69" s="323"/>
      <c r="CT69" s="314">
        <f t="shared" si="224"/>
        <v>0</v>
      </c>
      <c r="CU69" s="311"/>
      <c r="CV69" s="311">
        <f t="shared" si="224"/>
        <v>29</v>
      </c>
      <c r="CW69" s="323"/>
      <c r="CX69" s="314">
        <f>CL69/CF69</f>
        <v>13.911111111111111</v>
      </c>
      <c r="CY69" s="327"/>
    </row>
    <row r="70" spans="1:103" s="1" customFormat="1" ht="15.75" customHeight="1" x14ac:dyDescent="0.25">
      <c r="A70" s="553"/>
      <c r="B70" s="149"/>
      <c r="C70" s="72" t="s">
        <v>30</v>
      </c>
      <c r="D70" s="73">
        <v>7</v>
      </c>
      <c r="E70" s="74"/>
      <c r="F70" s="75">
        <f>(D70/2159)*100</f>
        <v>0.32422417786012042</v>
      </c>
      <c r="G70" s="75"/>
      <c r="H70" s="78">
        <f t="shared" ref="H70:I74" si="225">J70+L70</f>
        <v>166</v>
      </c>
      <c r="I70" s="84">
        <f t="shared" si="225"/>
        <v>0</v>
      </c>
      <c r="J70" s="161">
        <f>N70+R70</f>
        <v>108</v>
      </c>
      <c r="K70" s="83"/>
      <c r="L70" s="158">
        <f>P70+T70</f>
        <v>58</v>
      </c>
      <c r="M70" s="170"/>
      <c r="N70" s="157">
        <v>108</v>
      </c>
      <c r="O70" s="79"/>
      <c r="P70" s="83">
        <v>56</v>
      </c>
      <c r="Q70" s="85"/>
      <c r="R70" s="158">
        <v>0</v>
      </c>
      <c r="S70" s="83"/>
      <c r="T70" s="83">
        <v>2</v>
      </c>
      <c r="U70" s="84"/>
      <c r="V70" s="80">
        <f t="shared" si="21"/>
        <v>15.428571428571429</v>
      </c>
      <c r="W70" s="86"/>
      <c r="X70" s="87">
        <v>7</v>
      </c>
      <c r="Y70" s="88"/>
      <c r="Z70" s="75">
        <f t="shared" ref="Z70:Z74" si="226">(X70/2184)*100</f>
        <v>0.32051282051282048</v>
      </c>
      <c r="AA70" s="75"/>
      <c r="AB70" s="78">
        <f t="shared" ref="AB70:AC74" si="227">AD70+AF70</f>
        <v>204</v>
      </c>
      <c r="AC70" s="84">
        <f t="shared" si="227"/>
        <v>0</v>
      </c>
      <c r="AD70" s="161">
        <f>AH70+AL70</f>
        <v>107</v>
      </c>
      <c r="AE70" s="83"/>
      <c r="AF70" s="158">
        <f>AJ70+AN70</f>
        <v>97</v>
      </c>
      <c r="AG70" s="170"/>
      <c r="AH70" s="158">
        <v>107</v>
      </c>
      <c r="AI70" s="79"/>
      <c r="AJ70" s="83">
        <v>95</v>
      </c>
      <c r="AK70" s="85"/>
      <c r="AL70" s="158">
        <v>0</v>
      </c>
      <c r="AM70" s="83"/>
      <c r="AN70" s="83">
        <v>2</v>
      </c>
      <c r="AO70" s="84"/>
      <c r="AP70" s="80">
        <f>AD70/X70</f>
        <v>15.285714285714286</v>
      </c>
      <c r="AQ70" s="89"/>
      <c r="AR70" s="90">
        <v>9.8000000000000007</v>
      </c>
      <c r="AS70" s="74"/>
      <c r="AT70" s="74">
        <f>(AR70/2208)*100</f>
        <v>0.44384057971014496</v>
      </c>
      <c r="AU70" s="91"/>
      <c r="AV70" s="80">
        <f>AX70+AZ70</f>
        <v>284</v>
      </c>
      <c r="AW70" s="86">
        <f t="shared" si="214"/>
        <v>0</v>
      </c>
      <c r="AX70" s="161">
        <f>BB70+BF70</f>
        <v>151</v>
      </c>
      <c r="AY70" s="163"/>
      <c r="AZ70" s="83">
        <f>BD70+BH70</f>
        <v>133</v>
      </c>
      <c r="BA70" s="163"/>
      <c r="BB70" s="161">
        <v>151</v>
      </c>
      <c r="BC70" s="79"/>
      <c r="BD70" s="83">
        <v>130</v>
      </c>
      <c r="BE70" s="170"/>
      <c r="BF70" s="162">
        <v>0</v>
      </c>
      <c r="BG70" s="163"/>
      <c r="BH70" s="163">
        <v>3</v>
      </c>
      <c r="BI70" s="93"/>
      <c r="BJ70" s="76">
        <f t="shared" si="103"/>
        <v>15.408163265306122</v>
      </c>
      <c r="BK70" s="94"/>
      <c r="BL70" s="73">
        <v>7.1</v>
      </c>
      <c r="BM70" s="79"/>
      <c r="BN70" s="75">
        <f t="shared" ref="BN70:BN74" si="228">(BL70/2209)*100</f>
        <v>0.32141240380262565</v>
      </c>
      <c r="BO70" s="84"/>
      <c r="BP70" s="82">
        <f t="shared" ref="BP70:BQ74" si="229">BR70+BT70</f>
        <v>191</v>
      </c>
      <c r="BQ70" s="86">
        <f t="shared" si="229"/>
        <v>0</v>
      </c>
      <c r="BR70" s="161">
        <f>BV70+BZ70</f>
        <v>109</v>
      </c>
      <c r="BS70" s="83"/>
      <c r="BT70" s="83">
        <f>BX70+CB70</f>
        <v>82</v>
      </c>
      <c r="BU70" s="85"/>
      <c r="BV70" s="158">
        <v>109</v>
      </c>
      <c r="BW70" s="150"/>
      <c r="BX70" s="83">
        <v>80</v>
      </c>
      <c r="BY70" s="85"/>
      <c r="BZ70" s="158">
        <v>0</v>
      </c>
      <c r="CA70" s="83"/>
      <c r="CB70" s="83">
        <v>2</v>
      </c>
      <c r="CC70" s="151"/>
      <c r="CD70" s="82">
        <f t="shared" si="28"/>
        <v>15.352112676056338</v>
      </c>
      <c r="CE70" s="89"/>
      <c r="CF70" s="332">
        <f t="shared" ref="CF70:CF74" si="230">D70+X70+AR70+BL70</f>
        <v>30.9</v>
      </c>
      <c r="CG70" s="79"/>
      <c r="CH70" s="75">
        <f>(CF70/8760)*100</f>
        <v>0.35273972602739723</v>
      </c>
      <c r="CI70" s="103"/>
      <c r="CJ70" s="104">
        <f>CL70+CN70</f>
        <v>845</v>
      </c>
      <c r="CK70" s="77"/>
      <c r="CL70" s="82">
        <f>J70+AD70+AX70+BR70</f>
        <v>475</v>
      </c>
      <c r="CM70" s="94"/>
      <c r="CN70" s="99">
        <f>L70+AF70+AZ70+BT70</f>
        <v>370</v>
      </c>
      <c r="CO70" s="85"/>
      <c r="CP70" s="80">
        <f t="shared" ref="CP70:CP74" si="231">N70+AH70+BB70+BV70</f>
        <v>475</v>
      </c>
      <c r="CQ70" s="79"/>
      <c r="CR70" s="79">
        <f t="shared" ref="CR70:CR74" si="232">P70+AJ70+BD70+BX70</f>
        <v>361</v>
      </c>
      <c r="CS70" s="93"/>
      <c r="CT70" s="82">
        <f t="shared" ref="CT70:CT74" si="233">R70+AL70+BF70+BZ70</f>
        <v>0</v>
      </c>
      <c r="CU70" s="79"/>
      <c r="CV70" s="79">
        <f t="shared" ref="CV70:CV74" si="234">T70+AN70+BH70+CB70</f>
        <v>9</v>
      </c>
      <c r="CW70" s="93"/>
      <c r="CX70" s="82">
        <f t="shared" si="30"/>
        <v>15.372168284789645</v>
      </c>
      <c r="CY70" s="147"/>
    </row>
    <row r="71" spans="1:103" s="101" customFormat="1" ht="15.75" customHeight="1" x14ac:dyDescent="0.25">
      <c r="A71" s="553"/>
      <c r="B71" s="71"/>
      <c r="C71" s="72" t="s">
        <v>31</v>
      </c>
      <c r="D71" s="73">
        <v>7</v>
      </c>
      <c r="E71" s="74"/>
      <c r="F71" s="75">
        <f t="shared" ref="F71:F74" si="235">(D71/2159)*100</f>
        <v>0.32422417786012042</v>
      </c>
      <c r="G71" s="75"/>
      <c r="H71" s="78">
        <f t="shared" si="225"/>
        <v>159</v>
      </c>
      <c r="I71" s="84">
        <f t="shared" si="225"/>
        <v>0</v>
      </c>
      <c r="J71" s="161">
        <f t="shared" ref="J71:L74" si="236">N71+R71</f>
        <v>103</v>
      </c>
      <c r="K71" s="83"/>
      <c r="L71" s="158">
        <f t="shared" si="236"/>
        <v>56</v>
      </c>
      <c r="M71" s="170"/>
      <c r="N71" s="82">
        <v>103</v>
      </c>
      <c r="O71" s="83"/>
      <c r="P71" s="79">
        <v>54</v>
      </c>
      <c r="Q71" s="84"/>
      <c r="R71" s="80">
        <v>0</v>
      </c>
      <c r="S71" s="79"/>
      <c r="T71" s="79">
        <v>2</v>
      </c>
      <c r="U71" s="85"/>
      <c r="V71" s="80">
        <f t="shared" si="21"/>
        <v>14.714285714285714</v>
      </c>
      <c r="W71" s="86"/>
      <c r="X71" s="87">
        <v>7.1</v>
      </c>
      <c r="Y71" s="88"/>
      <c r="Z71" s="75">
        <f t="shared" si="226"/>
        <v>0.32509157509157505</v>
      </c>
      <c r="AA71" s="75"/>
      <c r="AB71" s="78">
        <f t="shared" si="227"/>
        <v>198</v>
      </c>
      <c r="AC71" s="84">
        <f t="shared" si="227"/>
        <v>0</v>
      </c>
      <c r="AD71" s="161">
        <f t="shared" ref="AD71:AF74" si="237">AH71+AL71</f>
        <v>104</v>
      </c>
      <c r="AE71" s="83"/>
      <c r="AF71" s="158">
        <f t="shared" si="237"/>
        <v>94</v>
      </c>
      <c r="AG71" s="170"/>
      <c r="AH71" s="80">
        <v>104</v>
      </c>
      <c r="AI71" s="83"/>
      <c r="AJ71" s="79">
        <v>92</v>
      </c>
      <c r="AK71" s="84"/>
      <c r="AL71" s="80">
        <v>0</v>
      </c>
      <c r="AM71" s="79"/>
      <c r="AN71" s="79">
        <v>2</v>
      </c>
      <c r="AO71" s="85"/>
      <c r="AP71" s="80">
        <f t="shared" si="24"/>
        <v>14.647887323943662</v>
      </c>
      <c r="AQ71" s="89"/>
      <c r="AR71" s="90">
        <v>7.2</v>
      </c>
      <c r="AS71" s="74"/>
      <c r="AT71" s="74">
        <f>(AR71/2208)*100</f>
        <v>0.32608695652173914</v>
      </c>
      <c r="AU71" s="91"/>
      <c r="AV71" s="80">
        <f>AX71+AZ71</f>
        <v>198</v>
      </c>
      <c r="AW71" s="86">
        <f t="shared" si="214"/>
        <v>0</v>
      </c>
      <c r="AX71" s="161">
        <f t="shared" ref="AX71:AZ74" si="238">BB71+BF71</f>
        <v>105</v>
      </c>
      <c r="AY71" s="163"/>
      <c r="AZ71" s="83">
        <f t="shared" si="238"/>
        <v>93</v>
      </c>
      <c r="BA71" s="163"/>
      <c r="BB71" s="78">
        <v>105</v>
      </c>
      <c r="BC71" s="83"/>
      <c r="BD71" s="79">
        <v>91</v>
      </c>
      <c r="BE71" s="81"/>
      <c r="BF71" s="86">
        <v>0</v>
      </c>
      <c r="BG71" s="93"/>
      <c r="BH71" s="93">
        <v>2</v>
      </c>
      <c r="BI71" s="163"/>
      <c r="BJ71" s="76">
        <f t="shared" si="103"/>
        <v>14.583333333333332</v>
      </c>
      <c r="BK71" s="94"/>
      <c r="BL71" s="73">
        <v>7.2</v>
      </c>
      <c r="BM71" s="79"/>
      <c r="BN71" s="75">
        <f t="shared" si="228"/>
        <v>0.32593933906745132</v>
      </c>
      <c r="BO71" s="84"/>
      <c r="BP71" s="82">
        <f t="shared" si="229"/>
        <v>183</v>
      </c>
      <c r="BQ71" s="86">
        <f t="shared" si="229"/>
        <v>0</v>
      </c>
      <c r="BR71" s="161">
        <f t="shared" ref="BR71:BT74" si="239">BV71+BZ71</f>
        <v>105</v>
      </c>
      <c r="BS71" s="83"/>
      <c r="BT71" s="83">
        <f t="shared" si="239"/>
        <v>78</v>
      </c>
      <c r="BU71" s="85"/>
      <c r="BV71" s="80">
        <v>105</v>
      </c>
      <c r="BW71" s="95"/>
      <c r="BX71" s="79">
        <v>76</v>
      </c>
      <c r="BY71" s="84"/>
      <c r="BZ71" s="80">
        <v>0</v>
      </c>
      <c r="CA71" s="79"/>
      <c r="CB71" s="79">
        <v>2</v>
      </c>
      <c r="CC71" s="96"/>
      <c r="CD71" s="82">
        <f t="shared" si="28"/>
        <v>14.583333333333332</v>
      </c>
      <c r="CE71" s="89"/>
      <c r="CF71" s="332">
        <f t="shared" si="230"/>
        <v>28.5</v>
      </c>
      <c r="CG71" s="79"/>
      <c r="CH71" s="75">
        <f t="shared" ref="CH71:CH73" si="240">(CF71/8760)*100</f>
        <v>0.32534246575342468</v>
      </c>
      <c r="CI71" s="103"/>
      <c r="CJ71" s="104">
        <f>CL71+CN71</f>
        <v>738</v>
      </c>
      <c r="CK71" s="77"/>
      <c r="CL71" s="82">
        <f>J71+AD71+AX71+BR71</f>
        <v>417</v>
      </c>
      <c r="CM71" s="94"/>
      <c r="CN71" s="99">
        <f>L71+AF71+AZ71+BT71</f>
        <v>321</v>
      </c>
      <c r="CO71" s="85"/>
      <c r="CP71" s="80">
        <f t="shared" si="231"/>
        <v>417</v>
      </c>
      <c r="CQ71" s="79"/>
      <c r="CR71" s="79">
        <f t="shared" si="232"/>
        <v>313</v>
      </c>
      <c r="CS71" s="93"/>
      <c r="CT71" s="82">
        <f t="shared" si="233"/>
        <v>0</v>
      </c>
      <c r="CU71" s="79"/>
      <c r="CV71" s="79">
        <f t="shared" si="234"/>
        <v>8</v>
      </c>
      <c r="CW71" s="93"/>
      <c r="CX71" s="82">
        <f t="shared" si="30"/>
        <v>14.631578947368421</v>
      </c>
      <c r="CY71" s="147"/>
    </row>
    <row r="72" spans="1:103" s="101" customFormat="1" ht="15.75" customHeight="1" x14ac:dyDescent="0.25">
      <c r="A72" s="553"/>
      <c r="B72" s="71"/>
      <c r="C72" s="72" t="s">
        <v>32</v>
      </c>
      <c r="D72" s="73">
        <v>7</v>
      </c>
      <c r="E72" s="74"/>
      <c r="F72" s="75">
        <f t="shared" si="235"/>
        <v>0.32422417786012042</v>
      </c>
      <c r="G72" s="75"/>
      <c r="H72" s="78">
        <f t="shared" si="225"/>
        <v>157</v>
      </c>
      <c r="I72" s="84">
        <f t="shared" si="225"/>
        <v>0</v>
      </c>
      <c r="J72" s="161">
        <f t="shared" si="236"/>
        <v>102</v>
      </c>
      <c r="K72" s="83"/>
      <c r="L72" s="158">
        <f t="shared" si="236"/>
        <v>55</v>
      </c>
      <c r="M72" s="170"/>
      <c r="N72" s="82">
        <v>102</v>
      </c>
      <c r="O72" s="158"/>
      <c r="P72" s="79">
        <v>53</v>
      </c>
      <c r="Q72" s="84"/>
      <c r="R72" s="80">
        <v>0</v>
      </c>
      <c r="S72" s="79"/>
      <c r="T72" s="79">
        <v>2</v>
      </c>
      <c r="U72" s="85"/>
      <c r="V72" s="80">
        <f t="shared" si="21"/>
        <v>14.571428571428571</v>
      </c>
      <c r="W72" s="86"/>
      <c r="X72" s="87">
        <v>7</v>
      </c>
      <c r="Y72" s="88"/>
      <c r="Z72" s="75">
        <f t="shared" si="226"/>
        <v>0.32051282051282048</v>
      </c>
      <c r="AA72" s="75"/>
      <c r="AB72" s="78">
        <f t="shared" si="227"/>
        <v>195</v>
      </c>
      <c r="AC72" s="84">
        <f t="shared" si="227"/>
        <v>0</v>
      </c>
      <c r="AD72" s="161">
        <f t="shared" si="237"/>
        <v>102</v>
      </c>
      <c r="AE72" s="83"/>
      <c r="AF72" s="158">
        <f t="shared" si="237"/>
        <v>93</v>
      </c>
      <c r="AG72" s="170"/>
      <c r="AH72" s="80">
        <v>102</v>
      </c>
      <c r="AI72" s="158"/>
      <c r="AJ72" s="79">
        <v>91</v>
      </c>
      <c r="AK72" s="84"/>
      <c r="AL72" s="80">
        <v>0</v>
      </c>
      <c r="AM72" s="79"/>
      <c r="AN72" s="79">
        <v>2</v>
      </c>
      <c r="AO72" s="85"/>
      <c r="AP72" s="80">
        <f t="shared" si="24"/>
        <v>14.571428571428571</v>
      </c>
      <c r="AQ72" s="89"/>
      <c r="AR72" s="90">
        <v>7</v>
      </c>
      <c r="AS72" s="74"/>
      <c r="AT72" s="74">
        <f>(AR72/2208)*100</f>
        <v>0.3170289855072464</v>
      </c>
      <c r="AU72" s="91"/>
      <c r="AV72" s="80">
        <f>AX72+AZ72</f>
        <v>192</v>
      </c>
      <c r="AW72" s="86">
        <f t="shared" si="214"/>
        <v>0</v>
      </c>
      <c r="AX72" s="161">
        <f t="shared" si="238"/>
        <v>102</v>
      </c>
      <c r="AY72" s="163"/>
      <c r="AZ72" s="83">
        <f t="shared" si="238"/>
        <v>90</v>
      </c>
      <c r="BA72" s="163"/>
      <c r="BB72" s="78">
        <v>102</v>
      </c>
      <c r="BC72" s="83"/>
      <c r="BD72" s="79">
        <v>88</v>
      </c>
      <c r="BE72" s="81"/>
      <c r="BF72" s="86">
        <v>0</v>
      </c>
      <c r="BG72" s="93"/>
      <c r="BH72" s="93">
        <v>2</v>
      </c>
      <c r="BI72" s="163"/>
      <c r="BJ72" s="76">
        <f t="shared" si="103"/>
        <v>14.571428571428571</v>
      </c>
      <c r="BK72" s="94"/>
      <c r="BL72" s="73">
        <v>6.6</v>
      </c>
      <c r="BM72" s="79"/>
      <c r="BN72" s="75">
        <f>(BL72/2209)*100</f>
        <v>0.29877772747849707</v>
      </c>
      <c r="BO72" s="84"/>
      <c r="BP72" s="82">
        <f t="shared" si="229"/>
        <v>167</v>
      </c>
      <c r="BQ72" s="86">
        <f t="shared" si="229"/>
        <v>0</v>
      </c>
      <c r="BR72" s="161">
        <f t="shared" si="239"/>
        <v>95</v>
      </c>
      <c r="BS72" s="83"/>
      <c r="BT72" s="83">
        <f t="shared" si="239"/>
        <v>72</v>
      </c>
      <c r="BU72" s="85"/>
      <c r="BV72" s="80">
        <v>95</v>
      </c>
      <c r="BW72" s="333"/>
      <c r="BX72" s="79">
        <v>70</v>
      </c>
      <c r="BY72" s="84"/>
      <c r="BZ72" s="80">
        <v>0</v>
      </c>
      <c r="CA72" s="79"/>
      <c r="CB72" s="79">
        <v>2</v>
      </c>
      <c r="CC72" s="96"/>
      <c r="CD72" s="82">
        <f t="shared" si="28"/>
        <v>14.393939393939394</v>
      </c>
      <c r="CE72" s="89"/>
      <c r="CF72" s="332">
        <f t="shared" si="230"/>
        <v>27.6</v>
      </c>
      <c r="CG72" s="79"/>
      <c r="CH72" s="75">
        <f t="shared" si="240"/>
        <v>0.31506849315068497</v>
      </c>
      <c r="CI72" s="103"/>
      <c r="CJ72" s="104">
        <f>CL72+CN72</f>
        <v>711</v>
      </c>
      <c r="CK72" s="77"/>
      <c r="CL72" s="82">
        <f>J72+AD72+AX72+BR72</f>
        <v>401</v>
      </c>
      <c r="CM72" s="94"/>
      <c r="CN72" s="99">
        <f>L72+AF72+AZ72+BT72</f>
        <v>310</v>
      </c>
      <c r="CO72" s="85"/>
      <c r="CP72" s="80">
        <f t="shared" si="231"/>
        <v>401</v>
      </c>
      <c r="CQ72" s="79"/>
      <c r="CR72" s="79">
        <f t="shared" si="232"/>
        <v>302</v>
      </c>
      <c r="CS72" s="93"/>
      <c r="CT72" s="82">
        <f t="shared" si="233"/>
        <v>0</v>
      </c>
      <c r="CU72" s="79"/>
      <c r="CV72" s="79">
        <f t="shared" si="234"/>
        <v>8</v>
      </c>
      <c r="CW72" s="93"/>
      <c r="CX72" s="82">
        <f t="shared" si="30"/>
        <v>14.528985507246377</v>
      </c>
      <c r="CY72" s="147"/>
    </row>
    <row r="73" spans="1:103" ht="15.75" customHeight="1" x14ac:dyDescent="0.25">
      <c r="A73" s="553"/>
      <c r="B73" s="145"/>
      <c r="C73" s="72" t="s">
        <v>33</v>
      </c>
      <c r="D73" s="73">
        <v>3.7</v>
      </c>
      <c r="E73" s="74"/>
      <c r="F73" s="75">
        <f t="shared" si="235"/>
        <v>0.17137563686892079</v>
      </c>
      <c r="G73" s="75"/>
      <c r="H73" s="78">
        <f t="shared" si="225"/>
        <v>104</v>
      </c>
      <c r="I73" s="84">
        <f t="shared" si="225"/>
        <v>0</v>
      </c>
      <c r="J73" s="161">
        <f t="shared" si="236"/>
        <v>68</v>
      </c>
      <c r="K73" s="83"/>
      <c r="L73" s="158">
        <f t="shared" si="236"/>
        <v>36</v>
      </c>
      <c r="M73" s="170"/>
      <c r="N73" s="82">
        <v>68</v>
      </c>
      <c r="O73" s="334"/>
      <c r="P73" s="79">
        <v>35</v>
      </c>
      <c r="Q73" s="84"/>
      <c r="R73" s="80">
        <v>0</v>
      </c>
      <c r="S73" s="79"/>
      <c r="T73" s="79">
        <v>1</v>
      </c>
      <c r="U73" s="103"/>
      <c r="V73" s="80">
        <f t="shared" si="21"/>
        <v>18.378378378378379</v>
      </c>
      <c r="W73" s="86"/>
      <c r="X73" s="87">
        <v>3.8</v>
      </c>
      <c r="Y73" s="88"/>
      <c r="Z73" s="75">
        <f t="shared" si="226"/>
        <v>0.17399267399267399</v>
      </c>
      <c r="AA73" s="75"/>
      <c r="AB73" s="78">
        <f t="shared" si="227"/>
        <v>129</v>
      </c>
      <c r="AC73" s="84">
        <f t="shared" si="227"/>
        <v>0</v>
      </c>
      <c r="AD73" s="161">
        <f t="shared" si="237"/>
        <v>68</v>
      </c>
      <c r="AE73" s="83"/>
      <c r="AF73" s="158">
        <f t="shared" si="237"/>
        <v>61</v>
      </c>
      <c r="AG73" s="170"/>
      <c r="AH73" s="80">
        <v>68</v>
      </c>
      <c r="AI73" s="334"/>
      <c r="AJ73" s="79">
        <v>60</v>
      </c>
      <c r="AK73" s="84"/>
      <c r="AL73" s="80">
        <v>0</v>
      </c>
      <c r="AM73" s="79"/>
      <c r="AN73" s="79">
        <v>1</v>
      </c>
      <c r="AO73" s="103"/>
      <c r="AP73" s="80">
        <f t="shared" si="24"/>
        <v>17.894736842105264</v>
      </c>
      <c r="AQ73" s="89"/>
      <c r="AR73" s="90">
        <v>3.8</v>
      </c>
      <c r="AS73" s="74"/>
      <c r="AT73" s="74">
        <f>(AR73/2208)*100</f>
        <v>0.17210144927536231</v>
      </c>
      <c r="AU73" s="91"/>
      <c r="AV73" s="80">
        <f>AX73+AZ73</f>
        <v>128</v>
      </c>
      <c r="AW73" s="86">
        <f t="shared" si="214"/>
        <v>0</v>
      </c>
      <c r="AX73" s="161">
        <f t="shared" si="238"/>
        <v>68</v>
      </c>
      <c r="AY73" s="163"/>
      <c r="AZ73" s="83">
        <f t="shared" si="238"/>
        <v>60</v>
      </c>
      <c r="BA73" s="163"/>
      <c r="BB73" s="78">
        <v>68</v>
      </c>
      <c r="BC73" s="102"/>
      <c r="BD73" s="79">
        <v>59</v>
      </c>
      <c r="BE73" s="81"/>
      <c r="BF73" s="86">
        <v>0</v>
      </c>
      <c r="BG73" s="93"/>
      <c r="BH73" s="93">
        <v>1</v>
      </c>
      <c r="BI73" s="335"/>
      <c r="BJ73" s="76">
        <f>AX73/AR73</f>
        <v>17.894736842105264</v>
      </c>
      <c r="BK73" s="94"/>
      <c r="BL73" s="73">
        <v>3.8</v>
      </c>
      <c r="BM73" s="79"/>
      <c r="BN73" s="75">
        <f t="shared" si="228"/>
        <v>0.17202354006337708</v>
      </c>
      <c r="BO73" s="84"/>
      <c r="BP73" s="82">
        <f t="shared" si="229"/>
        <v>119</v>
      </c>
      <c r="BQ73" s="86">
        <f t="shared" si="229"/>
        <v>0</v>
      </c>
      <c r="BR73" s="161">
        <f t="shared" si="239"/>
        <v>68</v>
      </c>
      <c r="BS73" s="83"/>
      <c r="BT73" s="83">
        <f t="shared" si="239"/>
        <v>51</v>
      </c>
      <c r="BU73" s="85"/>
      <c r="BV73" s="80">
        <v>68</v>
      </c>
      <c r="BW73" s="336"/>
      <c r="BX73" s="79">
        <v>50</v>
      </c>
      <c r="BY73" s="84"/>
      <c r="BZ73" s="80">
        <v>0</v>
      </c>
      <c r="CA73" s="79"/>
      <c r="CB73" s="79">
        <v>1</v>
      </c>
      <c r="CC73" s="106"/>
      <c r="CD73" s="82">
        <f t="shared" si="28"/>
        <v>17.894736842105264</v>
      </c>
      <c r="CE73" s="89"/>
      <c r="CF73" s="332">
        <f t="shared" si="230"/>
        <v>15.100000000000001</v>
      </c>
      <c r="CG73" s="79"/>
      <c r="CH73" s="75">
        <f t="shared" si="240"/>
        <v>0.17237442922374432</v>
      </c>
      <c r="CI73" s="103"/>
      <c r="CJ73" s="104">
        <f>CL73+CN73</f>
        <v>480</v>
      </c>
      <c r="CK73" s="77"/>
      <c r="CL73" s="82">
        <f>J73+AD73+AX73+BR73</f>
        <v>272</v>
      </c>
      <c r="CM73" s="94"/>
      <c r="CN73" s="99">
        <f>L73+AF73+AZ73+BT73</f>
        <v>208</v>
      </c>
      <c r="CO73" s="85"/>
      <c r="CP73" s="80">
        <f t="shared" si="231"/>
        <v>272</v>
      </c>
      <c r="CQ73" s="79"/>
      <c r="CR73" s="79">
        <f t="shared" si="232"/>
        <v>204</v>
      </c>
      <c r="CS73" s="93"/>
      <c r="CT73" s="82">
        <f t="shared" si="233"/>
        <v>0</v>
      </c>
      <c r="CU73" s="79"/>
      <c r="CV73" s="79">
        <f t="shared" si="234"/>
        <v>4</v>
      </c>
      <c r="CW73" s="93"/>
      <c r="CX73" s="82">
        <f t="shared" si="30"/>
        <v>18.013245033112582</v>
      </c>
      <c r="CY73" s="147"/>
    </row>
    <row r="74" spans="1:103" ht="15.75" customHeight="1" x14ac:dyDescent="0.25">
      <c r="A74" s="553"/>
      <c r="B74" s="145"/>
      <c r="C74" s="72" t="s">
        <v>34</v>
      </c>
      <c r="D74" s="73">
        <v>2.6</v>
      </c>
      <c r="E74" s="74"/>
      <c r="F74" s="75">
        <f t="shared" si="235"/>
        <v>0.12042612320518759</v>
      </c>
      <c r="G74" s="75"/>
      <c r="H74" s="78">
        <f>J74+L74</f>
        <v>0</v>
      </c>
      <c r="I74" s="84">
        <f t="shared" si="225"/>
        <v>0</v>
      </c>
      <c r="J74" s="161">
        <f t="shared" si="236"/>
        <v>0</v>
      </c>
      <c r="K74" s="83"/>
      <c r="L74" s="158">
        <f t="shared" si="236"/>
        <v>0</v>
      </c>
      <c r="M74" s="170"/>
      <c r="N74" s="82">
        <v>0</v>
      </c>
      <c r="O74" s="102"/>
      <c r="P74" s="79">
        <v>0</v>
      </c>
      <c r="Q74" s="84"/>
      <c r="R74" s="80">
        <v>0</v>
      </c>
      <c r="S74" s="79"/>
      <c r="T74" s="79">
        <v>0</v>
      </c>
      <c r="U74" s="103"/>
      <c r="V74" s="80">
        <f>J74/D74</f>
        <v>0</v>
      </c>
      <c r="W74" s="86"/>
      <c r="X74" s="87">
        <v>2.5</v>
      </c>
      <c r="Y74" s="88"/>
      <c r="Z74" s="75">
        <f t="shared" si="226"/>
        <v>0.11446886446886448</v>
      </c>
      <c r="AA74" s="75"/>
      <c r="AB74" s="78">
        <f t="shared" si="227"/>
        <v>0</v>
      </c>
      <c r="AC74" s="84">
        <f t="shared" si="227"/>
        <v>0</v>
      </c>
      <c r="AD74" s="161">
        <f t="shared" si="237"/>
        <v>0</v>
      </c>
      <c r="AE74" s="83"/>
      <c r="AF74" s="158">
        <f t="shared" si="237"/>
        <v>0</v>
      </c>
      <c r="AG74" s="170"/>
      <c r="AH74" s="80">
        <v>0</v>
      </c>
      <c r="AI74" s="102"/>
      <c r="AJ74" s="79">
        <v>0</v>
      </c>
      <c r="AK74" s="84"/>
      <c r="AL74" s="80">
        <v>0</v>
      </c>
      <c r="AM74" s="79"/>
      <c r="AN74" s="79">
        <v>0</v>
      </c>
      <c r="AO74" s="103"/>
      <c r="AP74" s="80">
        <f t="shared" si="24"/>
        <v>0</v>
      </c>
      <c r="AQ74" s="89"/>
      <c r="AR74" s="90">
        <v>2.7</v>
      </c>
      <c r="AS74" s="74"/>
      <c r="AT74" s="74">
        <f>(AR74/2208)*100</f>
        <v>0.12228260869565219</v>
      </c>
      <c r="AU74" s="91"/>
      <c r="AV74" s="80">
        <f>AX74+AZ74</f>
        <v>0</v>
      </c>
      <c r="AW74" s="86">
        <f t="shared" si="214"/>
        <v>0</v>
      </c>
      <c r="AX74" s="161">
        <f t="shared" si="238"/>
        <v>0</v>
      </c>
      <c r="AY74" s="163"/>
      <c r="AZ74" s="83">
        <f t="shared" si="238"/>
        <v>0</v>
      </c>
      <c r="BA74" s="163"/>
      <c r="BB74" s="78">
        <v>0</v>
      </c>
      <c r="BC74" s="102"/>
      <c r="BD74" s="79">
        <v>0</v>
      </c>
      <c r="BE74" s="81"/>
      <c r="BF74" s="86">
        <v>0</v>
      </c>
      <c r="BG74" s="93"/>
      <c r="BH74" s="93">
        <v>0</v>
      </c>
      <c r="BI74" s="335"/>
      <c r="BJ74" s="76">
        <f t="shared" si="103"/>
        <v>0</v>
      </c>
      <c r="BK74" s="94"/>
      <c r="BL74" s="73">
        <v>2.6</v>
      </c>
      <c r="BM74" s="79"/>
      <c r="BN74" s="75">
        <f t="shared" si="228"/>
        <v>0.11770031688546854</v>
      </c>
      <c r="BO74" s="84"/>
      <c r="BP74" s="82">
        <f t="shared" si="229"/>
        <v>0</v>
      </c>
      <c r="BQ74" s="86">
        <f t="shared" si="229"/>
        <v>0</v>
      </c>
      <c r="BR74" s="161">
        <f t="shared" si="239"/>
        <v>0</v>
      </c>
      <c r="BS74" s="83"/>
      <c r="BT74" s="83">
        <f t="shared" si="239"/>
        <v>0</v>
      </c>
      <c r="BU74" s="85"/>
      <c r="BV74" s="80">
        <v>0</v>
      </c>
      <c r="BW74" s="105"/>
      <c r="BX74" s="79">
        <v>0</v>
      </c>
      <c r="BY74" s="84"/>
      <c r="BZ74" s="80">
        <v>0</v>
      </c>
      <c r="CA74" s="79"/>
      <c r="CB74" s="79">
        <v>0</v>
      </c>
      <c r="CC74" s="106"/>
      <c r="CD74" s="82">
        <v>0</v>
      </c>
      <c r="CE74" s="89"/>
      <c r="CF74" s="332">
        <f t="shared" si="230"/>
        <v>10.4</v>
      </c>
      <c r="CG74" s="79"/>
      <c r="CH74" s="75">
        <f>(CF74/8760)*100</f>
        <v>0.11872146118721461</v>
      </c>
      <c r="CI74" s="103"/>
      <c r="CJ74" s="104">
        <f>CL74+CN74</f>
        <v>0</v>
      </c>
      <c r="CK74" s="77"/>
      <c r="CL74" s="82">
        <f>J74+AD74+AX74+BR74</f>
        <v>0</v>
      </c>
      <c r="CM74" s="94"/>
      <c r="CN74" s="99">
        <f>L74+AF74+AZ74+BT74</f>
        <v>0</v>
      </c>
      <c r="CO74" s="85"/>
      <c r="CP74" s="80">
        <f t="shared" si="231"/>
        <v>0</v>
      </c>
      <c r="CQ74" s="79"/>
      <c r="CR74" s="79">
        <f t="shared" si="232"/>
        <v>0</v>
      </c>
      <c r="CS74" s="93"/>
      <c r="CT74" s="82">
        <f t="shared" si="233"/>
        <v>0</v>
      </c>
      <c r="CU74" s="79"/>
      <c r="CV74" s="79">
        <f t="shared" si="234"/>
        <v>0</v>
      </c>
      <c r="CW74" s="93"/>
      <c r="CX74" s="82">
        <f t="shared" si="30"/>
        <v>0</v>
      </c>
      <c r="CY74" s="147"/>
    </row>
    <row r="75" spans="1:103" s="330" customFormat="1" ht="15.75" customHeight="1" x14ac:dyDescent="0.25">
      <c r="A75" s="553"/>
      <c r="B75" s="304" t="s">
        <v>57</v>
      </c>
      <c r="C75" s="305"/>
      <c r="D75" s="306">
        <f>SUM(D76:D80)</f>
        <v>27.7</v>
      </c>
      <c r="E75" s="307"/>
      <c r="F75" s="308"/>
      <c r="G75" s="308"/>
      <c r="H75" s="309">
        <f t="shared" ref="H75:L75" si="241">SUM(H76:H80)</f>
        <v>594</v>
      </c>
      <c r="I75" s="310">
        <f t="shared" si="241"/>
        <v>0</v>
      </c>
      <c r="J75" s="309">
        <f t="shared" si="241"/>
        <v>384</v>
      </c>
      <c r="K75" s="311"/>
      <c r="L75" s="312">
        <f t="shared" si="241"/>
        <v>210</v>
      </c>
      <c r="M75" s="313"/>
      <c r="N75" s="314">
        <f t="shared" ref="N75:T75" si="242">SUM(N76:N80)</f>
        <v>384</v>
      </c>
      <c r="O75" s="312"/>
      <c r="P75" s="312">
        <f>SUM(P76:P80)</f>
        <v>199</v>
      </c>
      <c r="Q75" s="313"/>
      <c r="R75" s="312">
        <f t="shared" si="242"/>
        <v>0</v>
      </c>
      <c r="S75" s="312"/>
      <c r="T75" s="312">
        <f t="shared" si="242"/>
        <v>11</v>
      </c>
      <c r="U75" s="313"/>
      <c r="V75" s="372">
        <f>J75/D75</f>
        <v>13.862815884476534</v>
      </c>
      <c r="W75" s="373"/>
      <c r="X75" s="316">
        <f>SUM(X76:X80)</f>
        <v>27.599999999999998</v>
      </c>
      <c r="Y75" s="317"/>
      <c r="Z75" s="370"/>
      <c r="AA75" s="371"/>
      <c r="AB75" s="374">
        <f t="shared" ref="AB75:AF75" si="243">SUM(AB76:AB80)</f>
        <v>736</v>
      </c>
      <c r="AC75" s="329">
        <f t="shared" si="243"/>
        <v>0</v>
      </c>
      <c r="AD75" s="375">
        <f t="shared" si="243"/>
        <v>384</v>
      </c>
      <c r="AE75" s="376"/>
      <c r="AF75" s="372">
        <f t="shared" si="243"/>
        <v>352</v>
      </c>
      <c r="AG75" s="377"/>
      <c r="AH75" s="372">
        <f t="shared" ref="AH75:AN75" si="244">SUM(AH76:AH80)</f>
        <v>384</v>
      </c>
      <c r="AI75" s="372"/>
      <c r="AJ75" s="372">
        <f t="shared" si="244"/>
        <v>341</v>
      </c>
      <c r="AK75" s="377"/>
      <c r="AL75" s="372">
        <f t="shared" si="244"/>
        <v>0</v>
      </c>
      <c r="AM75" s="372"/>
      <c r="AN75" s="372">
        <f t="shared" si="244"/>
        <v>11</v>
      </c>
      <c r="AO75" s="378"/>
      <c r="AP75" s="372">
        <f>AD75/X75</f>
        <v>13.913043478260871</v>
      </c>
      <c r="AQ75" s="379"/>
      <c r="AR75" s="380">
        <f>SUM(AR76:AR80)</f>
        <v>30.999999999999996</v>
      </c>
      <c r="AS75" s="381"/>
      <c r="AT75" s="382"/>
      <c r="AU75" s="383"/>
      <c r="AV75" s="384">
        <f t="shared" ref="AV75" si="245">SUM(AV76:AV80)</f>
        <v>807</v>
      </c>
      <c r="AW75" s="373">
        <f t="shared" si="214"/>
        <v>0</v>
      </c>
      <c r="AX75" s="375">
        <f t="shared" ref="AX75:BH75" si="246">SUM(AX76:AX80)</f>
        <v>427</v>
      </c>
      <c r="AY75" s="385"/>
      <c r="AZ75" s="376">
        <f t="shared" si="246"/>
        <v>380</v>
      </c>
      <c r="BA75" s="385"/>
      <c r="BB75" s="375">
        <f t="shared" si="246"/>
        <v>427</v>
      </c>
      <c r="BC75" s="376"/>
      <c r="BD75" s="376">
        <f t="shared" si="246"/>
        <v>368</v>
      </c>
      <c r="BE75" s="377"/>
      <c r="BF75" s="372">
        <f t="shared" si="246"/>
        <v>0</v>
      </c>
      <c r="BG75" s="372"/>
      <c r="BH75" s="372">
        <f t="shared" si="246"/>
        <v>12</v>
      </c>
      <c r="BI75" s="372"/>
      <c r="BJ75" s="309">
        <f t="shared" si="103"/>
        <v>13.774193548387098</v>
      </c>
      <c r="BK75" s="323"/>
      <c r="BL75" s="386">
        <f t="shared" ref="BL75" si="247">SUM(BL76:BL80)</f>
        <v>27.599999999999998</v>
      </c>
      <c r="BM75" s="376"/>
      <c r="BN75" s="382"/>
      <c r="BO75" s="387"/>
      <c r="BP75" s="384">
        <f t="shared" ref="BP75:CB75" si="248">SUM(BP76:BP80)</f>
        <v>667</v>
      </c>
      <c r="BQ75" s="372">
        <f t="shared" si="248"/>
        <v>0</v>
      </c>
      <c r="BR75" s="375">
        <f t="shared" si="248"/>
        <v>380</v>
      </c>
      <c r="BS75" s="376"/>
      <c r="BT75" s="376">
        <f t="shared" si="248"/>
        <v>287</v>
      </c>
      <c r="BU75" s="377"/>
      <c r="BV75" s="372">
        <f t="shared" si="248"/>
        <v>380</v>
      </c>
      <c r="BW75" s="372"/>
      <c r="BX75" s="372">
        <f t="shared" si="248"/>
        <v>277</v>
      </c>
      <c r="BY75" s="377"/>
      <c r="BZ75" s="372">
        <f t="shared" si="248"/>
        <v>0</v>
      </c>
      <c r="CA75" s="372"/>
      <c r="CB75" s="372">
        <f t="shared" si="248"/>
        <v>10</v>
      </c>
      <c r="CC75" s="377"/>
      <c r="CD75" s="384">
        <f t="shared" ref="CD75:CD78" si="249">BR75/BL75</f>
        <v>13.768115942028986</v>
      </c>
      <c r="CE75" s="379"/>
      <c r="CF75" s="386">
        <f>SUM(CF76:CF80)</f>
        <v>113.9</v>
      </c>
      <c r="CG75" s="376"/>
      <c r="CH75" s="382"/>
      <c r="CI75" s="387"/>
      <c r="CJ75" s="373">
        <f t="shared" ref="CJ75:CL75" si="250">SUM(CJ76:CJ80)</f>
        <v>2804</v>
      </c>
      <c r="CK75" s="377">
        <f t="shared" si="250"/>
        <v>0</v>
      </c>
      <c r="CL75" s="384">
        <f t="shared" si="250"/>
        <v>1575</v>
      </c>
      <c r="CM75" s="385"/>
      <c r="CN75" s="376">
        <f t="shared" ref="CN75" si="251">SUM(CN76:CN80)</f>
        <v>1229</v>
      </c>
      <c r="CO75" s="377"/>
      <c r="CP75" s="372">
        <f t="shared" ref="CP75" si="252">SUM(CP76:CP80)</f>
        <v>1575</v>
      </c>
      <c r="CQ75" s="376"/>
      <c r="CR75" s="376">
        <f t="shared" ref="CR75" si="253">SUM(CR76:CR80)</f>
        <v>1185</v>
      </c>
      <c r="CS75" s="385"/>
      <c r="CT75" s="384">
        <f t="shared" ref="CT75" si="254">SUM(CT76:CT80)</f>
        <v>0</v>
      </c>
      <c r="CU75" s="376"/>
      <c r="CV75" s="376">
        <f t="shared" ref="CV75" si="255">SUM(CV76:CV80)</f>
        <v>44</v>
      </c>
      <c r="CW75" s="385"/>
      <c r="CX75" s="384">
        <f>CL75/CF75</f>
        <v>13.827919227392449</v>
      </c>
      <c r="CY75" s="388"/>
    </row>
    <row r="76" spans="1:103" s="1" customFormat="1" ht="15.75" customHeight="1" x14ac:dyDescent="0.25">
      <c r="A76" s="553"/>
      <c r="B76" s="149"/>
      <c r="C76" s="72" t="s">
        <v>30</v>
      </c>
      <c r="D76" s="73">
        <v>7</v>
      </c>
      <c r="E76" s="74"/>
      <c r="F76" s="75">
        <f>(D76/2159)*100</f>
        <v>0.32422417786012042</v>
      </c>
      <c r="G76" s="75"/>
      <c r="H76" s="78">
        <f t="shared" ref="H76:I80" si="256">J76+L76</f>
        <v>167</v>
      </c>
      <c r="I76" s="84">
        <f t="shared" si="256"/>
        <v>0</v>
      </c>
      <c r="J76" s="161">
        <f>N76+R76</f>
        <v>108</v>
      </c>
      <c r="K76" s="83"/>
      <c r="L76" s="158">
        <f>P76+T76</f>
        <v>59</v>
      </c>
      <c r="M76" s="170"/>
      <c r="N76" s="157">
        <v>108</v>
      </c>
      <c r="O76" s="79"/>
      <c r="P76" s="83">
        <v>56</v>
      </c>
      <c r="Q76" s="85"/>
      <c r="R76" s="158">
        <v>0</v>
      </c>
      <c r="S76" s="83"/>
      <c r="T76" s="83">
        <v>3</v>
      </c>
      <c r="U76" s="84"/>
      <c r="V76" s="80">
        <f t="shared" ref="V76:V78" si="257">J76/D76</f>
        <v>15.428571428571429</v>
      </c>
      <c r="W76" s="86"/>
      <c r="X76" s="87">
        <v>7</v>
      </c>
      <c r="Y76" s="88"/>
      <c r="Z76" s="75">
        <f t="shared" ref="Z76:Z80" si="258">(X76/2184)*100</f>
        <v>0.32051282051282048</v>
      </c>
      <c r="AA76" s="75"/>
      <c r="AB76" s="78">
        <f t="shared" ref="AB76:AC80" si="259">AD76+AF76</f>
        <v>207</v>
      </c>
      <c r="AC76" s="84">
        <f t="shared" si="259"/>
        <v>0</v>
      </c>
      <c r="AD76" s="161">
        <f>AH76+AL76</f>
        <v>108</v>
      </c>
      <c r="AE76" s="83"/>
      <c r="AF76" s="158">
        <f>AJ76+AN76</f>
        <v>99</v>
      </c>
      <c r="AG76" s="170"/>
      <c r="AH76" s="158">
        <v>108</v>
      </c>
      <c r="AI76" s="79"/>
      <c r="AJ76" s="83">
        <v>96</v>
      </c>
      <c r="AK76" s="85"/>
      <c r="AL76" s="158">
        <v>0</v>
      </c>
      <c r="AM76" s="83"/>
      <c r="AN76" s="83">
        <v>3</v>
      </c>
      <c r="AO76" s="84"/>
      <c r="AP76" s="80">
        <f>AD76/X76</f>
        <v>15.428571428571429</v>
      </c>
      <c r="AQ76" s="89"/>
      <c r="AR76" s="90">
        <v>9.9</v>
      </c>
      <c r="AS76" s="74"/>
      <c r="AT76" s="74">
        <f>(AR76/2208)*100</f>
        <v>0.4483695652173913</v>
      </c>
      <c r="AU76" s="91"/>
      <c r="AV76" s="80">
        <f>AX76+AZ76</f>
        <v>285</v>
      </c>
      <c r="AW76" s="86">
        <f t="shared" si="214"/>
        <v>0</v>
      </c>
      <c r="AX76" s="161">
        <f>BB76+BF76</f>
        <v>151</v>
      </c>
      <c r="AY76" s="163"/>
      <c r="AZ76" s="83">
        <f>BD76+BH76</f>
        <v>134</v>
      </c>
      <c r="BA76" s="163"/>
      <c r="BB76" s="161">
        <v>151</v>
      </c>
      <c r="BC76" s="79"/>
      <c r="BD76" s="83">
        <v>130</v>
      </c>
      <c r="BE76" s="170"/>
      <c r="BF76" s="162">
        <v>0</v>
      </c>
      <c r="BG76" s="163"/>
      <c r="BH76" s="163">
        <v>4</v>
      </c>
      <c r="BI76" s="93"/>
      <c r="BJ76" s="76">
        <f t="shared" si="103"/>
        <v>15.252525252525253</v>
      </c>
      <c r="BK76" s="94"/>
      <c r="BL76" s="87">
        <v>7.2</v>
      </c>
      <c r="BM76" s="79"/>
      <c r="BN76" s="75">
        <f>(BL76/2209)*100</f>
        <v>0.32593933906745132</v>
      </c>
      <c r="BO76" s="84"/>
      <c r="BP76" s="82">
        <f t="shared" ref="BP76:BQ80" si="260">BR76+BT76</f>
        <v>193</v>
      </c>
      <c r="BQ76" s="86">
        <f t="shared" si="260"/>
        <v>0</v>
      </c>
      <c r="BR76" s="161">
        <f>BV76+BZ76</f>
        <v>110</v>
      </c>
      <c r="BS76" s="83"/>
      <c r="BT76" s="83">
        <f>BX76+CB76</f>
        <v>83</v>
      </c>
      <c r="BU76" s="85"/>
      <c r="BV76" s="158">
        <v>110</v>
      </c>
      <c r="BW76" s="150"/>
      <c r="BX76" s="83">
        <v>80</v>
      </c>
      <c r="BY76" s="85"/>
      <c r="BZ76" s="158">
        <v>0</v>
      </c>
      <c r="CA76" s="83"/>
      <c r="CB76" s="83">
        <v>3</v>
      </c>
      <c r="CC76" s="151"/>
      <c r="CD76" s="82">
        <f t="shared" si="249"/>
        <v>15.277777777777777</v>
      </c>
      <c r="CE76" s="89"/>
      <c r="CF76" s="97">
        <f t="shared" ref="CF76:CF80" si="261">D76+X76+AR76+BL76</f>
        <v>31.099999999999998</v>
      </c>
      <c r="CG76" s="80"/>
      <c r="CH76" s="75">
        <f>(CF76/8760)*100</f>
        <v>0.3550228310502283</v>
      </c>
      <c r="CI76" s="103"/>
      <c r="CJ76" s="104">
        <f>CL76+CN76</f>
        <v>852</v>
      </c>
      <c r="CK76" s="77"/>
      <c r="CL76" s="82">
        <f t="shared" ref="CL76:CL81" si="262">J76+AD76+AX76+BR76</f>
        <v>477</v>
      </c>
      <c r="CM76" s="94"/>
      <c r="CN76" s="99">
        <f t="shared" ref="CN76:CN81" si="263">L76+AF76+AZ76+BT76</f>
        <v>375</v>
      </c>
      <c r="CO76" s="85"/>
      <c r="CP76" s="80">
        <f t="shared" ref="CP76:CP80" si="264">N76+AH76+BB76+BV76</f>
        <v>477</v>
      </c>
      <c r="CQ76" s="79"/>
      <c r="CR76" s="79">
        <f t="shared" ref="CR76:CR80" si="265">P76+AJ76+BD76+BX76</f>
        <v>362</v>
      </c>
      <c r="CS76" s="93"/>
      <c r="CT76" s="82">
        <f t="shared" ref="CT76:CT80" si="266">R76+AL76+BF76+BZ76</f>
        <v>0</v>
      </c>
      <c r="CU76" s="79"/>
      <c r="CV76" s="79">
        <f t="shared" ref="CV76:CV80" si="267">T76+AN76+BH76+CB76</f>
        <v>13</v>
      </c>
      <c r="CW76" s="93"/>
      <c r="CX76" s="82">
        <f t="shared" ref="CX76:CX80" si="268">CL76/CF76</f>
        <v>15.337620578778136</v>
      </c>
      <c r="CY76" s="147"/>
    </row>
    <row r="77" spans="1:103" s="101" customFormat="1" ht="15.75" customHeight="1" x14ac:dyDescent="0.25">
      <c r="A77" s="553"/>
      <c r="B77" s="71"/>
      <c r="C77" s="72" t="s">
        <v>31</v>
      </c>
      <c r="D77" s="73">
        <v>7.1</v>
      </c>
      <c r="E77" s="74"/>
      <c r="F77" s="75">
        <f t="shared" ref="F77:F80" si="269">(D77/2159)*100</f>
        <v>0.32885595182955074</v>
      </c>
      <c r="G77" s="75"/>
      <c r="H77" s="78">
        <f t="shared" si="256"/>
        <v>161</v>
      </c>
      <c r="I77" s="84">
        <f t="shared" si="256"/>
        <v>0</v>
      </c>
      <c r="J77" s="161">
        <f t="shared" ref="J77:J80" si="270">N77+R77</f>
        <v>104</v>
      </c>
      <c r="K77" s="83"/>
      <c r="L77" s="158">
        <f t="shared" ref="L77:L80" si="271">P77+T77</f>
        <v>57</v>
      </c>
      <c r="M77" s="170"/>
      <c r="N77" s="82">
        <v>104</v>
      </c>
      <c r="O77" s="83"/>
      <c r="P77" s="79">
        <v>54</v>
      </c>
      <c r="Q77" s="84"/>
      <c r="R77" s="80">
        <v>0</v>
      </c>
      <c r="S77" s="79"/>
      <c r="T77" s="79">
        <v>3</v>
      </c>
      <c r="U77" s="85"/>
      <c r="V77" s="80">
        <f>J77/D77</f>
        <v>14.647887323943662</v>
      </c>
      <c r="W77" s="86"/>
      <c r="X77" s="87">
        <v>7.2</v>
      </c>
      <c r="Y77" s="88"/>
      <c r="Z77" s="75">
        <f t="shared" si="258"/>
        <v>0.32967032967032966</v>
      </c>
      <c r="AA77" s="75"/>
      <c r="AB77" s="78">
        <f t="shared" si="259"/>
        <v>201</v>
      </c>
      <c r="AC77" s="84">
        <f t="shared" si="259"/>
        <v>0</v>
      </c>
      <c r="AD77" s="161">
        <f t="shared" ref="AD77:AD80" si="272">AH77+AL77</f>
        <v>105</v>
      </c>
      <c r="AE77" s="83"/>
      <c r="AF77" s="158">
        <f t="shared" ref="AF77:AF81" si="273">AJ77+AN77</f>
        <v>96</v>
      </c>
      <c r="AG77" s="170"/>
      <c r="AH77" s="80">
        <v>105</v>
      </c>
      <c r="AI77" s="83"/>
      <c r="AJ77" s="79">
        <v>93</v>
      </c>
      <c r="AK77" s="84"/>
      <c r="AL77" s="80">
        <v>0</v>
      </c>
      <c r="AM77" s="79"/>
      <c r="AN77" s="79">
        <v>3</v>
      </c>
      <c r="AO77" s="85"/>
      <c r="AP77" s="80">
        <f t="shared" ref="AP77:AP80" si="274">AD77/X77</f>
        <v>14.583333333333332</v>
      </c>
      <c r="AQ77" s="89"/>
      <c r="AR77" s="90">
        <v>7.3</v>
      </c>
      <c r="AS77" s="74"/>
      <c r="AT77" s="74">
        <f>(AR77/2208)*100</f>
        <v>0.33061594202898548</v>
      </c>
      <c r="AU77" s="91"/>
      <c r="AV77" s="80">
        <f>AX77+AZ77</f>
        <v>199</v>
      </c>
      <c r="AW77" s="86">
        <f t="shared" si="214"/>
        <v>0</v>
      </c>
      <c r="AX77" s="161">
        <f t="shared" ref="AX77:AX80" si="275">BB77+BF77</f>
        <v>105</v>
      </c>
      <c r="AY77" s="163"/>
      <c r="AZ77" s="83">
        <f t="shared" ref="AZ77:AZ81" si="276">BD77+BH77</f>
        <v>94</v>
      </c>
      <c r="BA77" s="163"/>
      <c r="BB77" s="78">
        <v>105</v>
      </c>
      <c r="BC77" s="83"/>
      <c r="BD77" s="79">
        <v>91</v>
      </c>
      <c r="BE77" s="81"/>
      <c r="BF77" s="86">
        <v>0</v>
      </c>
      <c r="BG77" s="93"/>
      <c r="BH77" s="93">
        <v>3</v>
      </c>
      <c r="BI77" s="163"/>
      <c r="BJ77" s="76">
        <f t="shared" si="103"/>
        <v>14.383561643835616</v>
      </c>
      <c r="BK77" s="94"/>
      <c r="BL77" s="87">
        <v>7.2</v>
      </c>
      <c r="BM77" s="79"/>
      <c r="BN77" s="75">
        <f t="shared" ref="BN77" si="277">(BL77/2209)*100</f>
        <v>0.32593933906745132</v>
      </c>
      <c r="BO77" s="84"/>
      <c r="BP77" s="82">
        <f t="shared" si="260"/>
        <v>185</v>
      </c>
      <c r="BQ77" s="86">
        <f t="shared" si="260"/>
        <v>0</v>
      </c>
      <c r="BR77" s="161">
        <f t="shared" ref="BR77:BR80" si="278">BV77+BZ77</f>
        <v>105</v>
      </c>
      <c r="BS77" s="83"/>
      <c r="BT77" s="83">
        <f t="shared" ref="BT77:BT80" si="279">BX77+CB77</f>
        <v>80</v>
      </c>
      <c r="BU77" s="85"/>
      <c r="BV77" s="80">
        <v>105</v>
      </c>
      <c r="BW77" s="95"/>
      <c r="BX77" s="79">
        <v>77</v>
      </c>
      <c r="BY77" s="84"/>
      <c r="BZ77" s="80">
        <v>0</v>
      </c>
      <c r="CA77" s="79"/>
      <c r="CB77" s="79">
        <v>3</v>
      </c>
      <c r="CC77" s="96"/>
      <c r="CD77" s="82">
        <f t="shared" si="249"/>
        <v>14.583333333333332</v>
      </c>
      <c r="CE77" s="89"/>
      <c r="CF77" s="97">
        <f t="shared" si="261"/>
        <v>28.8</v>
      </c>
      <c r="CG77" s="80"/>
      <c r="CH77" s="75">
        <f t="shared" ref="CH77:CH79" si="280">(CF77/8760)*100</f>
        <v>0.32876712328767127</v>
      </c>
      <c r="CI77" s="103"/>
      <c r="CJ77" s="104">
        <f>CL77+CN77</f>
        <v>746</v>
      </c>
      <c r="CK77" s="77"/>
      <c r="CL77" s="82">
        <f t="shared" si="262"/>
        <v>419</v>
      </c>
      <c r="CM77" s="94"/>
      <c r="CN77" s="99">
        <f t="shared" si="263"/>
        <v>327</v>
      </c>
      <c r="CO77" s="85"/>
      <c r="CP77" s="80">
        <f t="shared" si="264"/>
        <v>419</v>
      </c>
      <c r="CQ77" s="79"/>
      <c r="CR77" s="79">
        <f t="shared" si="265"/>
        <v>315</v>
      </c>
      <c r="CS77" s="93"/>
      <c r="CT77" s="82">
        <f t="shared" si="266"/>
        <v>0</v>
      </c>
      <c r="CU77" s="79"/>
      <c r="CV77" s="79">
        <f t="shared" si="267"/>
        <v>12</v>
      </c>
      <c r="CW77" s="93"/>
      <c r="CX77" s="82">
        <f t="shared" si="268"/>
        <v>14.548611111111111</v>
      </c>
      <c r="CY77" s="147"/>
    </row>
    <row r="78" spans="1:103" s="101" customFormat="1" ht="15.75" customHeight="1" x14ac:dyDescent="0.25">
      <c r="A78" s="553"/>
      <c r="B78" s="71"/>
      <c r="C78" s="72" t="s">
        <v>32</v>
      </c>
      <c r="D78" s="73">
        <v>7.1</v>
      </c>
      <c r="E78" s="74"/>
      <c r="F78" s="75">
        <f t="shared" si="269"/>
        <v>0.32885595182955074</v>
      </c>
      <c r="G78" s="75"/>
      <c r="H78" s="78">
        <f t="shared" si="256"/>
        <v>160</v>
      </c>
      <c r="I78" s="84">
        <f t="shared" si="256"/>
        <v>0</v>
      </c>
      <c r="J78" s="161">
        <f t="shared" si="270"/>
        <v>103</v>
      </c>
      <c r="K78" s="83"/>
      <c r="L78" s="158">
        <f t="shared" si="271"/>
        <v>57</v>
      </c>
      <c r="M78" s="170"/>
      <c r="N78" s="82">
        <v>103</v>
      </c>
      <c r="O78" s="158"/>
      <c r="P78" s="79">
        <v>54</v>
      </c>
      <c r="Q78" s="84"/>
      <c r="R78" s="80">
        <v>0</v>
      </c>
      <c r="S78" s="79"/>
      <c r="T78" s="79">
        <v>3</v>
      </c>
      <c r="U78" s="85"/>
      <c r="V78" s="80">
        <f t="shared" si="257"/>
        <v>14.507042253521128</v>
      </c>
      <c r="W78" s="86"/>
      <c r="X78" s="87">
        <v>7.1</v>
      </c>
      <c r="Y78" s="88"/>
      <c r="Z78" s="75">
        <f t="shared" si="258"/>
        <v>0.32509157509157505</v>
      </c>
      <c r="AA78" s="75"/>
      <c r="AB78" s="78">
        <f t="shared" si="259"/>
        <v>197</v>
      </c>
      <c r="AC78" s="84">
        <f t="shared" si="259"/>
        <v>0</v>
      </c>
      <c r="AD78" s="161">
        <f t="shared" si="272"/>
        <v>103</v>
      </c>
      <c r="AE78" s="83"/>
      <c r="AF78" s="158">
        <f t="shared" si="273"/>
        <v>94</v>
      </c>
      <c r="AG78" s="170"/>
      <c r="AH78" s="80">
        <v>103</v>
      </c>
      <c r="AI78" s="158"/>
      <c r="AJ78" s="79">
        <v>91</v>
      </c>
      <c r="AK78" s="84"/>
      <c r="AL78" s="80">
        <v>0</v>
      </c>
      <c r="AM78" s="79"/>
      <c r="AN78" s="79">
        <v>3</v>
      </c>
      <c r="AO78" s="85"/>
      <c r="AP78" s="80">
        <f t="shared" si="274"/>
        <v>14.507042253521128</v>
      </c>
      <c r="AQ78" s="89"/>
      <c r="AR78" s="90">
        <v>7.1</v>
      </c>
      <c r="AS78" s="74"/>
      <c r="AT78" s="74">
        <f>(AR78/2208)*100</f>
        <v>0.32155797101449274</v>
      </c>
      <c r="AU78" s="91"/>
      <c r="AV78" s="80">
        <f>AX78+AZ78</f>
        <v>193</v>
      </c>
      <c r="AW78" s="86">
        <f t="shared" si="214"/>
        <v>0</v>
      </c>
      <c r="AX78" s="161">
        <f t="shared" si="275"/>
        <v>102</v>
      </c>
      <c r="AY78" s="163"/>
      <c r="AZ78" s="83">
        <f t="shared" si="276"/>
        <v>91</v>
      </c>
      <c r="BA78" s="163"/>
      <c r="BB78" s="78">
        <v>102</v>
      </c>
      <c r="BC78" s="83"/>
      <c r="BD78" s="79">
        <v>88</v>
      </c>
      <c r="BE78" s="81"/>
      <c r="BF78" s="86">
        <v>0</v>
      </c>
      <c r="BG78" s="93"/>
      <c r="BH78" s="93">
        <v>3</v>
      </c>
      <c r="BI78" s="163"/>
      <c r="BJ78" s="76">
        <f t="shared" si="103"/>
        <v>14.366197183098592</v>
      </c>
      <c r="BK78" s="94"/>
      <c r="BL78" s="87">
        <v>6.6</v>
      </c>
      <c r="BM78" s="79"/>
      <c r="BN78" s="75">
        <f>(BL78/2209)*100</f>
        <v>0.29877772747849707</v>
      </c>
      <c r="BO78" s="84"/>
      <c r="BP78" s="82">
        <f t="shared" si="260"/>
        <v>168</v>
      </c>
      <c r="BQ78" s="86">
        <f t="shared" si="260"/>
        <v>0</v>
      </c>
      <c r="BR78" s="161">
        <f t="shared" si="278"/>
        <v>96</v>
      </c>
      <c r="BS78" s="83"/>
      <c r="BT78" s="83">
        <f t="shared" si="279"/>
        <v>72</v>
      </c>
      <c r="BU78" s="85"/>
      <c r="BV78" s="80">
        <v>96</v>
      </c>
      <c r="BW78" s="333"/>
      <c r="BX78" s="79">
        <v>70</v>
      </c>
      <c r="BY78" s="84"/>
      <c r="BZ78" s="80">
        <v>0</v>
      </c>
      <c r="CA78" s="79"/>
      <c r="CB78" s="79">
        <v>2</v>
      </c>
      <c r="CC78" s="96"/>
      <c r="CD78" s="82">
        <f t="shared" si="249"/>
        <v>14.545454545454547</v>
      </c>
      <c r="CE78" s="89"/>
      <c r="CF78" s="97">
        <f t="shared" si="261"/>
        <v>27.9</v>
      </c>
      <c r="CG78" s="80"/>
      <c r="CH78" s="75">
        <f t="shared" si="280"/>
        <v>0.3184931506849315</v>
      </c>
      <c r="CI78" s="103"/>
      <c r="CJ78" s="104">
        <f>CL78+CN78</f>
        <v>718</v>
      </c>
      <c r="CK78" s="77"/>
      <c r="CL78" s="82">
        <f t="shared" si="262"/>
        <v>404</v>
      </c>
      <c r="CM78" s="94"/>
      <c r="CN78" s="99">
        <f t="shared" si="263"/>
        <v>314</v>
      </c>
      <c r="CO78" s="85"/>
      <c r="CP78" s="80">
        <f t="shared" si="264"/>
        <v>404</v>
      </c>
      <c r="CQ78" s="79"/>
      <c r="CR78" s="79">
        <f t="shared" si="265"/>
        <v>303</v>
      </c>
      <c r="CS78" s="93"/>
      <c r="CT78" s="82">
        <f t="shared" si="266"/>
        <v>0</v>
      </c>
      <c r="CU78" s="79"/>
      <c r="CV78" s="79">
        <f t="shared" si="267"/>
        <v>11</v>
      </c>
      <c r="CW78" s="93"/>
      <c r="CX78" s="82">
        <f t="shared" si="268"/>
        <v>14.480286738351255</v>
      </c>
      <c r="CY78" s="147"/>
    </row>
    <row r="79" spans="1:103" ht="15.75" customHeight="1" x14ac:dyDescent="0.25">
      <c r="A79" s="553"/>
      <c r="B79" s="145"/>
      <c r="C79" s="72" t="s">
        <v>33</v>
      </c>
      <c r="D79" s="73">
        <v>3.8</v>
      </c>
      <c r="E79" s="74"/>
      <c r="F79" s="75">
        <f t="shared" si="269"/>
        <v>0.17600741083835109</v>
      </c>
      <c r="G79" s="75"/>
      <c r="H79" s="78">
        <f t="shared" si="256"/>
        <v>106</v>
      </c>
      <c r="I79" s="84">
        <f t="shared" si="256"/>
        <v>0</v>
      </c>
      <c r="J79" s="161">
        <f t="shared" si="270"/>
        <v>69</v>
      </c>
      <c r="K79" s="83"/>
      <c r="L79" s="158">
        <f t="shared" si="271"/>
        <v>37</v>
      </c>
      <c r="M79" s="170"/>
      <c r="N79" s="82">
        <v>69</v>
      </c>
      <c r="O79" s="334"/>
      <c r="P79" s="79">
        <v>35</v>
      </c>
      <c r="Q79" s="84"/>
      <c r="R79" s="80">
        <v>0</v>
      </c>
      <c r="S79" s="79"/>
      <c r="T79" s="79">
        <v>2</v>
      </c>
      <c r="U79" s="103"/>
      <c r="V79" s="80">
        <f>J79/D79</f>
        <v>18.157894736842106</v>
      </c>
      <c r="W79" s="86"/>
      <c r="X79" s="87">
        <v>3.8</v>
      </c>
      <c r="Y79" s="88"/>
      <c r="Z79" s="75">
        <f t="shared" si="258"/>
        <v>0.17399267399267399</v>
      </c>
      <c r="AA79" s="75"/>
      <c r="AB79" s="78">
        <f t="shared" si="259"/>
        <v>131</v>
      </c>
      <c r="AC79" s="84">
        <f t="shared" si="259"/>
        <v>0</v>
      </c>
      <c r="AD79" s="161">
        <f t="shared" si="272"/>
        <v>68</v>
      </c>
      <c r="AE79" s="83"/>
      <c r="AF79" s="158">
        <f t="shared" si="273"/>
        <v>63</v>
      </c>
      <c r="AG79" s="170"/>
      <c r="AH79" s="80">
        <v>68</v>
      </c>
      <c r="AI79" s="334"/>
      <c r="AJ79" s="79">
        <v>61</v>
      </c>
      <c r="AK79" s="84"/>
      <c r="AL79" s="80">
        <v>0</v>
      </c>
      <c r="AM79" s="79"/>
      <c r="AN79" s="79">
        <v>2</v>
      </c>
      <c r="AO79" s="103"/>
      <c r="AP79" s="80">
        <f t="shared" si="274"/>
        <v>17.894736842105264</v>
      </c>
      <c r="AQ79" s="89"/>
      <c r="AR79" s="90">
        <v>3.9</v>
      </c>
      <c r="AS79" s="74"/>
      <c r="AT79" s="74">
        <f>(AR79/2208)*100</f>
        <v>0.1766304347826087</v>
      </c>
      <c r="AU79" s="91"/>
      <c r="AV79" s="80">
        <f>AX79+AZ79</f>
        <v>130</v>
      </c>
      <c r="AW79" s="86">
        <f t="shared" si="214"/>
        <v>0</v>
      </c>
      <c r="AX79" s="161">
        <f t="shared" si="275"/>
        <v>69</v>
      </c>
      <c r="AY79" s="163"/>
      <c r="AZ79" s="83">
        <f t="shared" si="276"/>
        <v>61</v>
      </c>
      <c r="BA79" s="163"/>
      <c r="BB79" s="78">
        <v>69</v>
      </c>
      <c r="BC79" s="102"/>
      <c r="BD79" s="79">
        <v>59</v>
      </c>
      <c r="BE79" s="81"/>
      <c r="BF79" s="86">
        <v>0</v>
      </c>
      <c r="BG79" s="93"/>
      <c r="BH79" s="93">
        <v>2</v>
      </c>
      <c r="BI79" s="335"/>
      <c r="BJ79" s="76">
        <f>AX79/AR79</f>
        <v>17.692307692307693</v>
      </c>
      <c r="BK79" s="94"/>
      <c r="BL79" s="87">
        <v>3.9</v>
      </c>
      <c r="BM79" s="79"/>
      <c r="BN79" s="75">
        <f t="shared" ref="BN79:BN80" si="281">(BL79/2209)*100</f>
        <v>0.17655047532820281</v>
      </c>
      <c r="BO79" s="84"/>
      <c r="BP79" s="82">
        <f t="shared" si="260"/>
        <v>121</v>
      </c>
      <c r="BQ79" s="86">
        <f t="shared" si="260"/>
        <v>0</v>
      </c>
      <c r="BR79" s="161">
        <f t="shared" si="278"/>
        <v>69</v>
      </c>
      <c r="BS79" s="83"/>
      <c r="BT79" s="83">
        <f t="shared" si="279"/>
        <v>52</v>
      </c>
      <c r="BU79" s="85"/>
      <c r="BV79" s="80">
        <v>69</v>
      </c>
      <c r="BW79" s="336"/>
      <c r="BX79" s="79">
        <v>50</v>
      </c>
      <c r="BY79" s="84"/>
      <c r="BZ79" s="80">
        <v>0</v>
      </c>
      <c r="CA79" s="79"/>
      <c r="CB79" s="79">
        <v>2</v>
      </c>
      <c r="CC79" s="106"/>
      <c r="CD79" s="82">
        <f>BR79/BL79</f>
        <v>17.692307692307693</v>
      </c>
      <c r="CE79" s="89"/>
      <c r="CF79" s="97">
        <f t="shared" si="261"/>
        <v>15.4</v>
      </c>
      <c r="CG79" s="80"/>
      <c r="CH79" s="75">
        <f t="shared" si="280"/>
        <v>0.17579908675799089</v>
      </c>
      <c r="CI79" s="103"/>
      <c r="CJ79" s="104">
        <f>CL79+CN79</f>
        <v>488</v>
      </c>
      <c r="CK79" s="77"/>
      <c r="CL79" s="82">
        <f t="shared" si="262"/>
        <v>275</v>
      </c>
      <c r="CM79" s="94"/>
      <c r="CN79" s="99">
        <f t="shared" si="263"/>
        <v>213</v>
      </c>
      <c r="CO79" s="85"/>
      <c r="CP79" s="80">
        <f t="shared" si="264"/>
        <v>275</v>
      </c>
      <c r="CQ79" s="79"/>
      <c r="CR79" s="79">
        <f t="shared" si="265"/>
        <v>205</v>
      </c>
      <c r="CS79" s="93"/>
      <c r="CT79" s="82">
        <f t="shared" si="266"/>
        <v>0</v>
      </c>
      <c r="CU79" s="79"/>
      <c r="CV79" s="79">
        <f t="shared" si="267"/>
        <v>8</v>
      </c>
      <c r="CW79" s="93"/>
      <c r="CX79" s="82">
        <f t="shared" si="268"/>
        <v>17.857142857142858</v>
      </c>
      <c r="CY79" s="147"/>
    </row>
    <row r="80" spans="1:103" s="369" customFormat="1" ht="15.75" customHeight="1" x14ac:dyDescent="0.25">
      <c r="A80" s="556"/>
      <c r="B80" s="338"/>
      <c r="C80" s="339" t="s">
        <v>34</v>
      </c>
      <c r="D80" s="340">
        <v>2.7</v>
      </c>
      <c r="E80" s="341"/>
      <c r="F80" s="342">
        <f t="shared" si="269"/>
        <v>0.12505789717461788</v>
      </c>
      <c r="G80" s="342"/>
      <c r="H80" s="343">
        <f>J80+L80</f>
        <v>0</v>
      </c>
      <c r="I80" s="344">
        <f t="shared" si="256"/>
        <v>0</v>
      </c>
      <c r="J80" s="345">
        <f t="shared" si="270"/>
        <v>0</v>
      </c>
      <c r="K80" s="346"/>
      <c r="L80" s="347">
        <f t="shared" si="271"/>
        <v>0</v>
      </c>
      <c r="M80" s="348"/>
      <c r="N80" s="349">
        <v>0</v>
      </c>
      <c r="O80" s="350"/>
      <c r="P80" s="351">
        <v>0</v>
      </c>
      <c r="Q80" s="344"/>
      <c r="R80" s="352">
        <v>0</v>
      </c>
      <c r="S80" s="351"/>
      <c r="T80" s="351">
        <v>0</v>
      </c>
      <c r="U80" s="353"/>
      <c r="V80" s="352">
        <f>J80/D80</f>
        <v>0</v>
      </c>
      <c r="W80" s="354"/>
      <c r="X80" s="355">
        <v>2.5</v>
      </c>
      <c r="Y80" s="356"/>
      <c r="Z80" s="342">
        <f t="shared" si="258"/>
        <v>0.11446886446886448</v>
      </c>
      <c r="AA80" s="342"/>
      <c r="AB80" s="343">
        <f t="shared" si="259"/>
        <v>0</v>
      </c>
      <c r="AC80" s="344">
        <f t="shared" si="259"/>
        <v>0</v>
      </c>
      <c r="AD80" s="345">
        <f t="shared" si="272"/>
        <v>0</v>
      </c>
      <c r="AE80" s="346"/>
      <c r="AF80" s="347">
        <f t="shared" si="273"/>
        <v>0</v>
      </c>
      <c r="AG80" s="348"/>
      <c r="AH80" s="352">
        <v>0</v>
      </c>
      <c r="AI80" s="350"/>
      <c r="AJ80" s="351">
        <v>0</v>
      </c>
      <c r="AK80" s="344"/>
      <c r="AL80" s="352">
        <v>0</v>
      </c>
      <c r="AM80" s="351"/>
      <c r="AN80" s="351">
        <v>0</v>
      </c>
      <c r="AO80" s="353"/>
      <c r="AP80" s="352">
        <f t="shared" si="274"/>
        <v>0</v>
      </c>
      <c r="AQ80" s="357"/>
      <c r="AR80" s="358">
        <v>2.8</v>
      </c>
      <c r="AS80" s="341"/>
      <c r="AT80" s="341">
        <f>(AR80/2208)*100</f>
        <v>0.12681159420289853</v>
      </c>
      <c r="AU80" s="359"/>
      <c r="AV80" s="352">
        <f>AX80+AZ80</f>
        <v>0</v>
      </c>
      <c r="AW80" s="354">
        <f t="shared" si="214"/>
        <v>0</v>
      </c>
      <c r="AX80" s="345">
        <f t="shared" si="275"/>
        <v>0</v>
      </c>
      <c r="AY80" s="360"/>
      <c r="AZ80" s="346">
        <f t="shared" si="276"/>
        <v>0</v>
      </c>
      <c r="BA80" s="360"/>
      <c r="BB80" s="343">
        <v>0</v>
      </c>
      <c r="BC80" s="350"/>
      <c r="BD80" s="351">
        <v>0</v>
      </c>
      <c r="BE80" s="361"/>
      <c r="BF80" s="354">
        <v>0</v>
      </c>
      <c r="BG80" s="362"/>
      <c r="BH80" s="362">
        <v>0</v>
      </c>
      <c r="BI80" s="363"/>
      <c r="BJ80" s="252">
        <f>AX80/AR80</f>
        <v>0</v>
      </c>
      <c r="BK80" s="246"/>
      <c r="BL80" s="355">
        <v>2.7</v>
      </c>
      <c r="BM80" s="351"/>
      <c r="BN80" s="342">
        <f t="shared" si="281"/>
        <v>0.12222725215029426</v>
      </c>
      <c r="BO80" s="344"/>
      <c r="BP80" s="349">
        <f t="shared" si="260"/>
        <v>0</v>
      </c>
      <c r="BQ80" s="354">
        <f t="shared" si="260"/>
        <v>0</v>
      </c>
      <c r="BR80" s="345">
        <f t="shared" si="278"/>
        <v>0</v>
      </c>
      <c r="BS80" s="346"/>
      <c r="BT80" s="346">
        <f t="shared" si="279"/>
        <v>0</v>
      </c>
      <c r="BU80" s="364"/>
      <c r="BV80" s="352">
        <v>0</v>
      </c>
      <c r="BW80" s="365"/>
      <c r="BX80" s="351">
        <v>0</v>
      </c>
      <c r="BY80" s="344"/>
      <c r="BZ80" s="352">
        <v>0</v>
      </c>
      <c r="CA80" s="351"/>
      <c r="CB80" s="351">
        <v>0</v>
      </c>
      <c r="CC80" s="366"/>
      <c r="CD80" s="349">
        <f>BR80/BL80</f>
        <v>0</v>
      </c>
      <c r="CE80" s="357"/>
      <c r="CF80" s="251">
        <f t="shared" si="261"/>
        <v>10.7</v>
      </c>
      <c r="CG80" s="352"/>
      <c r="CH80" s="342">
        <f>(CF80/8760)*100</f>
        <v>0.12214611872146117</v>
      </c>
      <c r="CI80" s="353"/>
      <c r="CJ80" s="232">
        <f>CL80+CN80</f>
        <v>0</v>
      </c>
      <c r="CK80" s="236"/>
      <c r="CL80" s="349">
        <f t="shared" si="262"/>
        <v>0</v>
      </c>
      <c r="CM80" s="246"/>
      <c r="CN80" s="235">
        <f t="shared" si="263"/>
        <v>0</v>
      </c>
      <c r="CO80" s="364"/>
      <c r="CP80" s="352">
        <f t="shared" si="264"/>
        <v>0</v>
      </c>
      <c r="CQ80" s="351"/>
      <c r="CR80" s="351">
        <f t="shared" si="265"/>
        <v>0</v>
      </c>
      <c r="CS80" s="362"/>
      <c r="CT80" s="349">
        <f t="shared" si="266"/>
        <v>0</v>
      </c>
      <c r="CU80" s="351"/>
      <c r="CV80" s="351">
        <f t="shared" si="267"/>
        <v>0</v>
      </c>
      <c r="CW80" s="362"/>
      <c r="CX80" s="349">
        <f t="shared" si="268"/>
        <v>0</v>
      </c>
      <c r="CY80" s="368"/>
    </row>
    <row r="81" spans="1:103" s="412" customFormat="1" ht="15.75" customHeight="1" thickBot="1" x14ac:dyDescent="0.3">
      <c r="A81" s="389" t="s">
        <v>58</v>
      </c>
      <c r="B81" s="390" t="s">
        <v>59</v>
      </c>
      <c r="C81" s="391"/>
      <c r="D81" s="392" t="s">
        <v>47</v>
      </c>
      <c r="E81" s="393" t="s">
        <v>47</v>
      </c>
      <c r="F81" s="393" t="s">
        <v>47</v>
      </c>
      <c r="G81" s="394" t="s">
        <v>47</v>
      </c>
      <c r="H81" s="395">
        <f>N81+R81</f>
        <v>461239</v>
      </c>
      <c r="I81" s="396">
        <f>O81+S81</f>
        <v>0</v>
      </c>
      <c r="J81" s="397">
        <f>N81+R81</f>
        <v>461239</v>
      </c>
      <c r="K81" s="398"/>
      <c r="L81" s="398">
        <v>0</v>
      </c>
      <c r="M81" s="396"/>
      <c r="N81" s="399">
        <v>461239</v>
      </c>
      <c r="O81" s="400"/>
      <c r="P81" s="400">
        <v>0</v>
      </c>
      <c r="Q81" s="401"/>
      <c r="R81" s="402">
        <v>0</v>
      </c>
      <c r="S81" s="400"/>
      <c r="T81" s="400">
        <v>0</v>
      </c>
      <c r="U81" s="401"/>
      <c r="V81" s="403" t="s">
        <v>47</v>
      </c>
      <c r="W81" s="404" t="s">
        <v>47</v>
      </c>
      <c r="X81" s="392" t="s">
        <v>47</v>
      </c>
      <c r="Y81" s="393" t="s">
        <v>47</v>
      </c>
      <c r="Z81" s="393" t="s">
        <v>47</v>
      </c>
      <c r="AA81" s="394" t="s">
        <v>47</v>
      </c>
      <c r="AB81" s="395">
        <f>AH81+AL81</f>
        <v>447603</v>
      </c>
      <c r="AC81" s="401">
        <f>AI81+AM81</f>
        <v>0</v>
      </c>
      <c r="AD81" s="395">
        <f>AH81+AL81</f>
        <v>447603</v>
      </c>
      <c r="AE81" s="405"/>
      <c r="AF81" s="405">
        <f t="shared" si="273"/>
        <v>0</v>
      </c>
      <c r="AG81" s="405"/>
      <c r="AH81" s="399">
        <v>447603</v>
      </c>
      <c r="AI81" s="400"/>
      <c r="AJ81" s="400">
        <v>0</v>
      </c>
      <c r="AK81" s="396"/>
      <c r="AL81" s="406">
        <v>0</v>
      </c>
      <c r="AM81" s="400"/>
      <c r="AN81" s="400">
        <v>0</v>
      </c>
      <c r="AO81" s="401"/>
      <c r="AP81" s="403" t="s">
        <v>47</v>
      </c>
      <c r="AQ81" s="407" t="s">
        <v>47</v>
      </c>
      <c r="AR81" s="408" t="s">
        <v>47</v>
      </c>
      <c r="AS81" s="393" t="s">
        <v>47</v>
      </c>
      <c r="AT81" s="393" t="s">
        <v>47</v>
      </c>
      <c r="AU81" s="394" t="s">
        <v>47</v>
      </c>
      <c r="AV81" s="395">
        <f>BB81+BF81</f>
        <v>446762</v>
      </c>
      <c r="AW81" s="395">
        <f>BC81+BG81</f>
        <v>0</v>
      </c>
      <c r="AX81" s="402">
        <f>BB81+BF81</f>
        <v>446762</v>
      </c>
      <c r="AY81" s="405"/>
      <c r="AZ81" s="400">
        <f t="shared" si="276"/>
        <v>0</v>
      </c>
      <c r="BA81" s="405"/>
      <c r="BB81" s="399">
        <v>446762</v>
      </c>
      <c r="BC81" s="400"/>
      <c r="BD81" s="400">
        <v>0</v>
      </c>
      <c r="BE81" s="401"/>
      <c r="BF81" s="402">
        <v>0</v>
      </c>
      <c r="BG81" s="400"/>
      <c r="BH81" s="400">
        <v>0</v>
      </c>
      <c r="BI81" s="401"/>
      <c r="BJ81" s="403" t="s">
        <v>47</v>
      </c>
      <c r="BK81" s="404" t="s">
        <v>47</v>
      </c>
      <c r="BL81" s="392" t="s">
        <v>47</v>
      </c>
      <c r="BM81" s="393" t="s">
        <v>47</v>
      </c>
      <c r="BN81" s="393" t="s">
        <v>47</v>
      </c>
      <c r="BO81" s="394" t="s">
        <v>47</v>
      </c>
      <c r="BP81" s="402">
        <f>BV81+BZ81</f>
        <v>462578</v>
      </c>
      <c r="BQ81" s="401">
        <f>BW81+CA81</f>
        <v>0</v>
      </c>
      <c r="BR81" s="397">
        <f>BV81+BZ81</f>
        <v>462578</v>
      </c>
      <c r="BS81" s="398"/>
      <c r="BT81" s="398">
        <v>0</v>
      </c>
      <c r="BU81" s="396"/>
      <c r="BV81" s="399">
        <v>462578</v>
      </c>
      <c r="BW81" s="400"/>
      <c r="BX81" s="400">
        <v>0</v>
      </c>
      <c r="BY81" s="401"/>
      <c r="BZ81" s="397">
        <v>0</v>
      </c>
      <c r="CA81" s="398"/>
      <c r="CB81" s="398">
        <v>0</v>
      </c>
      <c r="CC81" s="396"/>
      <c r="CD81" s="403" t="s">
        <v>47</v>
      </c>
      <c r="CE81" s="407" t="s">
        <v>47</v>
      </c>
      <c r="CF81" s="392" t="s">
        <v>47</v>
      </c>
      <c r="CG81" s="393" t="s">
        <v>47</v>
      </c>
      <c r="CH81" s="393" t="s">
        <v>47</v>
      </c>
      <c r="CI81" s="394" t="s">
        <v>47</v>
      </c>
      <c r="CJ81" s="409">
        <f>H81+AB81+AV81+BP81</f>
        <v>1818182</v>
      </c>
      <c r="CK81" s="401"/>
      <c r="CL81" s="409">
        <f t="shared" si="262"/>
        <v>1818182</v>
      </c>
      <c r="CM81" s="410"/>
      <c r="CN81" s="398">
        <f t="shared" si="263"/>
        <v>0</v>
      </c>
      <c r="CO81" s="396"/>
      <c r="CP81" s="397">
        <f>N81+AH81+BB81+BV81</f>
        <v>1818182</v>
      </c>
      <c r="CQ81" s="400"/>
      <c r="CR81" s="400">
        <f>P81+AJ81+BD81+BX81</f>
        <v>0</v>
      </c>
      <c r="CS81" s="405"/>
      <c r="CT81" s="397">
        <f>R81+AL81+BF81+BZ81</f>
        <v>0</v>
      </c>
      <c r="CU81" s="400"/>
      <c r="CV81" s="400">
        <f>T81+AN81+BH81+CB81</f>
        <v>0</v>
      </c>
      <c r="CW81" s="405"/>
      <c r="CX81" s="411" t="s">
        <v>47</v>
      </c>
      <c r="CY81" s="407" t="s">
        <v>47</v>
      </c>
    </row>
    <row r="82" spans="1:103" s="412" customFormat="1" ht="15.75" customHeight="1" thickBot="1" x14ac:dyDescent="0.3">
      <c r="A82" s="413"/>
      <c r="B82" s="414" t="s">
        <v>60</v>
      </c>
      <c r="C82" s="283"/>
      <c r="D82" s="415">
        <f>D61+D63+D69+D75</f>
        <v>10876.000000000002</v>
      </c>
      <c r="E82" s="416"/>
      <c r="F82" s="416"/>
      <c r="G82" s="417"/>
      <c r="H82" s="418">
        <f>H61+H63+H69+H75+H81</f>
        <v>2320496.5405280222</v>
      </c>
      <c r="I82" s="419">
        <f t="shared" ref="I82:BT82" si="282">I61+I63+I69+I75+I81</f>
        <v>0</v>
      </c>
      <c r="J82" s="418">
        <f t="shared" si="282"/>
        <v>1665649.5405280222</v>
      </c>
      <c r="K82" s="416"/>
      <c r="L82" s="416">
        <f t="shared" si="282"/>
        <v>654847</v>
      </c>
      <c r="M82" s="420"/>
      <c r="N82" s="418">
        <f t="shared" si="282"/>
        <v>1655878.5405280222</v>
      </c>
      <c r="O82" s="416"/>
      <c r="P82" s="416">
        <f t="shared" si="282"/>
        <v>625091</v>
      </c>
      <c r="Q82" s="420"/>
      <c r="R82" s="418">
        <f t="shared" si="282"/>
        <v>9771</v>
      </c>
      <c r="S82" s="416"/>
      <c r="T82" s="416">
        <f t="shared" si="282"/>
        <v>29756</v>
      </c>
      <c r="U82" s="420"/>
      <c r="V82" s="418"/>
      <c r="W82" s="417"/>
      <c r="X82" s="415">
        <f>X61+X63+X69+X75</f>
        <v>11021.9</v>
      </c>
      <c r="Y82" s="416"/>
      <c r="Z82" s="416"/>
      <c r="AA82" s="420"/>
      <c r="AB82" s="418">
        <f t="shared" si="282"/>
        <v>2635347.2637362638</v>
      </c>
      <c r="AC82" s="420">
        <f t="shared" si="282"/>
        <v>0</v>
      </c>
      <c r="AD82" s="418">
        <f t="shared" si="282"/>
        <v>1591126.2637362638</v>
      </c>
      <c r="AE82" s="416"/>
      <c r="AF82" s="416">
        <f t="shared" si="282"/>
        <v>1044221</v>
      </c>
      <c r="AG82" s="420"/>
      <c r="AH82" s="418">
        <f t="shared" si="282"/>
        <v>1581032.2637362638</v>
      </c>
      <c r="AI82" s="416"/>
      <c r="AJ82" s="416">
        <f t="shared" si="282"/>
        <v>1015099</v>
      </c>
      <c r="AK82" s="420"/>
      <c r="AL82" s="418">
        <f t="shared" si="282"/>
        <v>10094</v>
      </c>
      <c r="AM82" s="416"/>
      <c r="AN82" s="416">
        <f t="shared" si="282"/>
        <v>29122</v>
      </c>
      <c r="AO82" s="420"/>
      <c r="AP82" s="418"/>
      <c r="AQ82" s="421"/>
      <c r="AR82" s="422">
        <f>AR61+AR63+AR69+AR75</f>
        <v>11082.8</v>
      </c>
      <c r="AS82" s="416"/>
      <c r="AT82" s="416"/>
      <c r="AU82" s="420"/>
      <c r="AV82" s="418">
        <f t="shared" si="282"/>
        <v>2500783.6847826084</v>
      </c>
      <c r="AW82" s="420">
        <f t="shared" si="282"/>
        <v>0</v>
      </c>
      <c r="AX82" s="418">
        <f t="shared" si="282"/>
        <v>1535900.6847826086</v>
      </c>
      <c r="AY82" s="416"/>
      <c r="AZ82" s="416">
        <f t="shared" si="282"/>
        <v>964883</v>
      </c>
      <c r="BA82" s="420"/>
      <c r="BB82" s="418">
        <f t="shared" si="282"/>
        <v>1530702.6847826086</v>
      </c>
      <c r="BC82" s="416"/>
      <c r="BD82" s="416">
        <f t="shared" si="282"/>
        <v>940419</v>
      </c>
      <c r="BE82" s="420"/>
      <c r="BF82" s="418">
        <f t="shared" si="282"/>
        <v>5198</v>
      </c>
      <c r="BG82" s="416"/>
      <c r="BH82" s="416">
        <f t="shared" si="282"/>
        <v>24464</v>
      </c>
      <c r="BI82" s="420"/>
      <c r="BJ82" s="418"/>
      <c r="BK82" s="417"/>
      <c r="BL82" s="415">
        <f>BL61+BL63+BL69+BL75</f>
        <v>11136.900000000001</v>
      </c>
      <c r="BM82" s="416"/>
      <c r="BN82" s="416"/>
      <c r="BO82" s="420"/>
      <c r="BP82" s="418">
        <f t="shared" si="282"/>
        <v>2432424.7818017201</v>
      </c>
      <c r="BQ82" s="420">
        <f t="shared" si="282"/>
        <v>0</v>
      </c>
      <c r="BR82" s="418">
        <f t="shared" si="282"/>
        <v>1586293.7818017201</v>
      </c>
      <c r="BS82" s="416"/>
      <c r="BT82" s="416">
        <f t="shared" si="282"/>
        <v>846131</v>
      </c>
      <c r="BU82" s="420"/>
      <c r="BV82" s="418">
        <f t="shared" ref="BV82:CV82" si="283">BV61+BV63+BV69+BV75+BV81</f>
        <v>1584016.7818017201</v>
      </c>
      <c r="BW82" s="416"/>
      <c r="BX82" s="416">
        <f t="shared" si="283"/>
        <v>821038</v>
      </c>
      <c r="BY82" s="420"/>
      <c r="BZ82" s="418">
        <f t="shared" si="283"/>
        <v>2277</v>
      </c>
      <c r="CA82" s="416"/>
      <c r="CB82" s="416">
        <f t="shared" si="283"/>
        <v>25093</v>
      </c>
      <c r="CC82" s="420"/>
      <c r="CD82" s="418"/>
      <c r="CE82" s="421"/>
      <c r="CF82" s="415">
        <f>CF61+CF63+CF69+CF75</f>
        <v>44117.600000000006</v>
      </c>
      <c r="CG82" s="416"/>
      <c r="CH82" s="416"/>
      <c r="CI82" s="420"/>
      <c r="CJ82" s="418">
        <f>CJ61+CJ63+CJ69+CJ75+CJ81</f>
        <v>9889052.2708486151</v>
      </c>
      <c r="CK82" s="420"/>
      <c r="CL82" s="418">
        <f t="shared" si="283"/>
        <v>6378970.2708486151</v>
      </c>
      <c r="CM82" s="417"/>
      <c r="CN82" s="416">
        <f t="shared" si="283"/>
        <v>3510082</v>
      </c>
      <c r="CO82" s="420"/>
      <c r="CP82" s="418">
        <f t="shared" si="283"/>
        <v>6351630.2708486151</v>
      </c>
      <c r="CQ82" s="416"/>
      <c r="CR82" s="416">
        <f t="shared" si="283"/>
        <v>3401647</v>
      </c>
      <c r="CS82" s="420"/>
      <c r="CT82" s="418">
        <f t="shared" si="283"/>
        <v>27340</v>
      </c>
      <c r="CU82" s="416"/>
      <c r="CV82" s="416">
        <f t="shared" si="283"/>
        <v>108435</v>
      </c>
      <c r="CW82" s="417"/>
      <c r="CX82" s="418"/>
      <c r="CY82" s="421"/>
    </row>
    <row r="83" spans="1:103" s="412" customFormat="1" ht="15.75" customHeight="1" x14ac:dyDescent="0.25">
      <c r="A83" s="423" t="s">
        <v>61</v>
      </c>
      <c r="B83" s="424" t="s">
        <v>62</v>
      </c>
      <c r="C83" s="425"/>
      <c r="D83" s="426" t="s">
        <v>47</v>
      </c>
      <c r="E83" s="427" t="s">
        <v>47</v>
      </c>
      <c r="F83" s="428" t="s">
        <v>47</v>
      </c>
      <c r="G83" s="429" t="s">
        <v>47</v>
      </c>
      <c r="H83" s="252">
        <f>J83+L83</f>
        <v>286864.5</v>
      </c>
      <c r="I83" s="430">
        <f>K83+M83</f>
        <v>0</v>
      </c>
      <c r="J83" s="215">
        <v>185823.5</v>
      </c>
      <c r="K83" s="216"/>
      <c r="L83" s="216">
        <v>101041</v>
      </c>
      <c r="M83" s="431"/>
      <c r="N83" s="215">
        <v>185823.5</v>
      </c>
      <c r="O83" s="231"/>
      <c r="P83" s="231">
        <v>96450</v>
      </c>
      <c r="Q83" s="232"/>
      <c r="R83" s="215">
        <v>0</v>
      </c>
      <c r="S83" s="231"/>
      <c r="T83" s="231">
        <v>4591</v>
      </c>
      <c r="U83" s="231"/>
      <c r="V83" s="432" t="s">
        <v>47</v>
      </c>
      <c r="W83" s="433" t="s">
        <v>47</v>
      </c>
      <c r="X83" s="426" t="s">
        <v>47</v>
      </c>
      <c r="Y83" s="427" t="s">
        <v>47</v>
      </c>
      <c r="Z83" s="428" t="s">
        <v>47</v>
      </c>
      <c r="AA83" s="429" t="s">
        <v>47</v>
      </c>
      <c r="AB83" s="250">
        <v>40397.5</v>
      </c>
      <c r="AC83" s="236">
        <v>0</v>
      </c>
      <c r="AD83" s="250">
        <v>21114.5</v>
      </c>
      <c r="AE83" s="235"/>
      <c r="AF83" s="235">
        <v>19283</v>
      </c>
      <c r="AG83" s="236"/>
      <c r="AH83" s="231">
        <v>21114.5</v>
      </c>
      <c r="AI83" s="231"/>
      <c r="AJ83" s="231">
        <v>18745</v>
      </c>
      <c r="AK83" s="236"/>
      <c r="AL83" s="231">
        <v>0</v>
      </c>
      <c r="AM83" s="231"/>
      <c r="AN83" s="231">
        <v>538</v>
      </c>
      <c r="AO83" s="232"/>
      <c r="AP83" s="432" t="s">
        <v>47</v>
      </c>
      <c r="AQ83" s="434" t="s">
        <v>47</v>
      </c>
      <c r="AR83" s="435" t="s">
        <v>47</v>
      </c>
      <c r="AS83" s="427" t="s">
        <v>47</v>
      </c>
      <c r="AT83" s="428" t="s">
        <v>47</v>
      </c>
      <c r="AU83" s="429" t="s">
        <v>47</v>
      </c>
      <c r="AV83" s="250">
        <v>132928.5</v>
      </c>
      <c r="AW83" s="236">
        <v>0</v>
      </c>
      <c r="AX83" s="250">
        <v>70483.5</v>
      </c>
      <c r="AY83" s="235"/>
      <c r="AZ83" s="235">
        <v>62445</v>
      </c>
      <c r="BA83" s="236"/>
      <c r="BB83" s="252">
        <v>70483.5</v>
      </c>
      <c r="BC83" s="351"/>
      <c r="BD83" s="351">
        <v>60862</v>
      </c>
      <c r="BE83" s="236"/>
      <c r="BF83" s="231">
        <v>0</v>
      </c>
      <c r="BG83" s="231"/>
      <c r="BH83" s="235">
        <v>1583</v>
      </c>
      <c r="BI83" s="236"/>
      <c r="BJ83" s="432" t="s">
        <v>47</v>
      </c>
      <c r="BK83" s="433" t="s">
        <v>47</v>
      </c>
      <c r="BL83" s="426" t="s">
        <v>47</v>
      </c>
      <c r="BM83" s="427" t="s">
        <v>47</v>
      </c>
      <c r="BN83" s="428" t="s">
        <v>47</v>
      </c>
      <c r="BO83" s="429" t="s">
        <v>47</v>
      </c>
      <c r="BP83" s="250">
        <v>228271.5</v>
      </c>
      <c r="BQ83" s="236">
        <v>0</v>
      </c>
      <c r="BR83" s="250">
        <v>130214.5</v>
      </c>
      <c r="BS83" s="235"/>
      <c r="BT83" s="235">
        <v>98057</v>
      </c>
      <c r="BU83" s="236"/>
      <c r="BV83" s="231">
        <v>130214.5</v>
      </c>
      <c r="BW83" s="235"/>
      <c r="BX83" s="235">
        <v>95149</v>
      </c>
      <c r="BY83" s="236"/>
      <c r="BZ83" s="231">
        <v>0</v>
      </c>
      <c r="CA83" s="235"/>
      <c r="CB83" s="235">
        <v>2908</v>
      </c>
      <c r="CC83" s="236"/>
      <c r="CD83" s="432" t="s">
        <v>47</v>
      </c>
      <c r="CE83" s="434" t="s">
        <v>47</v>
      </c>
      <c r="CF83" s="426" t="s">
        <v>47</v>
      </c>
      <c r="CG83" s="427" t="s">
        <v>47</v>
      </c>
      <c r="CH83" s="428" t="s">
        <v>47</v>
      </c>
      <c r="CI83" s="429" t="s">
        <v>47</v>
      </c>
      <c r="CJ83" s="215">
        <v>688462</v>
      </c>
      <c r="CK83" s="430"/>
      <c r="CL83" s="215">
        <v>407636</v>
      </c>
      <c r="CM83" s="232"/>
      <c r="CN83" s="235">
        <v>280826</v>
      </c>
      <c r="CO83" s="236"/>
      <c r="CP83" s="250">
        <v>407636</v>
      </c>
      <c r="CQ83" s="216"/>
      <c r="CR83" s="231">
        <v>271206</v>
      </c>
      <c r="CS83" s="232"/>
      <c r="CT83" s="215">
        <v>0</v>
      </c>
      <c r="CU83" s="231"/>
      <c r="CV83" s="231">
        <v>9620</v>
      </c>
      <c r="CW83" s="232"/>
      <c r="CX83" s="432" t="s">
        <v>47</v>
      </c>
      <c r="CY83" s="434" t="s">
        <v>47</v>
      </c>
    </row>
    <row r="84" spans="1:103" s="1" customFormat="1" ht="28.5" customHeight="1" x14ac:dyDescent="0.25">
      <c r="A84" s="555" t="s">
        <v>63</v>
      </c>
      <c r="B84" s="437" t="s">
        <v>64</v>
      </c>
      <c r="C84" s="438"/>
      <c r="D84" s="439" t="s">
        <v>47</v>
      </c>
      <c r="E84" s="403" t="s">
        <v>47</v>
      </c>
      <c r="F84" s="403" t="s">
        <v>47</v>
      </c>
      <c r="G84" s="440" t="s">
        <v>47</v>
      </c>
      <c r="H84" s="109">
        <f>J84+L84</f>
        <v>321812.5</v>
      </c>
      <c r="I84" s="77">
        <f>K84+M84</f>
        <v>0</v>
      </c>
      <c r="J84" s="109">
        <v>208462.5</v>
      </c>
      <c r="K84" s="99"/>
      <c r="L84" s="99">
        <v>113350</v>
      </c>
      <c r="M84" s="99"/>
      <c r="N84" s="441">
        <v>208462.5</v>
      </c>
      <c r="O84" s="442"/>
      <c r="P84" s="442">
        <v>108200</v>
      </c>
      <c r="Q84" s="443"/>
      <c r="R84" s="441">
        <v>0</v>
      </c>
      <c r="S84" s="442"/>
      <c r="T84" s="442">
        <v>5150</v>
      </c>
      <c r="U84" s="443"/>
      <c r="V84" s="444" t="s">
        <v>47</v>
      </c>
      <c r="W84" s="404" t="s">
        <v>47</v>
      </c>
      <c r="X84" s="439" t="s">
        <v>47</v>
      </c>
      <c r="Y84" s="403" t="s">
        <v>47</v>
      </c>
      <c r="Z84" s="403" t="s">
        <v>47</v>
      </c>
      <c r="AA84" s="440" t="s">
        <v>47</v>
      </c>
      <c r="AB84" s="109">
        <v>391872.5</v>
      </c>
      <c r="AC84" s="77">
        <v>0</v>
      </c>
      <c r="AD84" s="109">
        <v>204820.5</v>
      </c>
      <c r="AE84" s="99"/>
      <c r="AF84" s="99">
        <v>187052</v>
      </c>
      <c r="AG84" s="77"/>
      <c r="AH84" s="441">
        <v>204820.5</v>
      </c>
      <c r="AI84" s="442"/>
      <c r="AJ84" s="442">
        <v>181835</v>
      </c>
      <c r="AK84" s="445"/>
      <c r="AL84" s="446">
        <v>0</v>
      </c>
      <c r="AM84" s="442"/>
      <c r="AN84" s="442">
        <v>5217</v>
      </c>
      <c r="AO84" s="443"/>
      <c r="AP84" s="447" t="s">
        <v>47</v>
      </c>
      <c r="AQ84" s="407" t="s">
        <v>47</v>
      </c>
      <c r="AR84" s="448" t="s">
        <v>47</v>
      </c>
      <c r="AS84" s="403" t="s">
        <v>47</v>
      </c>
      <c r="AT84" s="403" t="s">
        <v>47</v>
      </c>
      <c r="AU84" s="440" t="s">
        <v>47</v>
      </c>
      <c r="AV84" s="109">
        <v>396182.5</v>
      </c>
      <c r="AW84" s="77">
        <v>0</v>
      </c>
      <c r="AX84" s="109">
        <v>210070.5</v>
      </c>
      <c r="AY84" s="99"/>
      <c r="AZ84" s="99">
        <v>186112</v>
      </c>
      <c r="BA84" s="77"/>
      <c r="BB84" s="109">
        <v>210070.5</v>
      </c>
      <c r="BC84" s="99"/>
      <c r="BD84" s="99">
        <v>181393</v>
      </c>
      <c r="BE84" s="77"/>
      <c r="BF84" s="109">
        <v>0</v>
      </c>
      <c r="BG84" s="99"/>
      <c r="BH84" s="99">
        <v>4719</v>
      </c>
      <c r="BI84" s="77"/>
      <c r="BJ84" s="403" t="s">
        <v>47</v>
      </c>
      <c r="BK84" s="404" t="s">
        <v>47</v>
      </c>
      <c r="BL84" s="439" t="s">
        <v>47</v>
      </c>
      <c r="BM84" s="403" t="s">
        <v>47</v>
      </c>
      <c r="BN84" s="403" t="s">
        <v>47</v>
      </c>
      <c r="BO84" s="440" t="s">
        <v>47</v>
      </c>
      <c r="BP84" s="109">
        <v>368262.5</v>
      </c>
      <c r="BQ84" s="77">
        <v>0</v>
      </c>
      <c r="BR84" s="109">
        <v>210070.5</v>
      </c>
      <c r="BS84" s="99"/>
      <c r="BT84" s="99">
        <v>158192</v>
      </c>
      <c r="BU84" s="77"/>
      <c r="BV84" s="109">
        <v>210070.5</v>
      </c>
      <c r="BW84" s="99"/>
      <c r="BX84" s="99">
        <v>153500</v>
      </c>
      <c r="BY84" s="77"/>
      <c r="BZ84" s="109">
        <v>0</v>
      </c>
      <c r="CA84" s="99"/>
      <c r="CB84" s="99">
        <v>4692</v>
      </c>
      <c r="CC84" s="77"/>
      <c r="CD84" s="403" t="s">
        <v>47</v>
      </c>
      <c r="CE84" s="407" t="s">
        <v>47</v>
      </c>
      <c r="CF84" s="439" t="s">
        <v>47</v>
      </c>
      <c r="CG84" s="403" t="s">
        <v>47</v>
      </c>
      <c r="CH84" s="403" t="s">
        <v>47</v>
      </c>
      <c r="CI84" s="440" t="s">
        <v>47</v>
      </c>
      <c r="CJ84" s="109">
        <v>1478130</v>
      </c>
      <c r="CK84" s="77"/>
      <c r="CL84" s="109">
        <v>833424</v>
      </c>
      <c r="CM84" s="449"/>
      <c r="CN84" s="442">
        <v>644706</v>
      </c>
      <c r="CO84" s="445"/>
      <c r="CP84" s="109">
        <v>833424</v>
      </c>
      <c r="CQ84" s="99"/>
      <c r="CR84" s="92">
        <v>624928</v>
      </c>
      <c r="CS84" s="104"/>
      <c r="CT84" s="109">
        <v>0</v>
      </c>
      <c r="CU84" s="92"/>
      <c r="CV84" s="92">
        <v>19778</v>
      </c>
      <c r="CW84" s="443"/>
      <c r="CX84" s="447" t="s">
        <v>47</v>
      </c>
      <c r="CY84" s="407" t="s">
        <v>47</v>
      </c>
    </row>
    <row r="85" spans="1:103" s="1" customFormat="1" ht="15.75" customHeight="1" x14ac:dyDescent="0.25">
      <c r="A85" s="553"/>
      <c r="B85" s="82" t="s">
        <v>65</v>
      </c>
      <c r="C85" s="450"/>
      <c r="D85" s="451" t="s">
        <v>47</v>
      </c>
      <c r="E85" s="452" t="s">
        <v>47</v>
      </c>
      <c r="F85" s="452" t="s">
        <v>47</v>
      </c>
      <c r="G85" s="453" t="s">
        <v>47</v>
      </c>
      <c r="H85" s="82">
        <f t="shared" ref="H85:I86" si="284">J85+L85</f>
        <v>0</v>
      </c>
      <c r="I85" s="84">
        <f t="shared" si="284"/>
        <v>0</v>
      </c>
      <c r="J85" s="82">
        <f t="shared" ref="J85:L86" si="285">N85+R85</f>
        <v>0</v>
      </c>
      <c r="K85" s="79"/>
      <c r="L85" s="79">
        <f t="shared" si="285"/>
        <v>0</v>
      </c>
      <c r="M85" s="84"/>
      <c r="N85" s="454">
        <v>0</v>
      </c>
      <c r="O85" s="102"/>
      <c r="P85" s="102">
        <v>0</v>
      </c>
      <c r="Q85" s="335"/>
      <c r="R85" s="454">
        <v>0</v>
      </c>
      <c r="S85" s="102"/>
      <c r="T85" s="102">
        <v>0</v>
      </c>
      <c r="U85" s="335"/>
      <c r="V85" s="455" t="s">
        <v>47</v>
      </c>
      <c r="W85" s="456" t="s">
        <v>47</v>
      </c>
      <c r="X85" s="451" t="s">
        <v>47</v>
      </c>
      <c r="Y85" s="452" t="s">
        <v>47</v>
      </c>
      <c r="Z85" s="452" t="s">
        <v>47</v>
      </c>
      <c r="AA85" s="453" t="s">
        <v>47</v>
      </c>
      <c r="AB85" s="82">
        <f t="shared" ref="AB85:AC86" si="286">AD85+AF85</f>
        <v>0</v>
      </c>
      <c r="AC85" s="84">
        <f t="shared" si="286"/>
        <v>0</v>
      </c>
      <c r="AD85" s="82">
        <f t="shared" ref="AD85:AD86" si="287">AH85+AL85</f>
        <v>0</v>
      </c>
      <c r="AE85" s="79"/>
      <c r="AF85" s="79">
        <f t="shared" ref="AF85:AF86" si="288">AJ85+AN85</f>
        <v>0</v>
      </c>
      <c r="AG85" s="84"/>
      <c r="AH85" s="454">
        <v>0</v>
      </c>
      <c r="AI85" s="102"/>
      <c r="AJ85" s="102">
        <v>0</v>
      </c>
      <c r="AK85" s="103"/>
      <c r="AL85" s="334">
        <v>0</v>
      </c>
      <c r="AM85" s="102"/>
      <c r="AN85" s="102">
        <v>0</v>
      </c>
      <c r="AO85" s="335"/>
      <c r="AP85" s="455" t="s">
        <v>47</v>
      </c>
      <c r="AQ85" s="457" t="s">
        <v>47</v>
      </c>
      <c r="AR85" s="458" t="s">
        <v>47</v>
      </c>
      <c r="AS85" s="452" t="s">
        <v>47</v>
      </c>
      <c r="AT85" s="452" t="s">
        <v>47</v>
      </c>
      <c r="AU85" s="453" t="s">
        <v>47</v>
      </c>
      <c r="AV85" s="82">
        <f t="shared" ref="AV85:AW86" si="289">AX85+AZ85</f>
        <v>0</v>
      </c>
      <c r="AW85" s="84">
        <f t="shared" si="289"/>
        <v>0</v>
      </c>
      <c r="AX85" s="82">
        <f t="shared" ref="AX85:AX86" si="290">BB85+BF85</f>
        <v>0</v>
      </c>
      <c r="AY85" s="79"/>
      <c r="AZ85" s="79">
        <f t="shared" ref="AZ85:AZ86" si="291">BD85+BH85</f>
        <v>0</v>
      </c>
      <c r="BA85" s="84"/>
      <c r="BB85" s="82">
        <v>0</v>
      </c>
      <c r="BC85" s="102"/>
      <c r="BD85" s="79">
        <v>0</v>
      </c>
      <c r="BE85" s="84"/>
      <c r="BF85" s="82">
        <v>0</v>
      </c>
      <c r="BG85" s="79"/>
      <c r="BH85" s="79">
        <v>0</v>
      </c>
      <c r="BI85" s="103"/>
      <c r="BJ85" s="452" t="s">
        <v>47</v>
      </c>
      <c r="BK85" s="456" t="s">
        <v>47</v>
      </c>
      <c r="BL85" s="451" t="s">
        <v>47</v>
      </c>
      <c r="BM85" s="452" t="s">
        <v>47</v>
      </c>
      <c r="BN85" s="452" t="s">
        <v>47</v>
      </c>
      <c r="BO85" s="453" t="s">
        <v>47</v>
      </c>
      <c r="BP85" s="82">
        <f t="shared" ref="BP85:BQ86" si="292">BR85+BT85</f>
        <v>0</v>
      </c>
      <c r="BQ85" s="84">
        <f>BS85+BU85</f>
        <v>0</v>
      </c>
      <c r="BR85" s="82">
        <f t="shared" ref="BR85:BR86" si="293">BV85+BZ85</f>
        <v>0</v>
      </c>
      <c r="BS85" s="79"/>
      <c r="BT85" s="79">
        <f t="shared" ref="BT85:BT86" si="294">BX85+CB85</f>
        <v>0</v>
      </c>
      <c r="BU85" s="84"/>
      <c r="BV85" s="454">
        <v>0</v>
      </c>
      <c r="BW85" s="105"/>
      <c r="BX85" s="102">
        <v>0</v>
      </c>
      <c r="BY85" s="103"/>
      <c r="BZ85" s="454">
        <v>0</v>
      </c>
      <c r="CA85" s="102"/>
      <c r="CB85" s="102">
        <v>0</v>
      </c>
      <c r="CC85" s="106"/>
      <c r="CD85" s="452" t="s">
        <v>47</v>
      </c>
      <c r="CE85" s="457" t="s">
        <v>47</v>
      </c>
      <c r="CF85" s="451" t="s">
        <v>47</v>
      </c>
      <c r="CG85" s="452" t="s">
        <v>47</v>
      </c>
      <c r="CH85" s="452" t="s">
        <v>47</v>
      </c>
      <c r="CI85" s="453" t="s">
        <v>47</v>
      </c>
      <c r="CJ85" s="82">
        <f t="shared" ref="CJ85:CJ86" si="295">CL85+CN85</f>
        <v>0</v>
      </c>
      <c r="CK85" s="84"/>
      <c r="CL85" s="109">
        <f t="shared" ref="CL85:CL86" si="296">CP85+CT85</f>
        <v>0</v>
      </c>
      <c r="CM85" s="86"/>
      <c r="CN85" s="79">
        <f t="shared" ref="CN85:CN86" si="297">CR85+CV85</f>
        <v>0</v>
      </c>
      <c r="CO85" s="84"/>
      <c r="CP85" s="109">
        <f t="shared" ref="CP85:CP86" si="298">N85+AH85+BB85+BV85</f>
        <v>0</v>
      </c>
      <c r="CQ85" s="79"/>
      <c r="CR85" s="80">
        <f t="shared" ref="CR85:CR86" si="299">P85+AJ85+BD85+BX85</f>
        <v>0</v>
      </c>
      <c r="CS85" s="84"/>
      <c r="CT85" s="454">
        <v>0</v>
      </c>
      <c r="CU85" s="102"/>
      <c r="CV85" s="102">
        <v>0</v>
      </c>
      <c r="CW85" s="335"/>
      <c r="CX85" s="455" t="s">
        <v>47</v>
      </c>
      <c r="CY85" s="457" t="s">
        <v>47</v>
      </c>
    </row>
    <row r="86" spans="1:103" s="1" customFormat="1" ht="15.75" customHeight="1" x14ac:dyDescent="0.25">
      <c r="A86" s="553"/>
      <c r="B86" s="459" t="s">
        <v>66</v>
      </c>
      <c r="C86" s="436"/>
      <c r="D86" s="460" t="s">
        <v>47</v>
      </c>
      <c r="E86" s="461" t="s">
        <v>47</v>
      </c>
      <c r="F86" s="461" t="s">
        <v>47</v>
      </c>
      <c r="G86" s="462" t="s">
        <v>47</v>
      </c>
      <c r="H86" s="349">
        <f t="shared" si="284"/>
        <v>0</v>
      </c>
      <c r="I86" s="344">
        <f t="shared" si="284"/>
        <v>0</v>
      </c>
      <c r="J86" s="349">
        <f t="shared" si="285"/>
        <v>0</v>
      </c>
      <c r="K86" s="351"/>
      <c r="L86" s="351">
        <f t="shared" si="285"/>
        <v>0</v>
      </c>
      <c r="M86" s="344"/>
      <c r="N86" s="349">
        <v>0</v>
      </c>
      <c r="O86" s="351"/>
      <c r="P86" s="351">
        <v>0</v>
      </c>
      <c r="Q86" s="362"/>
      <c r="R86" s="349">
        <v>0</v>
      </c>
      <c r="S86" s="351"/>
      <c r="T86" s="351">
        <v>0</v>
      </c>
      <c r="U86" s="344"/>
      <c r="V86" s="463" t="s">
        <v>47</v>
      </c>
      <c r="W86" s="464" t="s">
        <v>47</v>
      </c>
      <c r="X86" s="460" t="s">
        <v>47</v>
      </c>
      <c r="Y86" s="461" t="s">
        <v>47</v>
      </c>
      <c r="Z86" s="461" t="s">
        <v>47</v>
      </c>
      <c r="AA86" s="462" t="s">
        <v>47</v>
      </c>
      <c r="AB86" s="349">
        <f t="shared" si="286"/>
        <v>0</v>
      </c>
      <c r="AC86" s="344">
        <f t="shared" si="286"/>
        <v>0</v>
      </c>
      <c r="AD86" s="349">
        <f t="shared" si="287"/>
        <v>0</v>
      </c>
      <c r="AE86" s="351"/>
      <c r="AF86" s="351">
        <f t="shared" si="288"/>
        <v>0</v>
      </c>
      <c r="AG86" s="344"/>
      <c r="AH86" s="349">
        <v>0</v>
      </c>
      <c r="AI86" s="351"/>
      <c r="AJ86" s="351">
        <v>0</v>
      </c>
      <c r="AK86" s="344"/>
      <c r="AL86" s="352">
        <v>0</v>
      </c>
      <c r="AM86" s="351"/>
      <c r="AN86" s="351">
        <v>0</v>
      </c>
      <c r="AO86" s="362"/>
      <c r="AP86" s="463" t="s">
        <v>47</v>
      </c>
      <c r="AQ86" s="465" t="s">
        <v>47</v>
      </c>
      <c r="AR86" s="466" t="s">
        <v>47</v>
      </c>
      <c r="AS86" s="461" t="s">
        <v>47</v>
      </c>
      <c r="AT86" s="461" t="s">
        <v>47</v>
      </c>
      <c r="AU86" s="462" t="s">
        <v>47</v>
      </c>
      <c r="AV86" s="349">
        <f t="shared" si="289"/>
        <v>0</v>
      </c>
      <c r="AW86" s="344">
        <f t="shared" si="289"/>
        <v>0</v>
      </c>
      <c r="AX86" s="349">
        <f t="shared" si="290"/>
        <v>0</v>
      </c>
      <c r="AY86" s="351"/>
      <c r="AZ86" s="351">
        <f t="shared" si="291"/>
        <v>0</v>
      </c>
      <c r="BA86" s="344"/>
      <c r="BB86" s="349">
        <v>0</v>
      </c>
      <c r="BC86" s="351"/>
      <c r="BD86" s="351">
        <v>0</v>
      </c>
      <c r="BE86" s="344"/>
      <c r="BF86" s="349">
        <v>0</v>
      </c>
      <c r="BG86" s="351"/>
      <c r="BH86" s="351">
        <v>0</v>
      </c>
      <c r="BI86" s="467"/>
      <c r="BJ86" s="461" t="s">
        <v>47</v>
      </c>
      <c r="BK86" s="464" t="s">
        <v>47</v>
      </c>
      <c r="BL86" s="460" t="s">
        <v>47</v>
      </c>
      <c r="BM86" s="461" t="s">
        <v>47</v>
      </c>
      <c r="BN86" s="461" t="s">
        <v>47</v>
      </c>
      <c r="BO86" s="462" t="s">
        <v>47</v>
      </c>
      <c r="BP86" s="349">
        <f t="shared" si="292"/>
        <v>0</v>
      </c>
      <c r="BQ86" s="344">
        <f t="shared" si="292"/>
        <v>0</v>
      </c>
      <c r="BR86" s="349">
        <f t="shared" si="293"/>
        <v>0</v>
      </c>
      <c r="BS86" s="351"/>
      <c r="BT86" s="351">
        <f t="shared" si="294"/>
        <v>0</v>
      </c>
      <c r="BU86" s="344"/>
      <c r="BV86" s="349">
        <v>0</v>
      </c>
      <c r="BW86" s="351"/>
      <c r="BX86" s="351">
        <v>0</v>
      </c>
      <c r="BY86" s="344"/>
      <c r="BZ86" s="349">
        <v>0</v>
      </c>
      <c r="CA86" s="351"/>
      <c r="CB86" s="351">
        <v>0</v>
      </c>
      <c r="CC86" s="467"/>
      <c r="CD86" s="461" t="s">
        <v>47</v>
      </c>
      <c r="CE86" s="465" t="s">
        <v>47</v>
      </c>
      <c r="CF86" s="460" t="s">
        <v>47</v>
      </c>
      <c r="CG86" s="461" t="s">
        <v>47</v>
      </c>
      <c r="CH86" s="461" t="s">
        <v>47</v>
      </c>
      <c r="CI86" s="462" t="s">
        <v>47</v>
      </c>
      <c r="CJ86" s="349">
        <f t="shared" si="295"/>
        <v>0</v>
      </c>
      <c r="CK86" s="344"/>
      <c r="CL86" s="250">
        <f t="shared" si="296"/>
        <v>0</v>
      </c>
      <c r="CM86" s="354"/>
      <c r="CN86" s="351">
        <f t="shared" si="297"/>
        <v>0</v>
      </c>
      <c r="CO86" s="344"/>
      <c r="CP86" s="109">
        <f t="shared" si="298"/>
        <v>0</v>
      </c>
      <c r="CQ86" s="351"/>
      <c r="CR86" s="352">
        <f t="shared" si="299"/>
        <v>0</v>
      </c>
      <c r="CS86" s="344"/>
      <c r="CT86" s="349">
        <v>0</v>
      </c>
      <c r="CU86" s="351"/>
      <c r="CV86" s="351">
        <v>0</v>
      </c>
      <c r="CW86" s="362"/>
      <c r="CX86" s="463" t="s">
        <v>47</v>
      </c>
      <c r="CY86" s="465" t="s">
        <v>47</v>
      </c>
    </row>
    <row r="87" spans="1:103" s="490" customFormat="1" ht="15.75" customHeight="1" thickBot="1" x14ac:dyDescent="0.3">
      <c r="A87" s="468"/>
      <c r="B87" s="469" t="s">
        <v>67</v>
      </c>
      <c r="C87" s="470"/>
      <c r="D87" s="471"/>
      <c r="E87" s="472"/>
      <c r="F87" s="473"/>
      <c r="G87" s="473"/>
      <c r="H87" s="474">
        <f>SUM(H84:H86)</f>
        <v>321812.5</v>
      </c>
      <c r="I87" s="475">
        <f t="shared" ref="I87:BT87" si="300">SUM(I84:I86)</f>
        <v>0</v>
      </c>
      <c r="J87" s="474">
        <f>SUM(J84:J86)</f>
        <v>208462.5</v>
      </c>
      <c r="K87" s="476"/>
      <c r="L87" s="476">
        <f t="shared" si="300"/>
        <v>113350</v>
      </c>
      <c r="M87" s="475"/>
      <c r="N87" s="477">
        <f t="shared" si="300"/>
        <v>208462.5</v>
      </c>
      <c r="O87" s="478"/>
      <c r="P87" s="478">
        <f t="shared" si="300"/>
        <v>108200</v>
      </c>
      <c r="Q87" s="479"/>
      <c r="R87" s="477">
        <f t="shared" ref="R87:T87" si="301">SUM(R84:R86)</f>
        <v>0</v>
      </c>
      <c r="S87" s="478"/>
      <c r="T87" s="478">
        <f t="shared" si="301"/>
        <v>5150</v>
      </c>
      <c r="U87" s="479"/>
      <c r="V87" s="474"/>
      <c r="W87" s="480"/>
      <c r="X87" s="481"/>
      <c r="Y87" s="476"/>
      <c r="Z87" s="476"/>
      <c r="AA87" s="475"/>
      <c r="AB87" s="474">
        <f t="shared" si="300"/>
        <v>391872.5</v>
      </c>
      <c r="AC87" s="475">
        <f t="shared" si="300"/>
        <v>0</v>
      </c>
      <c r="AD87" s="474">
        <f t="shared" si="300"/>
        <v>204820.5</v>
      </c>
      <c r="AE87" s="476"/>
      <c r="AF87" s="476">
        <f t="shared" si="300"/>
        <v>187052</v>
      </c>
      <c r="AG87" s="475"/>
      <c r="AH87" s="474">
        <f t="shared" si="300"/>
        <v>204820.5</v>
      </c>
      <c r="AI87" s="476"/>
      <c r="AJ87" s="476">
        <f t="shared" si="300"/>
        <v>181835</v>
      </c>
      <c r="AK87" s="475"/>
      <c r="AL87" s="482">
        <f t="shared" si="300"/>
        <v>0</v>
      </c>
      <c r="AM87" s="476"/>
      <c r="AN87" s="476">
        <f t="shared" si="300"/>
        <v>5217</v>
      </c>
      <c r="AO87" s="480"/>
      <c r="AP87" s="474"/>
      <c r="AQ87" s="483"/>
      <c r="AR87" s="484"/>
      <c r="AS87" s="476"/>
      <c r="AT87" s="476"/>
      <c r="AU87" s="475"/>
      <c r="AV87" s="474">
        <f t="shared" si="300"/>
        <v>396182.5</v>
      </c>
      <c r="AW87" s="475">
        <f t="shared" si="300"/>
        <v>0</v>
      </c>
      <c r="AX87" s="474">
        <f t="shared" si="300"/>
        <v>210070.5</v>
      </c>
      <c r="AY87" s="476"/>
      <c r="AZ87" s="476">
        <f t="shared" si="300"/>
        <v>186112</v>
      </c>
      <c r="BA87" s="475"/>
      <c r="BB87" s="474">
        <f t="shared" si="300"/>
        <v>210070.5</v>
      </c>
      <c r="BC87" s="476"/>
      <c r="BD87" s="476">
        <f t="shared" si="300"/>
        <v>181393</v>
      </c>
      <c r="BE87" s="475"/>
      <c r="BF87" s="474">
        <f t="shared" si="300"/>
        <v>0</v>
      </c>
      <c r="BG87" s="476"/>
      <c r="BH87" s="476">
        <f>SUM(BH84:BH86)</f>
        <v>4719</v>
      </c>
      <c r="BI87" s="475"/>
      <c r="BJ87" s="485"/>
      <c r="BK87" s="486"/>
      <c r="BL87" s="487"/>
      <c r="BM87" s="486"/>
      <c r="BN87" s="486"/>
      <c r="BO87" s="488"/>
      <c r="BP87" s="474">
        <f t="shared" si="300"/>
        <v>368262.5</v>
      </c>
      <c r="BQ87" s="475">
        <f t="shared" si="300"/>
        <v>0</v>
      </c>
      <c r="BR87" s="474">
        <f t="shared" si="300"/>
        <v>210070.5</v>
      </c>
      <c r="BS87" s="476"/>
      <c r="BT87" s="476">
        <f t="shared" si="300"/>
        <v>158192</v>
      </c>
      <c r="BU87" s="475"/>
      <c r="BV87" s="474">
        <f t="shared" ref="BV87:CV87" si="302">SUM(BV84:BV86)</f>
        <v>210070.5</v>
      </c>
      <c r="BW87" s="476"/>
      <c r="BX87" s="476">
        <f t="shared" si="302"/>
        <v>153500</v>
      </c>
      <c r="BY87" s="475"/>
      <c r="BZ87" s="474">
        <f t="shared" si="302"/>
        <v>0</v>
      </c>
      <c r="CA87" s="476"/>
      <c r="CB87" s="476">
        <f t="shared" si="302"/>
        <v>4692</v>
      </c>
      <c r="CC87" s="475"/>
      <c r="CD87" s="485"/>
      <c r="CE87" s="489"/>
      <c r="CF87" s="487"/>
      <c r="CG87" s="486"/>
      <c r="CH87" s="486"/>
      <c r="CI87" s="488"/>
      <c r="CJ87" s="485">
        <f>SUM(CJ84:CJ86)</f>
        <v>1478130</v>
      </c>
      <c r="CK87" s="475"/>
      <c r="CL87" s="474">
        <f t="shared" si="302"/>
        <v>833424</v>
      </c>
      <c r="CM87" s="480"/>
      <c r="CN87" s="476">
        <f t="shared" si="302"/>
        <v>644706</v>
      </c>
      <c r="CO87" s="475"/>
      <c r="CP87" s="474">
        <f t="shared" si="302"/>
        <v>833424</v>
      </c>
      <c r="CQ87" s="476"/>
      <c r="CR87" s="476">
        <f t="shared" si="302"/>
        <v>624928</v>
      </c>
      <c r="CS87" s="475"/>
      <c r="CT87" s="474">
        <f t="shared" si="302"/>
        <v>0</v>
      </c>
      <c r="CU87" s="476"/>
      <c r="CV87" s="476">
        <f t="shared" si="302"/>
        <v>19778</v>
      </c>
      <c r="CW87" s="480"/>
      <c r="CX87" s="485"/>
      <c r="CY87" s="489"/>
    </row>
    <row r="88" spans="1:103" s="503" customFormat="1" ht="17.25" customHeight="1" thickTop="1" thickBot="1" x14ac:dyDescent="0.3">
      <c r="A88" s="491"/>
      <c r="B88" s="492" t="s">
        <v>68</v>
      </c>
      <c r="C88" s="283"/>
      <c r="D88" s="493"/>
      <c r="E88" s="494"/>
      <c r="F88" s="283"/>
      <c r="G88" s="282"/>
      <c r="H88" s="495">
        <f>H82+H87+H83</f>
        <v>2929173.5405280222</v>
      </c>
      <c r="I88" s="496">
        <f t="shared" ref="I88:BT88" si="303">I82+I87+I83</f>
        <v>0</v>
      </c>
      <c r="J88" s="495">
        <f t="shared" si="303"/>
        <v>2059935.5405280222</v>
      </c>
      <c r="K88" s="497"/>
      <c r="L88" s="497">
        <f t="shared" si="303"/>
        <v>869238</v>
      </c>
      <c r="M88" s="496"/>
      <c r="N88" s="495">
        <f t="shared" si="303"/>
        <v>2050164.5405280222</v>
      </c>
      <c r="O88" s="497"/>
      <c r="P88" s="497">
        <f t="shared" si="303"/>
        <v>829741</v>
      </c>
      <c r="Q88" s="496"/>
      <c r="R88" s="495">
        <f t="shared" si="303"/>
        <v>9771</v>
      </c>
      <c r="S88" s="497"/>
      <c r="T88" s="497">
        <f t="shared" si="303"/>
        <v>39497</v>
      </c>
      <c r="U88" s="496"/>
      <c r="V88" s="495"/>
      <c r="W88" s="498"/>
      <c r="X88" s="499"/>
      <c r="Y88" s="497"/>
      <c r="Z88" s="497"/>
      <c r="AA88" s="496"/>
      <c r="AB88" s="495">
        <f t="shared" si="303"/>
        <v>3067617.2637362638</v>
      </c>
      <c r="AC88" s="496">
        <f t="shared" si="303"/>
        <v>0</v>
      </c>
      <c r="AD88" s="495">
        <f t="shared" si="303"/>
        <v>1817061.2637362638</v>
      </c>
      <c r="AE88" s="497"/>
      <c r="AF88" s="497">
        <f t="shared" si="303"/>
        <v>1250556</v>
      </c>
      <c r="AG88" s="496"/>
      <c r="AH88" s="495">
        <f t="shared" si="303"/>
        <v>1806967.2637362638</v>
      </c>
      <c r="AI88" s="497"/>
      <c r="AJ88" s="497">
        <f t="shared" si="303"/>
        <v>1215679</v>
      </c>
      <c r="AK88" s="496"/>
      <c r="AL88" s="495">
        <f t="shared" si="303"/>
        <v>10094</v>
      </c>
      <c r="AM88" s="497"/>
      <c r="AN88" s="497">
        <f t="shared" si="303"/>
        <v>34877</v>
      </c>
      <c r="AO88" s="496"/>
      <c r="AP88" s="495"/>
      <c r="AQ88" s="500"/>
      <c r="AR88" s="501"/>
      <c r="AS88" s="497"/>
      <c r="AT88" s="497"/>
      <c r="AU88" s="496"/>
      <c r="AV88" s="495">
        <f t="shared" si="303"/>
        <v>3029894.6847826084</v>
      </c>
      <c r="AW88" s="496">
        <f t="shared" si="303"/>
        <v>0</v>
      </c>
      <c r="AX88" s="495">
        <f t="shared" si="303"/>
        <v>1816454.6847826086</v>
      </c>
      <c r="AY88" s="497"/>
      <c r="AZ88" s="497">
        <f t="shared" si="303"/>
        <v>1213440</v>
      </c>
      <c r="BA88" s="496"/>
      <c r="BB88" s="495">
        <f t="shared" si="303"/>
        <v>1811256.6847826086</v>
      </c>
      <c r="BC88" s="497"/>
      <c r="BD88" s="497">
        <f t="shared" si="303"/>
        <v>1182674</v>
      </c>
      <c r="BE88" s="496"/>
      <c r="BF88" s="495">
        <f t="shared" si="303"/>
        <v>5198</v>
      </c>
      <c r="BG88" s="497"/>
      <c r="BH88" s="497">
        <f t="shared" si="303"/>
        <v>30766</v>
      </c>
      <c r="BI88" s="496"/>
      <c r="BJ88" s="495"/>
      <c r="BK88" s="502"/>
      <c r="BL88" s="499"/>
      <c r="BM88" s="497"/>
      <c r="BN88" s="497"/>
      <c r="BO88" s="496"/>
      <c r="BP88" s="495">
        <f t="shared" si="303"/>
        <v>3028958.7818017201</v>
      </c>
      <c r="BQ88" s="496">
        <f t="shared" si="303"/>
        <v>0</v>
      </c>
      <c r="BR88" s="495">
        <f t="shared" si="303"/>
        <v>1926578.7818017201</v>
      </c>
      <c r="BS88" s="497"/>
      <c r="BT88" s="497">
        <f t="shared" si="303"/>
        <v>1102380</v>
      </c>
      <c r="BU88" s="496"/>
      <c r="BV88" s="495">
        <f t="shared" ref="BV88:CT88" si="304">BV82+BV87+BV83</f>
        <v>1924301.7818017201</v>
      </c>
      <c r="BW88" s="497"/>
      <c r="BX88" s="497">
        <f t="shared" si="304"/>
        <v>1069687</v>
      </c>
      <c r="BY88" s="496"/>
      <c r="BZ88" s="495">
        <f t="shared" si="304"/>
        <v>2277</v>
      </c>
      <c r="CA88" s="497"/>
      <c r="CB88" s="497">
        <f t="shared" si="304"/>
        <v>32693</v>
      </c>
      <c r="CC88" s="496"/>
      <c r="CD88" s="495"/>
      <c r="CE88" s="500"/>
      <c r="CF88" s="499"/>
      <c r="CG88" s="497"/>
      <c r="CH88" s="497"/>
      <c r="CI88" s="496"/>
      <c r="CJ88" s="495">
        <f>CJ82+CJ87+CJ83</f>
        <v>12055644.270848615</v>
      </c>
      <c r="CK88" s="496"/>
      <c r="CL88" s="495">
        <f t="shared" si="304"/>
        <v>7620030.2708486151</v>
      </c>
      <c r="CM88" s="497"/>
      <c r="CN88" s="497">
        <f t="shared" si="304"/>
        <v>4435614</v>
      </c>
      <c r="CO88" s="496"/>
      <c r="CP88" s="495">
        <f t="shared" si="304"/>
        <v>7592690.2708486151</v>
      </c>
      <c r="CQ88" s="497"/>
      <c r="CR88" s="497">
        <f>CR82+CR87+CR83</f>
        <v>4297781</v>
      </c>
      <c r="CS88" s="496"/>
      <c r="CT88" s="495">
        <f t="shared" si="304"/>
        <v>27340</v>
      </c>
      <c r="CU88" s="497"/>
      <c r="CV88" s="497">
        <f>CV82+CV87+CV83</f>
        <v>137833</v>
      </c>
      <c r="CW88" s="502"/>
      <c r="CX88" s="495"/>
      <c r="CY88" s="500"/>
    </row>
    <row r="89" spans="1:103" s="514" customFormat="1" ht="4.5" customHeight="1" thickBot="1" x14ac:dyDescent="0.3">
      <c r="A89" s="504"/>
      <c r="B89" s="505"/>
      <c r="C89" s="506"/>
      <c r="D89" s="507"/>
      <c r="E89" s="508"/>
      <c r="F89" s="506"/>
      <c r="G89" s="506"/>
      <c r="H89" s="509"/>
      <c r="I89" s="509"/>
      <c r="J89" s="509"/>
      <c r="K89" s="509"/>
      <c r="L89" s="509"/>
      <c r="M89" s="509"/>
      <c r="N89" s="509"/>
      <c r="O89" s="509"/>
      <c r="P89" s="509"/>
      <c r="Q89" s="509"/>
      <c r="R89" s="509"/>
      <c r="S89" s="509"/>
      <c r="T89" s="509"/>
      <c r="U89" s="509"/>
      <c r="V89" s="510"/>
      <c r="W89" s="510"/>
      <c r="X89" s="507"/>
      <c r="Y89" s="507"/>
      <c r="Z89" s="506"/>
      <c r="AA89" s="506"/>
      <c r="AB89" s="509"/>
      <c r="AC89" s="509"/>
      <c r="AD89" s="509"/>
      <c r="AE89" s="509"/>
      <c r="AF89" s="509"/>
      <c r="AG89" s="509"/>
      <c r="AH89" s="509"/>
      <c r="AI89" s="509"/>
      <c r="AJ89" s="509"/>
      <c r="AK89" s="509"/>
      <c r="AL89" s="509"/>
      <c r="AM89" s="509"/>
      <c r="AN89" s="509"/>
      <c r="AO89" s="511"/>
      <c r="AP89" s="510"/>
      <c r="AQ89" s="512"/>
      <c r="AR89" s="507"/>
      <c r="AS89" s="508"/>
      <c r="AT89" s="508"/>
      <c r="AU89" s="506"/>
      <c r="AV89" s="509"/>
      <c r="AW89" s="509"/>
      <c r="AX89" s="509"/>
      <c r="AY89" s="509"/>
      <c r="AZ89" s="509"/>
      <c r="BA89" s="509"/>
      <c r="BB89" s="509"/>
      <c r="BC89" s="509"/>
      <c r="BD89" s="509"/>
      <c r="BE89" s="509"/>
      <c r="BF89" s="509"/>
      <c r="BG89" s="509"/>
      <c r="BH89" s="509"/>
      <c r="BI89" s="506"/>
      <c r="BJ89" s="510"/>
      <c r="BK89" s="510"/>
      <c r="BL89" s="507"/>
      <c r="BM89" s="506"/>
      <c r="BN89" s="506"/>
      <c r="BO89" s="506"/>
      <c r="BP89" s="509"/>
      <c r="BQ89" s="509"/>
      <c r="BR89" s="509"/>
      <c r="BS89" s="509"/>
      <c r="BT89" s="509"/>
      <c r="BU89" s="509"/>
      <c r="BV89" s="509"/>
      <c r="BW89" s="509"/>
      <c r="BX89" s="509"/>
      <c r="BY89" s="509"/>
      <c r="BZ89" s="509"/>
      <c r="CA89" s="509"/>
      <c r="CB89" s="509"/>
      <c r="CC89" s="509"/>
      <c r="CD89" s="510"/>
      <c r="CE89" s="510"/>
      <c r="CF89" s="513"/>
      <c r="CG89" s="509"/>
      <c r="CH89" s="509"/>
      <c r="CI89" s="509"/>
      <c r="CJ89" s="509"/>
      <c r="CK89" s="509"/>
      <c r="CL89" s="509"/>
      <c r="CM89" s="509"/>
      <c r="CN89" s="506"/>
      <c r="CO89" s="509"/>
      <c r="CP89" s="509"/>
      <c r="CQ89" s="506"/>
      <c r="CR89" s="506"/>
      <c r="CS89" s="506"/>
      <c r="CT89" s="509"/>
      <c r="CU89" s="506"/>
      <c r="CV89" s="506"/>
      <c r="CW89" s="506"/>
      <c r="CX89" s="510"/>
      <c r="CY89" s="510"/>
    </row>
    <row r="90" spans="1:103" s="1" customFormat="1" ht="15.75" customHeight="1" x14ac:dyDescent="0.25">
      <c r="A90" s="515"/>
      <c r="B90" s="516" t="s">
        <v>69</v>
      </c>
      <c r="C90" s="517"/>
      <c r="D90" s="518"/>
      <c r="E90" s="519"/>
      <c r="F90" s="517"/>
      <c r="G90" s="517"/>
      <c r="H90" s="520"/>
      <c r="I90" s="520"/>
      <c r="J90" s="520"/>
      <c r="K90" s="520"/>
      <c r="L90" s="520"/>
      <c r="M90" s="520"/>
      <c r="N90" s="520"/>
      <c r="O90" s="520"/>
      <c r="P90" s="520"/>
      <c r="Q90" s="520"/>
      <c r="R90" s="520"/>
      <c r="S90" s="520"/>
      <c r="T90" s="520"/>
      <c r="U90" s="521"/>
      <c r="V90" s="522"/>
      <c r="W90" s="523"/>
      <c r="X90" s="524"/>
      <c r="Y90" s="525"/>
      <c r="Z90" s="526"/>
      <c r="AA90" s="526"/>
      <c r="AB90" s="527"/>
      <c r="AC90" s="527"/>
      <c r="AD90" s="527"/>
      <c r="AE90" s="527"/>
      <c r="AF90" s="527"/>
      <c r="AG90" s="527"/>
      <c r="AH90" s="527"/>
      <c r="AI90" s="527"/>
      <c r="AJ90" s="527"/>
      <c r="AK90" s="527"/>
      <c r="AL90" s="527"/>
      <c r="AM90" s="527"/>
      <c r="AN90" s="527"/>
      <c r="AO90" s="527"/>
      <c r="AP90" s="522"/>
      <c r="AQ90" s="528"/>
      <c r="AR90" s="518"/>
      <c r="AS90" s="519"/>
      <c r="AT90" s="519"/>
      <c r="AU90" s="517"/>
      <c r="AV90" s="520"/>
      <c r="AW90" s="520"/>
      <c r="AX90" s="520"/>
      <c r="AY90" s="520"/>
      <c r="AZ90" s="520"/>
      <c r="BA90" s="520"/>
      <c r="BB90" s="529"/>
      <c r="BC90" s="520"/>
      <c r="BD90" s="520"/>
      <c r="BE90" s="520"/>
      <c r="BF90" s="520"/>
      <c r="BG90" s="520"/>
      <c r="BH90" s="520"/>
      <c r="BI90" s="526"/>
      <c r="BJ90" s="522"/>
      <c r="BK90" s="528"/>
      <c r="BL90" s="530"/>
      <c r="BM90" s="517"/>
      <c r="BN90" s="517"/>
      <c r="BO90" s="517"/>
      <c r="BP90" s="520"/>
      <c r="BQ90" s="520"/>
      <c r="BR90" s="520"/>
      <c r="BS90" s="520"/>
      <c r="BT90" s="520"/>
      <c r="BU90" s="520"/>
      <c r="BV90" s="520"/>
      <c r="BW90" s="520"/>
      <c r="BX90" s="520"/>
      <c r="BY90" s="520"/>
      <c r="BZ90" s="520"/>
      <c r="CA90" s="520"/>
      <c r="CB90" s="520"/>
      <c r="CC90" s="527"/>
      <c r="CD90" s="522"/>
      <c r="CE90" s="528"/>
      <c r="CF90" s="531"/>
      <c r="CG90" s="527"/>
      <c r="CH90" s="527"/>
      <c r="CI90" s="527"/>
      <c r="CJ90" s="527"/>
      <c r="CK90" s="527"/>
      <c r="CL90" s="527"/>
      <c r="CM90" s="527"/>
      <c r="CN90" s="526"/>
      <c r="CO90" s="527"/>
      <c r="CP90" s="527"/>
      <c r="CQ90" s="526"/>
      <c r="CR90" s="526"/>
      <c r="CS90" s="526"/>
      <c r="CT90" s="527"/>
      <c r="CU90" s="526"/>
      <c r="CV90" s="526"/>
      <c r="CW90" s="526"/>
      <c r="CX90" s="532"/>
      <c r="CY90" s="528"/>
    </row>
    <row r="91" spans="1:103" s="150" customFormat="1" ht="15.75" customHeight="1" x14ac:dyDescent="0.25">
      <c r="A91" s="533"/>
      <c r="B91" s="534" t="s">
        <v>30</v>
      </c>
      <c r="C91" s="79"/>
      <c r="D91" s="75">
        <f>D10+D16+D25+D30+D36+D42+D47+D64+D70+D53+D23+D76</f>
        <v>2158.9999999999995</v>
      </c>
      <c r="E91" s="79"/>
      <c r="F91" s="79">
        <f t="shared" ref="F91" si="305">F10+F16+F25+F30+F36+F42+F47+F64+F70+F53+F23+F76</f>
        <v>99.999999999999986</v>
      </c>
      <c r="G91" s="79"/>
      <c r="H91" s="79">
        <f t="shared" ref="H91:T91" si="306">H10+H16+H25+H30+H36+H42+H47+H64+H70+H53+H23+H76</f>
        <v>979317</v>
      </c>
      <c r="I91" s="79">
        <f t="shared" si="306"/>
        <v>0</v>
      </c>
      <c r="J91" s="79">
        <f t="shared" si="306"/>
        <v>634378</v>
      </c>
      <c r="K91" s="79"/>
      <c r="L91" s="79">
        <f t="shared" si="306"/>
        <v>344939</v>
      </c>
      <c r="M91" s="79"/>
      <c r="N91" s="79">
        <f t="shared" si="306"/>
        <v>630356</v>
      </c>
      <c r="O91" s="79"/>
      <c r="P91" s="79">
        <f>P10+P16+P25+P30+P36+P42+P47+P64+P70+P53+P23+P76</f>
        <v>329266</v>
      </c>
      <c r="Q91" s="79"/>
      <c r="R91" s="79">
        <f t="shared" si="306"/>
        <v>4022</v>
      </c>
      <c r="S91" s="79"/>
      <c r="T91" s="79">
        <f t="shared" si="306"/>
        <v>15673</v>
      </c>
      <c r="U91" s="93"/>
      <c r="V91" s="454">
        <f>J91/D91</f>
        <v>293.82955071792503</v>
      </c>
      <c r="W91" s="535"/>
      <c r="X91" s="73">
        <f>X10+X16+X25+X30+X36+X42+X47+X64+X70+X53+X23+X76</f>
        <v>2184.0000000000005</v>
      </c>
      <c r="Y91" s="141"/>
      <c r="Z91" s="141">
        <f t="shared" ref="Z91" si="307">Z10+Z16+Z25+Z30+Z36+Z42+Z47+Z64+Z70+Z53+Z23+Z76</f>
        <v>100</v>
      </c>
      <c r="AA91" s="141"/>
      <c r="AB91" s="82">
        <f t="shared" ref="AB91:AN91" si="308">AB10+AB16+AB25+AB30+AB36+AB42+AB47+AB64+AB70+AB53+AB23+AB76</f>
        <v>1104426</v>
      </c>
      <c r="AC91" s="79">
        <f t="shared" si="308"/>
        <v>0</v>
      </c>
      <c r="AD91" s="79">
        <f t="shared" si="308"/>
        <v>577252</v>
      </c>
      <c r="AE91" s="79"/>
      <c r="AF91" s="79">
        <f t="shared" si="308"/>
        <v>527174</v>
      </c>
      <c r="AG91" s="79"/>
      <c r="AH91" s="79">
        <f t="shared" si="308"/>
        <v>572907</v>
      </c>
      <c r="AI91" s="79"/>
      <c r="AJ91" s="79">
        <f t="shared" si="308"/>
        <v>512473</v>
      </c>
      <c r="AK91" s="79"/>
      <c r="AL91" s="79">
        <f t="shared" si="308"/>
        <v>4345</v>
      </c>
      <c r="AM91" s="79"/>
      <c r="AN91" s="79">
        <f t="shared" si="308"/>
        <v>14701</v>
      </c>
      <c r="AO91" s="84"/>
      <c r="AP91" s="454">
        <f>AD91/X91</f>
        <v>264.30952380952374</v>
      </c>
      <c r="AQ91" s="147"/>
      <c r="AR91" s="88">
        <f>AR10+AR16+AR25+AR30+AR36+AR42+AR47+AR64+AR70+AR53+AR23+AR76</f>
        <v>2208</v>
      </c>
      <c r="AS91" s="88"/>
      <c r="AT91" s="80">
        <f t="shared" ref="AT91" si="309">AT10+AT16+AT25+AT30+AT36+AT42+AT47+AT64+AT70+AT53+AT23+AT76</f>
        <v>100</v>
      </c>
      <c r="AU91" s="80"/>
      <c r="AV91" s="80">
        <f t="shared" ref="AV91:BH91" si="310">AV10+AV16+AV25+AV30+AV36+AV42+AV47+AV64+AV70+AV53+AV23+AV76</f>
        <v>1047878</v>
      </c>
      <c r="AW91" s="80">
        <f t="shared" si="310"/>
        <v>0</v>
      </c>
      <c r="AX91" s="80">
        <f t="shared" si="310"/>
        <v>555624</v>
      </c>
      <c r="AY91" s="80"/>
      <c r="AZ91" s="80">
        <f t="shared" si="310"/>
        <v>492254</v>
      </c>
      <c r="BA91" s="86"/>
      <c r="BB91" s="82">
        <f t="shared" si="310"/>
        <v>551279</v>
      </c>
      <c r="BC91" s="80"/>
      <c r="BD91" s="80">
        <f t="shared" si="310"/>
        <v>479774</v>
      </c>
      <c r="BE91" s="80"/>
      <c r="BF91" s="80">
        <f t="shared" si="310"/>
        <v>4345</v>
      </c>
      <c r="BG91" s="80"/>
      <c r="BH91" s="80">
        <f t="shared" si="310"/>
        <v>12480</v>
      </c>
      <c r="BI91" s="86"/>
      <c r="BJ91" s="454">
        <f>AX91/AR91</f>
        <v>251.64130434782609</v>
      </c>
      <c r="BK91" s="147"/>
      <c r="BL91" s="73">
        <f>BL10+BL16+BL25+BL30+BL36+BL42+BL47+BL64+BL70+BL53+BL23+BL76</f>
        <v>2208.9999999999995</v>
      </c>
      <c r="BM91" s="75"/>
      <c r="BN91" s="86">
        <f t="shared" ref="BN91" si="311">BN10+BN16+BN25+BN30+BN36+BN42+BN47+BN64+BN70+BN53+BN23+BN76</f>
        <v>99.999999999999986</v>
      </c>
      <c r="BO91" s="79"/>
      <c r="BP91" s="79">
        <f t="shared" ref="BP91:BZ91" si="312">BP10+BP16+BP25+BP30+BP36+BP42+BP47+BP64+BP70+BP53+BP23+BP76</f>
        <v>1000812</v>
      </c>
      <c r="BQ91" s="79">
        <f t="shared" si="312"/>
        <v>0</v>
      </c>
      <c r="BR91" s="79">
        <f t="shared" si="312"/>
        <v>570900</v>
      </c>
      <c r="BS91" s="79"/>
      <c r="BT91" s="79">
        <f t="shared" si="312"/>
        <v>429912</v>
      </c>
      <c r="BU91" s="79"/>
      <c r="BV91" s="79">
        <f t="shared" si="312"/>
        <v>569476</v>
      </c>
      <c r="BW91" s="79"/>
      <c r="BX91" s="79">
        <f t="shared" si="312"/>
        <v>417162</v>
      </c>
      <c r="BY91" s="79"/>
      <c r="BZ91" s="79">
        <f t="shared" si="312"/>
        <v>1424</v>
      </c>
      <c r="CA91" s="79"/>
      <c r="CB91" s="79">
        <f>CB10+CB16+CB25+CB30+CB36+CB42+CB47+CB64+CB70+CB53+CB23+CB76</f>
        <v>12750</v>
      </c>
      <c r="CC91" s="93"/>
      <c r="CD91" s="454">
        <f>BR91/BL91</f>
        <v>258.44273426889998</v>
      </c>
      <c r="CE91" s="147"/>
      <c r="CF91" s="73">
        <f>CF10+CF16+CF25+CF30+CF36+CF42+CF47+CF64+CF70+CF53+CF23+CF76</f>
        <v>8760</v>
      </c>
      <c r="CG91" s="79"/>
      <c r="CH91" s="86">
        <f t="shared" ref="CH91" si="313">CH10+CH16+CH25+CH30+CH36+CH42+CH47+CH64+CH70+CH53+CH23+CH76</f>
        <v>99.999999999999986</v>
      </c>
      <c r="CI91" s="79"/>
      <c r="CJ91" s="79">
        <f t="shared" ref="CJ91:CV91" si="314">CJ10+CJ16+CJ25+CJ30+CJ36+CJ42+CJ47+CJ64+CJ70+CJ53+CJ23+CJ76</f>
        <v>4132433</v>
      </c>
      <c r="CK91" s="79"/>
      <c r="CL91" s="79">
        <f t="shared" si="314"/>
        <v>2338154</v>
      </c>
      <c r="CM91" s="79"/>
      <c r="CN91" s="79">
        <f t="shared" si="314"/>
        <v>1794279</v>
      </c>
      <c r="CO91" s="79"/>
      <c r="CP91" s="79">
        <f t="shared" si="314"/>
        <v>2324018</v>
      </c>
      <c r="CQ91" s="79"/>
      <c r="CR91" s="79">
        <f t="shared" si="314"/>
        <v>1738675</v>
      </c>
      <c r="CS91" s="79"/>
      <c r="CT91" s="79">
        <f t="shared" si="314"/>
        <v>14136</v>
      </c>
      <c r="CU91" s="79"/>
      <c r="CV91" s="79">
        <f t="shared" si="314"/>
        <v>55604</v>
      </c>
      <c r="CW91" s="93"/>
      <c r="CX91" s="454">
        <f>CL91/CF91</f>
        <v>266.91255707762559</v>
      </c>
      <c r="CY91" s="147"/>
    </row>
    <row r="92" spans="1:103" s="150" customFormat="1" ht="15.75" customHeight="1" x14ac:dyDescent="0.25">
      <c r="A92" s="533"/>
      <c r="B92" s="534" t="s">
        <v>70</v>
      </c>
      <c r="C92" s="79"/>
      <c r="D92" s="75">
        <f>D21</f>
        <v>11</v>
      </c>
      <c r="E92" s="141"/>
      <c r="F92" s="141">
        <f t="shared" ref="F92" si="315">F21</f>
        <v>100</v>
      </c>
      <c r="G92" s="141"/>
      <c r="H92" s="79">
        <f t="shared" ref="H92:T92" si="316">H21</f>
        <v>6573</v>
      </c>
      <c r="I92" s="79">
        <f t="shared" si="316"/>
        <v>0</v>
      </c>
      <c r="J92" s="79">
        <f t="shared" si="316"/>
        <v>4258</v>
      </c>
      <c r="K92" s="79"/>
      <c r="L92" s="79">
        <f t="shared" si="316"/>
        <v>2315</v>
      </c>
      <c r="M92" s="79"/>
      <c r="N92" s="79">
        <f t="shared" si="316"/>
        <v>4258</v>
      </c>
      <c r="O92" s="79"/>
      <c r="P92" s="79">
        <f t="shared" si="316"/>
        <v>2210</v>
      </c>
      <c r="Q92" s="79"/>
      <c r="R92" s="79">
        <f t="shared" si="316"/>
        <v>0</v>
      </c>
      <c r="S92" s="79"/>
      <c r="T92" s="79">
        <f t="shared" si="316"/>
        <v>105</v>
      </c>
      <c r="U92" s="93"/>
      <c r="V92" s="454">
        <f t="shared" ref="V92:V97" si="317">J92/D92</f>
        <v>387.09090909090907</v>
      </c>
      <c r="W92" s="535"/>
      <c r="X92" s="73">
        <f>X21</f>
        <v>11.9</v>
      </c>
      <c r="Y92" s="141"/>
      <c r="Z92" s="141">
        <f t="shared" ref="Z92" si="318">Z21</f>
        <v>100</v>
      </c>
      <c r="AA92" s="141"/>
      <c r="AB92" s="82">
        <f t="shared" ref="AB92:AN92" si="319">AB21</f>
        <v>8481</v>
      </c>
      <c r="AC92" s="79">
        <f t="shared" si="319"/>
        <v>0</v>
      </c>
      <c r="AD92" s="79">
        <f t="shared" si="319"/>
        <v>4433</v>
      </c>
      <c r="AE92" s="79"/>
      <c r="AF92" s="79">
        <f t="shared" si="319"/>
        <v>4048</v>
      </c>
      <c r="AG92" s="79"/>
      <c r="AH92" s="79">
        <f t="shared" si="319"/>
        <v>4433</v>
      </c>
      <c r="AI92" s="79"/>
      <c r="AJ92" s="79">
        <f t="shared" si="319"/>
        <v>3935</v>
      </c>
      <c r="AK92" s="79"/>
      <c r="AL92" s="79">
        <f t="shared" si="319"/>
        <v>0</v>
      </c>
      <c r="AM92" s="79"/>
      <c r="AN92" s="79">
        <f t="shared" si="319"/>
        <v>113</v>
      </c>
      <c r="AO92" s="84"/>
      <c r="AP92" s="454">
        <f t="shared" ref="AP92:AP97" si="320">AD92/X92</f>
        <v>372.52100840336135</v>
      </c>
      <c r="AQ92" s="147"/>
      <c r="AR92" s="88">
        <f>AR21</f>
        <v>12.8</v>
      </c>
      <c r="AS92" s="88"/>
      <c r="AT92" s="80">
        <f t="shared" ref="AT92" si="321">AT21</f>
        <v>100</v>
      </c>
      <c r="AU92" s="79"/>
      <c r="AV92" s="79">
        <f t="shared" ref="AV92:BH92" si="322">AV21</f>
        <v>8706</v>
      </c>
      <c r="AW92" s="79">
        <f t="shared" si="322"/>
        <v>0</v>
      </c>
      <c r="AX92" s="79">
        <f t="shared" si="322"/>
        <v>4616</v>
      </c>
      <c r="AY92" s="79"/>
      <c r="AZ92" s="79">
        <f t="shared" si="322"/>
        <v>4090</v>
      </c>
      <c r="BA92" s="93"/>
      <c r="BB92" s="82">
        <f t="shared" si="322"/>
        <v>4616</v>
      </c>
      <c r="BC92" s="79"/>
      <c r="BD92" s="79">
        <f t="shared" si="322"/>
        <v>3986</v>
      </c>
      <c r="BE92" s="79"/>
      <c r="BF92" s="79">
        <f t="shared" si="322"/>
        <v>0</v>
      </c>
      <c r="BG92" s="79"/>
      <c r="BH92" s="79">
        <f t="shared" si="322"/>
        <v>104</v>
      </c>
      <c r="BI92" s="93"/>
      <c r="BJ92" s="454">
        <f t="shared" ref="BJ92:BJ97" si="323">AX92/AR92</f>
        <v>360.625</v>
      </c>
      <c r="BK92" s="147"/>
      <c r="BL92" s="73">
        <f>BL21</f>
        <v>11.9</v>
      </c>
      <c r="BM92" s="75"/>
      <c r="BN92" s="86">
        <f t="shared" ref="BN92" si="324">BN21</f>
        <v>100</v>
      </c>
      <c r="BO92" s="79"/>
      <c r="BP92" s="79">
        <f t="shared" ref="BP92:CB92" si="325">BP21</f>
        <v>7801</v>
      </c>
      <c r="BQ92" s="79">
        <f t="shared" si="325"/>
        <v>0</v>
      </c>
      <c r="BR92" s="79">
        <f t="shared" si="325"/>
        <v>4450</v>
      </c>
      <c r="BS92" s="79"/>
      <c r="BT92" s="79">
        <f t="shared" si="325"/>
        <v>3351</v>
      </c>
      <c r="BU92" s="79"/>
      <c r="BV92" s="79">
        <f t="shared" si="325"/>
        <v>4450</v>
      </c>
      <c r="BW92" s="79"/>
      <c r="BX92" s="79">
        <f t="shared" si="325"/>
        <v>3252</v>
      </c>
      <c r="BY92" s="79"/>
      <c r="BZ92" s="79">
        <f t="shared" si="325"/>
        <v>0</v>
      </c>
      <c r="CA92" s="79"/>
      <c r="CB92" s="79">
        <f t="shared" si="325"/>
        <v>99</v>
      </c>
      <c r="CC92" s="93"/>
      <c r="CD92" s="454">
        <f t="shared" ref="CD92:CD97" si="326">BR92/BL92</f>
        <v>373.94957983193274</v>
      </c>
      <c r="CE92" s="147"/>
      <c r="CF92" s="73">
        <f>CF21</f>
        <v>47.6</v>
      </c>
      <c r="CG92" s="79"/>
      <c r="CH92" s="86">
        <f>CH21</f>
        <v>100</v>
      </c>
      <c r="CI92" s="79"/>
      <c r="CJ92" s="79">
        <f t="shared" ref="CJ92:CV92" si="327">CJ21</f>
        <v>31561</v>
      </c>
      <c r="CK92" s="79"/>
      <c r="CL92" s="79">
        <f t="shared" si="327"/>
        <v>17757</v>
      </c>
      <c r="CM92" s="79"/>
      <c r="CN92" s="79">
        <f t="shared" si="327"/>
        <v>13804</v>
      </c>
      <c r="CO92" s="79"/>
      <c r="CP92" s="79">
        <f t="shared" si="327"/>
        <v>17757</v>
      </c>
      <c r="CQ92" s="79"/>
      <c r="CR92" s="79">
        <f t="shared" si="327"/>
        <v>13383</v>
      </c>
      <c r="CS92" s="79"/>
      <c r="CT92" s="79">
        <f t="shared" si="327"/>
        <v>0</v>
      </c>
      <c r="CU92" s="79"/>
      <c r="CV92" s="79">
        <f t="shared" si="327"/>
        <v>421</v>
      </c>
      <c r="CW92" s="93"/>
      <c r="CX92" s="454">
        <f t="shared" ref="CX92:CX97" si="328">CL92/CF92</f>
        <v>373.04621848739492</v>
      </c>
      <c r="CY92" s="147"/>
    </row>
    <row r="93" spans="1:103" s="150" customFormat="1" ht="15.75" customHeight="1" x14ac:dyDescent="0.25">
      <c r="A93" s="533"/>
      <c r="B93" s="534" t="s">
        <v>31</v>
      </c>
      <c r="C93" s="79"/>
      <c r="D93" s="75">
        <f>D11+D17+D26+D37+D43+D48+D54+D65+D71+D77+D31</f>
        <v>2158.9999999999995</v>
      </c>
      <c r="E93" s="79"/>
      <c r="F93" s="79">
        <f t="shared" ref="F93" si="329">F11+F17+F26+F37+F43+F48+F54+F65+F71+F77+F31</f>
        <v>100</v>
      </c>
      <c r="G93" s="79"/>
      <c r="H93" s="79">
        <f t="shared" ref="H93:T93" si="330">H11+H17+H26+H37+H43+H48+H54+H65+H71+H77+H31</f>
        <v>155865</v>
      </c>
      <c r="I93" s="79">
        <f t="shared" si="330"/>
        <v>0</v>
      </c>
      <c r="J93" s="79">
        <f t="shared" si="330"/>
        <v>100965</v>
      </c>
      <c r="K93" s="79"/>
      <c r="L93" s="79">
        <f t="shared" si="330"/>
        <v>54900</v>
      </c>
      <c r="M93" s="79"/>
      <c r="N93" s="79">
        <f t="shared" si="330"/>
        <v>100965</v>
      </c>
      <c r="O93" s="79"/>
      <c r="P93" s="79">
        <f t="shared" si="330"/>
        <v>52405</v>
      </c>
      <c r="Q93" s="79"/>
      <c r="R93" s="79">
        <f t="shared" si="330"/>
        <v>0</v>
      </c>
      <c r="S93" s="79"/>
      <c r="T93" s="79">
        <f t="shared" si="330"/>
        <v>2495</v>
      </c>
      <c r="U93" s="93"/>
      <c r="V93" s="454">
        <f t="shared" si="317"/>
        <v>46.764705882352949</v>
      </c>
      <c r="W93" s="535"/>
      <c r="X93" s="73">
        <f>X11+X17+X26+X37+X43+X48+X54+X65+X71+X77+X31</f>
        <v>2184</v>
      </c>
      <c r="Y93" s="141"/>
      <c r="Z93" s="141">
        <f t="shared" ref="Z93" si="331">Z11+Z17+Z26+Z37+Z43+Z48+Z54+Z65+Z71+Z77+Z31</f>
        <v>100</v>
      </c>
      <c r="AA93" s="141"/>
      <c r="AB93" s="82">
        <f t="shared" ref="AB93:AN93" si="332">AB11+AB17+AB26+AB37+AB43+AB48+AB54+AB65+AB71+AB77+AB31</f>
        <v>198082</v>
      </c>
      <c r="AC93" s="79">
        <f t="shared" si="332"/>
        <v>0</v>
      </c>
      <c r="AD93" s="79">
        <f t="shared" si="332"/>
        <v>103532</v>
      </c>
      <c r="AE93" s="79"/>
      <c r="AF93" s="79">
        <f t="shared" si="332"/>
        <v>94550</v>
      </c>
      <c r="AG93" s="79"/>
      <c r="AH93" s="79">
        <f t="shared" si="332"/>
        <v>103532</v>
      </c>
      <c r="AI93" s="79"/>
      <c r="AJ93" s="79">
        <f t="shared" si="332"/>
        <v>91914</v>
      </c>
      <c r="AK93" s="79"/>
      <c r="AL93" s="79">
        <f t="shared" si="332"/>
        <v>0</v>
      </c>
      <c r="AM93" s="79"/>
      <c r="AN93" s="79">
        <f t="shared" si="332"/>
        <v>2636</v>
      </c>
      <c r="AO93" s="84"/>
      <c r="AP93" s="454">
        <f t="shared" si="320"/>
        <v>47.404761904761905</v>
      </c>
      <c r="AQ93" s="147"/>
      <c r="AR93" s="88">
        <f>AR11+AR17+AR26+AR37+AR43+AR48+AR54+AR65+AR71+AR77+AR31</f>
        <v>2208</v>
      </c>
      <c r="AS93" s="88"/>
      <c r="AT93" s="80">
        <f t="shared" ref="AT93" si="333">AT11+AT17+AT26+AT37+AT43+AT48+AT54+AT65+AT71+AT77+AT31</f>
        <v>100</v>
      </c>
      <c r="AU93" s="79"/>
      <c r="AV93" s="79">
        <f t="shared" ref="AV93:BH93" si="334">AV11+AV17+AV26+AV37+AV43+AV48+AV54+AV65+AV71+AV31+AV77</f>
        <v>178618</v>
      </c>
      <c r="AW93" s="79">
        <f t="shared" si="334"/>
        <v>0</v>
      </c>
      <c r="AX93" s="79">
        <f t="shared" si="334"/>
        <v>94710</v>
      </c>
      <c r="AY93" s="79"/>
      <c r="AZ93" s="79">
        <f t="shared" si="334"/>
        <v>83908</v>
      </c>
      <c r="BA93" s="93"/>
      <c r="BB93" s="82">
        <f t="shared" si="334"/>
        <v>94710</v>
      </c>
      <c r="BC93" s="79"/>
      <c r="BD93" s="79">
        <f t="shared" si="334"/>
        <v>81780</v>
      </c>
      <c r="BE93" s="79"/>
      <c r="BF93" s="79">
        <f t="shared" si="334"/>
        <v>0</v>
      </c>
      <c r="BG93" s="79"/>
      <c r="BH93" s="79">
        <f t="shared" si="334"/>
        <v>2128</v>
      </c>
      <c r="BI93" s="93"/>
      <c r="BJ93" s="454">
        <f t="shared" si="323"/>
        <v>42.894021739130437</v>
      </c>
      <c r="BK93" s="147"/>
      <c r="BL93" s="73">
        <f>BL11+BL17+BL26+BL37+BL43+BL48+BL54+BL65+BL71+BL31+BL77</f>
        <v>2208.9999999999995</v>
      </c>
      <c r="BM93" s="75"/>
      <c r="BN93" s="86">
        <f t="shared" ref="BN93" si="335">BN11+BN17+BN26+BN37+BN43+BN48+BN54+BN65+BN71+BN31+BN77</f>
        <v>99.999999999999986</v>
      </c>
      <c r="BO93" s="79"/>
      <c r="BP93" s="79">
        <f t="shared" ref="BP93:CB93" si="336">BP11+BP17+BP26+BP37+BP43+BP48+BP54+BP65+BP71+BP31+BP77</f>
        <v>163340</v>
      </c>
      <c r="BQ93" s="79">
        <f t="shared" si="336"/>
        <v>0</v>
      </c>
      <c r="BR93" s="79">
        <f t="shared" si="336"/>
        <v>93176</v>
      </c>
      <c r="BS93" s="79"/>
      <c r="BT93" s="79">
        <f t="shared" si="336"/>
        <v>70164</v>
      </c>
      <c r="BU93" s="79"/>
      <c r="BV93" s="79">
        <f t="shared" si="336"/>
        <v>93176</v>
      </c>
      <c r="BW93" s="79"/>
      <c r="BX93" s="79">
        <f t="shared" si="336"/>
        <v>68083</v>
      </c>
      <c r="BY93" s="79"/>
      <c r="BZ93" s="79">
        <f t="shared" si="336"/>
        <v>0</v>
      </c>
      <c r="CA93" s="79"/>
      <c r="CB93" s="79">
        <f t="shared" si="336"/>
        <v>2081</v>
      </c>
      <c r="CC93" s="93"/>
      <c r="CD93" s="454">
        <f t="shared" si="326"/>
        <v>42.180172023540074</v>
      </c>
      <c r="CE93" s="147"/>
      <c r="CF93" s="73">
        <f>CF11+CF17+CF26+CF37+CF43+CF48+CF54+CF65+CF71+CF31+CF77</f>
        <v>8759.9999999999982</v>
      </c>
      <c r="CG93" s="79"/>
      <c r="CH93" s="86">
        <f t="shared" ref="CH93" si="337">CH11+CH17+CH26+CH37+CH43+CH48+CH54+CH65+CH71+CH31+CH77</f>
        <v>99.999999999999986</v>
      </c>
      <c r="CI93" s="79"/>
      <c r="CJ93" s="79">
        <f t="shared" ref="CJ93:CV93" si="338">CJ11+CJ17+CJ77+CJ31+CJ37+CJ43+CJ48+CJ65+CJ71+CJ54+CJ26</f>
        <v>695905</v>
      </c>
      <c r="CK93" s="79"/>
      <c r="CL93" s="79">
        <f t="shared" si="338"/>
        <v>392383</v>
      </c>
      <c r="CM93" s="79"/>
      <c r="CN93" s="79">
        <f t="shared" si="338"/>
        <v>303522</v>
      </c>
      <c r="CO93" s="79"/>
      <c r="CP93" s="79">
        <f t="shared" si="338"/>
        <v>392383</v>
      </c>
      <c r="CQ93" s="79"/>
      <c r="CR93" s="79">
        <f t="shared" si="338"/>
        <v>294182</v>
      </c>
      <c r="CS93" s="79"/>
      <c r="CT93" s="79">
        <f t="shared" si="338"/>
        <v>0</v>
      </c>
      <c r="CU93" s="79"/>
      <c r="CV93" s="79">
        <f t="shared" si="338"/>
        <v>9340</v>
      </c>
      <c r="CW93" s="93"/>
      <c r="CX93" s="454">
        <f t="shared" si="328"/>
        <v>44.792579908675812</v>
      </c>
      <c r="CY93" s="147"/>
    </row>
    <row r="94" spans="1:103" s="150" customFormat="1" ht="15.75" customHeight="1" x14ac:dyDescent="0.25">
      <c r="A94" s="533"/>
      <c r="B94" s="534" t="s">
        <v>32</v>
      </c>
      <c r="C94" s="79"/>
      <c r="D94" s="75">
        <f>D12+D32+D38+D49+D55+D66+D72+D18+D78</f>
        <v>2159</v>
      </c>
      <c r="E94" s="75"/>
      <c r="F94" s="79">
        <f t="shared" ref="F94:T94" si="339">F12+F32+F38+F49+F55+F66+F72+F18+F78</f>
        <v>100.00000000000001</v>
      </c>
      <c r="G94" s="75"/>
      <c r="H94" s="79">
        <f t="shared" si="339"/>
        <v>224311</v>
      </c>
      <c r="I94" s="79">
        <f t="shared" si="339"/>
        <v>0</v>
      </c>
      <c r="J94" s="79">
        <f t="shared" si="339"/>
        <v>145301</v>
      </c>
      <c r="K94" s="79"/>
      <c r="L94" s="79">
        <f t="shared" si="339"/>
        <v>79010</v>
      </c>
      <c r="M94" s="79"/>
      <c r="N94" s="79">
        <f t="shared" si="339"/>
        <v>145301</v>
      </c>
      <c r="O94" s="79"/>
      <c r="P94" s="79">
        <f t="shared" si="339"/>
        <v>75419</v>
      </c>
      <c r="Q94" s="79"/>
      <c r="R94" s="79">
        <f t="shared" si="339"/>
        <v>0</v>
      </c>
      <c r="S94" s="79"/>
      <c r="T94" s="79">
        <f t="shared" si="339"/>
        <v>3591</v>
      </c>
      <c r="U94" s="93"/>
      <c r="V94" s="454">
        <f t="shared" si="317"/>
        <v>67.30013895321909</v>
      </c>
      <c r="W94" s="535"/>
      <c r="X94" s="73">
        <f>X12+X32+X38+X49+X55+X66+X72+X18+X78</f>
        <v>2184</v>
      </c>
      <c r="Y94" s="75"/>
      <c r="Z94" s="79">
        <f t="shared" ref="Z94" si="340">Z12+Z32+Z38+Z49+Z55+Z66+Z72+Z18+Z78</f>
        <v>100</v>
      </c>
      <c r="AA94" s="75"/>
      <c r="AB94" s="82">
        <f>AB12+AB32+AB38+AB49+AB55+AB66+AB72+AB18+AB78</f>
        <v>269763</v>
      </c>
      <c r="AC94" s="79">
        <f t="shared" ref="AC94:AN94" si="341">AC12+AC32+AC38+AC49+AC55+AC66+AC72+AC18+AC78</f>
        <v>0</v>
      </c>
      <c r="AD94" s="79">
        <f t="shared" si="341"/>
        <v>140997</v>
      </c>
      <c r="AE94" s="79"/>
      <c r="AF94" s="79">
        <f t="shared" si="341"/>
        <v>128766</v>
      </c>
      <c r="AG94" s="79"/>
      <c r="AH94" s="79">
        <f t="shared" si="341"/>
        <v>140997</v>
      </c>
      <c r="AI94" s="79"/>
      <c r="AJ94" s="79">
        <f t="shared" si="341"/>
        <v>125175</v>
      </c>
      <c r="AK94" s="79"/>
      <c r="AL94" s="79">
        <f t="shared" si="341"/>
        <v>0</v>
      </c>
      <c r="AM94" s="79"/>
      <c r="AN94" s="79">
        <f t="shared" si="341"/>
        <v>3591</v>
      </c>
      <c r="AO94" s="80"/>
      <c r="AP94" s="454">
        <f t="shared" si="320"/>
        <v>64.559065934065927</v>
      </c>
      <c r="AQ94" s="147"/>
      <c r="AR94" s="88">
        <f>AR12+AR32+AR38+AR49+AR55+AR66+AR72+AR18+AR78</f>
        <v>2208</v>
      </c>
      <c r="AS94" s="88"/>
      <c r="AT94" s="80">
        <f t="shared" ref="AT94" si="342">AT12+AT32+AT38+AT49+AT55+AT66+AT72+AT18+AT78</f>
        <v>100.00000000000001</v>
      </c>
      <c r="AU94" s="79"/>
      <c r="AV94" s="79">
        <f t="shared" ref="AV94:BH94" si="343">AV12+AV32+AV38+AV49+AV55+AV66+AV72+AV18+AV78</f>
        <v>231593</v>
      </c>
      <c r="AW94" s="79">
        <f t="shared" si="343"/>
        <v>0</v>
      </c>
      <c r="AX94" s="79">
        <f t="shared" si="343"/>
        <v>122800</v>
      </c>
      <c r="AY94" s="79"/>
      <c r="AZ94" s="79">
        <f t="shared" si="343"/>
        <v>108793</v>
      </c>
      <c r="BA94" s="93"/>
      <c r="BB94" s="82">
        <f t="shared" si="343"/>
        <v>122800</v>
      </c>
      <c r="BC94" s="79"/>
      <c r="BD94" s="79">
        <f t="shared" si="343"/>
        <v>106034</v>
      </c>
      <c r="BE94" s="79"/>
      <c r="BF94" s="79">
        <f t="shared" si="343"/>
        <v>0</v>
      </c>
      <c r="BG94" s="79"/>
      <c r="BH94" s="79">
        <f t="shared" si="343"/>
        <v>2759</v>
      </c>
      <c r="BI94" s="93"/>
      <c r="BJ94" s="454">
        <f t="shared" si="323"/>
        <v>55.615942028985508</v>
      </c>
      <c r="BK94" s="147"/>
      <c r="BL94" s="73">
        <f>BL12+BL32+BL38+BL49+BL55+BL66+BL72+BL18+BL78</f>
        <v>2208.9999999999995</v>
      </c>
      <c r="BM94" s="75"/>
      <c r="BN94" s="86">
        <f t="shared" ref="BN94" si="344">BN12+BN32+BN38+BN49+BN55+BN66+BN72+BN18+BN78</f>
        <v>100</v>
      </c>
      <c r="BO94" s="79"/>
      <c r="BP94" s="79">
        <f>BP12+BP32+BP38+BP49+BP55+BP66+BP72+BP18+BP78</f>
        <v>250349</v>
      </c>
      <c r="BQ94" s="79">
        <f>BQ12+BQ32+BQ38+BQ49+BQ55+BQ66+BQ72+BQ18+BQ78</f>
        <v>0</v>
      </c>
      <c r="BR94" s="79">
        <f>BR12+BR32+BR38+BR49+BR55+BR66+BR72+BR18+BR78</f>
        <v>142808</v>
      </c>
      <c r="BS94" s="79"/>
      <c r="BT94" s="79">
        <f t="shared" ref="BT94:CB94" si="345">BT12+BT32+BT38+BT49+BT55+BT66+BT72+BT18+BT78</f>
        <v>107541</v>
      </c>
      <c r="BU94" s="79"/>
      <c r="BV94" s="79">
        <f t="shared" si="345"/>
        <v>142808</v>
      </c>
      <c r="BW94" s="79"/>
      <c r="BX94" s="79">
        <f t="shared" si="345"/>
        <v>104352</v>
      </c>
      <c r="BY94" s="79"/>
      <c r="BZ94" s="79">
        <f t="shared" si="345"/>
        <v>0</v>
      </c>
      <c r="CA94" s="79"/>
      <c r="CB94" s="79">
        <f t="shared" si="345"/>
        <v>3189</v>
      </c>
      <c r="CC94" s="93"/>
      <c r="CD94" s="454">
        <f t="shared" si="326"/>
        <v>64.648257129923053</v>
      </c>
      <c r="CE94" s="147"/>
      <c r="CF94" s="73">
        <f>CF12+CF32+CF38+CF49+CF55+CF66+CF72+CF18+CF78</f>
        <v>8760</v>
      </c>
      <c r="CG94" s="79"/>
      <c r="CH94" s="86">
        <f t="shared" ref="CH94" si="346">CH12+CH32+CH38+CH49+CH55+CH66+CH72+CH18+CH78</f>
        <v>100</v>
      </c>
      <c r="CI94" s="79"/>
      <c r="CJ94" s="79">
        <f t="shared" ref="CJ94:CV94" si="347">CJ12+CJ32+CJ38+CJ49+CJ55+CJ66+CJ72+CJ18+CJ78</f>
        <v>976016</v>
      </c>
      <c r="CK94" s="79"/>
      <c r="CL94" s="79">
        <f t="shared" si="347"/>
        <v>551906</v>
      </c>
      <c r="CM94" s="79"/>
      <c r="CN94" s="79">
        <f t="shared" si="347"/>
        <v>424110</v>
      </c>
      <c r="CO94" s="79"/>
      <c r="CP94" s="79">
        <f t="shared" si="347"/>
        <v>551906</v>
      </c>
      <c r="CQ94" s="79"/>
      <c r="CR94" s="79">
        <f t="shared" si="347"/>
        <v>410980</v>
      </c>
      <c r="CS94" s="79"/>
      <c r="CT94" s="79">
        <f t="shared" si="347"/>
        <v>0</v>
      </c>
      <c r="CU94" s="79"/>
      <c r="CV94" s="79">
        <f t="shared" si="347"/>
        <v>13130</v>
      </c>
      <c r="CW94" s="93"/>
      <c r="CX94" s="454">
        <f t="shared" si="328"/>
        <v>63.00296803652968</v>
      </c>
      <c r="CY94" s="147"/>
    </row>
    <row r="95" spans="1:103" s="150" customFormat="1" ht="15.75" customHeight="1" x14ac:dyDescent="0.25">
      <c r="A95" s="533"/>
      <c r="B95" s="534" t="s">
        <v>33</v>
      </c>
      <c r="C95" s="79"/>
      <c r="D95" s="75">
        <f>D13+D19+D27+D33+D39+D44+D50+D56+D67+D73+D79</f>
        <v>2158.9999999999995</v>
      </c>
      <c r="E95" s="79"/>
      <c r="F95" s="79">
        <f t="shared" ref="F95:F96" si="348">F13+F19+F27+F33+F39+F44+F50+F56+F67+F73+F79</f>
        <v>100.00000000000001</v>
      </c>
      <c r="G95" s="79"/>
      <c r="H95" s="79">
        <f t="shared" ref="H95:T96" si="349">H13+H19+H27+H33+H39+H44+H50+H56+H67+H73+H79</f>
        <v>393718</v>
      </c>
      <c r="I95" s="79">
        <f t="shared" si="349"/>
        <v>0</v>
      </c>
      <c r="J95" s="79">
        <f t="shared" si="349"/>
        <v>255042</v>
      </c>
      <c r="K95" s="79"/>
      <c r="L95" s="79">
        <f t="shared" si="349"/>
        <v>138676</v>
      </c>
      <c r="M95" s="79"/>
      <c r="N95" s="79">
        <f t="shared" si="349"/>
        <v>249293</v>
      </c>
      <c r="O95" s="79"/>
      <c r="P95" s="79">
        <f t="shared" si="349"/>
        <v>132375</v>
      </c>
      <c r="Q95" s="79"/>
      <c r="R95" s="79">
        <f t="shared" si="349"/>
        <v>5749</v>
      </c>
      <c r="S95" s="79"/>
      <c r="T95" s="79">
        <f t="shared" si="349"/>
        <v>6301</v>
      </c>
      <c r="U95" s="93"/>
      <c r="V95" s="454">
        <f t="shared" si="317"/>
        <v>118.12968967114408</v>
      </c>
      <c r="W95" s="535"/>
      <c r="X95" s="73">
        <f>X13+X19+X27+X33+X39+X44+X50+X56+X67+X73+X79</f>
        <v>2184</v>
      </c>
      <c r="Y95" s="141"/>
      <c r="Z95" s="141">
        <f t="shared" ref="Z95:Z96" si="350">Z13+Z19+Z27+Z33+Z39+Z44+Z50+Z56+Z67+Z73+Z79</f>
        <v>99.999999999999986</v>
      </c>
      <c r="AA95" s="141"/>
      <c r="AB95" s="82">
        <f t="shared" ref="AB95:AN96" si="351">AB13+AB19+AB27+AB33+AB39+AB44+AB50+AB56+AB67+AB73+AB79</f>
        <v>488373</v>
      </c>
      <c r="AC95" s="79">
        <f t="shared" si="351"/>
        <v>0</v>
      </c>
      <c r="AD95" s="79">
        <f t="shared" si="351"/>
        <v>255257</v>
      </c>
      <c r="AE95" s="79"/>
      <c r="AF95" s="79">
        <f t="shared" si="351"/>
        <v>233116</v>
      </c>
      <c r="AG95" s="79"/>
      <c r="AH95" s="79">
        <f t="shared" si="351"/>
        <v>249508</v>
      </c>
      <c r="AI95" s="79"/>
      <c r="AJ95" s="79">
        <f t="shared" si="351"/>
        <v>226613</v>
      </c>
      <c r="AK95" s="79"/>
      <c r="AL95" s="79">
        <f t="shared" si="351"/>
        <v>5749</v>
      </c>
      <c r="AM95" s="79"/>
      <c r="AN95" s="79">
        <f t="shared" si="351"/>
        <v>6503</v>
      </c>
      <c r="AO95" s="84"/>
      <c r="AP95" s="454">
        <f t="shared" si="320"/>
        <v>116.87591575091575</v>
      </c>
      <c r="AQ95" s="147"/>
      <c r="AR95" s="88">
        <f>AR13+AR19+AR27+AR33+AR39+AR44+AR50+AR56+AR67+AR73+AR79</f>
        <v>2208</v>
      </c>
      <c r="AS95" s="88"/>
      <c r="AT95" s="80">
        <f t="shared" ref="AT95:AT96" si="352">AT13+AT19+AT27+AT33+AT39+AT44+AT50+AT56+AT67+AT73+AT79</f>
        <v>100</v>
      </c>
      <c r="AU95" s="79"/>
      <c r="AV95" s="79">
        <f t="shared" ref="AV95:BH96" si="353">AV13+AV19+AV27+AV33+AV39+AV44+AV50+AV56+AV67+AV73+AV79</f>
        <v>473690</v>
      </c>
      <c r="AW95" s="79">
        <f t="shared" si="353"/>
        <v>0</v>
      </c>
      <c r="AX95" s="79">
        <f t="shared" si="353"/>
        <v>251168</v>
      </c>
      <c r="AY95" s="79"/>
      <c r="AZ95" s="79">
        <f t="shared" si="353"/>
        <v>222522</v>
      </c>
      <c r="BA95" s="93"/>
      <c r="BB95" s="82">
        <f t="shared" si="353"/>
        <v>250315</v>
      </c>
      <c r="BC95" s="79"/>
      <c r="BD95" s="79">
        <f t="shared" si="353"/>
        <v>216881</v>
      </c>
      <c r="BE95" s="79"/>
      <c r="BF95" s="79">
        <f t="shared" si="353"/>
        <v>853</v>
      </c>
      <c r="BG95" s="79"/>
      <c r="BH95" s="79">
        <f t="shared" si="353"/>
        <v>5641</v>
      </c>
      <c r="BI95" s="93"/>
      <c r="BJ95" s="454">
        <f t="shared" si="323"/>
        <v>113.7536231884058</v>
      </c>
      <c r="BK95" s="147"/>
      <c r="BL95" s="73">
        <f>BL13+BL19+BL27+BL33+BL39+BL44+BL50+BL56+BL67+BL73+BL79</f>
        <v>2209.0000000000005</v>
      </c>
      <c r="BM95" s="75"/>
      <c r="BN95" s="86">
        <f t="shared" ref="BN95:BN96" si="354">BN13+BN19+BN27+BN33+BN39+BN44+BN50+BN56+BN67+BN73+BN79</f>
        <v>100</v>
      </c>
      <c r="BO95" s="79"/>
      <c r="BP95" s="79">
        <f t="shared" ref="BP95:CB96" si="355">BP13+BP19+BP27+BP33+BP39+BP44+BP50+BP56+BP67+BP73+BP79</f>
        <v>443170</v>
      </c>
      <c r="BQ95" s="79">
        <f t="shared" si="355"/>
        <v>0</v>
      </c>
      <c r="BR95" s="79">
        <f t="shared" si="355"/>
        <v>252800</v>
      </c>
      <c r="BS95" s="79"/>
      <c r="BT95" s="79">
        <f t="shared" si="355"/>
        <v>190370</v>
      </c>
      <c r="BU95" s="79"/>
      <c r="BV95" s="79">
        <f t="shared" si="355"/>
        <v>251947</v>
      </c>
      <c r="BW95" s="79"/>
      <c r="BX95" s="79">
        <f t="shared" si="355"/>
        <v>184724</v>
      </c>
      <c r="BY95" s="79"/>
      <c r="BZ95" s="79">
        <f t="shared" si="355"/>
        <v>853</v>
      </c>
      <c r="CA95" s="79"/>
      <c r="CB95" s="79">
        <f t="shared" si="355"/>
        <v>5646</v>
      </c>
      <c r="CC95" s="93"/>
      <c r="CD95" s="454">
        <f t="shared" si="326"/>
        <v>114.44092349479401</v>
      </c>
      <c r="CE95" s="147"/>
      <c r="CF95" s="73">
        <f>CF13+CF19+CF27+CF33+CF39+CF44+CF50+CF56+CF67+CF73+CF79</f>
        <v>8760</v>
      </c>
      <c r="CG95" s="79"/>
      <c r="CH95" s="86">
        <f t="shared" ref="CH95:CH96" si="356">CH13+CH19+CH27+CH33+CH39+CH44+CH50+CH56+CH67+CH73+CH79</f>
        <v>100</v>
      </c>
      <c r="CI95" s="79"/>
      <c r="CJ95" s="79">
        <f t="shared" ref="CJ95:CV96" si="357">CJ13+CJ19+CJ33+CJ39+CJ44+CJ50+CJ56+CJ73+CJ79+CJ67+CJ27</f>
        <v>1798951</v>
      </c>
      <c r="CK95" s="79"/>
      <c r="CL95" s="79">
        <f t="shared" si="357"/>
        <v>1014267</v>
      </c>
      <c r="CM95" s="79"/>
      <c r="CN95" s="79">
        <f t="shared" si="357"/>
        <v>784684</v>
      </c>
      <c r="CO95" s="79"/>
      <c r="CP95" s="79">
        <f t="shared" si="357"/>
        <v>1001063</v>
      </c>
      <c r="CQ95" s="79"/>
      <c r="CR95" s="79">
        <f t="shared" si="357"/>
        <v>760593</v>
      </c>
      <c r="CS95" s="79"/>
      <c r="CT95" s="79">
        <f t="shared" si="357"/>
        <v>13204</v>
      </c>
      <c r="CU95" s="79"/>
      <c r="CV95" s="79">
        <f t="shared" si="357"/>
        <v>24091</v>
      </c>
      <c r="CW95" s="93"/>
      <c r="CX95" s="454">
        <f t="shared" si="328"/>
        <v>115.78390410958905</v>
      </c>
      <c r="CY95" s="147"/>
    </row>
    <row r="96" spans="1:103" s="150" customFormat="1" ht="15.75" customHeight="1" x14ac:dyDescent="0.25">
      <c r="A96" s="533"/>
      <c r="B96" s="534" t="s">
        <v>34</v>
      </c>
      <c r="C96" s="79"/>
      <c r="D96" s="75">
        <f>D14+D20+D28+D34+D40+D45+D51+D57+D68+D74+D80</f>
        <v>2158.9999999999995</v>
      </c>
      <c r="E96" s="79"/>
      <c r="F96" s="79">
        <f t="shared" si="348"/>
        <v>100</v>
      </c>
      <c r="G96" s="79"/>
      <c r="H96" s="79">
        <f t="shared" si="349"/>
        <v>99386</v>
      </c>
      <c r="I96" s="79">
        <f t="shared" si="349"/>
        <v>0</v>
      </c>
      <c r="J96" s="79">
        <f t="shared" si="349"/>
        <v>64379</v>
      </c>
      <c r="K96" s="79"/>
      <c r="L96" s="79">
        <f t="shared" si="349"/>
        <v>35007</v>
      </c>
      <c r="M96" s="79"/>
      <c r="N96" s="79">
        <f t="shared" si="349"/>
        <v>64379</v>
      </c>
      <c r="O96" s="79"/>
      <c r="P96" s="79">
        <f t="shared" si="349"/>
        <v>33416</v>
      </c>
      <c r="Q96" s="79"/>
      <c r="R96" s="79">
        <f t="shared" si="349"/>
        <v>0</v>
      </c>
      <c r="S96" s="79"/>
      <c r="T96" s="79">
        <f t="shared" si="349"/>
        <v>1591</v>
      </c>
      <c r="U96" s="93"/>
      <c r="V96" s="454">
        <f t="shared" si="317"/>
        <v>29.818897637795281</v>
      </c>
      <c r="W96" s="535"/>
      <c r="X96" s="73">
        <f>X14+X20+X28+X34+X40+X45+X51+X57+X68+X74+X80</f>
        <v>2184</v>
      </c>
      <c r="Y96" s="141"/>
      <c r="Z96" s="141">
        <f t="shared" si="350"/>
        <v>99.999999999999986</v>
      </c>
      <c r="AA96" s="141"/>
      <c r="AB96" s="82">
        <f t="shared" si="351"/>
        <v>118508</v>
      </c>
      <c r="AC96" s="79">
        <f t="shared" si="351"/>
        <v>0</v>
      </c>
      <c r="AD96" s="79">
        <f t="shared" si="351"/>
        <v>61941</v>
      </c>
      <c r="AE96" s="79"/>
      <c r="AF96" s="79">
        <f t="shared" si="351"/>
        <v>56567</v>
      </c>
      <c r="AG96" s="79"/>
      <c r="AH96" s="79">
        <f t="shared" si="351"/>
        <v>61941</v>
      </c>
      <c r="AI96" s="79"/>
      <c r="AJ96" s="79">
        <f t="shared" si="351"/>
        <v>54989</v>
      </c>
      <c r="AK96" s="79"/>
      <c r="AL96" s="79">
        <f t="shared" si="351"/>
        <v>0</v>
      </c>
      <c r="AM96" s="79"/>
      <c r="AN96" s="79">
        <f t="shared" si="351"/>
        <v>1578</v>
      </c>
      <c r="AO96" s="84"/>
      <c r="AP96" s="454">
        <f t="shared" si="320"/>
        <v>28.361263736263737</v>
      </c>
      <c r="AQ96" s="147"/>
      <c r="AR96" s="88">
        <f>AR14+AR20+AR28+AR34+AR40+AR45+AR51+AR57+AR68+AR74+AR80</f>
        <v>2208</v>
      </c>
      <c r="AS96" s="88"/>
      <c r="AT96" s="80">
        <f t="shared" si="352"/>
        <v>100.00000000000001</v>
      </c>
      <c r="AU96" s="79"/>
      <c r="AV96" s="79">
        <f t="shared" si="353"/>
        <v>113500</v>
      </c>
      <c r="AW96" s="79">
        <f t="shared" si="353"/>
        <v>0</v>
      </c>
      <c r="AX96" s="79">
        <f t="shared" si="353"/>
        <v>60184</v>
      </c>
      <c r="AY96" s="79"/>
      <c r="AZ96" s="79">
        <f t="shared" si="353"/>
        <v>53316</v>
      </c>
      <c r="BA96" s="93"/>
      <c r="BB96" s="82">
        <f t="shared" si="353"/>
        <v>60184</v>
      </c>
      <c r="BC96" s="79"/>
      <c r="BD96" s="79">
        <f t="shared" si="353"/>
        <v>51964</v>
      </c>
      <c r="BE96" s="79"/>
      <c r="BF96" s="79">
        <f t="shared" si="353"/>
        <v>0</v>
      </c>
      <c r="BG96" s="79"/>
      <c r="BH96" s="79">
        <f t="shared" si="353"/>
        <v>1352</v>
      </c>
      <c r="BI96" s="93"/>
      <c r="BJ96" s="454">
        <f t="shared" si="323"/>
        <v>27.257246376811594</v>
      </c>
      <c r="BK96" s="147"/>
      <c r="BL96" s="73">
        <f>BL14+BL20+BL28+BL34+BL40+BL45+BL51+BL57+BL68+BL74+BL80</f>
        <v>2208.9999999999995</v>
      </c>
      <c r="BM96" s="75"/>
      <c r="BN96" s="86">
        <f t="shared" si="354"/>
        <v>100.00000000000001</v>
      </c>
      <c r="BO96" s="79"/>
      <c r="BP96" s="79">
        <f t="shared" si="355"/>
        <v>104277</v>
      </c>
      <c r="BQ96" s="79">
        <f t="shared" si="355"/>
        <v>0</v>
      </c>
      <c r="BR96" s="79">
        <f t="shared" si="355"/>
        <v>59484</v>
      </c>
      <c r="BS96" s="79"/>
      <c r="BT96" s="79">
        <f t="shared" si="355"/>
        <v>44793</v>
      </c>
      <c r="BU96" s="79"/>
      <c r="BV96" s="79">
        <f t="shared" si="355"/>
        <v>59484</v>
      </c>
      <c r="BW96" s="79"/>
      <c r="BX96" s="79">
        <f t="shared" si="355"/>
        <v>43465</v>
      </c>
      <c r="BY96" s="79"/>
      <c r="BZ96" s="79">
        <f t="shared" si="355"/>
        <v>0</v>
      </c>
      <c r="CA96" s="79"/>
      <c r="CB96" s="79">
        <f t="shared" si="355"/>
        <v>1328</v>
      </c>
      <c r="CC96" s="93"/>
      <c r="CD96" s="454">
        <f>BR96/BL96</f>
        <v>26.928021729289277</v>
      </c>
      <c r="CE96" s="147"/>
      <c r="CF96" s="73">
        <f>CF14+CF20+CF28+CF34+CF40+CF45+CF51+CF57+CF68+CF74+CF80</f>
        <v>8760</v>
      </c>
      <c r="CG96" s="79"/>
      <c r="CH96" s="86">
        <f t="shared" si="356"/>
        <v>100.00000000000001</v>
      </c>
      <c r="CI96" s="79"/>
      <c r="CJ96" s="79">
        <f t="shared" si="357"/>
        <v>435671</v>
      </c>
      <c r="CK96" s="79"/>
      <c r="CL96" s="79">
        <f t="shared" si="357"/>
        <v>245988</v>
      </c>
      <c r="CM96" s="79"/>
      <c r="CN96" s="79">
        <f t="shared" si="357"/>
        <v>189683</v>
      </c>
      <c r="CO96" s="79"/>
      <c r="CP96" s="79">
        <f t="shared" si="357"/>
        <v>245988</v>
      </c>
      <c r="CQ96" s="79"/>
      <c r="CR96" s="79">
        <f t="shared" si="357"/>
        <v>183834</v>
      </c>
      <c r="CS96" s="79"/>
      <c r="CT96" s="79">
        <f t="shared" si="357"/>
        <v>0</v>
      </c>
      <c r="CU96" s="79"/>
      <c r="CV96" s="79">
        <f t="shared" si="357"/>
        <v>5849</v>
      </c>
      <c r="CW96" s="93"/>
      <c r="CX96" s="454">
        <f t="shared" si="328"/>
        <v>28.080821917808219</v>
      </c>
      <c r="CY96" s="147"/>
    </row>
    <row r="97" spans="1:103" s="150" customFormat="1" ht="15.75" customHeight="1" thickBot="1" x14ac:dyDescent="0.3">
      <c r="A97" s="536"/>
      <c r="B97" s="537" t="s">
        <v>49</v>
      </c>
      <c r="C97" s="538"/>
      <c r="D97" s="539">
        <f>D60</f>
        <v>70</v>
      </c>
      <c r="E97" s="540"/>
      <c r="F97" s="538"/>
      <c r="G97" s="538"/>
      <c r="H97" s="538">
        <f t="shared" ref="H97:T97" si="358">H60</f>
        <v>87.540528022232522</v>
      </c>
      <c r="I97" s="538">
        <f t="shared" si="358"/>
        <v>0</v>
      </c>
      <c r="J97" s="538">
        <f t="shared" si="358"/>
        <v>87.540528022232522</v>
      </c>
      <c r="K97" s="538"/>
      <c r="L97" s="538">
        <f t="shared" si="358"/>
        <v>0</v>
      </c>
      <c r="M97" s="538"/>
      <c r="N97" s="538">
        <f t="shared" si="358"/>
        <v>87.540528022232522</v>
      </c>
      <c r="O97" s="538"/>
      <c r="P97" s="538">
        <f t="shared" si="358"/>
        <v>0</v>
      </c>
      <c r="Q97" s="538"/>
      <c r="R97" s="538">
        <f t="shared" si="358"/>
        <v>0</v>
      </c>
      <c r="S97" s="538"/>
      <c r="T97" s="538">
        <f t="shared" si="358"/>
        <v>0</v>
      </c>
      <c r="U97" s="541"/>
      <c r="V97" s="542">
        <f t="shared" si="317"/>
        <v>1.2505789717461788</v>
      </c>
      <c r="W97" s="543"/>
      <c r="X97" s="544">
        <f>X60</f>
        <v>90</v>
      </c>
      <c r="Y97" s="540"/>
      <c r="Z97" s="538"/>
      <c r="AA97" s="541"/>
      <c r="AB97" s="545">
        <f t="shared" ref="AB97:AN97" si="359">AB60</f>
        <v>111.26373626373626</v>
      </c>
      <c r="AC97" s="538">
        <f t="shared" si="359"/>
        <v>0</v>
      </c>
      <c r="AD97" s="538">
        <f t="shared" si="359"/>
        <v>111.26373626373626</v>
      </c>
      <c r="AE97" s="538"/>
      <c r="AF97" s="538">
        <f t="shared" si="359"/>
        <v>0</v>
      </c>
      <c r="AG97" s="538"/>
      <c r="AH97" s="538">
        <f t="shared" si="359"/>
        <v>111.26373626373626</v>
      </c>
      <c r="AI97" s="538"/>
      <c r="AJ97" s="538">
        <f t="shared" si="359"/>
        <v>0</v>
      </c>
      <c r="AK97" s="538"/>
      <c r="AL97" s="538">
        <f t="shared" si="359"/>
        <v>0</v>
      </c>
      <c r="AM97" s="538"/>
      <c r="AN97" s="538">
        <f t="shared" si="359"/>
        <v>0</v>
      </c>
      <c r="AO97" s="546"/>
      <c r="AP97" s="542">
        <f t="shared" si="320"/>
        <v>1.2362637362637363</v>
      </c>
      <c r="AQ97" s="547"/>
      <c r="AR97" s="548">
        <f>AR60</f>
        <v>30</v>
      </c>
      <c r="AS97" s="548"/>
      <c r="AT97" s="548"/>
      <c r="AU97" s="538"/>
      <c r="AV97" s="538">
        <f t="shared" ref="AV97:BH97" si="360">AV60</f>
        <v>36.684782608695649</v>
      </c>
      <c r="AW97" s="538">
        <f t="shared" si="360"/>
        <v>0</v>
      </c>
      <c r="AX97" s="538">
        <f t="shared" si="360"/>
        <v>36.684782608695649</v>
      </c>
      <c r="AY97" s="538"/>
      <c r="AZ97" s="538">
        <f t="shared" si="360"/>
        <v>0</v>
      </c>
      <c r="BA97" s="541"/>
      <c r="BB97" s="545">
        <f t="shared" si="360"/>
        <v>36.684782608695649</v>
      </c>
      <c r="BC97" s="538"/>
      <c r="BD97" s="538">
        <f t="shared" si="360"/>
        <v>0</v>
      </c>
      <c r="BE97" s="538"/>
      <c r="BF97" s="538">
        <f t="shared" si="360"/>
        <v>0</v>
      </c>
      <c r="BG97" s="538"/>
      <c r="BH97" s="538">
        <f t="shared" si="360"/>
        <v>0</v>
      </c>
      <c r="BI97" s="541"/>
      <c r="BJ97" s="542">
        <f t="shared" si="323"/>
        <v>1.2228260869565217</v>
      </c>
      <c r="BK97" s="547"/>
      <c r="BL97" s="544">
        <f>BL60</f>
        <v>80</v>
      </c>
      <c r="BM97" s="538"/>
      <c r="BN97" s="538"/>
      <c r="BO97" s="538"/>
      <c r="BP97" s="538">
        <f>BP60</f>
        <v>97.781801720235393</v>
      </c>
      <c r="BQ97" s="538">
        <f>BQ60</f>
        <v>0</v>
      </c>
      <c r="BR97" s="538">
        <f>BR60</f>
        <v>97.781801720235393</v>
      </c>
      <c r="BS97" s="538"/>
      <c r="BT97" s="538">
        <f>BT60</f>
        <v>0</v>
      </c>
      <c r="BU97" s="538"/>
      <c r="BV97" s="538">
        <f t="shared" ref="BV97:CB97" si="361">BV60</f>
        <v>97.781801720235393</v>
      </c>
      <c r="BW97" s="538"/>
      <c r="BX97" s="538">
        <f t="shared" si="361"/>
        <v>0</v>
      </c>
      <c r="BY97" s="538"/>
      <c r="BZ97" s="538">
        <f t="shared" si="361"/>
        <v>0</v>
      </c>
      <c r="CA97" s="538"/>
      <c r="CB97" s="538">
        <f t="shared" si="361"/>
        <v>0</v>
      </c>
      <c r="CC97" s="541"/>
      <c r="CD97" s="542">
        <f t="shared" si="326"/>
        <v>1.2222725215029424</v>
      </c>
      <c r="CE97" s="547"/>
      <c r="CF97" s="544">
        <f>CF60</f>
        <v>270</v>
      </c>
      <c r="CG97" s="538"/>
      <c r="CH97" s="538"/>
      <c r="CI97" s="538"/>
      <c r="CJ97" s="538">
        <f t="shared" ref="CJ97:CV97" si="362">CJ60</f>
        <v>333.27084861489982</v>
      </c>
      <c r="CK97" s="538"/>
      <c r="CL97" s="538">
        <f t="shared" si="362"/>
        <v>333.27084861489982</v>
      </c>
      <c r="CM97" s="538"/>
      <c r="CN97" s="538">
        <f t="shared" si="362"/>
        <v>0</v>
      </c>
      <c r="CO97" s="538"/>
      <c r="CP97" s="538">
        <f t="shared" si="362"/>
        <v>333.27084861489982</v>
      </c>
      <c r="CQ97" s="538"/>
      <c r="CR97" s="538">
        <f t="shared" si="362"/>
        <v>0</v>
      </c>
      <c r="CS97" s="538"/>
      <c r="CT97" s="538">
        <f t="shared" si="362"/>
        <v>0</v>
      </c>
      <c r="CU97" s="538"/>
      <c r="CV97" s="538">
        <f t="shared" si="362"/>
        <v>0</v>
      </c>
      <c r="CW97" s="541"/>
      <c r="CX97" s="542">
        <f t="shared" si="328"/>
        <v>1.2343364763514808</v>
      </c>
      <c r="CY97" s="547"/>
    </row>
    <row r="98" spans="1:103" x14ac:dyDescent="0.25">
      <c r="B98" s="514" t="s">
        <v>71</v>
      </c>
      <c r="H98" s="550"/>
      <c r="AB98" s="550"/>
      <c r="AT98" s="551"/>
      <c r="AV98" s="550"/>
      <c r="AW98" s="550"/>
      <c r="AX98" s="551"/>
      <c r="AY98" s="551"/>
      <c r="AZ98" s="551"/>
      <c r="BA98" s="551"/>
      <c r="BD98" s="551"/>
      <c r="BE98" s="551"/>
      <c r="BF98" s="551"/>
      <c r="BG98" s="551"/>
      <c r="BH98" s="551"/>
      <c r="BJ98" s="551"/>
      <c r="BN98" s="551"/>
      <c r="BP98" s="551"/>
      <c r="BR98" s="551"/>
      <c r="BT98" s="551"/>
      <c r="BX98" s="551"/>
      <c r="BZ98" s="551"/>
      <c r="CB98" s="551"/>
      <c r="CD98" s="551"/>
    </row>
    <row r="101" spans="1:103" x14ac:dyDescent="0.25">
      <c r="B101" s="2" t="s">
        <v>77</v>
      </c>
      <c r="C101" t="s">
        <v>78</v>
      </c>
      <c r="D101" t="s">
        <v>72</v>
      </c>
    </row>
    <row r="102" spans="1:103" x14ac:dyDescent="0.25">
      <c r="B102" s="2" t="s">
        <v>74</v>
      </c>
      <c r="C102" t="s">
        <v>78</v>
      </c>
      <c r="D102" t="s">
        <v>73</v>
      </c>
    </row>
    <row r="103" spans="1:103" x14ac:dyDescent="0.25">
      <c r="B103" s="2" t="s">
        <v>74</v>
      </c>
      <c r="C103" t="s">
        <v>78</v>
      </c>
      <c r="D103" t="s">
        <v>75</v>
      </c>
    </row>
    <row r="105" spans="1:103" x14ac:dyDescent="0.25">
      <c r="B105" s="2" t="s">
        <v>79</v>
      </c>
    </row>
    <row r="107" spans="1:103" x14ac:dyDescent="0.25">
      <c r="B107" s="2" t="s">
        <v>76</v>
      </c>
    </row>
  </sheetData>
  <mergeCells count="88">
    <mergeCell ref="A1:C1"/>
    <mergeCell ref="B3:B8"/>
    <mergeCell ref="C3:C8"/>
    <mergeCell ref="D3:W3"/>
    <mergeCell ref="X3:AQ3"/>
    <mergeCell ref="X4:AA5"/>
    <mergeCell ref="AB4:AC6"/>
    <mergeCell ref="AD4:AG5"/>
    <mergeCell ref="AH4:AO4"/>
    <mergeCell ref="AH5:AK5"/>
    <mergeCell ref="AL5:AO5"/>
    <mergeCell ref="AP4:AQ6"/>
    <mergeCell ref="P6:Q6"/>
    <mergeCell ref="R6:S6"/>
    <mergeCell ref="T6:U6"/>
    <mergeCell ref="N5:Q5"/>
    <mergeCell ref="BL3:CC3"/>
    <mergeCell ref="CF3:CW3"/>
    <mergeCell ref="A4:A8"/>
    <mergeCell ref="D4:G5"/>
    <mergeCell ref="H4:I6"/>
    <mergeCell ref="J4:M5"/>
    <mergeCell ref="N4:U4"/>
    <mergeCell ref="V4:W6"/>
    <mergeCell ref="AR3:BI3"/>
    <mergeCell ref="AR4:AU5"/>
    <mergeCell ref="AV4:AW6"/>
    <mergeCell ref="AX4:BA5"/>
    <mergeCell ref="BB4:BI4"/>
    <mergeCell ref="BJ4:BK6"/>
    <mergeCell ref="BB6:BC6"/>
    <mergeCell ref="BD6:BE6"/>
    <mergeCell ref="BH6:BI6"/>
    <mergeCell ref="CL4:CO5"/>
    <mergeCell ref="CP4:CW4"/>
    <mergeCell ref="CX4:CY6"/>
    <mergeCell ref="CP5:CS5"/>
    <mergeCell ref="CT5:CW5"/>
    <mergeCell ref="CV6:CW6"/>
    <mergeCell ref="CL6:CM6"/>
    <mergeCell ref="CN6:CO6"/>
    <mergeCell ref="CP6:CQ6"/>
    <mergeCell ref="CR6:CS6"/>
    <mergeCell ref="BB5:BE5"/>
    <mergeCell ref="BF5:BI5"/>
    <mergeCell ref="CJ4:CK6"/>
    <mergeCell ref="BL4:BO5"/>
    <mergeCell ref="BP4:BQ6"/>
    <mergeCell ref="BR4:BU5"/>
    <mergeCell ref="BV4:CC4"/>
    <mergeCell ref="CD4:CE6"/>
    <mergeCell ref="CF4:CI5"/>
    <mergeCell ref="BV5:BY5"/>
    <mergeCell ref="BZ5:CC5"/>
    <mergeCell ref="BL6:BM6"/>
    <mergeCell ref="BN6:BO6"/>
    <mergeCell ref="CF6:CG6"/>
    <mergeCell ref="CH6:CI6"/>
    <mergeCell ref="BF6:BG6"/>
    <mergeCell ref="R5:U5"/>
    <mergeCell ref="D6:E6"/>
    <mergeCell ref="F6:G6"/>
    <mergeCell ref="J6:K6"/>
    <mergeCell ref="L6:M6"/>
    <mergeCell ref="N6:O6"/>
    <mergeCell ref="AZ6:BA6"/>
    <mergeCell ref="X6:Y6"/>
    <mergeCell ref="Z6:AA6"/>
    <mergeCell ref="AD6:AE6"/>
    <mergeCell ref="AF6:AG6"/>
    <mergeCell ref="AH6:AI6"/>
    <mergeCell ref="AJ6:AK6"/>
    <mergeCell ref="A9:A58"/>
    <mergeCell ref="A59:A61"/>
    <mergeCell ref="A69:A80"/>
    <mergeCell ref="A84:A86"/>
    <mergeCell ref="CT6:CU6"/>
    <mergeCell ref="BR6:BS6"/>
    <mergeCell ref="BT6:BU6"/>
    <mergeCell ref="BV6:BW6"/>
    <mergeCell ref="BX6:BY6"/>
    <mergeCell ref="BZ6:CA6"/>
    <mergeCell ref="CB6:CC6"/>
    <mergeCell ref="AL6:AM6"/>
    <mergeCell ref="AN6:AO6"/>
    <mergeCell ref="AR6:AS6"/>
    <mergeCell ref="AT6:AU6"/>
    <mergeCell ref="AX6:AY6"/>
  </mergeCells>
  <pageMargins left="0.70866141732283472" right="0.70866141732283472" top="0.74803149606299213" bottom="0.74803149606299213" header="0.31496062992125984" footer="0.31496062992125984"/>
  <pageSetup paperSize="9" scale="50" fitToWidth="5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plans</vt:lpstr>
      <vt:lpstr>plans!Print_Area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Irkle</dc:creator>
  <cp:lastModifiedBy>Marija Dzelme</cp:lastModifiedBy>
  <cp:lastPrinted>2021-12-27T12:02:14Z</cp:lastPrinted>
  <dcterms:created xsi:type="dcterms:W3CDTF">2021-12-27T11:18:01Z</dcterms:created>
  <dcterms:modified xsi:type="dcterms:W3CDTF">2021-12-28T17:12:11Z</dcterms:modified>
</cp:coreProperties>
</file>